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jasper/Dropbox/Projects/ci_project/documents/"/>
    </mc:Choice>
  </mc:AlternateContent>
  <xr:revisionPtr revIDLastSave="0" documentId="13_ncr:1_{0FC2EA34-7C47-BA4B-97D9-B989202D530F}" xr6:coauthVersionLast="47" xr6:coauthVersionMax="47" xr10:uidLastSave="{00000000-0000-0000-0000-000000000000}"/>
  <bookViews>
    <workbookView xWindow="30240" yWindow="-1460" windowWidth="38400" windowHeight="211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389" i="1" l="1"/>
  <c r="AR389" i="1" s="1"/>
  <c r="AL389" i="1"/>
  <c r="AQ388" i="1"/>
  <c r="AR388" i="1" s="1"/>
  <c r="AL388" i="1"/>
  <c r="AN388" i="1" s="1"/>
  <c r="AO388" i="1" s="1"/>
  <c r="AL387" i="1"/>
  <c r="AQ386" i="1"/>
  <c r="AR386" i="1" s="1"/>
  <c r="AL386" i="1"/>
  <c r="AQ385" i="1"/>
  <c r="AR385" i="1" s="1"/>
  <c r="AL385" i="1"/>
  <c r="AQ384" i="1"/>
  <c r="AR384" i="1" s="1"/>
  <c r="AL384" i="1"/>
  <c r="AN384" i="1" s="1"/>
  <c r="AO384" i="1" s="1"/>
  <c r="AL383" i="1"/>
  <c r="AQ382" i="1"/>
  <c r="AR382" i="1" s="1"/>
  <c r="AL382" i="1"/>
  <c r="AQ381" i="1"/>
  <c r="AR381" i="1" s="1"/>
  <c r="AL381" i="1"/>
  <c r="AQ380" i="1"/>
  <c r="AR380" i="1" s="1"/>
  <c r="AL380" i="1"/>
  <c r="AN380" i="1" s="1"/>
  <c r="AO380" i="1" s="1"/>
  <c r="AL379" i="1"/>
  <c r="AQ378" i="1"/>
  <c r="AR378" i="1" s="1"/>
  <c r="AL378" i="1"/>
  <c r="AQ377" i="1"/>
  <c r="AR377" i="1" s="1"/>
  <c r="AL377" i="1"/>
  <c r="AQ376" i="1"/>
  <c r="AR376" i="1" s="1"/>
  <c r="AL376" i="1"/>
  <c r="AN376" i="1" s="1"/>
  <c r="AO376" i="1" s="1"/>
  <c r="AL375" i="1"/>
  <c r="AQ374" i="1"/>
  <c r="AR374" i="1" s="1"/>
  <c r="AL374" i="1"/>
  <c r="AQ373" i="1"/>
  <c r="AR373" i="1" s="1"/>
  <c r="AL373" i="1"/>
  <c r="AQ372" i="1"/>
  <c r="AR372" i="1" s="1"/>
  <c r="AL372" i="1"/>
  <c r="AN372" i="1" s="1"/>
  <c r="AO372" i="1" s="1"/>
  <c r="AL371" i="1"/>
  <c r="AQ370" i="1"/>
  <c r="AR370" i="1" s="1"/>
  <c r="AL370" i="1"/>
  <c r="AQ369" i="1"/>
  <c r="AR369" i="1" s="1"/>
  <c r="AL369" i="1"/>
  <c r="AQ368" i="1"/>
  <c r="AR368" i="1" s="1"/>
  <c r="AL368" i="1"/>
  <c r="AN368" i="1" s="1"/>
  <c r="AO368" i="1" s="1"/>
  <c r="AL367" i="1"/>
  <c r="AQ366" i="1"/>
  <c r="AR366" i="1" s="1"/>
  <c r="AN366" i="1"/>
  <c r="AO366" i="1" s="1"/>
  <c r="AQ365" i="1"/>
  <c r="AR365" i="1" s="1"/>
  <c r="AN365" i="1"/>
  <c r="AO365" i="1" s="1"/>
  <c r="AQ364" i="1"/>
  <c r="AR364" i="1" s="1"/>
  <c r="AQ363" i="1"/>
  <c r="AR363" i="1" s="1"/>
  <c r="AN363" i="1"/>
  <c r="AO363" i="1" s="1"/>
  <c r="AQ362" i="1"/>
  <c r="AR362" i="1" s="1"/>
  <c r="AN362" i="1"/>
  <c r="AO362" i="1" s="1"/>
  <c r="AN361" i="1"/>
  <c r="AO361" i="1" s="1"/>
  <c r="AL360" i="1"/>
  <c r="AQ359" i="1"/>
  <c r="AR359" i="1" s="1"/>
  <c r="AL359" i="1"/>
  <c r="AN359" i="1" s="1"/>
  <c r="AO359" i="1" s="1"/>
  <c r="AQ358" i="1"/>
  <c r="AR358" i="1" s="1"/>
  <c r="AL358" i="1"/>
  <c r="AN358" i="1" s="1"/>
  <c r="AO358" i="1" s="1"/>
  <c r="AQ357" i="1"/>
  <c r="AR357" i="1" s="1"/>
  <c r="AL357" i="1"/>
  <c r="AN68" i="1" s="1"/>
  <c r="AO68" i="1" s="1"/>
  <c r="AQ356" i="1"/>
  <c r="AR356" i="1" s="1"/>
  <c r="AL356" i="1"/>
  <c r="AL355" i="1"/>
  <c r="AQ354" i="1"/>
  <c r="AR354" i="1" s="1"/>
  <c r="AL354" i="1"/>
  <c r="AQ353" i="1"/>
  <c r="AR353" i="1" s="1"/>
  <c r="AL353" i="1"/>
  <c r="AQ352" i="1"/>
  <c r="AR352" i="1" s="1"/>
  <c r="AL352" i="1"/>
  <c r="AN16" i="1" s="1"/>
  <c r="AO16" i="1" s="1"/>
  <c r="AQ351" i="1"/>
  <c r="AR351" i="1" s="1"/>
  <c r="AL351" i="1"/>
  <c r="AQ350" i="1"/>
  <c r="AR350" i="1" s="1"/>
  <c r="AL350" i="1"/>
  <c r="AQ349" i="1"/>
  <c r="AR349" i="1" s="1"/>
  <c r="AL349" i="1"/>
  <c r="AQ348" i="1"/>
  <c r="AR348" i="1" s="1"/>
  <c r="AL348" i="1"/>
  <c r="AQ347" i="1"/>
  <c r="AR347" i="1" s="1"/>
  <c r="AL347" i="1"/>
  <c r="AQ346" i="1"/>
  <c r="AR346" i="1" s="1"/>
  <c r="AL346" i="1"/>
  <c r="AL345" i="1"/>
  <c r="AL344" i="1"/>
  <c r="AL343" i="1"/>
  <c r="AN64" i="1" s="1"/>
  <c r="AO64" i="1" s="1"/>
  <c r="AL342" i="1"/>
  <c r="AN61" i="1" s="1"/>
  <c r="AO61" i="1" s="1"/>
  <c r="AL341" i="1"/>
  <c r="AQ318" i="1"/>
  <c r="AR318" i="1" s="1"/>
  <c r="P315" i="1"/>
  <c r="P314" i="1"/>
  <c r="P313" i="1"/>
  <c r="P312" i="1"/>
  <c r="P311" i="1"/>
  <c r="P310" i="1"/>
  <c r="P309" i="1"/>
  <c r="P308" i="1"/>
  <c r="P307" i="1"/>
  <c r="P306" i="1"/>
  <c r="P305" i="1"/>
  <c r="P304" i="1"/>
  <c r="P303" i="1"/>
  <c r="P302" i="1"/>
  <c r="P301" i="1"/>
  <c r="P300" i="1"/>
  <c r="P299" i="1"/>
  <c r="P298" i="1"/>
  <c r="AR293" i="1"/>
  <c r="AO293" i="1"/>
  <c r="AR290" i="1"/>
  <c r="AO290" i="1"/>
  <c r="AO286" i="1"/>
  <c r="AW285" i="1"/>
  <c r="V285" i="1"/>
  <c r="L285" i="1"/>
  <c r="AW284" i="1"/>
  <c r="V284" i="1"/>
  <c r="L284" i="1"/>
  <c r="AW283" i="1"/>
  <c r="AQ283" i="1"/>
  <c r="AR283" i="1" s="1"/>
  <c r="AN283" i="1"/>
  <c r="AO283" i="1" s="1"/>
  <c r="V283" i="1"/>
  <c r="L283" i="1"/>
  <c r="AW282" i="1"/>
  <c r="AQ282" i="1"/>
  <c r="AR282" i="1" s="1"/>
  <c r="V282" i="1"/>
  <c r="L282" i="1"/>
  <c r="AW281" i="1"/>
  <c r="V281" i="1"/>
  <c r="L281" i="1"/>
  <c r="AW280" i="1"/>
  <c r="AQ280" i="1"/>
  <c r="AR280" i="1" s="1"/>
  <c r="V280" i="1"/>
  <c r="L280" i="1"/>
  <c r="AW279" i="1"/>
  <c r="V279" i="1"/>
  <c r="L279" i="1"/>
  <c r="AW278" i="1"/>
  <c r="AQ278" i="1"/>
  <c r="AR278" i="1" s="1"/>
  <c r="V278" i="1"/>
  <c r="L278" i="1"/>
  <c r="AW277" i="1"/>
  <c r="V277" i="1"/>
  <c r="L277" i="1"/>
  <c r="AW276" i="1"/>
  <c r="V276" i="1"/>
  <c r="L276" i="1"/>
  <c r="AW275" i="1"/>
  <c r="AQ275" i="1"/>
  <c r="AR275" i="1" s="1"/>
  <c r="AN275" i="1"/>
  <c r="AO275" i="1" s="1"/>
  <c r="V275" i="1"/>
  <c r="L275" i="1"/>
  <c r="AW274" i="1"/>
  <c r="AQ274" i="1"/>
  <c r="AR274" i="1" s="1"/>
  <c r="AN274" i="1"/>
  <c r="AO274" i="1" s="1"/>
  <c r="V274" i="1"/>
  <c r="L274" i="1"/>
  <c r="AW273" i="1"/>
  <c r="V273" i="1"/>
  <c r="L273" i="1"/>
  <c r="AW272" i="1"/>
  <c r="AQ272" i="1"/>
  <c r="AR272" i="1" s="1"/>
  <c r="V272" i="1"/>
  <c r="L272" i="1"/>
  <c r="AW271" i="1"/>
  <c r="V271" i="1"/>
  <c r="L271" i="1"/>
  <c r="AW270" i="1"/>
  <c r="AQ270" i="1"/>
  <c r="AR270" i="1" s="1"/>
  <c r="V270" i="1"/>
  <c r="L270" i="1"/>
  <c r="AW269" i="1"/>
  <c r="V269" i="1"/>
  <c r="L269" i="1"/>
  <c r="AW268" i="1"/>
  <c r="V268" i="1"/>
  <c r="L268" i="1"/>
  <c r="AW267" i="1"/>
  <c r="AQ267" i="1"/>
  <c r="AR267" i="1" s="1"/>
  <c r="AN267" i="1"/>
  <c r="AO267" i="1" s="1"/>
  <c r="V267" i="1"/>
  <c r="L267" i="1"/>
  <c r="AW266" i="1"/>
  <c r="AQ266" i="1"/>
  <c r="AR266" i="1" s="1"/>
  <c r="AN266" i="1"/>
  <c r="AO266" i="1" s="1"/>
  <c r="V266" i="1"/>
  <c r="L266" i="1"/>
  <c r="AW265" i="1"/>
  <c r="V265" i="1"/>
  <c r="L265" i="1"/>
  <c r="AW264" i="1"/>
  <c r="AQ264" i="1"/>
  <c r="AR264" i="1" s="1"/>
  <c r="V264" i="1"/>
  <c r="L264" i="1"/>
  <c r="AW263" i="1"/>
  <c r="V263" i="1"/>
  <c r="L263" i="1"/>
  <c r="AW262" i="1"/>
  <c r="AQ262" i="1"/>
  <c r="AR262" i="1" s="1"/>
  <c r="V262" i="1"/>
  <c r="L262" i="1"/>
  <c r="AW261" i="1"/>
  <c r="V261" i="1"/>
  <c r="L261" i="1"/>
  <c r="AW260" i="1"/>
  <c r="V260" i="1"/>
  <c r="L260" i="1"/>
  <c r="AW259" i="1"/>
  <c r="AQ259" i="1"/>
  <c r="AR259" i="1" s="1"/>
  <c r="AN259" i="1"/>
  <c r="AO259" i="1" s="1"/>
  <c r="V259" i="1"/>
  <c r="L259" i="1"/>
  <c r="AW258" i="1"/>
  <c r="AQ258" i="1"/>
  <c r="AR258" i="1" s="1"/>
  <c r="AN258" i="1"/>
  <c r="AO258" i="1" s="1"/>
  <c r="V258" i="1"/>
  <c r="L258" i="1"/>
  <c r="AW257" i="1"/>
  <c r="V257" i="1"/>
  <c r="L257" i="1"/>
  <c r="AW256" i="1"/>
  <c r="AQ256" i="1"/>
  <c r="AR256" i="1" s="1"/>
  <c r="V256" i="1"/>
  <c r="L256" i="1"/>
  <c r="AW255" i="1"/>
  <c r="V255" i="1"/>
  <c r="L255" i="1"/>
  <c r="AW254" i="1"/>
  <c r="AQ254" i="1"/>
  <c r="AR254" i="1" s="1"/>
  <c r="V254" i="1"/>
  <c r="L254" i="1"/>
  <c r="AQ253" i="1"/>
  <c r="AR253" i="1" s="1"/>
  <c r="P253" i="1"/>
  <c r="AQ252" i="1"/>
  <c r="AR252" i="1" s="1"/>
  <c r="P252" i="1"/>
  <c r="AQ251" i="1"/>
  <c r="AR251" i="1" s="1"/>
  <c r="P251" i="1"/>
  <c r="AQ250" i="1"/>
  <c r="AR250" i="1" s="1"/>
  <c r="P250" i="1"/>
  <c r="AQ249" i="1"/>
  <c r="AR249" i="1" s="1"/>
  <c r="P249" i="1"/>
  <c r="AQ248" i="1"/>
  <c r="AR248" i="1" s="1"/>
  <c r="P248" i="1"/>
  <c r="AQ247" i="1"/>
  <c r="AR247" i="1" s="1"/>
  <c r="P247" i="1"/>
  <c r="P246" i="1"/>
  <c r="AQ245" i="1"/>
  <c r="AR245" i="1" s="1"/>
  <c r="P245" i="1"/>
  <c r="AQ244" i="1"/>
  <c r="AR244" i="1" s="1"/>
  <c r="P244" i="1"/>
  <c r="AQ243" i="1"/>
  <c r="AR243" i="1" s="1"/>
  <c r="P243" i="1"/>
  <c r="AQ242" i="1"/>
  <c r="AR242" i="1" s="1"/>
  <c r="P242" i="1"/>
  <c r="AQ241" i="1"/>
  <c r="AR241" i="1" s="1"/>
  <c r="P241" i="1"/>
  <c r="AQ240" i="1"/>
  <c r="AR240" i="1" s="1"/>
  <c r="P240" i="1"/>
  <c r="P239" i="1"/>
  <c r="AQ238" i="1"/>
  <c r="AR238" i="1" s="1"/>
  <c r="P238" i="1"/>
  <c r="AQ237" i="1"/>
  <c r="AR237" i="1" s="1"/>
  <c r="P237" i="1"/>
  <c r="AQ236" i="1"/>
  <c r="AR236" i="1" s="1"/>
  <c r="P236" i="1"/>
  <c r="AQ235" i="1"/>
  <c r="AR235" i="1" s="1"/>
  <c r="P235" i="1"/>
  <c r="AQ234" i="1"/>
  <c r="AR234" i="1" s="1"/>
  <c r="P234" i="1"/>
  <c r="AQ233" i="1"/>
  <c r="AR233" i="1" s="1"/>
  <c r="P233" i="1"/>
  <c r="AQ232" i="1"/>
  <c r="AR232" i="1" s="1"/>
  <c r="P232" i="1"/>
  <c r="P231" i="1"/>
  <c r="AN230" i="1"/>
  <c r="AO230" i="1" s="1"/>
  <c r="V230" i="1"/>
  <c r="S230" i="1"/>
  <c r="AN229" i="1"/>
  <c r="AO229" i="1" s="1"/>
  <c r="V229" i="1"/>
  <c r="S229" i="1"/>
  <c r="V228" i="1"/>
  <c r="S228" i="1"/>
  <c r="AN227" i="1"/>
  <c r="AO227" i="1" s="1"/>
  <c r="V227" i="1"/>
  <c r="S227" i="1"/>
  <c r="AN226" i="1"/>
  <c r="AO226" i="1" s="1"/>
  <c r="V226" i="1"/>
  <c r="S226" i="1"/>
  <c r="V225" i="1"/>
  <c r="S225" i="1"/>
  <c r="AN224" i="1"/>
  <c r="AO224" i="1" s="1"/>
  <c r="V224" i="1"/>
  <c r="S224" i="1"/>
  <c r="AN223" i="1"/>
  <c r="AO223" i="1" s="1"/>
  <c r="V223" i="1"/>
  <c r="S223" i="1"/>
  <c r="V222" i="1"/>
  <c r="S222" i="1"/>
  <c r="AN217" i="1"/>
  <c r="AO217" i="1" s="1"/>
  <c r="AN216" i="1"/>
  <c r="AO216" i="1" s="1"/>
  <c r="AN215" i="1"/>
  <c r="AO215" i="1" s="1"/>
  <c r="AN213" i="1"/>
  <c r="AO213" i="1" s="1"/>
  <c r="AN208" i="1"/>
  <c r="AO208" i="1" s="1"/>
  <c r="AN207" i="1"/>
  <c r="AO207" i="1" s="1"/>
  <c r="AN206" i="1"/>
  <c r="AO206" i="1" s="1"/>
  <c r="AN205" i="1"/>
  <c r="AO205" i="1" s="1"/>
  <c r="AN200" i="1"/>
  <c r="AO200" i="1" s="1"/>
  <c r="AN199" i="1"/>
  <c r="AO199" i="1" s="1"/>
  <c r="AN198" i="1"/>
  <c r="AO198" i="1" s="1"/>
  <c r="AN197" i="1"/>
  <c r="AO197" i="1" s="1"/>
  <c r="AN196" i="1"/>
  <c r="AO196" i="1" s="1"/>
  <c r="AN194" i="1"/>
  <c r="AO194" i="1" s="1"/>
  <c r="AN192" i="1"/>
  <c r="AO192" i="1" s="1"/>
  <c r="AN190" i="1"/>
  <c r="AO190" i="1" s="1"/>
  <c r="AN188" i="1"/>
  <c r="AO188" i="1" s="1"/>
  <c r="AN186" i="1"/>
  <c r="AO186" i="1" s="1"/>
  <c r="AN184" i="1"/>
  <c r="AO184" i="1" s="1"/>
  <c r="AN182" i="1"/>
  <c r="AO182" i="1" s="1"/>
  <c r="L180" i="1"/>
  <c r="AN179" i="1"/>
  <c r="AO179" i="1" s="1"/>
  <c r="L179" i="1"/>
  <c r="AL178" i="1"/>
  <c r="AL177" i="1"/>
  <c r="AL176" i="1"/>
  <c r="AL175" i="1"/>
  <c r="AN167" i="1"/>
  <c r="AO167" i="1" s="1"/>
  <c r="AN166" i="1"/>
  <c r="AO166" i="1" s="1"/>
  <c r="AN165" i="1"/>
  <c r="AO165" i="1" s="1"/>
  <c r="AN163" i="1"/>
  <c r="AO163" i="1" s="1"/>
  <c r="AL159" i="1"/>
  <c r="AL158" i="1"/>
  <c r="AL157" i="1"/>
  <c r="AL156" i="1"/>
  <c r="AQ155" i="1"/>
  <c r="AR155" i="1" s="1"/>
  <c r="P155" i="1"/>
  <c r="AQ154" i="1"/>
  <c r="AR154" i="1" s="1"/>
  <c r="P154" i="1"/>
  <c r="AN153" i="1"/>
  <c r="AO153" i="1" s="1"/>
  <c r="Q153" i="1"/>
  <c r="Q152" i="1"/>
  <c r="AL151" i="1"/>
  <c r="AL150" i="1"/>
  <c r="AL149" i="1"/>
  <c r="AL148" i="1"/>
  <c r="AN148" i="1" s="1"/>
  <c r="AO148" i="1" s="1"/>
  <c r="AL147" i="1"/>
  <c r="AN147" i="1" s="1"/>
  <c r="AO147" i="1" s="1"/>
  <c r="V113" i="1"/>
  <c r="V112" i="1"/>
  <c r="V111" i="1"/>
  <c r="AN110" i="1"/>
  <c r="AO110" i="1" s="1"/>
  <c r="AN109" i="1"/>
  <c r="AO109" i="1" s="1"/>
  <c r="AN108" i="1"/>
  <c r="AO108" i="1" s="1"/>
  <c r="AN107" i="1"/>
  <c r="AO107" i="1" s="1"/>
  <c r="AN106" i="1"/>
  <c r="AO106" i="1" s="1"/>
  <c r="AN105" i="1"/>
  <c r="AO105" i="1" s="1"/>
  <c r="AN104" i="1"/>
  <c r="AO104" i="1" s="1"/>
  <c r="AN103" i="1"/>
  <c r="AO103" i="1" s="1"/>
  <c r="AN98" i="1"/>
  <c r="AO98" i="1" s="1"/>
  <c r="AN97" i="1"/>
  <c r="AO97" i="1" s="1"/>
  <c r="AN96" i="1"/>
  <c r="AO96" i="1" s="1"/>
  <c r="AN94" i="1"/>
  <c r="AO94" i="1" s="1"/>
  <c r="AN93" i="1"/>
  <c r="AO93" i="1" s="1"/>
  <c r="AI91" i="1"/>
  <c r="AH91" i="1"/>
  <c r="S91" i="1"/>
  <c r="P91" i="1"/>
  <c r="AL90" i="1"/>
  <c r="AI90" i="1"/>
  <c r="AH90" i="1"/>
  <c r="S90" i="1"/>
  <c r="P90" i="1"/>
  <c r="AI89" i="1"/>
  <c r="AH89" i="1"/>
  <c r="S89" i="1"/>
  <c r="P89" i="1"/>
  <c r="AL88" i="1"/>
  <c r="AN63" i="1" s="1"/>
  <c r="AI88" i="1"/>
  <c r="AH88" i="1"/>
  <c r="S88" i="1"/>
  <c r="P88" i="1"/>
  <c r="AN86" i="1"/>
  <c r="AO86" i="1" s="1"/>
  <c r="AQ84" i="1"/>
  <c r="AR84" i="1" s="1"/>
  <c r="AQ82" i="1"/>
  <c r="AR82" i="1" s="1"/>
  <c r="V76" i="1"/>
  <c r="AN69" i="1"/>
  <c r="AN67" i="1"/>
  <c r="AO67" i="1" s="1"/>
  <c r="AN66" i="1"/>
  <c r="AO66" i="1" s="1"/>
  <c r="AN65" i="1"/>
  <c r="AO65" i="1" s="1"/>
  <c r="AN58" i="1"/>
  <c r="AO58" i="1" s="1"/>
  <c r="AQ57" i="1"/>
  <c r="AR57" i="1" s="1"/>
  <c r="V57" i="1"/>
  <c r="AQ56" i="1"/>
  <c r="AR56" i="1" s="1"/>
  <c r="V56" i="1"/>
  <c r="V55" i="1"/>
  <c r="AQ54" i="1"/>
  <c r="AR54" i="1" s="1"/>
  <c r="V54" i="1"/>
  <c r="AL53" i="1"/>
  <c r="AH53" i="1"/>
  <c r="Z53" i="1"/>
  <c r="AQ52" i="1" s="1"/>
  <c r="AR52" i="1" s="1"/>
  <c r="V53" i="1"/>
  <c r="S53" i="1"/>
  <c r="AL52" i="1"/>
  <c r="AN52" i="1" s="1"/>
  <c r="AO52" i="1" s="1"/>
  <c r="AH52" i="1"/>
  <c r="Z52" i="1"/>
  <c r="V52" i="1"/>
  <c r="S52" i="1"/>
  <c r="AN51" i="1"/>
  <c r="AO51" i="1" s="1"/>
  <c r="AL51" i="1"/>
  <c r="AH51" i="1"/>
  <c r="Z51" i="1"/>
  <c r="AQ51" i="1" s="1"/>
  <c r="AR51" i="1" s="1"/>
  <c r="V51" i="1"/>
  <c r="S51" i="1"/>
  <c r="AL50" i="1"/>
  <c r="AH50" i="1"/>
  <c r="Z50" i="1"/>
  <c r="V50" i="1"/>
  <c r="S50" i="1"/>
  <c r="AL49" i="1"/>
  <c r="AH49" i="1"/>
  <c r="Z49" i="1"/>
  <c r="AQ49" i="1" s="1"/>
  <c r="AR49" i="1" s="1"/>
  <c r="V49" i="1"/>
  <c r="S49" i="1"/>
  <c r="AL48" i="1"/>
  <c r="AN48" i="1" s="1"/>
  <c r="AO48" i="1" s="1"/>
  <c r="AH48" i="1"/>
  <c r="Z48" i="1"/>
  <c r="V48" i="1"/>
  <c r="S48" i="1"/>
  <c r="AL47" i="1"/>
  <c r="AH47" i="1"/>
  <c r="Z47" i="1"/>
  <c r="AQ45" i="1" s="1"/>
  <c r="AR45" i="1" s="1"/>
  <c r="V47" i="1"/>
  <c r="S47" i="1"/>
  <c r="AQ46" i="1"/>
  <c r="AR46" i="1" s="1"/>
  <c r="AL46" i="1"/>
  <c r="AH46" i="1"/>
  <c r="Z46" i="1"/>
  <c r="V46" i="1"/>
  <c r="S46" i="1"/>
  <c r="AL45" i="1"/>
  <c r="AH45" i="1"/>
  <c r="Z45" i="1"/>
  <c r="V45" i="1"/>
  <c r="S45" i="1"/>
  <c r="AL44" i="1"/>
  <c r="AH44" i="1"/>
  <c r="Z44" i="1"/>
  <c r="V44" i="1"/>
  <c r="S44" i="1"/>
  <c r="AL43" i="1"/>
  <c r="AH43" i="1"/>
  <c r="Z43" i="1"/>
  <c r="V43" i="1"/>
  <c r="S43" i="1"/>
  <c r="AL42" i="1"/>
  <c r="AH42" i="1"/>
  <c r="Z42" i="1"/>
  <c r="V42" i="1"/>
  <c r="S42" i="1"/>
  <c r="Z41" i="1"/>
  <c r="V41" i="1"/>
  <c r="S41" i="1"/>
  <c r="AN38" i="1"/>
  <c r="AO38" i="1" s="1"/>
  <c r="AN37" i="1"/>
  <c r="AO37" i="1" s="1"/>
  <c r="AQ36" i="1"/>
  <c r="AR36" i="1" s="1"/>
  <c r="AL36" i="1"/>
  <c r="AN23" i="1" s="1"/>
  <c r="AQ35" i="1"/>
  <c r="AR35" i="1" s="1"/>
  <c r="AL35" i="1"/>
  <c r="AQ34" i="1"/>
  <c r="AR34" i="1" s="1"/>
  <c r="AL34" i="1"/>
  <c r="AN22" i="1" s="1"/>
  <c r="AO22" i="1" s="1"/>
  <c r="AL33" i="1"/>
  <c r="AL32" i="1"/>
  <c r="V31" i="1"/>
  <c r="V30" i="1"/>
  <c r="V29" i="1"/>
  <c r="AN28" i="1"/>
  <c r="AO28" i="1" s="1"/>
  <c r="V28" i="1"/>
  <c r="V27" i="1"/>
  <c r="V26" i="1"/>
  <c r="V25" i="1"/>
  <c r="S25" i="1"/>
  <c r="AN24" i="1"/>
  <c r="AO24" i="1" s="1"/>
  <c r="V24" i="1"/>
  <c r="S24" i="1"/>
  <c r="V23" i="1"/>
  <c r="S23" i="1"/>
  <c r="AQ22" i="1"/>
  <c r="AR22" i="1" s="1"/>
  <c r="AQ21" i="1"/>
  <c r="AR21" i="1" s="1"/>
  <c r="AN21" i="1"/>
  <c r="AO21" i="1" s="1"/>
  <c r="AQ20" i="1"/>
  <c r="AR20" i="1" s="1"/>
  <c r="AN20" i="1"/>
  <c r="AO20" i="1" s="1"/>
  <c r="AQ19" i="1"/>
  <c r="AR19" i="1" s="1"/>
  <c r="AN19" i="1"/>
  <c r="AO19" i="1" s="1"/>
  <c r="AQ18" i="1"/>
  <c r="AR18" i="1" s="1"/>
  <c r="AN18" i="1"/>
  <c r="AO18" i="1" s="1"/>
  <c r="V18" i="1"/>
  <c r="AQ17" i="1"/>
  <c r="AR17" i="1" s="1"/>
  <c r="AN17" i="1"/>
  <c r="AO17" i="1" s="1"/>
  <c r="V17" i="1"/>
  <c r="AQ16" i="1"/>
  <c r="AR16" i="1" s="1"/>
  <c r="V16" i="1"/>
  <c r="AQ15" i="1"/>
  <c r="AR15" i="1" s="1"/>
  <c r="V15" i="1"/>
  <c r="AQ14" i="1"/>
  <c r="AR14" i="1" s="1"/>
  <c r="V14" i="1"/>
  <c r="AQ13" i="1"/>
  <c r="AR13" i="1" s="1"/>
  <c r="V13" i="1"/>
  <c r="AQ12" i="1"/>
  <c r="AR12" i="1" s="1"/>
  <c r="V12" i="1"/>
  <c r="AQ11" i="1"/>
  <c r="AR11" i="1" s="1"/>
  <c r="V11" i="1"/>
  <c r="AQ10" i="1"/>
  <c r="AR10" i="1" s="1"/>
  <c r="AN10" i="1"/>
  <c r="AO10" i="1" s="1"/>
  <c r="V10" i="1"/>
  <c r="AQ9" i="1"/>
  <c r="AR9" i="1" s="1"/>
  <c r="AN9" i="1"/>
  <c r="AO9" i="1" s="1"/>
  <c r="V9" i="1"/>
  <c r="AQ8" i="1"/>
  <c r="AR8" i="1" s="1"/>
  <c r="V8" i="1"/>
  <c r="AN42" i="1" l="1"/>
  <c r="AO42" i="1" s="1"/>
  <c r="AQ44" i="1"/>
  <c r="AR44" i="1" s="1"/>
  <c r="AN356" i="1"/>
  <c r="AO356" i="1" s="1"/>
  <c r="AQ42" i="1"/>
  <c r="AR42" i="1" s="1"/>
  <c r="AN49" i="1"/>
  <c r="AO49" i="1" s="1"/>
  <c r="AN351" i="1"/>
  <c r="AO351" i="1" s="1"/>
  <c r="AQ43" i="1"/>
  <c r="AR43" i="1" s="1"/>
  <c r="AN45" i="1"/>
  <c r="AO45" i="1" s="1"/>
  <c r="AN149" i="1"/>
  <c r="AO149" i="1" s="1"/>
  <c r="AN44" i="1"/>
  <c r="AO44" i="1" s="1"/>
  <c r="AN43" i="1"/>
  <c r="AO43" i="1" s="1"/>
  <c r="AQ50" i="1"/>
  <c r="AR50" i="1" s="1"/>
  <c r="AQ41" i="1"/>
  <c r="AR41" i="1" s="1"/>
  <c r="AN50" i="1"/>
  <c r="AO50" i="1" s="1"/>
  <c r="AN46" i="1"/>
  <c r="AO46" i="1" s="1"/>
  <c r="AN150" i="1"/>
  <c r="AO150" i="1" s="1"/>
  <c r="AN354" i="1"/>
  <c r="AO354" i="1" s="1"/>
  <c r="AN13" i="1"/>
  <c r="AO13" i="1" s="1"/>
  <c r="AN370" i="1"/>
  <c r="AO370" i="1" s="1"/>
  <c r="AO23" i="1"/>
  <c r="AN156" i="1"/>
  <c r="AO156" i="1" s="1"/>
  <c r="AN59" i="1"/>
  <c r="AO59" i="1" s="1"/>
  <c r="AN212" i="1"/>
  <c r="AO212" i="1" s="1"/>
  <c r="AN282" i="1"/>
  <c r="AO282" i="1" s="1"/>
  <c r="AN15" i="1"/>
  <c r="AO15" i="1" s="1"/>
  <c r="AN26" i="1"/>
  <c r="AO26" i="1" s="1"/>
  <c r="AN14" i="1"/>
  <c r="AO14" i="1" s="1"/>
  <c r="AN8" i="1"/>
  <c r="AO8" i="1" s="1"/>
  <c r="AN62" i="1"/>
  <c r="AO62" i="1" s="1"/>
  <c r="AN11" i="1"/>
  <c r="AO11" i="1" s="1"/>
  <c r="AN386" i="1"/>
  <c r="AO386" i="1" s="1"/>
  <c r="AN60" i="1"/>
  <c r="AO60" i="1" s="1"/>
  <c r="AN30" i="1"/>
  <c r="AO30" i="1" s="1"/>
  <c r="AN346" i="1"/>
  <c r="AO346" i="1" s="1"/>
  <c r="AN214" i="1"/>
  <c r="AO214" i="1" s="1"/>
  <c r="AN350" i="1"/>
  <c r="AO350" i="1" s="1"/>
  <c r="AN12" i="1"/>
  <c r="AO12" i="1" s="1"/>
  <c r="AN158" i="1"/>
  <c r="AO158" i="1" s="1"/>
  <c r="AN385" i="1"/>
  <c r="AO385" i="1" s="1"/>
  <c r="AN347" i="1"/>
  <c r="AO347" i="1" s="1"/>
  <c r="AN34" i="1"/>
  <c r="AO34" i="1" s="1"/>
  <c r="AN374" i="1"/>
  <c r="AO374" i="1" s="1"/>
  <c r="AN369" i="1"/>
  <c r="AO369" i="1" s="1"/>
  <c r="AN178" i="1"/>
  <c r="AO178" i="1" s="1"/>
  <c r="AN176" i="1"/>
  <c r="AO176" i="1" s="1"/>
  <c r="AN349" i="1"/>
  <c r="AO349" i="1" s="1"/>
  <c r="AN159" i="1"/>
  <c r="AO159" i="1" s="1"/>
  <c r="AN382" i="1"/>
  <c r="AO382" i="1" s="1"/>
  <c r="AN35" i="1"/>
  <c r="AO35" i="1" s="1"/>
  <c r="AN357" i="1"/>
  <c r="AO357" i="1" s="1"/>
  <c r="AN353" i="1"/>
  <c r="AO353" i="1" s="1"/>
  <c r="AN381" i="1"/>
  <c r="AO381" i="1" s="1"/>
  <c r="AN377" i="1"/>
  <c r="AO377" i="1" s="1"/>
  <c r="AN348" i="1"/>
  <c r="AO348" i="1" s="1"/>
  <c r="AN352" i="1"/>
  <c r="AO352" i="1" s="1"/>
  <c r="AN373" i="1"/>
  <c r="AO373" i="1" s="1"/>
  <c r="AN378" i="1"/>
  <c r="AO378" i="1" s="1"/>
  <c r="AN389" i="1"/>
  <c r="AO389" i="1" s="1"/>
  <c r="AN36" i="1"/>
  <c r="AO36" i="1" s="1"/>
  <c r="AN41" i="1"/>
  <c r="AO41" i="1" s="1"/>
  <c r="AQ48" i="1"/>
  <c r="AR48" i="1" s="1"/>
</calcChain>
</file>

<file path=xl/sharedStrings.xml><?xml version="1.0" encoding="utf-8"?>
<sst xmlns="http://schemas.openxmlformats.org/spreadsheetml/2006/main" count="4513" uniqueCount="600">
  <si>
    <t>Title</t>
  </si>
  <si>
    <t>Country</t>
  </si>
  <si>
    <t>Publication_Year</t>
  </si>
  <si>
    <t>Long_Lat</t>
  </si>
  <si>
    <t xml:space="preserve">Level_1 </t>
  </si>
  <si>
    <t>Level_1_Interaction</t>
  </si>
  <si>
    <t>Level_2</t>
  </si>
  <si>
    <t>Level_2_Interaction</t>
  </si>
  <si>
    <t>Study_Treatment</t>
  </si>
  <si>
    <t>Soil_Depth_Increment</t>
  </si>
  <si>
    <t>MAP</t>
  </si>
  <si>
    <t>MAT</t>
  </si>
  <si>
    <t>Mean_annual_evapotranspiration</t>
  </si>
  <si>
    <t xml:space="preserve">Mean_annual_precipitation </t>
  </si>
  <si>
    <t>Mean_annual_temperature</t>
  </si>
  <si>
    <t xml:space="preserve">Elevation </t>
  </si>
  <si>
    <t>Plot_sample_size</t>
  </si>
  <si>
    <t>Sample_number</t>
  </si>
  <si>
    <t xml:space="preserve">Plot_size </t>
  </si>
  <si>
    <t>Study_start_t0</t>
  </si>
  <si>
    <t>Study_end_tx</t>
  </si>
  <si>
    <t xml:space="preserve">Study_duration </t>
  </si>
  <si>
    <t>Indicators included</t>
  </si>
  <si>
    <t>OC_t0</t>
  </si>
  <si>
    <t>OC_t0_SD</t>
  </si>
  <si>
    <t>OC_tx</t>
  </si>
  <si>
    <t>OC_tx_SD</t>
  </si>
  <si>
    <t>OM_t0</t>
  </si>
  <si>
    <t>OM_t0_SD</t>
  </si>
  <si>
    <t>OM_tx</t>
  </si>
  <si>
    <t>OM_tx_SD</t>
  </si>
  <si>
    <t>BD_t0</t>
  </si>
  <si>
    <t>BD_t0_SD</t>
  </si>
  <si>
    <t>BD_tx</t>
  </si>
  <si>
    <t>BD_tx_SD</t>
  </si>
  <si>
    <t>SOC_stock_t0</t>
  </si>
  <si>
    <t>SOC_stock_t0_SD</t>
  </si>
  <si>
    <t>SOC_stock_tx</t>
  </si>
  <si>
    <t>SOC_stock_tx_SD</t>
  </si>
  <si>
    <t>SOC_stock_absDelta</t>
  </si>
  <si>
    <t>SOC_stock_percDelta</t>
  </si>
  <si>
    <t>SOC_abs_delta_annualized</t>
  </si>
  <si>
    <t>OC_absDelta</t>
  </si>
  <si>
    <t>OC_percDelta</t>
  </si>
  <si>
    <t>OM_absDelta</t>
  </si>
  <si>
    <t>OM_percDelta</t>
  </si>
  <si>
    <t>Dominant_Veg</t>
  </si>
  <si>
    <t>Soil_Texture</t>
  </si>
  <si>
    <t>Sand</t>
  </si>
  <si>
    <t>Animal_Category</t>
  </si>
  <si>
    <t>Animal_Size_Class</t>
  </si>
  <si>
    <t>Animal_type</t>
  </si>
  <si>
    <t>Study_quality</t>
  </si>
  <si>
    <t>Reviewer</t>
  </si>
  <si>
    <t xml:space="preserve">Comment </t>
  </si>
  <si>
    <t>Comment_2</t>
  </si>
  <si>
    <t>Outlier</t>
  </si>
  <si>
    <t>Metadata</t>
  </si>
  <si>
    <t>Year the paper was published</t>
  </si>
  <si>
    <t xml:space="preserve">(decimal degrees)
Central coordinate of the study in long THEN lat. </t>
  </si>
  <si>
    <t>Level 1 treatment category.  For papers studying interactions, list all level 1 treatments, separated by a comma. 
Treatment options: Grazing Management, Fire Management, Restoration</t>
  </si>
  <si>
    <t>Y~X</t>
  </si>
  <si>
    <t>Level 2 treatment category. For papers studying interactions, list all level 2 treatments, separated by a comma. 
Treatment options: Planned Grazing, Grazing Intensity, Controlled Fire, Invasive Species Removal, Encroached Species Removal, Exclosures, Natural Regeneration, Re-seeding, Re-planting, Soil/Water Retention, Rewilding</t>
  </si>
  <si>
    <t>The specific name of the control and treatment(s) in the paper. If the name is not intuitive, such as just a number, add an intuitive phrase (ex: "1_lowstocking" or "rgSu_rotationalgrazingSummer") so that we know the management activity later in analysis.</t>
  </si>
  <si>
    <t>(cm)
Depth increment of the soil measurement, e.g. 0-15, 15-30</t>
  </si>
  <si>
    <t>(mm)
Mean annual precipitation reported in the paper.</t>
  </si>
  <si>
    <t>(deg. C)
Mean annual temperature reported in the paper.</t>
  </si>
  <si>
    <t>(mm)
Mean annual evapotranspiration</t>
  </si>
  <si>
    <t>(mm)
To be pulled from WorldClim data using coordinates.</t>
  </si>
  <si>
    <t>(deg. C)
To be pulled from WorldClim data using coordinates.</t>
  </si>
  <si>
    <t>(m)
Mean elevation of the study area</t>
  </si>
  <si>
    <t>Number of plots</t>
  </si>
  <si>
    <t xml:space="preserve">Number of samples/plot </t>
  </si>
  <si>
    <t>(m2)</t>
  </si>
  <si>
    <t>(month/year)
If no month available, put January?
This is t0.</t>
  </si>
  <si>
    <t>(month/year)
If no month available, put January?
This is tx.</t>
  </si>
  <si>
    <t>(months)
tx - t0
Or, treatment duration if no t0 samples taken and land use practices have been in place a long time.</t>
  </si>
  <si>
    <t>Soil-specific indicators measured (other than SOC), e.g., chemical / biological / physical characteristics</t>
  </si>
  <si>
    <t>(g/kg)
Starting organic carbon content for the depth increment, if reported.</t>
  </si>
  <si>
    <t>(g/kg)
Standard deviation of the starting organic carbon content, if reported.</t>
  </si>
  <si>
    <t>(g/kg)
Final organic carbon content for the depth increment, if reported.</t>
  </si>
  <si>
    <t>(g/kg)
Standard deviation of the final organic carbon content, if reported.</t>
  </si>
  <si>
    <t>(g/kg)
Starting organic matter content for the depth increment, if reported.</t>
  </si>
  <si>
    <t>(g/kg)
Standard deviation of the starting organic matter content, if reported.</t>
  </si>
  <si>
    <t>(g/kg)
Final organic matter content for the depth increment, if reported.</t>
  </si>
  <si>
    <t>(g/kg)
Standard deviation of the final organic matter content, if reported.</t>
  </si>
  <si>
    <t>(g/cm3)
Starting bulk density for the depth increment, if reported.</t>
  </si>
  <si>
    <t>(g/cm3)
Standard deviation of the starting bulk density for the depth increment, if reported.</t>
  </si>
  <si>
    <t>(g/cm3)
Final bulk density for the depth increment, if reported.</t>
  </si>
  <si>
    <t>(g/cm3)
Standard deviation of the final bulk density for the depth increment, if reported.</t>
  </si>
  <si>
    <t>(tC/ha)
Starting SOC stock for the depth increment, if reported.</t>
  </si>
  <si>
    <t>(tC/ha)
Standard deviation of the starting SOC stock for the depth increment, if reported.</t>
  </si>
  <si>
    <t>(tC/ha)
Final SOC stock for the depth increment, if reported.</t>
  </si>
  <si>
    <t>(tC/ha)
Standard deviation of the final SOC stock for the depth increment, if reported.</t>
  </si>
  <si>
    <t>(tC/ha)
Difference between final and starting SOC stock for the depth increment, if reported (tx-t0). This is ultimately what we are trying to calculate.</t>
  </si>
  <si>
    <t>(%)
Percent change in SOC stocks from t0 to tx. To be calculated later if not provided.</t>
  </si>
  <si>
    <t>tC/ha)        SOC_stock_absDelta divided by study duration</t>
  </si>
  <si>
    <t>(g/Kg)
Difference between final and starting OC for the depth increment, if reported (tx-t0). This is ultimately what we are trying to calculate.</t>
  </si>
  <si>
    <t>(%)
Percent change in OC from t0 to tx. To be calculated later if not provided.</t>
  </si>
  <si>
    <t>(tC/ha)
Difference between final and starting OM for the depth increment, if reported (tx-t0). This is ultimately what we are trying to calculate.</t>
  </si>
  <si>
    <t>(%)
Percent change in OM from t0 to tx. To be calculated later if not provided.</t>
  </si>
  <si>
    <t>Dominant vegetation in the study area. 
Options include: C3, C4, Mixed, Woody/Shrubby</t>
  </si>
  <si>
    <r>
      <rPr>
        <sz val="8"/>
        <rFont val="Arial"/>
        <family val="2"/>
      </rPr>
      <t xml:space="preserve">Soil texture as reported by the paper, ideally one of the standard 12 soil texture classes in the </t>
    </r>
    <r>
      <rPr>
        <u/>
        <sz val="8"/>
        <color rgb="FF1155CC"/>
        <rFont val="Arial"/>
        <family val="2"/>
      </rPr>
      <t>World Reference Base</t>
    </r>
    <r>
      <rPr>
        <sz val="8"/>
        <rFont val="Arial"/>
        <family val="2"/>
      </rPr>
      <t>: sand, loamy sand, silt, silt loam, sandy loam, loam, sandy clay loam, silty clay loam, clay loam, sandy clay, silty clay, and clay (page 182)</t>
    </r>
  </si>
  <si>
    <t>(%)
Soil sand content ((or 100 - (silt + clay content %))</t>
  </si>
  <si>
    <t>(1, 2, 3)
1 = domestic
2 = wildlife
3= both</t>
  </si>
  <si>
    <t>(1, 2, 3)
1 = Large (&gt;100 kg / animal)
2 = Small (&lt;100 kg / animal)
3 = Both</t>
  </si>
  <si>
    <t>Livestock type(s) managed by the treatment activity. 
Options include: Cattle, Sheep, Goat, Donkey, Other Domestic; Elephant, Zebra, Wildebeest, Gazelle, Other Wildlife</t>
  </si>
  <si>
    <t>(good or bad)
Good = no concerns or iffy feelings about the quality of the study design, data collection, or information reported.
Bad = raises a flag that the reader has concerns about one or more elements of the study design (methods, measurements, analysis).</t>
  </si>
  <si>
    <t>Reviewer first name</t>
  </si>
  <si>
    <t>Carbon sequestration in the pastoral area of Chepareria, western Kenya</t>
  </si>
  <si>
    <t>Kenya</t>
  </si>
  <si>
    <t>35.2, 1.316667</t>
  </si>
  <si>
    <t>Grazing management</t>
  </si>
  <si>
    <t>Control</t>
  </si>
  <si>
    <t>Control: Open grazing (continuous extensive)</t>
  </si>
  <si>
    <t>0-20</t>
  </si>
  <si>
    <t>Jaclyn</t>
  </si>
  <si>
    <t>Mean treatment values by depth inferred from graphs. SOC stock values are close but not exactly matching stocks calculated from inferred BD and OC. Treatment duration is average of range provided or smallest value when range was provided as &gt;X.</t>
  </si>
  <si>
    <t>20-40</t>
  </si>
  <si>
    <t>40-60</t>
  </si>
  <si>
    <t>60-80</t>
  </si>
  <si>
    <t>80-100</t>
  </si>
  <si>
    <t>Improved grazing methods</t>
  </si>
  <si>
    <t>Treatment: Rotational grazing (1-5 years)</t>
  </si>
  <si>
    <t>Treatment: Rotational grazing (7-10 years)</t>
  </si>
  <si>
    <t>Treatment: Rotational grazing (15-23 years)</t>
  </si>
  <si>
    <t>Carbon sequestration potentials of semi-arid rangelands under traditional management practices in Borana, Southern Ethiopia</t>
  </si>
  <si>
    <t>Ethiopia</t>
  </si>
  <si>
    <t>38.0979, 5.0657</t>
  </si>
  <si>
    <t>Treatment: Seasonal planned grazing - dry season grazing area (20 years)</t>
  </si>
  <si>
    <t>0-30</t>
  </si>
  <si>
    <t>Sandy Clay Loam</t>
  </si>
  <si>
    <t>Good</t>
  </si>
  <si>
    <t>Idowu</t>
  </si>
  <si>
    <t>JK - reviewed; SOC stocks may be improbably high for 0-30 cm</t>
  </si>
  <si>
    <t>Fire management</t>
  </si>
  <si>
    <t>Fire inducement</t>
  </si>
  <si>
    <t>Treatment: Continuous grazing on communal rangelands, prescribed fire (5 years post fire)</t>
  </si>
  <si>
    <t>Control: Continuous grazing on communal rangelands, no fire</t>
  </si>
  <si>
    <t>JK -  SOC stocks may be improbably high for 0-30 cm; This would be the control for both the fire treatment and the seasonal grazing treatment. The interaction between fire and grazing treatments was not explored.</t>
  </si>
  <si>
    <t>Carbon storage in agroforestry systems in the semi-arid zone of Niayes, Senegal</t>
  </si>
  <si>
    <t>Senegal</t>
  </si>
  <si>
    <t>-16.4625, 15.72</t>
  </si>
  <si>
    <t>Restoration &amp; Rewilding</t>
  </si>
  <si>
    <t>Decrease in grazing intensity</t>
  </si>
  <si>
    <t xml:space="preserve">Natural regeneration </t>
  </si>
  <si>
    <t>Treatment: Gabar - Fallow with low grazing intensity and low biomass pressure (8 yr)</t>
  </si>
  <si>
    <t>0-100</t>
  </si>
  <si>
    <t>texture, pH</t>
  </si>
  <si>
    <t>Clay</t>
  </si>
  <si>
    <t>cattle. sheep, goat</t>
  </si>
  <si>
    <t>Stocks extracted from figure</t>
  </si>
  <si>
    <t>Control: Gabar - Rangelands with high grazing intensity and high biomass pressure (fodder, pruning) (60 yr)</t>
  </si>
  <si>
    <t>Treatment: Ndiayene - Fallow with low grazing intensity and low biomass pressure (5 yr)</t>
  </si>
  <si>
    <t>Sandy loam</t>
  </si>
  <si>
    <t>Control: Ndiayene - Rangelands with high grazing intensity and high biomass pressure (fodder, pruning) (80 yr)</t>
  </si>
  <si>
    <t>Treatment: Wakhal Diam - Fallow with low grazing intensity and low biomass pressure (6 yr)</t>
  </si>
  <si>
    <t>Control: Wakhal Diam - Rangelands with high grazing intensity and high biomass pressure (fodder, pruning) (85 yr)</t>
  </si>
  <si>
    <t>Comparison of grass and soil conditions around water points in different land use systems in semi-arid South African rangelands and implications for management and current rangeland paradigms</t>
  </si>
  <si>
    <t>South Africa</t>
  </si>
  <si>
    <t>26.87543, -32.97647</t>
  </si>
  <si>
    <t>Control - communal continous extensive, light stocking rate</t>
  </si>
  <si>
    <t>pH, EC, compaction</t>
  </si>
  <si>
    <t>C4</t>
  </si>
  <si>
    <t>Loamy</t>
  </si>
  <si>
    <t>cattle, goat</t>
  </si>
  <si>
    <t>Control - communal continuous extensive, heavy stocking rate</t>
  </si>
  <si>
    <t>Treatment - commercial rest-rotation, light stocking rate</t>
  </si>
  <si>
    <t>cattle</t>
  </si>
  <si>
    <t>Treatment - commercial rest-rotation, heavy stocking rate</t>
  </si>
  <si>
    <t xml:space="preserve">Decrease in grazing intensity </t>
  </si>
  <si>
    <t>Treatment - game reserve continuous, moderate stocking</t>
  </si>
  <si>
    <t>mixed</t>
  </si>
  <si>
    <t>silty clay</t>
  </si>
  <si>
    <t>Game animals</t>
  </si>
  <si>
    <t>Disentangling Drought and Grazing Effects on Soil Carbon Stocks and CO2 Fluxes in a Semi-Arid African Savanna</t>
  </si>
  <si>
    <t xml:space="preserve">29.7, -23.083333 </t>
  </si>
  <si>
    <t>Exclosure</t>
  </si>
  <si>
    <t>Treatment: No grazing, No drought</t>
  </si>
  <si>
    <t>0-5</t>
  </si>
  <si>
    <t>infiltration, particle size, pH, Calcium, Mg, P, K, Zn, Cu, Mn, total C, total N</t>
  </si>
  <si>
    <t xml:space="preserve"> </t>
  </si>
  <si>
    <t>loamy sand</t>
  </si>
  <si>
    <t>stocks extracted from figure; non-significant differences in grazed vs exclosure stocks</t>
  </si>
  <si>
    <t>Treatment: No grazing, Severe drought</t>
  </si>
  <si>
    <t>Control: Rotational grazing with moderate stocking, No drought</t>
  </si>
  <si>
    <t>Control: Rotational grazing with moderate stocking, Severe drought</t>
  </si>
  <si>
    <t>Effect of fire and soil texture on soil carbon in a sub-humid savanna (Matopos, Zimbabwe)</t>
  </si>
  <si>
    <t>Zimbabwe</t>
  </si>
  <si>
    <t>28.416667, -20.316667</t>
  </si>
  <si>
    <t>Treatment: Clay - Frequent burning (low canopy cover)</t>
  </si>
  <si>
    <t>δ13C, CO2, Water content</t>
  </si>
  <si>
    <t>Mixed</t>
  </si>
  <si>
    <t>Clay loam</t>
  </si>
  <si>
    <t>jk - reviewed</t>
  </si>
  <si>
    <t>Treatment: Clay - Frequent burning (high canopy cover)</t>
  </si>
  <si>
    <t>Treatment: Clay - Intermediate (low canopy cover)</t>
  </si>
  <si>
    <t>Treatment: Clay - Intermediate (high canopy cover)</t>
  </si>
  <si>
    <t>Treatment: Clay - Infrequent (low canopy cover)</t>
  </si>
  <si>
    <t>Treatment: Clay - Infrequent (high canopy cover)</t>
  </si>
  <si>
    <t>Fire suppression</t>
  </si>
  <si>
    <t>Control: Clay - No burning</t>
  </si>
  <si>
    <t>28.5, -20.416667</t>
  </si>
  <si>
    <t>Treatment: Sand - Frequent burning (low canopy cover)</t>
  </si>
  <si>
    <t>Loamy sand</t>
  </si>
  <si>
    <t>Treatment: Sand - Intermediate (low canopy cover)</t>
  </si>
  <si>
    <t xml:space="preserve">Treatment: Sand - Intermediate (high canopy cover) </t>
  </si>
  <si>
    <t>Treatment: Sand - Infrequent (low canopy cover)</t>
  </si>
  <si>
    <t>Treatment: Sand - Infrequent (high canopy cover)</t>
  </si>
  <si>
    <t>Control: Sand - No burning</t>
  </si>
  <si>
    <t>The effect of fire history on soil nutrients and soil organic carbon in a semi-arid savanna woodland, central Namibia</t>
  </si>
  <si>
    <t>Namibia</t>
  </si>
  <si>
    <t>17.133333, -20.616667</t>
  </si>
  <si>
    <t>1 year since burn, 6 year burn frequency</t>
  </si>
  <si>
    <t>0-10</t>
  </si>
  <si>
    <t>Olsen P, exchangeable Ca, Mg, K, Na, texture</t>
  </si>
  <si>
    <t>sandy</t>
  </si>
  <si>
    <t>jk - reviewed. study duration reflects years since last treatment, but we do not know how long these sites have been under these fire regimes; presumably decades if not centuries</t>
  </si>
  <si>
    <t>2 years since burn, 9 year burn frequency (control)</t>
  </si>
  <si>
    <t>14 years since burn, 9 year burn frequency</t>
  </si>
  <si>
    <t>24 years since burn, 18 year burn frequency</t>
  </si>
  <si>
    <t>Soil Organic Carbon Content and Stocks in Relation to Grazing Management in Semi-Arid Grasslands of Kenya</t>
  </si>
  <si>
    <t>37.1667, -1.5833</t>
  </si>
  <si>
    <t xml:space="preserve">Ungrazed </t>
  </si>
  <si>
    <t>Raqib</t>
  </si>
  <si>
    <t>20-30</t>
  </si>
  <si>
    <t>30-60</t>
  </si>
  <si>
    <t>60-90</t>
  </si>
  <si>
    <t>90-120</t>
  </si>
  <si>
    <t>Rotationally_grazed</t>
  </si>
  <si>
    <t>Continuously_grazed (control)</t>
  </si>
  <si>
    <t>Soil properties changes after short-term livestock exclusion in “degraded” communally managed rangelands in the western bophirima district, South Africa</t>
  </si>
  <si>
    <t>24.233333, -26.466667</t>
  </si>
  <si>
    <t>Control: Austrey - Continuous extensive grazing (communal lands)</t>
  </si>
  <si>
    <t>Soil pH, organic carbon, cation exchange capacity, extractable phosphorus, ammonium and nitrate</t>
  </si>
  <si>
    <t>woody/shrubby</t>
  </si>
  <si>
    <t>Sandy</t>
  </si>
  <si>
    <t>OC extracted from figure. Values are on the low end, but the axis was labeled % for decimal values. No significant results found.</t>
  </si>
  <si>
    <t xml:space="preserve">Exclosure </t>
  </si>
  <si>
    <t>Treatment: Austrey - Livestock exclosures (no grazing)</t>
  </si>
  <si>
    <t>23.85, -26.633333</t>
  </si>
  <si>
    <t>Control: Southey - Continuous extensive grazing (communal lands)</t>
  </si>
  <si>
    <t>Treatment: Southey - Livestock exclosures (no grazing)</t>
  </si>
  <si>
    <t>23.516667, -25.95</t>
  </si>
  <si>
    <t>Control: Tseoge - Continuous extensive grazing (communal lands)</t>
  </si>
  <si>
    <t>Treatment: Tseoge - Livestock exclosures (no grazing)</t>
  </si>
  <si>
    <t>What are the long-term effects of high-density, short-duration stocking on the soils and vegetation of mesic grassland in South Africa?</t>
  </si>
  <si>
    <t>29.52, -30.48</t>
  </si>
  <si>
    <t>Low Density Grazing</t>
  </si>
  <si>
    <t>Compaction, N, P, pH</t>
  </si>
  <si>
    <t>Grassland</t>
  </si>
  <si>
    <t>Clay-loam</t>
  </si>
  <si>
    <t>Cattle</t>
  </si>
  <si>
    <t>Nathaniel</t>
  </si>
  <si>
    <t xml:space="preserve">No bulk density or stocks reported </t>
  </si>
  <si>
    <t>High Density Short Duration Grazing - site 1 (Control)</t>
  </si>
  <si>
    <t>29.04, -30.46</t>
  </si>
  <si>
    <t>High Density Short Duration Grazing - site 2 (Control)</t>
  </si>
  <si>
    <t>The effect of exclosures on restoration of soil properties in Ethiopian
lowland conditions</t>
  </si>
  <si>
    <t>38.3, 13.0833</t>
  </si>
  <si>
    <t>exclosure</t>
  </si>
  <si>
    <t>pH, EC, CEC, TN, avP, avK</t>
  </si>
  <si>
    <t>open_grazing (control)</t>
  </si>
  <si>
    <t xml:space="preserve">Soil characteristics within vegetation patches are sensitive indicators of savanna rangeland degradation in central Namibia </t>
  </si>
  <si>
    <t>17.216667, -21.216667</t>
  </si>
  <si>
    <t>Treatment: Rotational grazing (private lands)</t>
  </si>
  <si>
    <t>long term</t>
  </si>
  <si>
    <t>Freehold farms had higher herbaceous vegetation cover than communal farms. 
Rangeland systems began in 1937, while freehold systems began in 1955.
jk - reviewed. the soc and oc values were extracted from figures, the BD from a table. Two OC values reported in the text do not align with the figure. treatement SOC stocks are not aligned with those calculated from BD*OC. Control stocks from figure do match calculated stocks.</t>
  </si>
  <si>
    <t>jk - reviewed. the soc and oc values were extracted from figures, the BD from a table. Two OC values reported in the text do not align with the figure. treatement SOC stocks are not aligned with those calculated from BD*OC. Control stocks from figure do match calculated stocks.</t>
  </si>
  <si>
    <t>Control: Continuous extensive grazing (communal lands)</t>
  </si>
  <si>
    <t>Linkages between soil carbon, soil fertility and nitrogen fixation in Acacia senegal plantations of varying age in Sudan</t>
  </si>
  <si>
    <t>Sudan</t>
  </si>
  <si>
    <t>30.48, 13.27</t>
  </si>
  <si>
    <t>0-50</t>
  </si>
  <si>
    <t>N, P</t>
  </si>
  <si>
    <t>Woodland/Savanna</t>
  </si>
  <si>
    <t>Seep, Camel</t>
  </si>
  <si>
    <t>Re-Planting</t>
  </si>
  <si>
    <t>15 year old plantation</t>
  </si>
  <si>
    <t>24 year old plantation</t>
  </si>
  <si>
    <t>30.17, 13.32</t>
  </si>
  <si>
    <t>Contol</t>
  </si>
  <si>
    <t>7 year old plantation</t>
  </si>
  <si>
    <t>20 year old plantation</t>
  </si>
  <si>
    <t>Long-term (64 years) annual burning lessened soil organic carbon and nitrogen content in a humid subtropical grassland</t>
  </si>
  <si>
    <t>24.4, -30.4</t>
  </si>
  <si>
    <t>Mowing</t>
  </si>
  <si>
    <t>control</t>
  </si>
  <si>
    <t>Acrisols</t>
  </si>
  <si>
    <t>burning</t>
  </si>
  <si>
    <t xml:space="preserve">Mowing </t>
  </si>
  <si>
    <t>mowing</t>
  </si>
  <si>
    <t>Long-term livestock exclosure did not affect soil carbon in southern Ethiopian rangelands</t>
  </si>
  <si>
    <t>38.333333, 4.783333</t>
  </si>
  <si>
    <t>Treatment: restricted seasonal grazing exclosure - site 1</t>
  </si>
  <si>
    <t>pH, texture</t>
  </si>
  <si>
    <t>Cattle, goat, sheep, camel</t>
  </si>
  <si>
    <t>jk - reviewed; authors note results are non-significant; I'm suspicious of the sand% values (either the soils aren't sandy or the clay/sand values are flipped in the table)</t>
  </si>
  <si>
    <t>Treatment: restricted seasonal grazing exclosure - site 2</t>
  </si>
  <si>
    <t>Treatment: restricted seasonal grazing exclosure - site 3</t>
  </si>
  <si>
    <t>Treatment: restricted seasonal grazing exclosure - site 4</t>
  </si>
  <si>
    <t>Treatment: restricted seasonal grazing exclosure - site 5</t>
  </si>
  <si>
    <t>Treatment: restricted seasonal grazing exclosure - site 6</t>
  </si>
  <si>
    <t>Treatment: restricted seasonal grazing exclosure - site 7</t>
  </si>
  <si>
    <t>Treatment: restricted seasonal grazing exclosure - site 8</t>
  </si>
  <si>
    <t>Treatment: restricted seasonal grazing exclosure - site 9</t>
  </si>
  <si>
    <t>20-50</t>
  </si>
  <si>
    <t>Control: continuous extensive grazing - site 1</t>
  </si>
  <si>
    <t>Control: continuous extensive grazing - site 2</t>
  </si>
  <si>
    <t>Control: continuous extensive grazing - site 3</t>
  </si>
  <si>
    <t>Control: continuous extensive grazing - site 4</t>
  </si>
  <si>
    <t>Control: continuous extensive grazing - site 5</t>
  </si>
  <si>
    <t>Control: continuous extensive grazing - site 6</t>
  </si>
  <si>
    <t>Control: continuous extensive grazing - site 7</t>
  </si>
  <si>
    <t>Control: continuous extensive grazing - site 8</t>
  </si>
  <si>
    <t>Control: continuous extensive grazing - site 9</t>
  </si>
  <si>
    <t>Potential of grassland rehabilitation through high density-short duration grazing to sequester atmospheric carbon.</t>
  </si>
  <si>
    <t xml:space="preserve">South Africa </t>
  </si>
  <si>
    <t>29.35, -28.8</t>
  </si>
  <si>
    <t xml:space="preserve">Grazing management </t>
  </si>
  <si>
    <t>High density short duration
grazing_HD</t>
  </si>
  <si>
    <t>sandy loam, Acrisol</t>
  </si>
  <si>
    <t>Very good</t>
  </si>
  <si>
    <t>(1) high density short duration
grazing (1200 cows ha−1 for 3 days; HDSD, Fig. 1) followed by livestock
exclusion for 362 days; (2) livestock exclosure (E); (3) livestock
exclosure with topsoil (0–0.02 m) tillage (ET); (4) livestock exclosure
with NPK fertilization (2:3:3, 22 at 0.2 t ha−1
) (EF); (5) traditional
free grazing with annual burning (AB); all treatments being compared
to (6) traditional free grazing as a control. I</t>
  </si>
  <si>
    <t xml:space="preserve"> livestock exclosure_HD</t>
  </si>
  <si>
    <t xml:space="preserve">Nutrient enrichment </t>
  </si>
  <si>
    <t xml:space="preserve"> livestock exclosure
with NPK fertilization_HD</t>
  </si>
  <si>
    <t xml:space="preserve">Fire management </t>
  </si>
  <si>
    <t>traditional
free grazing with annual burning_HD</t>
  </si>
  <si>
    <t>traditional free grazing (control)_HD</t>
  </si>
  <si>
    <t>Prosopis juliflora management and grassland restoration in Baringo County, Kenya: Opportunities for soil carbon sequestration and local livelihoods</t>
  </si>
  <si>
    <t xml:space="preserve">36.06, 0.50 </t>
  </si>
  <si>
    <t>Prosopis Dense (Control)</t>
  </si>
  <si>
    <t>Species removal</t>
  </si>
  <si>
    <t xml:space="preserve">Restored Grassland </t>
  </si>
  <si>
    <t>Long-term frequent fires do not decrease topsoil carbon and nitrogen in an Afromontane grassland</t>
  </si>
  <si>
    <t>29.26, -28.97</t>
  </si>
  <si>
    <t xml:space="preserve">Fire Inducement </t>
  </si>
  <si>
    <t>N, C:N</t>
  </si>
  <si>
    <t>Andosols</t>
  </si>
  <si>
    <t>Data for actual fire treatments not reported.</t>
  </si>
  <si>
    <t>50-150</t>
  </si>
  <si>
    <t>The effects of herbivory and nutrients on plant biomass and carbon
storage in Vertisols of an East African savanna</t>
  </si>
  <si>
    <t>36.9000, 0.3000</t>
  </si>
  <si>
    <t>ungrazed_unfertilized</t>
  </si>
  <si>
    <t xml:space="preserve">Vertisols </t>
  </si>
  <si>
    <t>Cattle, Sheep, Goat, Elephant, Zebra,, Gazelle, Other Wildlife</t>
  </si>
  <si>
    <t>grazed_unfertilized (control)</t>
  </si>
  <si>
    <t>ungrazed_fertilized</t>
  </si>
  <si>
    <t>grazed_fertilized</t>
  </si>
  <si>
    <t>Pasture enclosures increase soil carbon dioxide fux rate in Semiarid Rangeland, Kenya</t>
  </si>
  <si>
    <t>35.2333, 1.3167</t>
  </si>
  <si>
    <t>open_grazing_rangeland (control)</t>
  </si>
  <si>
    <t>grazing_dominated_enclosure</t>
  </si>
  <si>
    <t>contractual_grazing_enclosure</t>
  </si>
  <si>
    <t>Long-term effects of different burning frequencies on the dry savannah grassland in South Africa</t>
  </si>
  <si>
    <t>26.8667, -32.7833</t>
  </si>
  <si>
    <t>annual_burning</t>
  </si>
  <si>
    <t>0-15</t>
  </si>
  <si>
    <t>Poor</t>
  </si>
  <si>
    <t>No bulk density reported</t>
  </si>
  <si>
    <t>biennial_burning</t>
  </si>
  <si>
    <t>triennal_burning (control)</t>
  </si>
  <si>
    <t>quadriennal_burning</t>
  </si>
  <si>
    <t xml:space="preserve">sexennial_burning </t>
  </si>
  <si>
    <t xml:space="preserve">no_burning </t>
  </si>
  <si>
    <t>Limited long-term effects of moderate livestock grazing and prescribed early
fire on soil and root processes in Sudanian savanna-woodlands, West Africa</t>
  </si>
  <si>
    <t xml:space="preserve">Burkina Faso </t>
  </si>
  <si>
    <t>-2.8333, 11.6667</t>
  </si>
  <si>
    <t>control_site1 (control)</t>
  </si>
  <si>
    <t>NA</t>
  </si>
  <si>
    <t>Lixisols</t>
  </si>
  <si>
    <t>grazing_site1</t>
  </si>
  <si>
    <t>burning_site1</t>
  </si>
  <si>
    <t>-2.7, 12.2167</t>
  </si>
  <si>
    <t>control_site2 (control)</t>
  </si>
  <si>
    <t>grazing_site2</t>
  </si>
  <si>
    <t>burning_site2</t>
  </si>
  <si>
    <t>Short-term response of rangeland following an
unplanned fire in terms of soil characteristics in a
semi-arid climate of South Africa</t>
  </si>
  <si>
    <t>27.1667, -30.25</t>
  </si>
  <si>
    <t>Unburned_2000 (control)</t>
  </si>
  <si>
    <t>Total N Ca Mg K Na P pH</t>
  </si>
  <si>
    <t>fine sandy loam</t>
  </si>
  <si>
    <t>Burned_2000</t>
  </si>
  <si>
    <t>50-100</t>
  </si>
  <si>
    <t>Long-term impacts of season of grazing on soil carbon sequestration and selected soil properties in the arid Eastern Cape, South Africa</t>
  </si>
  <si>
    <t>24.75, -31.37</t>
  </si>
  <si>
    <t>0-60</t>
  </si>
  <si>
    <t>Grassy Shrubland</t>
  </si>
  <si>
    <t>Sheep</t>
  </si>
  <si>
    <t>Grazing (Control)</t>
  </si>
  <si>
    <t>Managing Semi-Arid Rangelands for Carbon Storage: Grazing and Woody Encroachment Effects on Soil Carbon and Nitrogen</t>
  </si>
  <si>
    <t>Least encroached, Open (Control)</t>
  </si>
  <si>
    <t>Least encroached, Enclosure</t>
  </si>
  <si>
    <t>Least encroached, Open  (Control)</t>
  </si>
  <si>
    <t>Moderately encroached, Open  (Control)</t>
  </si>
  <si>
    <t>Moderately encroached, Enclosure</t>
  </si>
  <si>
    <t>Severely encroached, Open  (Control)</t>
  </si>
  <si>
    <t>Severely encroached, Enclosure</t>
  </si>
  <si>
    <t>Highest encroached, Open  (Control)</t>
  </si>
  <si>
    <t>Highest encroached, Enclosure</t>
  </si>
  <si>
    <t>Limited increases in savanna carbon stocks over decades of fire suppression</t>
  </si>
  <si>
    <t>22.3333, -31.1667</t>
  </si>
  <si>
    <t>annual_burn</t>
  </si>
  <si>
    <t>Soil sand
content, Soil bulk
density, Soil δ13C</t>
  </si>
  <si>
    <t>15-30</t>
  </si>
  <si>
    <t>30-45</t>
  </si>
  <si>
    <t>Triennial burning considered 'control' because authors state it is close to typical unmanaged fire interval ~3.5 years. Do we need both fire removal and controlled burning as treatments? Surprising, almost no effect on SOC</t>
  </si>
  <si>
    <t>45-60</t>
  </si>
  <si>
    <t>triennial_burn (control)</t>
  </si>
  <si>
    <t>no_burn</t>
  </si>
  <si>
    <t>Projected Changes in Soil Organic Carbon Stocks over a 50-Year Period under Different Grazing Management Systems in Semi-Arid Grasslands of Kenya</t>
  </si>
  <si>
    <t>Continuous grazing (control)</t>
  </si>
  <si>
    <t xml:space="preserve">Improved grazing methods </t>
  </si>
  <si>
    <t xml:space="preserve">Rotational grazing </t>
  </si>
  <si>
    <t>Ungrazed</t>
  </si>
  <si>
    <t>Grassland rehabilitation significantly increases soil carbon stocks by reducing net soil CO &lt;sub&gt;2&lt;/sub&gt; emissions</t>
  </si>
  <si>
    <t>29.361075, -28.811244</t>
  </si>
  <si>
    <t>Degraded: Rotational grazing (1200 cattle -ha 3 days a year, rest 362 days)</t>
  </si>
  <si>
    <t>2011-2012</t>
  </si>
  <si>
    <t>2014-2015</t>
  </si>
  <si>
    <t>Soil temperature, CO2 emissions, AGB, BD</t>
  </si>
  <si>
    <t>Jasper</t>
  </si>
  <si>
    <t>Degraded: Livestock exclusions with fertiliser</t>
  </si>
  <si>
    <t>Degraded: Annual burning</t>
  </si>
  <si>
    <t>Degraded: Free grazing (control)</t>
  </si>
  <si>
    <t>Can encroached rangelands enhance carbon sequestration in the African Savannah?</t>
  </si>
  <si>
    <t>16.924445, -20.518278</t>
  </si>
  <si>
    <t>Control: No bush encroachment management</t>
  </si>
  <si>
    <t>N, P, K, Ca, pH, EC, and Na</t>
  </si>
  <si>
    <t>Sandy Loam</t>
  </si>
  <si>
    <t>JK - reviewed. two study sites but values were reported as an average across them, not disaggregated, for each treatment</t>
  </si>
  <si>
    <t>Treatment: Mechanical thinning</t>
  </si>
  <si>
    <t>Treatment: Chemical herbicide spray</t>
  </si>
  <si>
    <t>15 - 30</t>
  </si>
  <si>
    <t>30 - 45</t>
  </si>
  <si>
    <t>Lignin dynamics in secondary pasture soils of the South African Highveld</t>
  </si>
  <si>
    <t>Arable Land (control) - site 1</t>
  </si>
  <si>
    <t xml:space="preserve">No bulk density or stocks </t>
  </si>
  <si>
    <t>Re-seeding</t>
  </si>
  <si>
    <t>Pasture Age 1 - 5 - site 1</t>
  </si>
  <si>
    <t>Pasture Age 6 - 9 - site 1</t>
  </si>
  <si>
    <t>Pasture Age 10 - 11 - site 1</t>
  </si>
  <si>
    <t>Pasture Age 12 - 14 - site 1</t>
  </si>
  <si>
    <t>Pasture Age 15 - 20 - site 1</t>
  </si>
  <si>
    <t>Pasture Age 21 - 25 - site 1</t>
  </si>
  <si>
    <t>Pasture Age &gt;30 - site 1</t>
  </si>
  <si>
    <t>Arable Land (control) - site 2</t>
  </si>
  <si>
    <t>Pasture Age 1 - 5 - site 2</t>
  </si>
  <si>
    <t>Pasture Age 6 - 9 - site 2</t>
  </si>
  <si>
    <t>Pasture Age 10 - 11 - site 2</t>
  </si>
  <si>
    <t>Pasture Age 12 - 14 - site 2</t>
  </si>
  <si>
    <t>Pasture Age 15 - 20 - site 2</t>
  </si>
  <si>
    <t>Pasture Age 21 - 25 - site 2</t>
  </si>
  <si>
    <t>Arable Land (control) - site 3</t>
  </si>
  <si>
    <t>Pasture Age 1 - 5 - site 3</t>
  </si>
  <si>
    <t>Pasture Age 6 - 9 - site 3</t>
  </si>
  <si>
    <t>Pasture Age 10 - 11 - site 3</t>
  </si>
  <si>
    <t>Pasture Age 12 - 14 - site 3</t>
  </si>
  <si>
    <t>Pasture Age 15 - 20 - site 3</t>
  </si>
  <si>
    <t>Pasture Age 21 - 25 - site 3</t>
  </si>
  <si>
    <t>Pasture Age &gt;30 - site 3</t>
  </si>
  <si>
    <t>No changes in soil organic carbon and nitrogen following long-term prescribed burning and livestock exclusion in the Sudan-savanna woodlands of Burkina Faso</t>
  </si>
  <si>
    <t>Burkina Faso</t>
  </si>
  <si>
    <t>-2.7, 12.216667</t>
  </si>
  <si>
    <t>Exclosure (no dry season grazing)</t>
  </si>
  <si>
    <t>Open grazing (control)</t>
  </si>
  <si>
    <t>No fire</t>
  </si>
  <si>
    <t>Annual fire (control)</t>
  </si>
  <si>
    <t>Exclosure (no dry season grazing), no fire</t>
  </si>
  <si>
    <t>Exclosure (no dry season grazing), annual fire</t>
  </si>
  <si>
    <t>Open grazing, no fire (control)</t>
  </si>
  <si>
    <t>Open grazing, annual fire (control)</t>
  </si>
  <si>
    <t>-2.833333, 11.666667</t>
  </si>
  <si>
    <t>Frequent fire affects soil nitrogen and carbon in an African savanna by changing woody cover</t>
  </si>
  <si>
    <t>31.2, -25.1</t>
  </si>
  <si>
    <t xml:space="preserve">Late dry season annual fire no canopy </t>
  </si>
  <si>
    <t>0-7</t>
  </si>
  <si>
    <t>Sandy red loam soils</t>
  </si>
  <si>
    <t>Late dry season triennial fire no canopy (control)</t>
  </si>
  <si>
    <t>Wet season triennial fire no canopy (control)</t>
  </si>
  <si>
    <t>Fire exclusion no canopy</t>
  </si>
  <si>
    <t xml:space="preserve">Late dry season annual fire under canopy </t>
  </si>
  <si>
    <t>Late dry season triennial fire under canopy (control)</t>
  </si>
  <si>
    <t>Wet season triennial fire under canopy (control)</t>
  </si>
  <si>
    <t>Fire exclusion under canopy</t>
  </si>
  <si>
    <t>Grazing management and carbon sequestration in the Dry Lowland Rangelands of Southern Ethiopia</t>
  </si>
  <si>
    <t>39, 5</t>
  </si>
  <si>
    <t>Free grazing (control)</t>
  </si>
  <si>
    <t>Managed grazing (enclosures, ranches etc) - site 1</t>
  </si>
  <si>
    <t>Managed grazing (enclosures, ranches etc) - site 2</t>
  </si>
  <si>
    <t>Effects of enclosure management on carbon sequestration, soil properties and vegetation attributes in East African rangelands</t>
  </si>
  <si>
    <t>38.3336, 4.7886</t>
  </si>
  <si>
    <t>Enclosure (only grazing in dry season) &gt; 30 years</t>
  </si>
  <si>
    <t>360-444</t>
  </si>
  <si>
    <t>Sand (%), silt (%), Clay (%), BD (cm-3), pH, CEC, AvP, TN, C:N ratio, SOC stock, SOC content, TN stock</t>
  </si>
  <si>
    <t>dark vertisols</t>
  </si>
  <si>
    <t>domestic</t>
  </si>
  <si>
    <t>Adjacent &gt;30 yr enclosure open grazing (control)</t>
  </si>
  <si>
    <t>Enclosure (only grazing in dry season) 20-30 years</t>
  </si>
  <si>
    <t>240-360</t>
  </si>
  <si>
    <t>Adjacent 20-30 yr enclosure open grazing (control)</t>
  </si>
  <si>
    <t>Enclosure (only grazing in dry season) &lt; 20 years</t>
  </si>
  <si>
    <t>180-240</t>
  </si>
  <si>
    <t>Adjacent &lt; 20 yr enclosure open grazing (control)</t>
  </si>
  <si>
    <t>Effects of Deferred Grazing Regime on Rangeland Productivity and Health: A Case Study of Simanjiro District in Northern Tanzania</t>
  </si>
  <si>
    <t>Tanzania</t>
  </si>
  <si>
    <t>37.327463533706236, -3.771134312488437</t>
  </si>
  <si>
    <t>Deferred grazing (only during dry season June-Oct and not during rainy season Nov–May). Cultivation, sand mining, and settlements are not allowed.</t>
  </si>
  <si>
    <t>Biomass woody, biomass herb</t>
  </si>
  <si>
    <t>Continuous grazing all year round (control)</t>
  </si>
  <si>
    <t>Frequent fires intensify soil crusting: Physicochemical feedback in the pedoderm of long-term burn experiments in South Africa</t>
  </si>
  <si>
    <t>31.5, -24</t>
  </si>
  <si>
    <t>Unburned</t>
  </si>
  <si>
    <t>1955-1975</t>
  </si>
  <si>
    <t>336-576</t>
  </si>
  <si>
    <t>pH, Infiltration, clay, K</t>
  </si>
  <si>
    <t>Rhodic Lixisols</t>
  </si>
  <si>
    <t>Annual burn in August (control)</t>
  </si>
  <si>
    <t>0-1</t>
  </si>
  <si>
    <t>Impact of enclosure management on soil properties and microbial biomass in a restored semi-arid rangeland, Kenya</t>
  </si>
  <si>
    <t>36, 1</t>
  </si>
  <si>
    <t>Soil/water retention</t>
  </si>
  <si>
    <t>Communal exclosures including micro-cathchment structures and reseeding</t>
  </si>
  <si>
    <t>1989-1999</t>
  </si>
  <si>
    <t>Eutric and Calcaric Fluvisols</t>
  </si>
  <si>
    <t>Adjacent area to communal exclosures (control)</t>
  </si>
  <si>
    <t>Private exclosures</t>
  </si>
  <si>
    <t>1995-2009</t>
  </si>
  <si>
    <t>Adjacent area to private exclosures (control)</t>
  </si>
  <si>
    <t>Enhancing soil organic carbon, particulate organic carbon and microbial biomass in semi-arid rangeland using pasture enclosures</t>
  </si>
  <si>
    <t>Grazing Dominated Enclosure (GDE)</t>
  </si>
  <si>
    <t>pH, CEC, Sand, Silt, Clay, Moisture, BD</t>
  </si>
  <si>
    <t>Haplic Lixisols</t>
  </si>
  <si>
    <t>Contractual Grazing Enclosure (CGE)</t>
  </si>
  <si>
    <t>Open Grazing Rangeland (OGR) (control)</t>
  </si>
  <si>
    <t>Effects of grazing intensity and prescribed fire on soil physical and hydrological properties and pasture yield in the savanna woodlands of Burkina Faso</t>
  </si>
  <si>
    <t>Fire, no grazing (control)</t>
  </si>
  <si>
    <t>OC, clay, fine silt, silt, find sand, sand, C tot, N, K, P, Ca, Mg, pH, density</t>
  </si>
  <si>
    <t>Lixisols, silty-clay</t>
  </si>
  <si>
    <t>Fire, light grazing (2 Animal Unit Day (AUD -ha) (control)</t>
  </si>
  <si>
    <t>Fire, moderate grazing (4 Animal Unit Day (AUD -ha) (control)</t>
  </si>
  <si>
    <t>Fire, heavy grazing (6 Animal Unit Day (AUD -ha) (control)</t>
  </si>
  <si>
    <t>Fire, very heavy grazing (8 Animal Unit Day (AUD) -ha (control)</t>
  </si>
  <si>
    <t>No fire, no grazing</t>
  </si>
  <si>
    <t xml:space="preserve">No fire, light grazing (2 Animal Unit Day (AUD -ha) </t>
  </si>
  <si>
    <t xml:space="preserve">No fire, moderate grazing (4 Animal Unit Day (AUD -ha) </t>
  </si>
  <si>
    <t xml:space="preserve">No fire, heavy grazing (6 Animal Unit Day (AUD -ha) </t>
  </si>
  <si>
    <t xml:space="preserve">No fire, very heavy grazing (8 Animal Unit Day (AUD) -ha </t>
  </si>
  <si>
    <t>No grazing, no fire</t>
  </si>
  <si>
    <t>Light grazing (2 Animal Unit Day (AUD -ha), no fire</t>
  </si>
  <si>
    <t>Moderate grazing (4 Animal Unit Day (AUD -ha), no fire</t>
  </si>
  <si>
    <t>Heavy grazing (6 Animal Unit Day (AUD -ha), no fire</t>
  </si>
  <si>
    <t>Control: Very heavy grazing (8 Animal Unit Day (AUD) -ha, no fire</t>
  </si>
  <si>
    <t>No grazing, annual early fire (end of rainy season Oct-Nov) (Control)</t>
  </si>
  <si>
    <t>Light grazing (2 Animal Unit Day (AUD) -ha, annual early fire (end of rainy season Oct-Nov)</t>
  </si>
  <si>
    <t>Moderate grazing (4 Animal Unit Day (AUD) -ha, annual early fire (end of rainy season Oct-Nov)</t>
  </si>
  <si>
    <t>Heavy grazing (6 Animal Unit Day (AUD) -ha, annual early fire (end of rainy season Oct-Nov)</t>
  </si>
  <si>
    <t>Very heavy grazing (8 Animal Unit Day (AUD) -ha, annual early fire (end of rainy season Oct-Nov)</t>
  </si>
  <si>
    <t>Negative effects of cattle on soil carbon and nutrient pools reversed by megaherbivores</t>
  </si>
  <si>
    <t>36.8667, 0.2833</t>
  </si>
  <si>
    <t>no_large_herbivores</t>
  </si>
  <si>
    <t>Bulk density, C, N, P (under and outside the canopy of A. drepanolobium)</t>
  </si>
  <si>
    <t>Vertisols</t>
  </si>
  <si>
    <t xml:space="preserve">Rewilding </t>
  </si>
  <si>
    <t>wild_mesoherbivores</t>
  </si>
  <si>
    <t>wild_mega_and_mesoherbivores</t>
  </si>
  <si>
    <t>only_cattle (control)</t>
  </si>
  <si>
    <t>wild_mesoherbivores_and_cattle</t>
  </si>
  <si>
    <t>wild_mega_and_mesoherbivores_and_cattle</t>
  </si>
  <si>
    <t>Fire and herbivory drive fungal and bacterial communities through distinct above- and belowground mechanisms</t>
  </si>
  <si>
    <t>31.77, -24.99</t>
  </si>
  <si>
    <t>Herbivory (30 Large Stock Unit -ha) with fire once every 5 years in June-Oct (control)</t>
  </si>
  <si>
    <t>Eutric Regosols - riparian</t>
  </si>
  <si>
    <t>No herbivory with fire once every 5 years in June-Oct</t>
  </si>
  <si>
    <t>Herbivory (30 Large Stock Unit -ha), no fire</t>
  </si>
  <si>
    <t>No herbivory, no fire</t>
  </si>
  <si>
    <t>Eutric Regosols - crest</t>
  </si>
  <si>
    <t xml:space="preserve">Herbivory (30 Large Stock Unit -ha), no fire </t>
  </si>
  <si>
    <t>31.44, -23.75</t>
  </si>
  <si>
    <t>Herbivory (20 Large Stock Unit -ha) with fire once every 5 years in June-Oct (control)</t>
  </si>
  <si>
    <t>Ferric Luvisols - riparian</t>
  </si>
  <si>
    <t>Herbivory (20 Large Stock Unit -ha), no fire</t>
  </si>
  <si>
    <t>Ferric Luvisols - crest</t>
  </si>
  <si>
    <t>29.67, -30.40</t>
  </si>
  <si>
    <t>Herbivory with fire (control)</t>
  </si>
  <si>
    <t>Dystric Regosols</t>
  </si>
  <si>
    <t>No herbivory with fire</t>
  </si>
  <si>
    <t>Herbivoy, no fire</t>
  </si>
  <si>
    <t>29.00, -29.00</t>
  </si>
  <si>
    <t>Herbivory (55 Large Stock Unit -ha) with fire (control)</t>
  </si>
  <si>
    <t>Rhodic Acrisols</t>
  </si>
  <si>
    <t>No hebivory, no fire</t>
  </si>
  <si>
    <t>Grasses continue to trump trees at soil carbon sequestration following herbivore exclusion in a semiarid African savanna</t>
  </si>
  <si>
    <t>37.883331, 0.283333</t>
  </si>
  <si>
    <t>Enclosure 17 years (all hebivores &gt; 2 kg exluded)</t>
  </si>
  <si>
    <t>Adjacent land natural grazing (control)</t>
  </si>
  <si>
    <t>25-30</t>
  </si>
  <si>
    <t>Jasper - Not a great study --- master thesis SLU</t>
  </si>
  <si>
    <t>JASPER - No difference calculated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</si>
</sst>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yyyy"/>
    <numFmt numFmtId="165" formatCode="mm\-dd\-yyyy"/>
    <numFmt numFmtId="166" formatCode="m\-d"/>
    <numFmt numFmtId="167" formatCode="mmm\-d"/>
    <numFmt numFmtId="168" formatCode="m/yyyy"/>
    <numFmt numFmtId="169" formatCode="0.0"/>
  </numFmts>
  <fonts count="16" x14ac:knownFonts="1">
    <font>
      <sz val="10"/>
      <color rgb="FF000000"/>
      <name val="Arial"/>
      <scheme val="minor"/>
    </font>
    <font>
      <sz val="8"/>
      <color theme="1"/>
      <name val="Arial"/>
      <family val="2"/>
    </font>
    <font>
      <sz val="10"/>
      <color theme="1"/>
      <name val="Arial"/>
      <family val="2"/>
    </font>
    <font>
      <u/>
      <sz val="8"/>
      <color rgb="FF0000FF"/>
      <name val="Arial"/>
      <family val="2"/>
    </font>
    <font>
      <sz val="11"/>
      <color theme="1"/>
      <name val="Aptos Narrow"/>
    </font>
    <font>
      <sz val="11"/>
      <color theme="1"/>
      <name val="Arial"/>
      <family val="2"/>
    </font>
    <font>
      <sz val="12"/>
      <color rgb="FF1F1F1F"/>
      <name val="Georgia"/>
      <family val="1"/>
    </font>
    <font>
      <sz val="10"/>
      <color rgb="FF202020"/>
      <name val="Helvetica"/>
      <family val="2"/>
    </font>
    <font>
      <sz val="10"/>
      <color theme="1"/>
      <name val="Helvetica Neue"/>
      <family val="2"/>
    </font>
    <font>
      <sz val="10"/>
      <color theme="1"/>
      <name val="Arial"/>
      <family val="2"/>
      <scheme val="minor"/>
    </font>
    <font>
      <sz val="8"/>
      <name val="Arial"/>
      <family val="2"/>
    </font>
    <font>
      <u/>
      <sz val="8"/>
      <color rgb="FF1155CC"/>
      <name val="Arial"/>
      <family val="2"/>
    </font>
    <font>
      <sz val="8"/>
      <name val="Arial"/>
      <family val="2"/>
      <scheme val="minor"/>
    </font>
    <font>
      <b/>
      <sz val="11"/>
      <color theme="0"/>
      <name val="Arial"/>
      <family val="2"/>
    </font>
    <font>
      <b/>
      <sz val="11"/>
      <color theme="0"/>
      <name val="Helvetica Neue"/>
      <family val="2"/>
    </font>
    <font>
      <sz val="10"/>
      <color theme="0"/>
      <name val="Arial"/>
      <family val="2"/>
      <scheme val="minor"/>
    </font>
  </fonts>
  <fills count="9">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C9DAF8"/>
        <bgColor rgb="FFC9DAF8"/>
      </patternFill>
    </fill>
    <fill>
      <patternFill patternType="solid">
        <fgColor rgb="FFCFE2F3"/>
        <bgColor rgb="FFCFE2F3"/>
      </patternFill>
    </fill>
    <fill>
      <patternFill patternType="solid">
        <fgColor rgb="FF999999"/>
        <bgColor rgb="FF999999"/>
      </patternFill>
    </fill>
    <fill>
      <patternFill patternType="solid">
        <fgColor theme="1"/>
        <bgColor indexed="64"/>
      </patternFill>
    </fill>
    <fill>
      <patternFill patternType="solid">
        <fgColor theme="1"/>
        <bgColor rgb="FFFFFFFF"/>
      </patternFill>
    </fill>
  </fills>
  <borders count="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ck">
        <color rgb="FF000000"/>
      </left>
      <right/>
      <top style="thin">
        <color rgb="FF000000"/>
      </top>
      <bottom/>
      <diagonal/>
    </border>
    <border>
      <left style="thick">
        <color rgb="FF000000"/>
      </left>
      <right/>
      <top/>
      <bottom style="thin">
        <color rgb="FF000000"/>
      </bottom>
      <diagonal/>
    </border>
  </borders>
  <cellStyleXfs count="1">
    <xf numFmtId="0" fontId="0" fillId="0" borderId="0"/>
  </cellStyleXfs>
  <cellXfs count="84">
    <xf numFmtId="0" fontId="0" fillId="0" borderId="0" xfId="0"/>
    <xf numFmtId="0" fontId="1" fillId="0" borderId="4" xfId="0" applyFont="1" applyBorder="1" applyAlignment="1">
      <alignment horizontal="center" wrapText="1"/>
    </xf>
    <xf numFmtId="0" fontId="2" fillId="0" borderId="0" xfId="0" applyFont="1"/>
    <xf numFmtId="0" fontId="1" fillId="0" borderId="0" xfId="0" applyFont="1" applyAlignment="1">
      <alignment horizontal="center" wrapText="1"/>
    </xf>
    <xf numFmtId="4" fontId="1" fillId="0" borderId="0" xfId="0" applyNumberFormat="1" applyFont="1" applyAlignment="1">
      <alignment horizontal="center" wrapText="1"/>
    </xf>
    <xf numFmtId="0" fontId="3" fillId="0" borderId="0" xfId="0" applyFont="1" applyAlignment="1">
      <alignment horizontal="center" wrapText="1"/>
    </xf>
    <xf numFmtId="0" fontId="2" fillId="0" borderId="5" xfId="0" applyFont="1" applyBorder="1"/>
    <xf numFmtId="0" fontId="2" fillId="0" borderId="4" xfId="0" applyFont="1" applyBorder="1" applyAlignment="1">
      <alignment wrapText="1"/>
    </xf>
    <xf numFmtId="0" fontId="2" fillId="0" borderId="0" xfId="0" applyFont="1" applyAlignment="1">
      <alignment wrapText="1"/>
    </xf>
    <xf numFmtId="0" fontId="2" fillId="0" borderId="0" xfId="0" applyFont="1" applyAlignment="1">
      <alignment horizontal="right"/>
    </xf>
    <xf numFmtId="0" fontId="2" fillId="0" borderId="0" xfId="0" applyFont="1" applyAlignment="1">
      <alignment horizontal="center"/>
    </xf>
    <xf numFmtId="4" fontId="2" fillId="0" borderId="0" xfId="0" applyNumberFormat="1" applyFont="1" applyAlignment="1">
      <alignment horizontal="right"/>
    </xf>
    <xf numFmtId="164" fontId="2" fillId="0" borderId="0" xfId="0" applyNumberFormat="1" applyFont="1"/>
    <xf numFmtId="165" fontId="2" fillId="0" borderId="0" xfId="0" applyNumberFormat="1" applyFont="1"/>
    <xf numFmtId="166" fontId="2" fillId="0" borderId="0" xfId="0" applyNumberFormat="1" applyFont="1" applyAlignment="1">
      <alignment horizontal="center"/>
    </xf>
    <xf numFmtId="164" fontId="2" fillId="0" borderId="0" xfId="0" applyNumberFormat="1" applyFont="1" applyAlignment="1">
      <alignment horizontal="right"/>
    </xf>
    <xf numFmtId="167" fontId="2" fillId="0" borderId="0" xfId="0" applyNumberFormat="1" applyFont="1"/>
    <xf numFmtId="4" fontId="2" fillId="0" borderId="0" xfId="0" applyNumberFormat="1" applyFont="1"/>
    <xf numFmtId="0" fontId="4" fillId="0" borderId="0" xfId="0" applyFont="1" applyAlignment="1">
      <alignment horizontal="right"/>
    </xf>
    <xf numFmtId="0" fontId="5" fillId="0" borderId="0" xfId="0" applyFont="1" applyAlignment="1">
      <alignment horizontal="right"/>
    </xf>
    <xf numFmtId="166" fontId="2" fillId="0" borderId="0" xfId="0" applyNumberFormat="1" applyFont="1"/>
    <xf numFmtId="0" fontId="2" fillId="2" borderId="0" xfId="0" applyFont="1" applyFill="1"/>
    <xf numFmtId="0" fontId="6" fillId="0" borderId="0" xfId="0" applyFont="1" applyAlignment="1">
      <alignment horizontal="right"/>
    </xf>
    <xf numFmtId="0" fontId="2" fillId="0" borderId="6" xfId="0" applyFont="1" applyBorder="1" applyAlignment="1">
      <alignment wrapText="1"/>
    </xf>
    <xf numFmtId="0" fontId="2" fillId="3" borderId="0" xfId="0" applyFont="1" applyFill="1"/>
    <xf numFmtId="0" fontId="2" fillId="3" borderId="0" xfId="0" applyFont="1" applyFill="1" applyAlignment="1">
      <alignment horizontal="right"/>
    </xf>
    <xf numFmtId="0" fontId="2" fillId="3" borderId="0" xfId="0" applyFont="1" applyFill="1" applyAlignment="1">
      <alignment horizontal="center"/>
    </xf>
    <xf numFmtId="4" fontId="2" fillId="3" borderId="0" xfId="0" applyNumberFormat="1" applyFont="1" applyFill="1"/>
    <xf numFmtId="164" fontId="2" fillId="3" borderId="0" xfId="0" applyNumberFormat="1" applyFont="1" applyFill="1" applyAlignment="1">
      <alignment horizontal="right"/>
    </xf>
    <xf numFmtId="168" fontId="2" fillId="0" borderId="0" xfId="0" applyNumberFormat="1" applyFont="1" applyAlignment="1">
      <alignment horizontal="right"/>
    </xf>
    <xf numFmtId="0" fontId="7" fillId="2" borderId="0" xfId="0" applyFont="1" applyFill="1"/>
    <xf numFmtId="169" fontId="2" fillId="0" borderId="0" xfId="0" applyNumberFormat="1" applyFont="1" applyAlignment="1">
      <alignment horizontal="right"/>
    </xf>
    <xf numFmtId="0" fontId="2" fillId="2" borderId="4"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xf>
    <xf numFmtId="0" fontId="2" fillId="2" borderId="0" xfId="0" applyFont="1" applyFill="1" applyAlignment="1">
      <alignment horizontal="center"/>
    </xf>
    <xf numFmtId="4" fontId="2" fillId="2" borderId="0" xfId="0" applyNumberFormat="1" applyFont="1" applyFill="1"/>
    <xf numFmtId="0" fontId="2" fillId="2" borderId="5" xfId="0" applyFont="1" applyFill="1" applyBorder="1"/>
    <xf numFmtId="166" fontId="2" fillId="2" borderId="0" xfId="0" applyNumberFormat="1" applyFont="1" applyFill="1" applyAlignment="1">
      <alignment horizontal="center"/>
    </xf>
    <xf numFmtId="0" fontId="2" fillId="0" borderId="4" xfId="0" applyFont="1" applyBorder="1"/>
    <xf numFmtId="0" fontId="2" fillId="3" borderId="4" xfId="0" applyFont="1" applyFill="1" applyBorder="1" applyAlignment="1">
      <alignment wrapText="1"/>
    </xf>
    <xf numFmtId="0" fontId="2" fillId="3" borderId="0" xfId="0" applyFont="1" applyFill="1" applyAlignment="1">
      <alignment wrapText="1"/>
    </xf>
    <xf numFmtId="4" fontId="2" fillId="3" borderId="0" xfId="0" applyNumberFormat="1" applyFont="1" applyFill="1" applyAlignment="1">
      <alignment horizontal="right"/>
    </xf>
    <xf numFmtId="0" fontId="2" fillId="3" borderId="5" xfId="0" applyFont="1" applyFill="1" applyBorder="1"/>
    <xf numFmtId="0" fontId="2" fillId="3" borderId="6" xfId="0" applyFont="1" applyFill="1" applyBorder="1" applyAlignment="1">
      <alignment wrapText="1"/>
    </xf>
    <xf numFmtId="4" fontId="2" fillId="2" borderId="0" xfId="0" applyNumberFormat="1" applyFont="1" applyFill="1" applyAlignment="1">
      <alignment horizontal="right"/>
    </xf>
    <xf numFmtId="165" fontId="2" fillId="2" borderId="0" xfId="0" applyNumberFormat="1" applyFont="1" applyFill="1" applyAlignment="1">
      <alignment horizontal="right"/>
    </xf>
    <xf numFmtId="0" fontId="2" fillId="4" borderId="4" xfId="0" applyFont="1" applyFill="1" applyBorder="1" applyAlignment="1">
      <alignment wrapText="1"/>
    </xf>
    <xf numFmtId="0" fontId="2" fillId="4" borderId="0" xfId="0" applyFont="1" applyFill="1" applyAlignment="1">
      <alignment wrapText="1"/>
    </xf>
    <xf numFmtId="0" fontId="2" fillId="4" borderId="0" xfId="0" applyFont="1" applyFill="1" applyAlignment="1">
      <alignment horizontal="right"/>
    </xf>
    <xf numFmtId="0" fontId="2" fillId="4" borderId="0" xfId="0" applyFont="1" applyFill="1"/>
    <xf numFmtId="0" fontId="2" fillId="4" borderId="0" xfId="0" applyFont="1" applyFill="1" applyAlignment="1">
      <alignment horizontal="center"/>
    </xf>
    <xf numFmtId="4" fontId="2" fillId="4" borderId="0" xfId="0" applyNumberFormat="1" applyFont="1" applyFill="1" applyAlignment="1">
      <alignment horizontal="right"/>
    </xf>
    <xf numFmtId="165" fontId="2" fillId="4" borderId="0" xfId="0" applyNumberFormat="1" applyFont="1" applyFill="1" applyAlignment="1">
      <alignment horizontal="right"/>
    </xf>
    <xf numFmtId="0" fontId="2" fillId="4" borderId="5" xfId="0" applyFont="1" applyFill="1" applyBorder="1"/>
    <xf numFmtId="167" fontId="2" fillId="0" borderId="0" xfId="0" applyNumberFormat="1" applyFont="1" applyAlignment="1">
      <alignment horizontal="right"/>
    </xf>
    <xf numFmtId="166" fontId="2" fillId="0" borderId="0" xfId="0" applyNumberFormat="1" applyFont="1" applyAlignment="1">
      <alignment horizontal="right"/>
    </xf>
    <xf numFmtId="0" fontId="2" fillId="2" borderId="4" xfId="0" applyFont="1" applyFill="1" applyBorder="1"/>
    <xf numFmtId="0" fontId="2" fillId="2" borderId="7" xfId="0" applyFont="1" applyFill="1" applyBorder="1" applyAlignment="1">
      <alignment wrapText="1"/>
    </xf>
    <xf numFmtId="167" fontId="2" fillId="2" borderId="0" xfId="0" applyNumberFormat="1" applyFont="1" applyFill="1"/>
    <xf numFmtId="0" fontId="2" fillId="5" borderId="4" xfId="0" applyFont="1" applyFill="1" applyBorder="1"/>
    <xf numFmtId="0" fontId="2" fillId="5" borderId="0" xfId="0" applyFont="1" applyFill="1"/>
    <xf numFmtId="0" fontId="2" fillId="5" borderId="0" xfId="0" applyFont="1" applyFill="1" applyAlignment="1">
      <alignment horizontal="right"/>
    </xf>
    <xf numFmtId="0" fontId="8" fillId="5" borderId="0" xfId="0" applyFont="1" applyFill="1"/>
    <xf numFmtId="4" fontId="2" fillId="5" borderId="0" xfId="0" applyNumberFormat="1" applyFont="1" applyFill="1" applyAlignment="1">
      <alignment horizontal="right"/>
    </xf>
    <xf numFmtId="0" fontId="2" fillId="5" borderId="5" xfId="0" applyFont="1" applyFill="1" applyBorder="1"/>
    <xf numFmtId="0" fontId="8" fillId="2" borderId="0" xfId="0" applyFont="1" applyFill="1"/>
    <xf numFmtId="0" fontId="8" fillId="0" borderId="0" xfId="0" applyFont="1"/>
    <xf numFmtId="0" fontId="2" fillId="4" borderId="4" xfId="0" applyFont="1" applyFill="1" applyBorder="1"/>
    <xf numFmtId="167" fontId="2" fillId="4" borderId="0" xfId="0" applyNumberFormat="1" applyFont="1" applyFill="1" applyAlignment="1">
      <alignment horizontal="right"/>
    </xf>
    <xf numFmtId="167" fontId="2" fillId="2" borderId="0" xfId="0" applyNumberFormat="1" applyFont="1" applyFill="1" applyAlignment="1">
      <alignment horizontal="right"/>
    </xf>
    <xf numFmtId="0" fontId="2" fillId="6" borderId="0" xfId="0" applyFont="1" applyFill="1"/>
    <xf numFmtId="0" fontId="9" fillId="0" borderId="0" xfId="0" applyFont="1"/>
    <xf numFmtId="0" fontId="2" fillId="2" borderId="0" xfId="0" applyFont="1" applyFill="1" applyBorder="1" applyAlignment="1">
      <alignment wrapText="1"/>
    </xf>
    <xf numFmtId="0" fontId="2" fillId="0" borderId="0" xfId="0" applyFont="1" applyBorder="1"/>
    <xf numFmtId="0" fontId="2" fillId="4" borderId="0" xfId="0" applyFont="1" applyFill="1" applyBorder="1"/>
    <xf numFmtId="0" fontId="13" fillId="7" borderId="1" xfId="0" applyFont="1" applyFill="1" applyBorder="1" applyAlignment="1">
      <alignment horizontal="center" wrapText="1"/>
    </xf>
    <xf numFmtId="0" fontId="13" fillId="7" borderId="2" xfId="0" applyFont="1" applyFill="1" applyBorder="1" applyAlignment="1">
      <alignment horizontal="center" wrapText="1"/>
    </xf>
    <xf numFmtId="4" fontId="13" fillId="7" borderId="2" xfId="0" applyNumberFormat="1" applyFont="1" applyFill="1" applyBorder="1" applyAlignment="1">
      <alignment horizontal="center" wrapText="1"/>
    </xf>
    <xf numFmtId="0" fontId="14" fillId="8" borderId="2" xfId="0" applyFont="1" applyFill="1" applyBorder="1"/>
    <xf numFmtId="0" fontId="13" fillId="7" borderId="3" xfId="0" applyFont="1" applyFill="1" applyBorder="1" applyAlignment="1">
      <alignment horizontal="center"/>
    </xf>
    <xf numFmtId="0" fontId="13" fillId="7" borderId="0" xfId="0" applyFont="1" applyFill="1" applyAlignment="1">
      <alignment horizontal="center"/>
    </xf>
    <xf numFmtId="0" fontId="13" fillId="7" borderId="0" xfId="0" applyFont="1" applyFill="1" applyAlignment="1">
      <alignment horizontal="center" wrapText="1"/>
    </xf>
    <xf numFmtId="0" fontId="15" fillId="7" borderId="0" xfId="0" applyFont="1" applyFill="1"/>
  </cellXfs>
  <cellStyles count="1">
    <cellStyle name="Normal" xfId="0" builtinId="0"/>
  </cellStyles>
  <dxfs count="59">
    <dxf>
      <font>
        <b/>
        <i val="0"/>
        <strike val="0"/>
        <condense val="0"/>
        <extend val="0"/>
        <outline val="0"/>
        <shadow val="0"/>
        <u val="none"/>
        <vertAlign val="baseline"/>
        <sz val="11"/>
        <color theme="0"/>
        <name val="Arial"/>
        <family val="2"/>
        <scheme val="none"/>
      </font>
      <fill>
        <patternFill>
          <bgColor theme="1"/>
        </patternFill>
      </fill>
      <alignment horizontal="center"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fill>
        <patternFill patternType="solid">
          <fgColor rgb="FF999999"/>
          <bgColor rgb="FF999999"/>
        </patternFill>
      </fill>
    </dxf>
    <dxf>
      <font>
        <b val="0"/>
        <i val="0"/>
        <strike val="0"/>
        <condense val="0"/>
        <extend val="0"/>
        <outline val="0"/>
        <shadow val="0"/>
        <u val="none"/>
        <vertAlign val="baseline"/>
        <sz val="10"/>
        <color theme="1"/>
        <name val="Arial"/>
        <family val="2"/>
        <scheme val="none"/>
      </font>
      <border diagonalUp="0" diagonalDown="0">
        <left/>
        <right style="thin">
          <color rgb="FF000000"/>
        </right>
        <top/>
        <bottom/>
        <vertical/>
        <horizontal/>
      </border>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numFmt numFmtId="4" formatCode="#,##0.0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fill>
        <patternFill patternType="solid">
          <fgColor rgb="FFFFFFFF"/>
          <bgColor rgb="FFFFFFFF"/>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border diagonalUp="0" diagonalDown="0">
        <left style="thin">
          <color rgb="FF000000"/>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68A70F9-4C9F-DC4C-B41D-5FBC54D1F50D}" name="Table4" displayName="Table4" ref="A1:BE399" totalsRowShown="0" headerRowDxfId="0" dataDxfId="1">
  <autoFilter ref="A1:BE399" xr:uid="{168A70F9-4C9F-DC4C-B41D-5FBC54D1F50D}">
    <filterColumn colId="4">
      <filters>
        <filter val="Grazing management"/>
      </filters>
    </filterColumn>
  </autoFilter>
  <tableColumns count="57">
    <tableColumn id="1" xr3:uid="{35718D73-720D-D949-B745-3B8DB13A8185}" name="Title" dataDxfId="58"/>
    <tableColumn id="2" xr3:uid="{E0786506-9A5D-0248-99D6-6398A176AEE2}" name="Country" dataDxfId="57"/>
    <tableColumn id="3" xr3:uid="{00235FC5-2700-7143-8B0A-CF70B21B07EF}" name="Publication_Year" dataDxfId="56"/>
    <tableColumn id="4" xr3:uid="{84873248-8B99-CA42-9598-17AEB4561912}" name="Long_Lat" dataDxfId="55"/>
    <tableColumn id="5" xr3:uid="{0FBD6F12-F710-304D-B18A-92B4B5AD4010}" name="Level_1 " dataDxfId="54"/>
    <tableColumn id="6" xr3:uid="{AD5FBB4B-893C-BE4F-9C08-87B739797F0F}" name="Level_1_Interaction" dataDxfId="53"/>
    <tableColumn id="7" xr3:uid="{B32270D6-F035-994A-83B3-7E4064BE4CDC}" name="Level_2" dataDxfId="52"/>
    <tableColumn id="8" xr3:uid="{D6042F08-92FD-CF4F-A5F2-31D83850D531}" name="Level_2_Interaction" dataDxfId="51"/>
    <tableColumn id="9" xr3:uid="{9A73A15B-91FA-CF49-8AC6-88D25F9BE240}" name="Study_Treatment" dataDxfId="50"/>
    <tableColumn id="10" xr3:uid="{1EC8C10C-0833-B54C-9634-DD3623486324}" name="Soil_Depth_Increment" dataDxfId="49"/>
    <tableColumn id="11" xr3:uid="{B8D25649-9966-2448-8E8B-0E221E0FC144}" name="MAP" dataDxfId="48"/>
    <tableColumn id="12" xr3:uid="{46874728-7B37-764A-A240-FD440CD5487D}" name="MAT" dataDxfId="47"/>
    <tableColumn id="13" xr3:uid="{29810276-CA66-D949-A15A-8D10065914D3}" name="Mean_annual_evapotranspiration" dataDxfId="46"/>
    <tableColumn id="14" xr3:uid="{2864D787-6A07-4146-BF8D-2DF163EFE11D}" name="Mean_annual_precipitation " dataDxfId="45"/>
    <tableColumn id="15" xr3:uid="{8042891D-1BFF-EE4F-A6DB-AE1CA1E24101}" name="Mean_annual_temperature" dataDxfId="44"/>
    <tableColumn id="16" xr3:uid="{6ACCEA54-EF6A-4540-92A9-EAA55AF4FD0F}" name="Elevation " dataDxfId="43"/>
    <tableColumn id="17" xr3:uid="{EF8D6A0D-A6D3-FC48-9B1A-D1608C594F4D}" name="Plot_sample_size" dataDxfId="42"/>
    <tableColumn id="18" xr3:uid="{EFDEAC68-7EE2-3F4E-9CAB-39877B095535}" name="Sample_number" dataDxfId="41"/>
    <tableColumn id="19" xr3:uid="{C8DE30A9-C264-B94C-AA9B-C7DFFA7DA541}" name="Plot_size " dataDxfId="40"/>
    <tableColumn id="20" xr3:uid="{C11D6D3B-4AE0-5047-AB01-F14A93F56368}" name="Study_start_t0" dataDxfId="39"/>
    <tableColumn id="21" xr3:uid="{A9AA701F-F9AD-7E4E-8781-60E8A7D0F9D4}" name="Study_end_tx" dataDxfId="38"/>
    <tableColumn id="22" xr3:uid="{FA9D7C0D-DFC7-024E-BAAB-8A43F2B802B8}" name="Study_duration " dataDxfId="37"/>
    <tableColumn id="23" xr3:uid="{366EFC1B-63DC-CE45-A58B-C1BF28828356}" name="Indicators included" dataDxfId="36"/>
    <tableColumn id="24" xr3:uid="{A69F564C-F562-724A-B2BC-C8D8830AE18E}" name="OC_t0" dataDxfId="35"/>
    <tableColumn id="25" xr3:uid="{97A47493-E66E-8D4F-A223-CD01FB093F09}" name="OC_t0_SD" dataDxfId="34"/>
    <tableColumn id="26" xr3:uid="{96A5FA67-C452-4242-890A-857CF2CFF60E}" name="OC_tx" dataDxfId="33"/>
    <tableColumn id="27" xr3:uid="{88BC0811-14BE-9E46-8B27-09C8FDBCEB42}" name="OC_tx_SD" dataDxfId="32"/>
    <tableColumn id="28" xr3:uid="{CB29F60A-47BE-5E40-A55E-EBBFCF2C28CC}" name="OM_t0" dataDxfId="31"/>
    <tableColumn id="29" xr3:uid="{9653BD85-43F6-0F43-8EC4-2D34A8EFB791}" name="OM_t0_SD" dataDxfId="30"/>
    <tableColumn id="30" xr3:uid="{8CB0375B-570C-304A-82BA-29C5AE5144B1}" name="OM_tx" dataDxfId="29"/>
    <tableColumn id="31" xr3:uid="{0D3CB4BA-CC3F-D64F-8F2F-C8103B2D7897}" name="OM_tx_SD" dataDxfId="28"/>
    <tableColumn id="32" xr3:uid="{97761C6D-443A-8740-B3DD-D9B1362C6DC1}" name="BD_t0" dataDxfId="27"/>
    <tableColumn id="33" xr3:uid="{8F187FAF-F27F-8542-9942-F6717C608F59}" name="BD_t0_SD" dataDxfId="26"/>
    <tableColumn id="34" xr3:uid="{6E937B0E-A68C-1147-89A8-7D4BAF6075C0}" name="BD_tx" dataDxfId="25"/>
    <tableColumn id="35" xr3:uid="{37A5DFB9-DD60-344E-9EB8-99046CF82862}" name="BD_tx_SD" dataDxfId="24"/>
    <tableColumn id="36" xr3:uid="{38ED74FB-CBA8-2446-B027-F2EDE092A839}" name="SOC_stock_t0" dataDxfId="23"/>
    <tableColumn id="37" xr3:uid="{026A7044-F3ED-1841-BF99-CBE9A035C1D3}" name="SOC_stock_t0_SD" dataDxfId="22"/>
    <tableColumn id="38" xr3:uid="{6ED90333-53D9-6242-8605-999C5A155071}" name="SOC_stock_tx" dataDxfId="21"/>
    <tableColumn id="39" xr3:uid="{1D49EB86-4918-284C-A093-C89F34A26666}" name="SOC_stock_tx_SD" dataDxfId="20"/>
    <tableColumn id="40" xr3:uid="{C051D73F-6B38-F44E-B410-83644249A612}" name="SOC_stock_absDelta" dataDxfId="19"/>
    <tableColumn id="41" xr3:uid="{29B29489-5747-C74F-8DD4-83D6EB9A88E6}" name="SOC_stock_percDelta" dataDxfId="18"/>
    <tableColumn id="42" xr3:uid="{B3B95019-091F-8C4C-8D18-8AB46A60A61B}" name="SOC_abs_delta_annualized" dataDxfId="17"/>
    <tableColumn id="43" xr3:uid="{8CCA7889-B49E-9B48-B9D4-1DA0F8A943D7}" name="OC_absDelta" dataDxfId="16"/>
    <tableColumn id="44" xr3:uid="{265D9267-C23C-374F-A3E3-F755BBB247A2}" name="OC_percDelta" dataDxfId="15"/>
    <tableColumn id="45" xr3:uid="{7300E56F-724D-D247-A674-3FAA6E4551FC}" name="OM_absDelta" dataDxfId="14"/>
    <tableColumn id="46" xr3:uid="{AD33557A-C171-6F4D-9334-2653E94AAFBD}" name="OM_percDelta" dataDxfId="13"/>
    <tableColumn id="47" xr3:uid="{A31AEBDE-72EE-7646-8473-3C160A4A95E7}" name="Dominant_Veg" dataDxfId="12"/>
    <tableColumn id="48" xr3:uid="{FC7DDE56-FAA7-9A45-9A6F-3F6072CA7D47}" name="Soil_Texture" dataDxfId="11"/>
    <tableColumn id="49" xr3:uid="{FCE77884-5E06-0C4C-842F-7ECB8DBA55D9}" name="Sand" dataDxfId="10"/>
    <tableColumn id="50" xr3:uid="{B6070409-C33A-2D47-895F-F80C399F5F22}" name="Animal_Category" dataDxfId="9"/>
    <tableColumn id="51" xr3:uid="{F9166B02-B735-AB45-BE19-18C80D05977F}" name="Animal_Size_Class" dataDxfId="8"/>
    <tableColumn id="52" xr3:uid="{FD0129EF-5EBE-B349-8867-6C4FFD88DCC8}" name="Animal_type" dataDxfId="7"/>
    <tableColumn id="53" xr3:uid="{F8CBAEE0-E51B-984B-A40E-0FFA7FD4226B}" name="Study_quality" dataDxfId="6"/>
    <tableColumn id="54" xr3:uid="{8F8E3D10-8842-9B4F-B0C2-A4780CB0E338}" name="Reviewer" dataDxfId="5"/>
    <tableColumn id="55" xr3:uid="{F47B13B3-6EBD-8F41-B2EE-2A144E0FF113}" name="Comment " dataDxfId="4"/>
    <tableColumn id="56" xr3:uid="{6282DE89-929B-584D-9EC5-9371FAF8EF2B}" name="Comment_2" dataDxfId="3"/>
    <tableColumn id="57" xr3:uid="{3D5578EE-CD77-8645-9ADE-6FAC772165A3}" name="Outlier" dataDxfId="2"/>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isric.org/sites/default/files/WRB_fourth_edition_2022-12-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E2965"/>
  <sheetViews>
    <sheetView tabSelected="1" workbookViewId="0">
      <pane xSplit="1" ySplit="1" topLeftCell="O282" activePane="bottomRight" state="frozen"/>
      <selection pane="topRight" activeCell="B1" sqref="B1"/>
      <selection pane="bottomLeft" activeCell="A2" sqref="A2"/>
      <selection pane="bottomRight" activeCell="U340" sqref="U340"/>
    </sheetView>
  </sheetViews>
  <sheetFormatPr baseColWidth="10" defaultColWidth="12.6640625" defaultRowHeight="15.75" customHeight="1" x14ac:dyDescent="0.15"/>
  <cols>
    <col min="1" max="1" width="62.83203125" customWidth="1"/>
    <col min="2" max="2" width="18.6640625" customWidth="1"/>
    <col min="3" max="3" width="18.33203125" customWidth="1"/>
    <col min="5" max="5" width="20.1640625" customWidth="1"/>
    <col min="6" max="7" width="23.6640625" customWidth="1"/>
    <col min="8" max="8" width="23.5" customWidth="1"/>
    <col min="9" max="9" width="53" customWidth="1"/>
    <col min="10" max="10" width="23" customWidth="1"/>
    <col min="13" max="13" width="32.83203125" customWidth="1"/>
    <col min="14" max="14" width="27.83203125" customWidth="1"/>
    <col min="15" max="15" width="26.83203125" customWidth="1"/>
    <col min="17" max="17" width="18.83203125" customWidth="1"/>
    <col min="18" max="18" width="17.83203125" customWidth="1"/>
    <col min="20" max="20" width="16.33203125" customWidth="1"/>
    <col min="21" max="21" width="15.6640625" customWidth="1"/>
    <col min="22" max="22" width="17.6640625" customWidth="1"/>
    <col min="23" max="23" width="20.5" customWidth="1"/>
    <col min="36" max="36" width="16" customWidth="1"/>
    <col min="37" max="37" width="19.5" customWidth="1"/>
    <col min="38" max="38" width="21.33203125" customWidth="1"/>
    <col min="39" max="39" width="23" customWidth="1"/>
    <col min="40" max="40" width="22" customWidth="1"/>
    <col min="41" max="41" width="22.6640625" customWidth="1"/>
    <col min="42" max="42" width="27.6640625" customWidth="1"/>
    <col min="43" max="43" width="20.83203125" customWidth="1"/>
    <col min="44" max="44" width="15.6640625" customWidth="1"/>
    <col min="45" max="45" width="15.1640625" customWidth="1"/>
    <col min="46" max="46" width="15.83203125" customWidth="1"/>
    <col min="47" max="47" width="16.5" customWidth="1"/>
    <col min="48" max="48" width="14.5" customWidth="1"/>
    <col min="50" max="50" width="18.6640625" customWidth="1"/>
    <col min="51" max="51" width="20.1640625" customWidth="1"/>
    <col min="52" max="52" width="14.5" customWidth="1"/>
    <col min="53" max="53" width="15.6640625" customWidth="1"/>
    <col min="56" max="56" width="14.1640625" customWidth="1"/>
  </cols>
  <sheetData>
    <row r="1" spans="1:57" s="83" customFormat="1" ht="66" customHeight="1" x14ac:dyDescent="0.15">
      <c r="A1" s="76" t="s">
        <v>0</v>
      </c>
      <c r="B1" s="77" t="s">
        <v>1</v>
      </c>
      <c r="C1" s="77" t="s">
        <v>2</v>
      </c>
      <c r="D1" s="77" t="s">
        <v>3</v>
      </c>
      <c r="E1" s="77" t="s">
        <v>4</v>
      </c>
      <c r="F1" s="77" t="s">
        <v>5</v>
      </c>
      <c r="G1" s="77" t="s">
        <v>6</v>
      </c>
      <c r="H1" s="77" t="s">
        <v>7</v>
      </c>
      <c r="I1" s="77" t="s">
        <v>8</v>
      </c>
      <c r="J1" s="77" t="s">
        <v>9</v>
      </c>
      <c r="K1" s="77" t="s">
        <v>10</v>
      </c>
      <c r="L1" s="77" t="s">
        <v>11</v>
      </c>
      <c r="M1" s="77" t="s">
        <v>12</v>
      </c>
      <c r="N1" s="77" t="s">
        <v>13</v>
      </c>
      <c r="O1" s="77" t="s">
        <v>14</v>
      </c>
      <c r="P1" s="77" t="s">
        <v>15</v>
      </c>
      <c r="Q1" s="78" t="s">
        <v>16</v>
      </c>
      <c r="R1" s="77" t="s">
        <v>17</v>
      </c>
      <c r="S1" s="77" t="s">
        <v>18</v>
      </c>
      <c r="T1" s="77" t="s">
        <v>19</v>
      </c>
      <c r="U1" s="77" t="s">
        <v>20</v>
      </c>
      <c r="V1" s="77" t="s">
        <v>21</v>
      </c>
      <c r="W1" s="77" t="s">
        <v>22</v>
      </c>
      <c r="X1" s="77" t="s">
        <v>23</v>
      </c>
      <c r="Y1" s="77" t="s">
        <v>24</v>
      </c>
      <c r="Z1" s="77" t="s">
        <v>25</v>
      </c>
      <c r="AA1" s="77" t="s">
        <v>26</v>
      </c>
      <c r="AB1" s="77" t="s">
        <v>27</v>
      </c>
      <c r="AC1" s="77" t="s">
        <v>28</v>
      </c>
      <c r="AD1" s="77" t="s">
        <v>29</v>
      </c>
      <c r="AE1" s="77" t="s">
        <v>30</v>
      </c>
      <c r="AF1" s="77" t="s">
        <v>31</v>
      </c>
      <c r="AG1" s="77" t="s">
        <v>32</v>
      </c>
      <c r="AH1" s="77" t="s">
        <v>33</v>
      </c>
      <c r="AI1" s="77" t="s">
        <v>34</v>
      </c>
      <c r="AJ1" s="77" t="s">
        <v>35</v>
      </c>
      <c r="AK1" s="77" t="s">
        <v>36</v>
      </c>
      <c r="AL1" s="77" t="s">
        <v>37</v>
      </c>
      <c r="AM1" s="77" t="s">
        <v>38</v>
      </c>
      <c r="AN1" s="77" t="s">
        <v>39</v>
      </c>
      <c r="AO1" s="77" t="s">
        <v>40</v>
      </c>
      <c r="AP1" s="79" t="s">
        <v>41</v>
      </c>
      <c r="AQ1" s="77" t="s">
        <v>42</v>
      </c>
      <c r="AR1" s="77" t="s">
        <v>43</v>
      </c>
      <c r="AS1" s="77" t="s">
        <v>44</v>
      </c>
      <c r="AT1" s="77" t="s">
        <v>45</v>
      </c>
      <c r="AU1" s="77" t="s">
        <v>46</v>
      </c>
      <c r="AV1" s="77" t="s">
        <v>47</v>
      </c>
      <c r="AW1" s="77" t="s">
        <v>48</v>
      </c>
      <c r="AX1" s="77" t="s">
        <v>49</v>
      </c>
      <c r="AY1" s="77" t="s">
        <v>50</v>
      </c>
      <c r="AZ1" s="77" t="s">
        <v>51</v>
      </c>
      <c r="BA1" s="77" t="s">
        <v>52</v>
      </c>
      <c r="BB1" s="77" t="s">
        <v>53</v>
      </c>
      <c r="BC1" s="80" t="s">
        <v>54</v>
      </c>
      <c r="BD1" s="81" t="s">
        <v>55</v>
      </c>
      <c r="BE1" s="82" t="s">
        <v>56</v>
      </c>
    </row>
    <row r="2" spans="1:57" ht="70.5" hidden="1" customHeight="1" x14ac:dyDescent="0.15">
      <c r="A2" s="1" t="s">
        <v>57</v>
      </c>
      <c r="B2" s="2"/>
      <c r="C2" s="3" t="s">
        <v>58</v>
      </c>
      <c r="D2" s="3" t="s">
        <v>59</v>
      </c>
      <c r="E2" s="3" t="s">
        <v>60</v>
      </c>
      <c r="F2" s="3" t="s">
        <v>61</v>
      </c>
      <c r="G2" s="3" t="s">
        <v>62</v>
      </c>
      <c r="H2" s="3" t="s">
        <v>61</v>
      </c>
      <c r="I2" s="3" t="s">
        <v>63</v>
      </c>
      <c r="J2" s="3" t="s">
        <v>64</v>
      </c>
      <c r="K2" s="3" t="s">
        <v>65</v>
      </c>
      <c r="L2" s="3" t="s">
        <v>66</v>
      </c>
      <c r="M2" s="3" t="s">
        <v>67</v>
      </c>
      <c r="N2" s="3" t="s">
        <v>68</v>
      </c>
      <c r="O2" s="3" t="s">
        <v>69</v>
      </c>
      <c r="P2" s="3" t="s">
        <v>70</v>
      </c>
      <c r="Q2" s="4" t="s">
        <v>71</v>
      </c>
      <c r="R2" s="3" t="s">
        <v>72</v>
      </c>
      <c r="S2" s="3" t="s">
        <v>73</v>
      </c>
      <c r="T2" s="3" t="s">
        <v>74</v>
      </c>
      <c r="U2" s="3" t="s">
        <v>75</v>
      </c>
      <c r="V2" s="3" t="s">
        <v>76</v>
      </c>
      <c r="W2" s="3" t="s">
        <v>77</v>
      </c>
      <c r="X2" s="3" t="s">
        <v>78</v>
      </c>
      <c r="Y2" s="3" t="s">
        <v>79</v>
      </c>
      <c r="Z2" s="3" t="s">
        <v>80</v>
      </c>
      <c r="AA2" s="3" t="s">
        <v>81</v>
      </c>
      <c r="AB2" s="3" t="s">
        <v>82</v>
      </c>
      <c r="AC2" s="3" t="s">
        <v>83</v>
      </c>
      <c r="AD2" s="3" t="s">
        <v>84</v>
      </c>
      <c r="AE2" s="3" t="s">
        <v>85</v>
      </c>
      <c r="AF2" s="3" t="s">
        <v>86</v>
      </c>
      <c r="AG2" s="3" t="s">
        <v>87</v>
      </c>
      <c r="AH2" s="3" t="s">
        <v>88</v>
      </c>
      <c r="AI2" s="3" t="s">
        <v>89</v>
      </c>
      <c r="AJ2" s="3" t="s">
        <v>90</v>
      </c>
      <c r="AK2" s="3" t="s">
        <v>91</v>
      </c>
      <c r="AL2" s="3" t="s">
        <v>92</v>
      </c>
      <c r="AM2" s="3" t="s">
        <v>93</v>
      </c>
      <c r="AN2" s="3" t="s">
        <v>94</v>
      </c>
      <c r="AO2" s="3" t="s">
        <v>95</v>
      </c>
      <c r="AP2" s="3" t="s">
        <v>96</v>
      </c>
      <c r="AQ2" s="3" t="s">
        <v>97</v>
      </c>
      <c r="AR2" s="3" t="s">
        <v>98</v>
      </c>
      <c r="AS2" s="3" t="s">
        <v>99</v>
      </c>
      <c r="AT2" s="3" t="s">
        <v>100</v>
      </c>
      <c r="AU2" s="3" t="s">
        <v>101</v>
      </c>
      <c r="AV2" s="5" t="s">
        <v>102</v>
      </c>
      <c r="AW2" s="3" t="s">
        <v>103</v>
      </c>
      <c r="AX2" s="3" t="s">
        <v>104</v>
      </c>
      <c r="AY2" s="3" t="s">
        <v>105</v>
      </c>
      <c r="AZ2" s="3" t="s">
        <v>106</v>
      </c>
      <c r="BA2" s="3" t="s">
        <v>107</v>
      </c>
      <c r="BB2" s="3" t="s">
        <v>108</v>
      </c>
      <c r="BC2" s="6"/>
      <c r="BD2" s="2"/>
      <c r="BE2" s="2"/>
    </row>
    <row r="3" spans="1:57" ht="14" x14ac:dyDescent="0.15">
      <c r="A3" s="7" t="s">
        <v>109</v>
      </c>
      <c r="B3" s="8" t="s">
        <v>110</v>
      </c>
      <c r="C3" s="9">
        <v>2014</v>
      </c>
      <c r="D3" s="2" t="s">
        <v>111</v>
      </c>
      <c r="E3" s="2" t="s">
        <v>112</v>
      </c>
      <c r="F3" s="2"/>
      <c r="G3" s="2" t="s">
        <v>113</v>
      </c>
      <c r="H3" s="2"/>
      <c r="I3" s="2" t="s">
        <v>114</v>
      </c>
      <c r="J3" s="10" t="s">
        <v>115</v>
      </c>
      <c r="K3" s="9">
        <v>900</v>
      </c>
      <c r="L3" s="2"/>
      <c r="M3" s="2"/>
      <c r="N3" s="2"/>
      <c r="O3" s="2"/>
      <c r="P3" s="9">
        <v>1400</v>
      </c>
      <c r="Q3" s="11">
        <v>6</v>
      </c>
      <c r="R3" s="9">
        <v>3</v>
      </c>
      <c r="S3" s="2"/>
      <c r="T3" s="2"/>
      <c r="U3" s="2"/>
      <c r="V3" s="9">
        <v>180</v>
      </c>
      <c r="W3" s="2"/>
      <c r="X3" s="2"/>
      <c r="Y3" s="2"/>
      <c r="Z3" s="9">
        <v>5.3</v>
      </c>
      <c r="AA3" s="2"/>
      <c r="AB3" s="2"/>
      <c r="AC3" s="2"/>
      <c r="AD3" s="2"/>
      <c r="AE3" s="2"/>
      <c r="AF3" s="2"/>
      <c r="AG3" s="2"/>
      <c r="AH3" s="9">
        <v>1.17</v>
      </c>
      <c r="AI3" s="2"/>
      <c r="AJ3" s="2"/>
      <c r="AK3" s="2"/>
      <c r="AL3" s="9">
        <v>12.4</v>
      </c>
      <c r="AM3" s="2"/>
      <c r="AN3" s="2"/>
      <c r="AO3" s="2"/>
      <c r="AP3" s="2"/>
      <c r="AQ3" s="2"/>
      <c r="AR3" s="2"/>
      <c r="AS3" s="2"/>
      <c r="AT3" s="2"/>
      <c r="AU3" s="2"/>
      <c r="AV3" s="2"/>
      <c r="AW3" s="2"/>
      <c r="AX3" s="9">
        <v>1</v>
      </c>
      <c r="AY3" s="2"/>
      <c r="AZ3" s="2"/>
      <c r="BA3" s="2"/>
      <c r="BB3" s="2" t="s">
        <v>116</v>
      </c>
      <c r="BC3" s="6" t="s">
        <v>117</v>
      </c>
      <c r="BD3" s="2" t="s">
        <v>598</v>
      </c>
      <c r="BE3" s="2">
        <v>0</v>
      </c>
    </row>
    <row r="4" spans="1:57" ht="14" x14ac:dyDescent="0.15">
      <c r="A4" s="7" t="s">
        <v>109</v>
      </c>
      <c r="B4" s="8" t="s">
        <v>110</v>
      </c>
      <c r="C4" s="9">
        <v>2014</v>
      </c>
      <c r="D4" s="2" t="s">
        <v>111</v>
      </c>
      <c r="E4" s="2" t="s">
        <v>112</v>
      </c>
      <c r="F4" s="2"/>
      <c r="G4" s="2" t="s">
        <v>113</v>
      </c>
      <c r="H4" s="2"/>
      <c r="I4" s="2" t="s">
        <v>114</v>
      </c>
      <c r="J4" s="10" t="s">
        <v>118</v>
      </c>
      <c r="K4" s="9">
        <v>900</v>
      </c>
      <c r="L4" s="2"/>
      <c r="M4" s="2"/>
      <c r="N4" s="2"/>
      <c r="O4" s="2"/>
      <c r="P4" s="9">
        <v>1400</v>
      </c>
      <c r="Q4" s="11">
        <v>6</v>
      </c>
      <c r="R4" s="9">
        <v>3</v>
      </c>
      <c r="S4" s="2"/>
      <c r="T4" s="12"/>
      <c r="U4" s="12"/>
      <c r="V4" s="9">
        <v>180</v>
      </c>
      <c r="W4" s="2"/>
      <c r="X4" s="2"/>
      <c r="Y4" s="2"/>
      <c r="Z4" s="9">
        <v>5.5</v>
      </c>
      <c r="AA4" s="2"/>
      <c r="AB4" s="2"/>
      <c r="AC4" s="2"/>
      <c r="AD4" s="2"/>
      <c r="AE4" s="2"/>
      <c r="AF4" s="2"/>
      <c r="AG4" s="2"/>
      <c r="AH4" s="9">
        <v>1.78</v>
      </c>
      <c r="AI4" s="2"/>
      <c r="AJ4" s="2"/>
      <c r="AK4" s="2"/>
      <c r="AL4" s="9">
        <v>19.45</v>
      </c>
      <c r="AM4" s="2"/>
      <c r="AN4" s="2"/>
      <c r="AO4" s="2"/>
      <c r="AP4" s="2"/>
      <c r="AQ4" s="2"/>
      <c r="AR4" s="2"/>
      <c r="AS4" s="2"/>
      <c r="AT4" s="2"/>
      <c r="AU4" s="2"/>
      <c r="AV4" s="2"/>
      <c r="AW4" s="2"/>
      <c r="AX4" s="9">
        <v>1</v>
      </c>
      <c r="AY4" s="2"/>
      <c r="AZ4" s="2"/>
      <c r="BA4" s="2"/>
      <c r="BB4" s="2" t="s">
        <v>116</v>
      </c>
      <c r="BC4" s="6" t="s">
        <v>117</v>
      </c>
      <c r="BD4" s="2"/>
      <c r="BE4" s="2">
        <v>0</v>
      </c>
    </row>
    <row r="5" spans="1:57" ht="14" x14ac:dyDescent="0.15">
      <c r="A5" s="7" t="s">
        <v>109</v>
      </c>
      <c r="B5" s="8" t="s">
        <v>110</v>
      </c>
      <c r="C5" s="9">
        <v>2014</v>
      </c>
      <c r="D5" s="2" t="s">
        <v>111</v>
      </c>
      <c r="E5" s="2" t="s">
        <v>112</v>
      </c>
      <c r="F5" s="2"/>
      <c r="G5" s="2" t="s">
        <v>113</v>
      </c>
      <c r="H5" s="2"/>
      <c r="I5" s="2" t="s">
        <v>114</v>
      </c>
      <c r="J5" s="10" t="s">
        <v>119</v>
      </c>
      <c r="K5" s="9">
        <v>900</v>
      </c>
      <c r="L5" s="2"/>
      <c r="M5" s="2"/>
      <c r="N5" s="2"/>
      <c r="O5" s="2"/>
      <c r="P5" s="9">
        <v>1400</v>
      </c>
      <c r="Q5" s="11">
        <v>6</v>
      </c>
      <c r="R5" s="9">
        <v>3</v>
      </c>
      <c r="S5" s="2"/>
      <c r="T5" s="12"/>
      <c r="U5" s="12"/>
      <c r="V5" s="9">
        <v>180</v>
      </c>
      <c r="W5" s="2"/>
      <c r="X5" s="2"/>
      <c r="Y5" s="2"/>
      <c r="Z5" s="9">
        <v>5.7</v>
      </c>
      <c r="AA5" s="2"/>
      <c r="AB5" s="2"/>
      <c r="AC5" s="2"/>
      <c r="AD5" s="2"/>
      <c r="AE5" s="2"/>
      <c r="AF5" s="2"/>
      <c r="AG5" s="2"/>
      <c r="AH5" s="9">
        <v>1.44</v>
      </c>
      <c r="AI5" s="2"/>
      <c r="AJ5" s="2"/>
      <c r="AK5" s="2"/>
      <c r="AL5" s="9">
        <v>15.84</v>
      </c>
      <c r="AM5" s="2"/>
      <c r="AN5" s="2"/>
      <c r="AO5" s="2"/>
      <c r="AP5" s="2"/>
      <c r="AQ5" s="2"/>
      <c r="AR5" s="2"/>
      <c r="AS5" s="2"/>
      <c r="AT5" s="2"/>
      <c r="AU5" s="2"/>
      <c r="AV5" s="2"/>
      <c r="AW5" s="2"/>
      <c r="AX5" s="9">
        <v>1</v>
      </c>
      <c r="AY5" s="2"/>
      <c r="AZ5" s="2"/>
      <c r="BA5" s="2"/>
      <c r="BB5" s="2" t="s">
        <v>116</v>
      </c>
      <c r="BC5" s="6" t="s">
        <v>117</v>
      </c>
      <c r="BD5" s="2"/>
      <c r="BE5" s="2">
        <v>0</v>
      </c>
    </row>
    <row r="6" spans="1:57" ht="14" x14ac:dyDescent="0.15">
      <c r="A6" s="7" t="s">
        <v>109</v>
      </c>
      <c r="B6" s="8" t="s">
        <v>110</v>
      </c>
      <c r="C6" s="9">
        <v>2014</v>
      </c>
      <c r="D6" s="2" t="s">
        <v>111</v>
      </c>
      <c r="E6" s="2" t="s">
        <v>112</v>
      </c>
      <c r="F6" s="2"/>
      <c r="G6" s="2" t="s">
        <v>113</v>
      </c>
      <c r="H6" s="2"/>
      <c r="I6" s="2" t="s">
        <v>114</v>
      </c>
      <c r="J6" s="10" t="s">
        <v>120</v>
      </c>
      <c r="K6" s="9">
        <v>900</v>
      </c>
      <c r="L6" s="2"/>
      <c r="M6" s="2"/>
      <c r="N6" s="2"/>
      <c r="O6" s="2"/>
      <c r="P6" s="9">
        <v>1400</v>
      </c>
      <c r="Q6" s="11">
        <v>6</v>
      </c>
      <c r="R6" s="9">
        <v>3</v>
      </c>
      <c r="S6" s="2"/>
      <c r="T6" s="2"/>
      <c r="U6" s="2"/>
      <c r="V6" s="9">
        <v>180</v>
      </c>
      <c r="W6" s="2"/>
      <c r="X6" s="2"/>
      <c r="Y6" s="2"/>
      <c r="Z6" s="9">
        <v>5.7</v>
      </c>
      <c r="AA6" s="2"/>
      <c r="AB6" s="2"/>
      <c r="AC6" s="2"/>
      <c r="AD6" s="2"/>
      <c r="AE6" s="2"/>
      <c r="AF6" s="2"/>
      <c r="AG6" s="2"/>
      <c r="AH6" s="9">
        <v>0.96</v>
      </c>
      <c r="AI6" s="2"/>
      <c r="AJ6" s="2"/>
      <c r="AK6" s="2"/>
      <c r="AL6" s="9">
        <v>10.17</v>
      </c>
      <c r="AM6" s="2"/>
      <c r="AN6" s="2"/>
      <c r="AO6" s="2"/>
      <c r="AP6" s="2"/>
      <c r="AQ6" s="2"/>
      <c r="AR6" s="2"/>
      <c r="AS6" s="2"/>
      <c r="AT6" s="2"/>
      <c r="AU6" s="2"/>
      <c r="AV6" s="2"/>
      <c r="AW6" s="2"/>
      <c r="AX6" s="9">
        <v>1</v>
      </c>
      <c r="AY6" s="2"/>
      <c r="AZ6" s="2"/>
      <c r="BA6" s="2"/>
      <c r="BB6" s="2" t="s">
        <v>116</v>
      </c>
      <c r="BC6" s="6" t="s">
        <v>117</v>
      </c>
      <c r="BD6" s="2"/>
      <c r="BE6" s="2">
        <v>0</v>
      </c>
    </row>
    <row r="7" spans="1:57" ht="14" x14ac:dyDescent="0.15">
      <c r="A7" s="7" t="s">
        <v>109</v>
      </c>
      <c r="B7" s="8" t="s">
        <v>110</v>
      </c>
      <c r="C7" s="9">
        <v>2014</v>
      </c>
      <c r="D7" s="2" t="s">
        <v>111</v>
      </c>
      <c r="E7" s="2" t="s">
        <v>112</v>
      </c>
      <c r="F7" s="2"/>
      <c r="G7" s="2" t="s">
        <v>113</v>
      </c>
      <c r="H7" s="2"/>
      <c r="I7" s="2" t="s">
        <v>114</v>
      </c>
      <c r="J7" s="10" t="s">
        <v>121</v>
      </c>
      <c r="K7" s="9">
        <v>900</v>
      </c>
      <c r="L7" s="2"/>
      <c r="M7" s="2"/>
      <c r="N7" s="2"/>
      <c r="O7" s="2"/>
      <c r="P7" s="9">
        <v>1400</v>
      </c>
      <c r="Q7" s="11">
        <v>6</v>
      </c>
      <c r="R7" s="9">
        <v>3</v>
      </c>
      <c r="S7" s="2"/>
      <c r="T7" s="2"/>
      <c r="U7" s="2"/>
      <c r="V7" s="9">
        <v>180</v>
      </c>
      <c r="W7" s="2"/>
      <c r="X7" s="2"/>
      <c r="Y7" s="2"/>
      <c r="Z7" s="9">
        <v>5.0999999999999996</v>
      </c>
      <c r="AA7" s="2"/>
      <c r="AB7" s="2"/>
      <c r="AC7" s="2"/>
      <c r="AD7" s="2"/>
      <c r="AE7" s="2"/>
      <c r="AF7" s="2"/>
      <c r="AG7" s="2"/>
      <c r="AH7" s="9">
        <v>1.35</v>
      </c>
      <c r="AI7" s="2"/>
      <c r="AJ7" s="2"/>
      <c r="AK7" s="2"/>
      <c r="AL7" s="9">
        <v>13.68</v>
      </c>
      <c r="AM7" s="2"/>
      <c r="AN7" s="2"/>
      <c r="AO7" s="2"/>
      <c r="AP7" s="2"/>
      <c r="AQ7" s="2"/>
      <c r="AR7" s="2"/>
      <c r="AS7" s="2"/>
      <c r="AT7" s="2"/>
      <c r="AU7" s="2"/>
      <c r="AV7" s="2"/>
      <c r="AW7" s="2"/>
      <c r="AX7" s="9">
        <v>1</v>
      </c>
      <c r="AY7" s="2"/>
      <c r="AZ7" s="2"/>
      <c r="BA7" s="2"/>
      <c r="BB7" s="2" t="s">
        <v>116</v>
      </c>
      <c r="BC7" s="6" t="s">
        <v>117</v>
      </c>
      <c r="BD7" s="2"/>
      <c r="BE7" s="2">
        <v>0</v>
      </c>
    </row>
    <row r="8" spans="1:57" ht="14" x14ac:dyDescent="0.15">
      <c r="A8" s="7" t="s">
        <v>109</v>
      </c>
      <c r="B8" s="8" t="s">
        <v>110</v>
      </c>
      <c r="C8" s="9">
        <v>2014</v>
      </c>
      <c r="D8" s="2" t="s">
        <v>111</v>
      </c>
      <c r="E8" s="2" t="s">
        <v>112</v>
      </c>
      <c r="F8" s="2"/>
      <c r="G8" s="2" t="s">
        <v>122</v>
      </c>
      <c r="H8" s="2"/>
      <c r="I8" s="2" t="s">
        <v>123</v>
      </c>
      <c r="J8" s="10" t="s">
        <v>115</v>
      </c>
      <c r="K8" s="9">
        <v>900</v>
      </c>
      <c r="L8" s="2"/>
      <c r="M8" s="2"/>
      <c r="N8" s="2"/>
      <c r="O8" s="2"/>
      <c r="P8" s="9">
        <v>1400</v>
      </c>
      <c r="Q8" s="11">
        <v>6</v>
      </c>
      <c r="R8" s="9">
        <v>3</v>
      </c>
      <c r="S8" s="2"/>
      <c r="T8" s="2"/>
      <c r="U8" s="2"/>
      <c r="V8" s="9">
        <f>AVERAGE(12,60)</f>
        <v>36</v>
      </c>
      <c r="W8" s="2"/>
      <c r="X8" s="2"/>
      <c r="Y8" s="2"/>
      <c r="Z8" s="9">
        <v>7.3</v>
      </c>
      <c r="AA8" s="2"/>
      <c r="AB8" s="2"/>
      <c r="AC8" s="2"/>
      <c r="AD8" s="2"/>
      <c r="AE8" s="2"/>
      <c r="AF8" s="2"/>
      <c r="AG8" s="2"/>
      <c r="AH8" s="9">
        <v>1.1599999999999999</v>
      </c>
      <c r="AI8" s="2"/>
      <c r="AJ8" s="2"/>
      <c r="AK8" s="2"/>
      <c r="AL8" s="9">
        <v>16.600000000000001</v>
      </c>
      <c r="AM8" s="2"/>
      <c r="AN8" s="9">
        <f>AL8-AL3</f>
        <v>4.2000000000000011</v>
      </c>
      <c r="AO8" s="9">
        <f>(AN8/AL3)*100</f>
        <v>33.870967741935495</v>
      </c>
      <c r="AP8" s="2"/>
      <c r="AQ8" s="9">
        <f>Z8-Z3</f>
        <v>2</v>
      </c>
      <c r="AR8" s="9">
        <f>(AQ8/Z3)*100</f>
        <v>37.735849056603776</v>
      </c>
      <c r="AS8" s="2"/>
      <c r="AT8" s="2"/>
      <c r="AU8" s="2"/>
      <c r="AV8" s="2"/>
      <c r="AW8" s="2"/>
      <c r="AX8" s="9">
        <v>1</v>
      </c>
      <c r="AY8" s="2"/>
      <c r="AZ8" s="2"/>
      <c r="BA8" s="2"/>
      <c r="BB8" s="2" t="s">
        <v>116</v>
      </c>
      <c r="BC8" s="6" t="s">
        <v>117</v>
      </c>
      <c r="BD8" s="2"/>
      <c r="BE8" s="2">
        <v>0</v>
      </c>
    </row>
    <row r="9" spans="1:57" ht="14" x14ac:dyDescent="0.15">
      <c r="A9" s="7" t="s">
        <v>109</v>
      </c>
      <c r="B9" s="8" t="s">
        <v>110</v>
      </c>
      <c r="C9" s="9">
        <v>2014</v>
      </c>
      <c r="D9" s="2" t="s">
        <v>111</v>
      </c>
      <c r="E9" s="2" t="s">
        <v>112</v>
      </c>
      <c r="F9" s="2"/>
      <c r="G9" s="2" t="s">
        <v>122</v>
      </c>
      <c r="H9" s="2"/>
      <c r="I9" s="2" t="s">
        <v>123</v>
      </c>
      <c r="J9" s="10" t="s">
        <v>118</v>
      </c>
      <c r="K9" s="9">
        <v>900</v>
      </c>
      <c r="L9" s="2"/>
      <c r="M9" s="2"/>
      <c r="N9" s="2"/>
      <c r="O9" s="2"/>
      <c r="P9" s="9">
        <v>1400</v>
      </c>
      <c r="Q9" s="11">
        <v>6</v>
      </c>
      <c r="R9" s="9">
        <v>3</v>
      </c>
      <c r="S9" s="2"/>
      <c r="T9" s="2"/>
      <c r="U9" s="2"/>
      <c r="V9" s="9">
        <f>AVERAGE(12,60)</f>
        <v>36</v>
      </c>
      <c r="W9" s="2"/>
      <c r="X9" s="2"/>
      <c r="Y9" s="2"/>
      <c r="Z9" s="9">
        <v>7.2</v>
      </c>
      <c r="AA9" s="2"/>
      <c r="AB9" s="2"/>
      <c r="AC9" s="2"/>
      <c r="AD9" s="2"/>
      <c r="AE9" s="2"/>
      <c r="AF9" s="2"/>
      <c r="AG9" s="2"/>
      <c r="AH9" s="9">
        <v>1.29</v>
      </c>
      <c r="AI9" s="2"/>
      <c r="AJ9" s="2"/>
      <c r="AK9" s="2"/>
      <c r="AL9" s="9">
        <v>18.239999999999998</v>
      </c>
      <c r="AM9" s="2"/>
      <c r="AN9" s="9">
        <f>AL9-AL4</f>
        <v>-1.2100000000000009</v>
      </c>
      <c r="AO9" s="9">
        <f>(AN9/AL4)*100</f>
        <v>-6.2210796915167146</v>
      </c>
      <c r="AP9" s="2"/>
      <c r="AQ9" s="9">
        <f>Z9-Z4</f>
        <v>1.7000000000000002</v>
      </c>
      <c r="AR9" s="9">
        <f>(AQ9/Z4)*100</f>
        <v>30.909090909090914</v>
      </c>
      <c r="AS9" s="2"/>
      <c r="AT9" s="2"/>
      <c r="AU9" s="2"/>
      <c r="AV9" s="2"/>
      <c r="AW9" s="2"/>
      <c r="AX9" s="9">
        <v>1</v>
      </c>
      <c r="AY9" s="2"/>
      <c r="AZ9" s="2"/>
      <c r="BA9" s="2"/>
      <c r="BB9" s="2" t="s">
        <v>116</v>
      </c>
      <c r="BC9" s="6" t="s">
        <v>117</v>
      </c>
      <c r="BD9" s="2"/>
      <c r="BE9" s="2">
        <v>0</v>
      </c>
    </row>
    <row r="10" spans="1:57" ht="14" x14ac:dyDescent="0.15">
      <c r="A10" s="7" t="s">
        <v>109</v>
      </c>
      <c r="B10" s="8" t="s">
        <v>110</v>
      </c>
      <c r="C10" s="9">
        <v>2014</v>
      </c>
      <c r="D10" s="2" t="s">
        <v>111</v>
      </c>
      <c r="E10" s="2" t="s">
        <v>112</v>
      </c>
      <c r="F10" s="2"/>
      <c r="G10" s="2" t="s">
        <v>122</v>
      </c>
      <c r="H10" s="2"/>
      <c r="I10" s="2" t="s">
        <v>123</v>
      </c>
      <c r="J10" s="10" t="s">
        <v>119</v>
      </c>
      <c r="K10" s="9">
        <v>900</v>
      </c>
      <c r="L10" s="2"/>
      <c r="M10" s="2"/>
      <c r="N10" s="2"/>
      <c r="O10" s="2"/>
      <c r="P10" s="9">
        <v>1400</v>
      </c>
      <c r="Q10" s="11">
        <v>6</v>
      </c>
      <c r="R10" s="9">
        <v>3</v>
      </c>
      <c r="S10" s="2"/>
      <c r="T10" s="2"/>
      <c r="U10" s="2"/>
      <c r="V10" s="9">
        <f>AVERAGE(12,60)</f>
        <v>36</v>
      </c>
      <c r="W10" s="2"/>
      <c r="X10" s="2"/>
      <c r="Y10" s="2"/>
      <c r="Z10" s="9">
        <v>7.9</v>
      </c>
      <c r="AA10" s="2"/>
      <c r="AB10" s="2"/>
      <c r="AC10" s="2"/>
      <c r="AD10" s="2"/>
      <c r="AE10" s="2"/>
      <c r="AF10" s="2"/>
      <c r="AG10" s="2"/>
      <c r="AH10" s="9">
        <v>1.26</v>
      </c>
      <c r="AI10" s="2"/>
      <c r="AJ10" s="2"/>
      <c r="AK10" s="2"/>
      <c r="AL10" s="9">
        <v>20.11</v>
      </c>
      <c r="AM10" s="2"/>
      <c r="AN10" s="9">
        <f>AL10-AL5</f>
        <v>4.2699999999999996</v>
      </c>
      <c r="AO10" s="9">
        <f>(AN10/AL5)*100</f>
        <v>26.957070707070706</v>
      </c>
      <c r="AP10" s="2"/>
      <c r="AQ10" s="9">
        <f>Z10-Z5</f>
        <v>2.2000000000000002</v>
      </c>
      <c r="AR10" s="9">
        <f>(AQ10/Z5)*100</f>
        <v>38.596491228070178</v>
      </c>
      <c r="AS10" s="2"/>
      <c r="AT10" s="2"/>
      <c r="AU10" s="2"/>
      <c r="AV10" s="2"/>
      <c r="AW10" s="2"/>
      <c r="AX10" s="9">
        <v>1</v>
      </c>
      <c r="AY10" s="2"/>
      <c r="AZ10" s="2"/>
      <c r="BA10" s="2"/>
      <c r="BB10" s="2" t="s">
        <v>116</v>
      </c>
      <c r="BC10" s="6" t="s">
        <v>117</v>
      </c>
      <c r="BD10" s="2"/>
      <c r="BE10" s="2">
        <v>0</v>
      </c>
    </row>
    <row r="11" spans="1:57" ht="14" x14ac:dyDescent="0.15">
      <c r="A11" s="7" t="s">
        <v>109</v>
      </c>
      <c r="B11" s="8" t="s">
        <v>110</v>
      </c>
      <c r="C11" s="9">
        <v>2014</v>
      </c>
      <c r="D11" s="2" t="s">
        <v>111</v>
      </c>
      <c r="E11" s="2" t="s">
        <v>112</v>
      </c>
      <c r="F11" s="2"/>
      <c r="G11" s="2" t="s">
        <v>122</v>
      </c>
      <c r="H11" s="2"/>
      <c r="I11" s="2" t="s">
        <v>123</v>
      </c>
      <c r="J11" s="10" t="s">
        <v>120</v>
      </c>
      <c r="K11" s="9">
        <v>900</v>
      </c>
      <c r="L11" s="2"/>
      <c r="M11" s="2"/>
      <c r="N11" s="2"/>
      <c r="O11" s="2"/>
      <c r="P11" s="9">
        <v>1400</v>
      </c>
      <c r="Q11" s="11">
        <v>6</v>
      </c>
      <c r="R11" s="9">
        <v>3</v>
      </c>
      <c r="S11" s="2"/>
      <c r="T11" s="2"/>
      <c r="U11" s="2"/>
      <c r="V11" s="9">
        <f>AVERAGE(12,60)</f>
        <v>36</v>
      </c>
      <c r="W11" s="2"/>
      <c r="X11" s="2"/>
      <c r="Y11" s="2"/>
      <c r="Z11" s="9">
        <v>6.5</v>
      </c>
      <c r="AA11" s="2"/>
      <c r="AB11" s="2"/>
      <c r="AC11" s="2"/>
      <c r="AD11" s="2"/>
      <c r="AE11" s="2"/>
      <c r="AF11" s="2"/>
      <c r="AG11" s="2"/>
      <c r="AH11" s="9">
        <v>1.43</v>
      </c>
      <c r="AI11" s="2"/>
      <c r="AJ11" s="2"/>
      <c r="AK11" s="2"/>
      <c r="AL11" s="9">
        <v>18.03</v>
      </c>
      <c r="AM11" s="2"/>
      <c r="AN11" s="9">
        <f>AL11-AL6</f>
        <v>7.8600000000000012</v>
      </c>
      <c r="AO11" s="9">
        <f>(AN11/AL6)*100</f>
        <v>77.286135693215357</v>
      </c>
      <c r="AP11" s="2"/>
      <c r="AQ11" s="9">
        <f>Z11-Z6</f>
        <v>0.79999999999999982</v>
      </c>
      <c r="AR11" s="9">
        <f>(AQ11/Z6)*100</f>
        <v>14.035087719298241</v>
      </c>
      <c r="AS11" s="2"/>
      <c r="AT11" s="2"/>
      <c r="AU11" s="2"/>
      <c r="AV11" s="2"/>
      <c r="AW11" s="2"/>
      <c r="AX11" s="9">
        <v>1</v>
      </c>
      <c r="AY11" s="2"/>
      <c r="AZ11" s="2"/>
      <c r="BA11" s="2"/>
      <c r="BB11" s="2" t="s">
        <v>116</v>
      </c>
      <c r="BC11" s="6" t="s">
        <v>117</v>
      </c>
      <c r="BD11" s="2"/>
      <c r="BE11" s="2">
        <v>0</v>
      </c>
    </row>
    <row r="12" spans="1:57" ht="14" x14ac:dyDescent="0.15">
      <c r="A12" s="7" t="s">
        <v>109</v>
      </c>
      <c r="B12" s="8" t="s">
        <v>110</v>
      </c>
      <c r="C12" s="9">
        <v>2014</v>
      </c>
      <c r="D12" s="2" t="s">
        <v>111</v>
      </c>
      <c r="E12" s="2" t="s">
        <v>112</v>
      </c>
      <c r="F12" s="2"/>
      <c r="G12" s="2" t="s">
        <v>122</v>
      </c>
      <c r="H12" s="2"/>
      <c r="I12" s="2" t="s">
        <v>123</v>
      </c>
      <c r="J12" s="10" t="s">
        <v>121</v>
      </c>
      <c r="K12" s="9">
        <v>900</v>
      </c>
      <c r="L12" s="2"/>
      <c r="M12" s="2"/>
      <c r="N12" s="2"/>
      <c r="O12" s="2"/>
      <c r="P12" s="9">
        <v>1400</v>
      </c>
      <c r="Q12" s="11">
        <v>6</v>
      </c>
      <c r="R12" s="9">
        <v>3</v>
      </c>
      <c r="S12" s="2"/>
      <c r="T12" s="2"/>
      <c r="U12" s="2"/>
      <c r="V12" s="9">
        <f>AVERAGE(12,60)</f>
        <v>36</v>
      </c>
      <c r="W12" s="2"/>
      <c r="X12" s="2"/>
      <c r="Y12" s="2"/>
      <c r="Z12" s="9">
        <v>6.9</v>
      </c>
      <c r="AA12" s="2"/>
      <c r="AB12" s="2"/>
      <c r="AC12" s="2"/>
      <c r="AD12" s="2"/>
      <c r="AE12" s="2"/>
      <c r="AF12" s="2"/>
      <c r="AG12" s="2"/>
      <c r="AH12" s="9">
        <v>1.34</v>
      </c>
      <c r="AI12" s="2"/>
      <c r="AJ12" s="2"/>
      <c r="AK12" s="2"/>
      <c r="AL12" s="9">
        <v>17.82</v>
      </c>
      <c r="AM12" s="2"/>
      <c r="AN12" s="9">
        <f>AL12-AL7</f>
        <v>4.1400000000000006</v>
      </c>
      <c r="AO12" s="9">
        <f>(AN12/AL7)*100</f>
        <v>30.263157894736846</v>
      </c>
      <c r="AP12" s="2"/>
      <c r="AQ12" s="9">
        <f>Z12-Z7</f>
        <v>1.8000000000000007</v>
      </c>
      <c r="AR12" s="9">
        <f>(AQ12/Z7)*100</f>
        <v>35.29411764705884</v>
      </c>
      <c r="AS12" s="2"/>
      <c r="AT12" s="2"/>
      <c r="AU12" s="2"/>
      <c r="AV12" s="2"/>
      <c r="AW12" s="2"/>
      <c r="AX12" s="9">
        <v>1</v>
      </c>
      <c r="AY12" s="2"/>
      <c r="AZ12" s="2"/>
      <c r="BA12" s="2"/>
      <c r="BB12" s="2" t="s">
        <v>116</v>
      </c>
      <c r="BC12" s="6" t="s">
        <v>117</v>
      </c>
      <c r="BD12" s="2"/>
      <c r="BE12" s="2">
        <v>0</v>
      </c>
    </row>
    <row r="13" spans="1:57" ht="14" x14ac:dyDescent="0.15">
      <c r="A13" s="7" t="s">
        <v>109</v>
      </c>
      <c r="B13" s="8" t="s">
        <v>110</v>
      </c>
      <c r="C13" s="9">
        <v>2014</v>
      </c>
      <c r="D13" s="2" t="s">
        <v>111</v>
      </c>
      <c r="E13" s="2" t="s">
        <v>112</v>
      </c>
      <c r="F13" s="2"/>
      <c r="G13" s="2" t="s">
        <v>122</v>
      </c>
      <c r="H13" s="2"/>
      <c r="I13" s="2" t="s">
        <v>124</v>
      </c>
      <c r="J13" s="10" t="s">
        <v>115</v>
      </c>
      <c r="K13" s="9">
        <v>900</v>
      </c>
      <c r="L13" s="2"/>
      <c r="M13" s="2"/>
      <c r="N13" s="2"/>
      <c r="O13" s="2"/>
      <c r="P13" s="9">
        <v>1400</v>
      </c>
      <c r="Q13" s="11">
        <v>6</v>
      </c>
      <c r="R13" s="9">
        <v>3</v>
      </c>
      <c r="S13" s="2"/>
      <c r="T13" s="13"/>
      <c r="U13" s="13"/>
      <c r="V13" s="9">
        <f>AVERAGE(84,120)</f>
        <v>102</v>
      </c>
      <c r="W13" s="2"/>
      <c r="X13" s="2"/>
      <c r="Y13" s="2"/>
      <c r="Z13" s="9">
        <v>7.9</v>
      </c>
      <c r="AA13" s="2"/>
      <c r="AB13" s="2"/>
      <c r="AC13" s="2"/>
      <c r="AD13" s="2"/>
      <c r="AE13" s="2"/>
      <c r="AF13" s="2"/>
      <c r="AG13" s="2"/>
      <c r="AH13" s="9">
        <v>1.07</v>
      </c>
      <c r="AI13" s="2"/>
      <c r="AJ13" s="2"/>
      <c r="AK13" s="2"/>
      <c r="AL13" s="9">
        <v>16.670000000000002</v>
      </c>
      <c r="AM13" s="2"/>
      <c r="AN13" s="9">
        <f>AL13-AL3</f>
        <v>4.2700000000000014</v>
      </c>
      <c r="AO13" s="9">
        <f>(AN13/AL3)*100</f>
        <v>34.435483870967751</v>
      </c>
      <c r="AP13" s="2"/>
      <c r="AQ13" s="9">
        <f>Z13-Z3</f>
        <v>2.6000000000000005</v>
      </c>
      <c r="AR13" s="9">
        <f>(AQ13/Z3)*100</f>
        <v>49.056603773584918</v>
      </c>
      <c r="AS13" s="2"/>
      <c r="AT13" s="2"/>
      <c r="AU13" s="2"/>
      <c r="AV13" s="2"/>
      <c r="AW13" s="2"/>
      <c r="AX13" s="9">
        <v>1</v>
      </c>
      <c r="AY13" s="2"/>
      <c r="AZ13" s="2"/>
      <c r="BA13" s="2"/>
      <c r="BB13" s="2" t="s">
        <v>116</v>
      </c>
      <c r="BC13" s="6" t="s">
        <v>117</v>
      </c>
      <c r="BD13" s="2"/>
      <c r="BE13" s="2">
        <v>0</v>
      </c>
    </row>
    <row r="14" spans="1:57" ht="14" x14ac:dyDescent="0.15">
      <c r="A14" s="7" t="s">
        <v>109</v>
      </c>
      <c r="B14" s="8" t="s">
        <v>110</v>
      </c>
      <c r="C14" s="9">
        <v>2014</v>
      </c>
      <c r="D14" s="2" t="s">
        <v>111</v>
      </c>
      <c r="E14" s="2" t="s">
        <v>112</v>
      </c>
      <c r="F14" s="2"/>
      <c r="G14" s="2" t="s">
        <v>122</v>
      </c>
      <c r="H14" s="2"/>
      <c r="I14" s="2" t="s">
        <v>124</v>
      </c>
      <c r="J14" s="10" t="s">
        <v>118</v>
      </c>
      <c r="K14" s="9">
        <v>900</v>
      </c>
      <c r="L14" s="2"/>
      <c r="M14" s="2"/>
      <c r="N14" s="2"/>
      <c r="O14" s="2"/>
      <c r="P14" s="9">
        <v>1400</v>
      </c>
      <c r="Q14" s="11">
        <v>6</v>
      </c>
      <c r="R14" s="9">
        <v>3</v>
      </c>
      <c r="S14" s="2"/>
      <c r="T14" s="13"/>
      <c r="U14" s="13"/>
      <c r="V14" s="9">
        <f>AVERAGE(84,120)</f>
        <v>102</v>
      </c>
      <c r="W14" s="2"/>
      <c r="X14" s="2"/>
      <c r="Y14" s="2"/>
      <c r="Z14" s="9">
        <v>8.4</v>
      </c>
      <c r="AA14" s="2"/>
      <c r="AB14" s="2"/>
      <c r="AC14" s="2"/>
      <c r="AD14" s="2"/>
      <c r="AE14" s="2"/>
      <c r="AF14" s="2"/>
      <c r="AG14" s="2"/>
      <c r="AH14" s="9">
        <v>1.25</v>
      </c>
      <c r="AI14" s="2"/>
      <c r="AJ14" s="2"/>
      <c r="AK14" s="2"/>
      <c r="AL14" s="9">
        <v>22.65</v>
      </c>
      <c r="AM14" s="2"/>
      <c r="AN14" s="9">
        <f>AL14-AL4</f>
        <v>3.1999999999999993</v>
      </c>
      <c r="AO14" s="9">
        <f>(AN14/AL4)*100</f>
        <v>16.452442159383029</v>
      </c>
      <c r="AP14" s="2"/>
      <c r="AQ14" s="9">
        <f>Z14-Z4</f>
        <v>2.9000000000000004</v>
      </c>
      <c r="AR14" s="9">
        <f>(AQ14/Z4)*100</f>
        <v>52.727272727272734</v>
      </c>
      <c r="AS14" s="2"/>
      <c r="AT14" s="2"/>
      <c r="AU14" s="2"/>
      <c r="AV14" s="2"/>
      <c r="AW14" s="2"/>
      <c r="AX14" s="9">
        <v>1</v>
      </c>
      <c r="AY14" s="2"/>
      <c r="AZ14" s="2"/>
      <c r="BA14" s="2"/>
      <c r="BB14" s="2" t="s">
        <v>116</v>
      </c>
      <c r="BC14" s="6" t="s">
        <v>117</v>
      </c>
      <c r="BD14" s="2"/>
      <c r="BE14" s="2">
        <v>0</v>
      </c>
    </row>
    <row r="15" spans="1:57" ht="14" x14ac:dyDescent="0.15">
      <c r="A15" s="7" t="s">
        <v>109</v>
      </c>
      <c r="B15" s="8" t="s">
        <v>110</v>
      </c>
      <c r="C15" s="9">
        <v>2014</v>
      </c>
      <c r="D15" s="2" t="s">
        <v>111</v>
      </c>
      <c r="E15" s="2" t="s">
        <v>112</v>
      </c>
      <c r="F15" s="2"/>
      <c r="G15" s="2" t="s">
        <v>122</v>
      </c>
      <c r="H15" s="2"/>
      <c r="I15" s="2" t="s">
        <v>124</v>
      </c>
      <c r="J15" s="10" t="s">
        <v>119</v>
      </c>
      <c r="K15" s="9">
        <v>900</v>
      </c>
      <c r="L15" s="2"/>
      <c r="M15" s="2"/>
      <c r="N15" s="2"/>
      <c r="O15" s="2"/>
      <c r="P15" s="9">
        <v>1400</v>
      </c>
      <c r="Q15" s="11">
        <v>6</v>
      </c>
      <c r="R15" s="9">
        <v>3</v>
      </c>
      <c r="S15" s="2"/>
      <c r="T15" s="13"/>
      <c r="U15" s="13"/>
      <c r="V15" s="9">
        <f>AVERAGE(84,120)</f>
        <v>102</v>
      </c>
      <c r="W15" s="2"/>
      <c r="X15" s="2"/>
      <c r="Y15" s="2"/>
      <c r="Z15" s="9">
        <v>8.1999999999999993</v>
      </c>
      <c r="AA15" s="2"/>
      <c r="AB15" s="2"/>
      <c r="AC15" s="2"/>
      <c r="AD15" s="2"/>
      <c r="AE15" s="2"/>
      <c r="AF15" s="2"/>
      <c r="AG15" s="2"/>
      <c r="AH15" s="9">
        <v>1.4</v>
      </c>
      <c r="AI15" s="2"/>
      <c r="AJ15" s="2"/>
      <c r="AK15" s="2"/>
      <c r="AL15" s="9">
        <v>24.07</v>
      </c>
      <c r="AM15" s="2"/>
      <c r="AN15" s="9">
        <f>AL15-AL5</f>
        <v>8.23</v>
      </c>
      <c r="AO15" s="9">
        <f>(AN15/AL5)*100</f>
        <v>51.957070707070706</v>
      </c>
      <c r="AP15" s="2"/>
      <c r="AQ15" s="9">
        <f>Z15-Z5</f>
        <v>2.4999999999999991</v>
      </c>
      <c r="AR15" s="9">
        <f>(AQ15/Z5)*100</f>
        <v>43.859649122806999</v>
      </c>
      <c r="AS15" s="2"/>
      <c r="AT15" s="2"/>
      <c r="AU15" s="2"/>
      <c r="AV15" s="2"/>
      <c r="AW15" s="2"/>
      <c r="AX15" s="9">
        <v>1</v>
      </c>
      <c r="AY15" s="2"/>
      <c r="AZ15" s="2"/>
      <c r="BA15" s="2"/>
      <c r="BB15" s="2" t="s">
        <v>116</v>
      </c>
      <c r="BC15" s="6" t="s">
        <v>117</v>
      </c>
      <c r="BD15" s="2"/>
      <c r="BE15" s="2">
        <v>0</v>
      </c>
    </row>
    <row r="16" spans="1:57" ht="14" x14ac:dyDescent="0.15">
      <c r="A16" s="7" t="s">
        <v>109</v>
      </c>
      <c r="B16" s="8" t="s">
        <v>110</v>
      </c>
      <c r="C16" s="9">
        <v>2014</v>
      </c>
      <c r="D16" s="2" t="s">
        <v>111</v>
      </c>
      <c r="E16" s="2" t="s">
        <v>112</v>
      </c>
      <c r="F16" s="2"/>
      <c r="G16" s="2" t="s">
        <v>122</v>
      </c>
      <c r="H16" s="2"/>
      <c r="I16" s="2" t="s">
        <v>124</v>
      </c>
      <c r="J16" s="10" t="s">
        <v>120</v>
      </c>
      <c r="K16" s="9">
        <v>900</v>
      </c>
      <c r="L16" s="2"/>
      <c r="M16" s="2"/>
      <c r="N16" s="2"/>
      <c r="O16" s="2"/>
      <c r="P16" s="9">
        <v>1400</v>
      </c>
      <c r="Q16" s="11">
        <v>6</v>
      </c>
      <c r="R16" s="9">
        <v>3</v>
      </c>
      <c r="S16" s="2"/>
      <c r="T16" s="13"/>
      <c r="U16" s="13"/>
      <c r="V16" s="9">
        <f>AVERAGE(84,120)</f>
        <v>102</v>
      </c>
      <c r="W16" s="2"/>
      <c r="X16" s="2"/>
      <c r="Y16" s="2"/>
      <c r="Z16" s="9">
        <v>7.6</v>
      </c>
      <c r="AA16" s="2"/>
      <c r="AB16" s="2"/>
      <c r="AC16" s="2"/>
      <c r="AD16" s="2"/>
      <c r="AE16" s="2"/>
      <c r="AF16" s="2"/>
      <c r="AG16" s="2"/>
      <c r="AH16" s="9">
        <v>1.35</v>
      </c>
      <c r="AI16" s="2"/>
      <c r="AJ16" s="2"/>
      <c r="AK16" s="2"/>
      <c r="AL16" s="9">
        <v>27.5</v>
      </c>
      <c r="AM16" s="2"/>
      <c r="AN16" s="9">
        <f>AL16-AL6</f>
        <v>17.329999999999998</v>
      </c>
      <c r="AO16" s="9">
        <f>(AN16/AL6)*100</f>
        <v>170.40314650934118</v>
      </c>
      <c r="AP16" s="2"/>
      <c r="AQ16" s="9">
        <f>Z16-Z6</f>
        <v>1.8999999999999995</v>
      </c>
      <c r="AR16" s="9">
        <f>(AQ16/Z6)*100</f>
        <v>33.333333333333321</v>
      </c>
      <c r="AS16" s="2"/>
      <c r="AT16" s="2"/>
      <c r="AU16" s="2"/>
      <c r="AV16" s="2"/>
      <c r="AW16" s="2"/>
      <c r="AX16" s="9">
        <v>1</v>
      </c>
      <c r="AY16" s="2"/>
      <c r="AZ16" s="2"/>
      <c r="BA16" s="2"/>
      <c r="BB16" s="2" t="s">
        <v>116</v>
      </c>
      <c r="BC16" s="6" t="s">
        <v>117</v>
      </c>
      <c r="BD16" s="2"/>
      <c r="BE16" s="2">
        <v>0</v>
      </c>
    </row>
    <row r="17" spans="1:57" ht="14" x14ac:dyDescent="0.15">
      <c r="A17" s="7" t="s">
        <v>109</v>
      </c>
      <c r="B17" s="8" t="s">
        <v>110</v>
      </c>
      <c r="C17" s="9">
        <v>2014</v>
      </c>
      <c r="D17" s="2" t="s">
        <v>111</v>
      </c>
      <c r="E17" s="2" t="s">
        <v>112</v>
      </c>
      <c r="F17" s="2"/>
      <c r="G17" s="2" t="s">
        <v>122</v>
      </c>
      <c r="H17" s="2"/>
      <c r="I17" s="2" t="s">
        <v>124</v>
      </c>
      <c r="J17" s="10" t="s">
        <v>121</v>
      </c>
      <c r="K17" s="9">
        <v>900</v>
      </c>
      <c r="L17" s="2"/>
      <c r="M17" s="2"/>
      <c r="N17" s="2"/>
      <c r="O17" s="2"/>
      <c r="P17" s="9">
        <v>1400</v>
      </c>
      <c r="Q17" s="11">
        <v>6</v>
      </c>
      <c r="R17" s="9">
        <v>3</v>
      </c>
      <c r="S17" s="2"/>
      <c r="T17" s="2"/>
      <c r="U17" s="2"/>
      <c r="V17" s="9">
        <f>AVERAGE(84,120)</f>
        <v>102</v>
      </c>
      <c r="W17" s="2"/>
      <c r="X17" s="2"/>
      <c r="Y17" s="2"/>
      <c r="Z17" s="9">
        <v>6.1</v>
      </c>
      <c r="AA17" s="2"/>
      <c r="AB17" s="2"/>
      <c r="AC17" s="2"/>
      <c r="AD17" s="2"/>
      <c r="AE17" s="2"/>
      <c r="AF17" s="2"/>
      <c r="AG17" s="2"/>
      <c r="AH17" s="9">
        <v>1.38</v>
      </c>
      <c r="AI17" s="2"/>
      <c r="AJ17" s="2"/>
      <c r="AK17" s="2"/>
      <c r="AL17" s="9">
        <v>19.239999999999998</v>
      </c>
      <c r="AM17" s="2"/>
      <c r="AN17" s="9">
        <f>AL17-AL7</f>
        <v>5.5599999999999987</v>
      </c>
      <c r="AO17" s="9">
        <f>(AN17/AL7)*100</f>
        <v>40.643274853801159</v>
      </c>
      <c r="AP17" s="2"/>
      <c r="AQ17" s="9">
        <f>Z17-Z7</f>
        <v>1</v>
      </c>
      <c r="AR17" s="9">
        <f>(AQ17/Z7)*100</f>
        <v>19.607843137254903</v>
      </c>
      <c r="AS17" s="2"/>
      <c r="AT17" s="2"/>
      <c r="AU17" s="2"/>
      <c r="AV17" s="2"/>
      <c r="AW17" s="2"/>
      <c r="AX17" s="9">
        <v>1</v>
      </c>
      <c r="AY17" s="2"/>
      <c r="AZ17" s="2"/>
      <c r="BA17" s="2"/>
      <c r="BB17" s="2" t="s">
        <v>116</v>
      </c>
      <c r="BC17" s="6" t="s">
        <v>117</v>
      </c>
      <c r="BD17" s="2"/>
      <c r="BE17" s="2">
        <v>0</v>
      </c>
    </row>
    <row r="18" spans="1:57" ht="14" x14ac:dyDescent="0.15">
      <c r="A18" s="7" t="s">
        <v>109</v>
      </c>
      <c r="B18" s="8" t="s">
        <v>110</v>
      </c>
      <c r="C18" s="9">
        <v>2014</v>
      </c>
      <c r="D18" s="2" t="s">
        <v>111</v>
      </c>
      <c r="E18" s="2" t="s">
        <v>112</v>
      </c>
      <c r="F18" s="2"/>
      <c r="G18" s="2" t="s">
        <v>122</v>
      </c>
      <c r="H18" s="2"/>
      <c r="I18" s="2" t="s">
        <v>125</v>
      </c>
      <c r="J18" s="10" t="s">
        <v>115</v>
      </c>
      <c r="K18" s="9">
        <v>900</v>
      </c>
      <c r="L18" s="2"/>
      <c r="M18" s="2"/>
      <c r="N18" s="2"/>
      <c r="O18" s="2"/>
      <c r="P18" s="9">
        <v>1400</v>
      </c>
      <c r="Q18" s="11">
        <v>6</v>
      </c>
      <c r="R18" s="9">
        <v>3</v>
      </c>
      <c r="S18" s="2"/>
      <c r="T18" s="2"/>
      <c r="U18" s="2"/>
      <c r="V18" s="9">
        <f>AVERAGE(180,276)</f>
        <v>228</v>
      </c>
      <c r="W18" s="2"/>
      <c r="X18" s="2"/>
      <c r="Y18" s="2"/>
      <c r="Z18" s="9">
        <v>6.8</v>
      </c>
      <c r="AA18" s="2"/>
      <c r="AB18" s="2"/>
      <c r="AC18" s="2"/>
      <c r="AD18" s="2"/>
      <c r="AE18" s="2"/>
      <c r="AF18" s="2"/>
      <c r="AG18" s="2"/>
      <c r="AH18" s="9">
        <v>1.02</v>
      </c>
      <c r="AI18" s="2"/>
      <c r="AJ18" s="2"/>
      <c r="AK18" s="2"/>
      <c r="AL18" s="9">
        <v>13.51</v>
      </c>
      <c r="AM18" s="2"/>
      <c r="AN18" s="9">
        <f>AL18-AL3</f>
        <v>1.1099999999999994</v>
      </c>
      <c r="AO18" s="9">
        <f>(AN18/AL3)*100</f>
        <v>8.9516129032258007</v>
      </c>
      <c r="AP18" s="2"/>
      <c r="AQ18" s="9">
        <f>Z18-Z3</f>
        <v>1.5</v>
      </c>
      <c r="AR18" s="9">
        <f>(AQ18/Z3)*100</f>
        <v>28.30188679245283</v>
      </c>
      <c r="AS18" s="2"/>
      <c r="AT18" s="2"/>
      <c r="AU18" s="2"/>
      <c r="AV18" s="2"/>
      <c r="AW18" s="2"/>
      <c r="AX18" s="9">
        <v>1</v>
      </c>
      <c r="AY18" s="2"/>
      <c r="AZ18" s="2"/>
      <c r="BA18" s="2"/>
      <c r="BB18" s="2" t="s">
        <v>116</v>
      </c>
      <c r="BC18" s="6" t="s">
        <v>117</v>
      </c>
      <c r="BD18" s="2"/>
      <c r="BE18" s="2">
        <v>0</v>
      </c>
    </row>
    <row r="19" spans="1:57" ht="14" x14ac:dyDescent="0.15">
      <c r="A19" s="7" t="s">
        <v>109</v>
      </c>
      <c r="B19" s="8" t="s">
        <v>110</v>
      </c>
      <c r="C19" s="9">
        <v>2014</v>
      </c>
      <c r="D19" s="2" t="s">
        <v>111</v>
      </c>
      <c r="E19" s="2" t="s">
        <v>112</v>
      </c>
      <c r="F19" s="2"/>
      <c r="G19" s="2" t="s">
        <v>122</v>
      </c>
      <c r="H19" s="2"/>
      <c r="I19" s="2" t="s">
        <v>125</v>
      </c>
      <c r="J19" s="10" t="s">
        <v>118</v>
      </c>
      <c r="K19" s="9">
        <v>900</v>
      </c>
      <c r="L19" s="2"/>
      <c r="M19" s="2"/>
      <c r="N19" s="2"/>
      <c r="O19" s="2"/>
      <c r="P19" s="9">
        <v>1400</v>
      </c>
      <c r="Q19" s="11">
        <v>6</v>
      </c>
      <c r="R19" s="9">
        <v>3</v>
      </c>
      <c r="S19" s="2"/>
      <c r="T19" s="2"/>
      <c r="U19" s="2"/>
      <c r="V19" s="9">
        <v>228</v>
      </c>
      <c r="W19" s="2"/>
      <c r="X19" s="2"/>
      <c r="Y19" s="2"/>
      <c r="Z19" s="9">
        <v>6.6</v>
      </c>
      <c r="AA19" s="2"/>
      <c r="AB19" s="2"/>
      <c r="AC19" s="2"/>
      <c r="AD19" s="2"/>
      <c r="AE19" s="2"/>
      <c r="AF19" s="2"/>
      <c r="AG19" s="2"/>
      <c r="AH19" s="9">
        <v>1.43</v>
      </c>
      <c r="AI19" s="2"/>
      <c r="AJ19" s="2"/>
      <c r="AK19" s="2"/>
      <c r="AL19" s="9">
        <v>18.79</v>
      </c>
      <c r="AM19" s="2"/>
      <c r="AN19" s="9">
        <f>AL19-AL4</f>
        <v>-0.66000000000000014</v>
      </c>
      <c r="AO19" s="9">
        <f>(AN19/AL4)*100</f>
        <v>-3.3933161953727518</v>
      </c>
      <c r="AP19" s="2"/>
      <c r="AQ19" s="9">
        <f>Z19-Z4</f>
        <v>1.0999999999999996</v>
      </c>
      <c r="AR19" s="9">
        <f>(AQ19/Z4)*100</f>
        <v>19.999999999999993</v>
      </c>
      <c r="AS19" s="2"/>
      <c r="AT19" s="2"/>
      <c r="AU19" s="2"/>
      <c r="AV19" s="2"/>
      <c r="AW19" s="2"/>
      <c r="AX19" s="9">
        <v>1</v>
      </c>
      <c r="AY19" s="2"/>
      <c r="AZ19" s="2"/>
      <c r="BA19" s="2"/>
      <c r="BB19" s="2" t="s">
        <v>116</v>
      </c>
      <c r="BC19" s="6" t="s">
        <v>117</v>
      </c>
      <c r="BD19" s="2"/>
      <c r="BE19" s="2">
        <v>0</v>
      </c>
    </row>
    <row r="20" spans="1:57" ht="14" x14ac:dyDescent="0.15">
      <c r="A20" s="7" t="s">
        <v>109</v>
      </c>
      <c r="B20" s="8" t="s">
        <v>110</v>
      </c>
      <c r="C20" s="9">
        <v>2014</v>
      </c>
      <c r="D20" s="2" t="s">
        <v>111</v>
      </c>
      <c r="E20" s="2" t="s">
        <v>112</v>
      </c>
      <c r="F20" s="2"/>
      <c r="G20" s="2" t="s">
        <v>122</v>
      </c>
      <c r="H20" s="2"/>
      <c r="I20" s="2" t="s">
        <v>125</v>
      </c>
      <c r="J20" s="10" t="s">
        <v>119</v>
      </c>
      <c r="K20" s="9">
        <v>900</v>
      </c>
      <c r="L20" s="2"/>
      <c r="M20" s="2"/>
      <c r="N20" s="2"/>
      <c r="O20" s="2"/>
      <c r="P20" s="9">
        <v>1400</v>
      </c>
      <c r="Q20" s="11">
        <v>6</v>
      </c>
      <c r="R20" s="9">
        <v>3</v>
      </c>
      <c r="S20" s="2"/>
      <c r="T20" s="2"/>
      <c r="U20" s="2"/>
      <c r="V20" s="9">
        <v>228</v>
      </c>
      <c r="W20" s="2"/>
      <c r="X20" s="2"/>
      <c r="Y20" s="2"/>
      <c r="Z20" s="9">
        <v>6.7</v>
      </c>
      <c r="AA20" s="2"/>
      <c r="AB20" s="2"/>
      <c r="AC20" s="2"/>
      <c r="AD20" s="2"/>
      <c r="AE20" s="2"/>
      <c r="AF20" s="2"/>
      <c r="AG20" s="2"/>
      <c r="AH20" s="9">
        <v>1.51</v>
      </c>
      <c r="AI20" s="2"/>
      <c r="AJ20" s="2"/>
      <c r="AK20" s="2"/>
      <c r="AL20" s="9">
        <v>20.67</v>
      </c>
      <c r="AM20" s="2"/>
      <c r="AN20" s="9">
        <f>AL20-AL5</f>
        <v>4.8300000000000018</v>
      </c>
      <c r="AO20" s="9">
        <f>(AN20/AL5)*100</f>
        <v>30.492424242424253</v>
      </c>
      <c r="AP20" s="2"/>
      <c r="AQ20" s="9">
        <f>Z20-Z5</f>
        <v>1</v>
      </c>
      <c r="AR20" s="9">
        <f>(AQ20/Z5)*100</f>
        <v>17.543859649122805</v>
      </c>
      <c r="AS20" s="2"/>
      <c r="AT20" s="2"/>
      <c r="AU20" s="2"/>
      <c r="AV20" s="2"/>
      <c r="AW20" s="2"/>
      <c r="AX20" s="9">
        <v>1</v>
      </c>
      <c r="AY20" s="2"/>
      <c r="AZ20" s="2"/>
      <c r="BA20" s="2"/>
      <c r="BB20" s="2" t="s">
        <v>116</v>
      </c>
      <c r="BC20" s="6" t="s">
        <v>117</v>
      </c>
      <c r="BD20" s="2"/>
      <c r="BE20" s="2">
        <v>0</v>
      </c>
    </row>
    <row r="21" spans="1:57" ht="14" x14ac:dyDescent="0.15">
      <c r="A21" s="7" t="s">
        <v>109</v>
      </c>
      <c r="B21" s="8" t="s">
        <v>110</v>
      </c>
      <c r="C21" s="9">
        <v>2014</v>
      </c>
      <c r="D21" s="2" t="s">
        <v>111</v>
      </c>
      <c r="E21" s="2" t="s">
        <v>112</v>
      </c>
      <c r="F21" s="2"/>
      <c r="G21" s="2" t="s">
        <v>122</v>
      </c>
      <c r="H21" s="2"/>
      <c r="I21" s="2" t="s">
        <v>125</v>
      </c>
      <c r="J21" s="14" t="s">
        <v>120</v>
      </c>
      <c r="K21" s="9">
        <v>900</v>
      </c>
      <c r="L21" s="2"/>
      <c r="M21" s="2"/>
      <c r="N21" s="2"/>
      <c r="O21" s="2"/>
      <c r="P21" s="9">
        <v>1400</v>
      </c>
      <c r="Q21" s="11">
        <v>6</v>
      </c>
      <c r="R21" s="9">
        <v>3</v>
      </c>
      <c r="S21" s="2"/>
      <c r="T21" s="2"/>
      <c r="U21" s="2"/>
      <c r="V21" s="9">
        <v>228</v>
      </c>
      <c r="W21" s="2"/>
      <c r="X21" s="2"/>
      <c r="Y21" s="2"/>
      <c r="Z21" s="9">
        <v>5.7</v>
      </c>
      <c r="AA21" s="2"/>
      <c r="AB21" s="2"/>
      <c r="AC21" s="2"/>
      <c r="AD21" s="2"/>
      <c r="AE21" s="2"/>
      <c r="AF21" s="2"/>
      <c r="AG21" s="2"/>
      <c r="AH21" s="9">
        <v>1.44</v>
      </c>
      <c r="AI21" s="2"/>
      <c r="AJ21" s="2"/>
      <c r="AK21" s="2"/>
      <c r="AL21" s="9">
        <v>17.3</v>
      </c>
      <c r="AM21" s="2"/>
      <c r="AN21" s="9">
        <f>AL21-AL6</f>
        <v>7.1300000000000008</v>
      </c>
      <c r="AO21" s="9">
        <f>(AN21/AL6)*100</f>
        <v>70.108161258603744</v>
      </c>
      <c r="AP21" s="2"/>
      <c r="AQ21" s="9">
        <f>Z21-Z6</f>
        <v>0</v>
      </c>
      <c r="AR21" s="9">
        <f>(AQ21/Z6)*100</f>
        <v>0</v>
      </c>
      <c r="AS21" s="2"/>
      <c r="AT21" s="2"/>
      <c r="AU21" s="2"/>
      <c r="AV21" s="2"/>
      <c r="AW21" s="2"/>
      <c r="AX21" s="9">
        <v>1</v>
      </c>
      <c r="AY21" s="2"/>
      <c r="AZ21" s="2"/>
      <c r="BA21" s="2"/>
      <c r="BB21" s="2" t="s">
        <v>116</v>
      </c>
      <c r="BC21" s="6" t="s">
        <v>117</v>
      </c>
      <c r="BD21" s="2"/>
      <c r="BE21" s="2">
        <v>0</v>
      </c>
    </row>
    <row r="22" spans="1:57" ht="14" x14ac:dyDescent="0.15">
      <c r="A22" s="7" t="s">
        <v>109</v>
      </c>
      <c r="B22" s="8" t="s">
        <v>110</v>
      </c>
      <c r="C22" s="9">
        <v>2014</v>
      </c>
      <c r="D22" s="2" t="s">
        <v>111</v>
      </c>
      <c r="E22" s="2" t="s">
        <v>112</v>
      </c>
      <c r="F22" s="2"/>
      <c r="G22" s="2" t="s">
        <v>122</v>
      </c>
      <c r="H22" s="2"/>
      <c r="I22" s="2" t="s">
        <v>125</v>
      </c>
      <c r="J22" s="14" t="s">
        <v>121</v>
      </c>
      <c r="K22" s="9">
        <v>900</v>
      </c>
      <c r="L22" s="2"/>
      <c r="M22" s="2"/>
      <c r="N22" s="2"/>
      <c r="O22" s="2"/>
      <c r="P22" s="9">
        <v>1400</v>
      </c>
      <c r="Q22" s="11">
        <v>6</v>
      </c>
      <c r="R22" s="9">
        <v>3</v>
      </c>
      <c r="S22" s="2"/>
      <c r="T22" s="2"/>
      <c r="U22" s="2"/>
      <c r="V22" s="9">
        <v>228</v>
      </c>
      <c r="W22" s="2"/>
      <c r="X22" s="2"/>
      <c r="Y22" s="2"/>
      <c r="Z22" s="9">
        <v>5.3</v>
      </c>
      <c r="AA22" s="2"/>
      <c r="AB22" s="2"/>
      <c r="AC22" s="2"/>
      <c r="AD22" s="2"/>
      <c r="AE22" s="2"/>
      <c r="AF22" s="2"/>
      <c r="AG22" s="2"/>
      <c r="AH22" s="9">
        <v>1.57</v>
      </c>
      <c r="AI22" s="2"/>
      <c r="AJ22" s="2"/>
      <c r="AK22" s="2"/>
      <c r="AL22" s="9">
        <v>17.68</v>
      </c>
      <c r="AM22" s="2"/>
      <c r="AN22" s="9">
        <f>AL22-AL7</f>
        <v>4</v>
      </c>
      <c r="AO22" s="9">
        <f>(AN22/AL7)*100</f>
        <v>29.239766081871345</v>
      </c>
      <c r="AP22" s="2"/>
      <c r="AQ22" s="9">
        <f>Z22-Z7</f>
        <v>0.20000000000000018</v>
      </c>
      <c r="AR22" s="9">
        <f>(AQ22/Z7)*100</f>
        <v>3.9215686274509838</v>
      </c>
      <c r="AS22" s="2"/>
      <c r="AT22" s="2"/>
      <c r="AU22" s="2"/>
      <c r="AV22" s="2"/>
      <c r="AW22" s="2"/>
      <c r="AX22" s="9">
        <v>1</v>
      </c>
      <c r="AY22" s="2"/>
      <c r="AZ22" s="2"/>
      <c r="BA22" s="2"/>
      <c r="BB22" s="2" t="s">
        <v>116</v>
      </c>
      <c r="BC22" s="6" t="s">
        <v>117</v>
      </c>
      <c r="BD22" s="2"/>
      <c r="BE22" s="2">
        <v>0</v>
      </c>
    </row>
    <row r="23" spans="1:57" ht="28" x14ac:dyDescent="0.15">
      <c r="A23" s="7" t="s">
        <v>126</v>
      </c>
      <c r="B23" s="8" t="s">
        <v>127</v>
      </c>
      <c r="C23" s="9">
        <v>2016</v>
      </c>
      <c r="D23" s="2" t="s">
        <v>128</v>
      </c>
      <c r="E23" s="2" t="s">
        <v>112</v>
      </c>
      <c r="F23" s="2"/>
      <c r="G23" s="2" t="s">
        <v>122</v>
      </c>
      <c r="H23" s="2"/>
      <c r="I23" s="2" t="s">
        <v>129</v>
      </c>
      <c r="J23" s="14" t="s">
        <v>130</v>
      </c>
      <c r="K23" s="9">
        <v>567</v>
      </c>
      <c r="L23" s="2"/>
      <c r="M23" s="2"/>
      <c r="N23" s="2"/>
      <c r="O23" s="2"/>
      <c r="P23" s="9">
        <v>1250</v>
      </c>
      <c r="Q23" s="11">
        <v>4</v>
      </c>
      <c r="R23" s="9">
        <v>1</v>
      </c>
      <c r="S23" s="9">
        <f>30*40</f>
        <v>1200</v>
      </c>
      <c r="T23" s="15">
        <v>41334</v>
      </c>
      <c r="U23" s="15">
        <v>41395</v>
      </c>
      <c r="V23" s="9">
        <f>12*20</f>
        <v>240</v>
      </c>
      <c r="W23" s="2"/>
      <c r="X23" s="2"/>
      <c r="Y23" s="2"/>
      <c r="Z23" s="2"/>
      <c r="AA23" s="2"/>
      <c r="AB23" s="2"/>
      <c r="AC23" s="2"/>
      <c r="AD23" s="2"/>
      <c r="AE23" s="2"/>
      <c r="AF23" s="2"/>
      <c r="AG23" s="2"/>
      <c r="AH23" s="2"/>
      <c r="AI23" s="2"/>
      <c r="AJ23" s="2"/>
      <c r="AK23" s="2"/>
      <c r="AL23" s="9">
        <v>237.36</v>
      </c>
      <c r="AM23" s="2"/>
      <c r="AN23" s="9">
        <f>AL23-AL25</f>
        <v>109.50000000000001</v>
      </c>
      <c r="AO23" s="9">
        <f>(AN23/AL25)*100</f>
        <v>85.640544345377762</v>
      </c>
      <c r="AP23" s="2"/>
      <c r="AQ23" s="2"/>
      <c r="AR23" s="2"/>
      <c r="AS23" s="2"/>
      <c r="AT23" s="2"/>
      <c r="AU23" s="2"/>
      <c r="AV23" s="2" t="s">
        <v>131</v>
      </c>
      <c r="AW23" s="9">
        <v>53</v>
      </c>
      <c r="AX23" s="9">
        <v>1</v>
      </c>
      <c r="AY23" s="2"/>
      <c r="AZ23" s="2"/>
      <c r="BA23" s="2" t="s">
        <v>132</v>
      </c>
      <c r="BB23" s="2" t="s">
        <v>133</v>
      </c>
      <c r="BC23" s="6" t="s">
        <v>134</v>
      </c>
      <c r="BD23" s="2"/>
      <c r="BE23" s="2">
        <v>1</v>
      </c>
    </row>
    <row r="24" spans="1:57" ht="28" hidden="1" x14ac:dyDescent="0.15">
      <c r="A24" s="7" t="s">
        <v>126</v>
      </c>
      <c r="B24" s="8" t="s">
        <v>127</v>
      </c>
      <c r="C24" s="9">
        <v>2016</v>
      </c>
      <c r="D24" s="2" t="s">
        <v>128</v>
      </c>
      <c r="E24" s="2" t="s">
        <v>135</v>
      </c>
      <c r="F24" s="2"/>
      <c r="G24" s="2" t="s">
        <v>136</v>
      </c>
      <c r="H24" s="2"/>
      <c r="I24" s="2" t="s">
        <v>137</v>
      </c>
      <c r="J24" s="10" t="s">
        <v>130</v>
      </c>
      <c r="K24" s="9">
        <v>567</v>
      </c>
      <c r="L24" s="2"/>
      <c r="M24" s="2"/>
      <c r="N24" s="2"/>
      <c r="O24" s="2"/>
      <c r="P24" s="9">
        <v>1250</v>
      </c>
      <c r="Q24" s="11">
        <v>4</v>
      </c>
      <c r="R24" s="9">
        <v>1</v>
      </c>
      <c r="S24" s="9">
        <f>30*40</f>
        <v>1200</v>
      </c>
      <c r="T24" s="15">
        <v>41335</v>
      </c>
      <c r="U24" s="15">
        <v>41396</v>
      </c>
      <c r="V24" s="9">
        <f>12*5</f>
        <v>60</v>
      </c>
      <c r="W24" s="2"/>
      <c r="X24" s="2"/>
      <c r="Y24" s="2"/>
      <c r="Z24" s="2"/>
      <c r="AA24" s="2"/>
      <c r="AB24" s="2"/>
      <c r="AC24" s="2"/>
      <c r="AD24" s="2"/>
      <c r="AE24" s="2"/>
      <c r="AF24" s="2"/>
      <c r="AG24" s="2"/>
      <c r="AH24" s="2"/>
      <c r="AI24" s="2"/>
      <c r="AJ24" s="2"/>
      <c r="AK24" s="2"/>
      <c r="AL24" s="9">
        <v>172.67</v>
      </c>
      <c r="AM24" s="2"/>
      <c r="AN24" s="9">
        <f>AL24-AL25</f>
        <v>44.809999999999988</v>
      </c>
      <c r="AO24" s="9">
        <f>(AN24/AL25)*100</f>
        <v>35.046144220240876</v>
      </c>
      <c r="AP24" s="2"/>
      <c r="AQ24" s="2"/>
      <c r="AR24" s="2"/>
      <c r="AS24" s="2"/>
      <c r="AT24" s="2"/>
      <c r="AU24" s="2"/>
      <c r="AV24" s="2" t="s">
        <v>131</v>
      </c>
      <c r="AW24" s="9">
        <v>53</v>
      </c>
      <c r="AX24" s="9">
        <v>1</v>
      </c>
      <c r="AY24" s="2"/>
      <c r="AZ24" s="2"/>
      <c r="BA24" s="2" t="s">
        <v>132</v>
      </c>
      <c r="BB24" s="2" t="s">
        <v>133</v>
      </c>
      <c r="BC24" s="6" t="s">
        <v>134</v>
      </c>
      <c r="BD24" s="2"/>
      <c r="BE24" s="2">
        <v>1</v>
      </c>
    </row>
    <row r="25" spans="1:57" ht="28" hidden="1" x14ac:dyDescent="0.15">
      <c r="A25" s="7" t="s">
        <v>126</v>
      </c>
      <c r="B25" s="8" t="s">
        <v>127</v>
      </c>
      <c r="C25" s="9">
        <v>2016</v>
      </c>
      <c r="D25" s="2" t="s">
        <v>128</v>
      </c>
      <c r="E25" s="2" t="s">
        <v>135</v>
      </c>
      <c r="F25" s="2"/>
      <c r="G25" s="2" t="s">
        <v>113</v>
      </c>
      <c r="H25" s="2"/>
      <c r="I25" s="2" t="s">
        <v>138</v>
      </c>
      <c r="J25" s="10" t="s">
        <v>130</v>
      </c>
      <c r="K25" s="9">
        <v>567</v>
      </c>
      <c r="L25" s="2"/>
      <c r="M25" s="2"/>
      <c r="N25" s="2"/>
      <c r="O25" s="2"/>
      <c r="P25" s="9">
        <v>1250</v>
      </c>
      <c r="Q25" s="11">
        <v>4</v>
      </c>
      <c r="R25" s="9">
        <v>1</v>
      </c>
      <c r="S25" s="9">
        <f>30*40</f>
        <v>1200</v>
      </c>
      <c r="T25" s="15">
        <v>41336</v>
      </c>
      <c r="U25" s="15">
        <v>41397</v>
      </c>
      <c r="V25" s="9">
        <f>12*20</f>
        <v>240</v>
      </c>
      <c r="W25" s="2"/>
      <c r="X25" s="2"/>
      <c r="Y25" s="2"/>
      <c r="Z25" s="2"/>
      <c r="AA25" s="2"/>
      <c r="AB25" s="2"/>
      <c r="AC25" s="2"/>
      <c r="AD25" s="2"/>
      <c r="AE25" s="2"/>
      <c r="AF25" s="2"/>
      <c r="AG25" s="2"/>
      <c r="AH25" s="2"/>
      <c r="AI25" s="2"/>
      <c r="AJ25" s="2"/>
      <c r="AK25" s="2"/>
      <c r="AL25" s="9">
        <v>127.86</v>
      </c>
      <c r="AM25" s="2"/>
      <c r="AN25" s="2"/>
      <c r="AO25" s="2"/>
      <c r="AP25" s="2"/>
      <c r="AQ25" s="2"/>
      <c r="AR25" s="2"/>
      <c r="AS25" s="2"/>
      <c r="AT25" s="2"/>
      <c r="AU25" s="2"/>
      <c r="AV25" s="2" t="s">
        <v>131</v>
      </c>
      <c r="AW25" s="9">
        <v>53</v>
      </c>
      <c r="AX25" s="9">
        <v>1</v>
      </c>
      <c r="AY25" s="2"/>
      <c r="AZ25" s="2"/>
      <c r="BA25" s="2" t="s">
        <v>132</v>
      </c>
      <c r="BB25" s="2" t="s">
        <v>133</v>
      </c>
      <c r="BC25" s="6" t="s">
        <v>139</v>
      </c>
      <c r="BD25" s="2"/>
      <c r="BE25" s="2">
        <v>0</v>
      </c>
    </row>
    <row r="26" spans="1:57" ht="28" x14ac:dyDescent="0.15">
      <c r="A26" s="7" t="s">
        <v>140</v>
      </c>
      <c r="B26" s="8" t="s">
        <v>141</v>
      </c>
      <c r="C26" s="9">
        <v>2016</v>
      </c>
      <c r="D26" s="2" t="s">
        <v>142</v>
      </c>
      <c r="E26" s="2" t="s">
        <v>112</v>
      </c>
      <c r="F26" s="2" t="s">
        <v>143</v>
      </c>
      <c r="G26" s="2" t="s">
        <v>144</v>
      </c>
      <c r="H26" s="2" t="s">
        <v>145</v>
      </c>
      <c r="I26" s="2" t="s">
        <v>146</v>
      </c>
      <c r="J26" s="10" t="s">
        <v>147</v>
      </c>
      <c r="K26" s="9">
        <v>400</v>
      </c>
      <c r="L26" s="9">
        <v>24</v>
      </c>
      <c r="M26" s="2"/>
      <c r="N26" s="2"/>
      <c r="O26" s="2"/>
      <c r="P26" s="2"/>
      <c r="Q26" s="11">
        <v>3</v>
      </c>
      <c r="R26" s="9">
        <v>1</v>
      </c>
      <c r="S26" s="9">
        <v>10000</v>
      </c>
      <c r="T26" s="2"/>
      <c r="U26" s="2"/>
      <c r="V26" s="9">
        <f>8*12</f>
        <v>96</v>
      </c>
      <c r="W26" s="2" t="s">
        <v>148</v>
      </c>
      <c r="X26" s="2"/>
      <c r="Y26" s="2"/>
      <c r="Z26" s="2"/>
      <c r="AA26" s="2"/>
      <c r="AB26" s="2"/>
      <c r="AC26" s="2"/>
      <c r="AD26" s="2"/>
      <c r="AE26" s="2"/>
      <c r="AF26" s="2"/>
      <c r="AG26" s="2"/>
      <c r="AH26" s="2"/>
      <c r="AI26" s="2"/>
      <c r="AJ26" s="2"/>
      <c r="AK26" s="2"/>
      <c r="AL26" s="9">
        <v>148.5</v>
      </c>
      <c r="AM26" s="2"/>
      <c r="AN26" s="9">
        <f>AL26-AL27</f>
        <v>58.2</v>
      </c>
      <c r="AO26" s="9">
        <f>(AN26/AL27)*100</f>
        <v>64.451827242524914</v>
      </c>
      <c r="AP26" s="2"/>
      <c r="AQ26" s="2"/>
      <c r="AR26" s="2"/>
      <c r="AS26" s="2"/>
      <c r="AT26" s="2"/>
      <c r="AU26" s="2"/>
      <c r="AV26" s="2" t="s">
        <v>149</v>
      </c>
      <c r="AW26" s="9">
        <v>21.5</v>
      </c>
      <c r="AX26" s="9">
        <v>1</v>
      </c>
      <c r="AY26" s="9">
        <v>3</v>
      </c>
      <c r="AZ26" s="2" t="s">
        <v>150</v>
      </c>
      <c r="BA26" s="2"/>
      <c r="BB26" s="2" t="s">
        <v>116</v>
      </c>
      <c r="BC26" s="6" t="s">
        <v>151</v>
      </c>
      <c r="BD26" s="2"/>
      <c r="BE26" s="2">
        <v>0</v>
      </c>
    </row>
    <row r="27" spans="1:57" ht="28" x14ac:dyDescent="0.15">
      <c r="A27" s="7" t="s">
        <v>140</v>
      </c>
      <c r="B27" s="8" t="s">
        <v>141</v>
      </c>
      <c r="C27" s="9">
        <v>2016</v>
      </c>
      <c r="D27" s="2" t="s">
        <v>142</v>
      </c>
      <c r="E27" s="2" t="s">
        <v>112</v>
      </c>
      <c r="F27" s="2" t="s">
        <v>143</v>
      </c>
      <c r="G27" s="2" t="s">
        <v>113</v>
      </c>
      <c r="H27" s="2"/>
      <c r="I27" s="2" t="s">
        <v>152</v>
      </c>
      <c r="J27" s="10" t="s">
        <v>147</v>
      </c>
      <c r="K27" s="9">
        <v>400</v>
      </c>
      <c r="L27" s="9">
        <v>24</v>
      </c>
      <c r="M27" s="2"/>
      <c r="N27" s="2"/>
      <c r="O27" s="2"/>
      <c r="P27" s="2"/>
      <c r="Q27" s="11">
        <v>3</v>
      </c>
      <c r="R27" s="9">
        <v>1</v>
      </c>
      <c r="S27" s="9">
        <v>10000</v>
      </c>
      <c r="T27" s="2"/>
      <c r="U27" s="2"/>
      <c r="V27" s="9">
        <f>12*60</f>
        <v>720</v>
      </c>
      <c r="W27" s="2" t="s">
        <v>148</v>
      </c>
      <c r="X27" s="2"/>
      <c r="Y27" s="2"/>
      <c r="Z27" s="2"/>
      <c r="AA27" s="2"/>
      <c r="AB27" s="2"/>
      <c r="AC27" s="2"/>
      <c r="AD27" s="2"/>
      <c r="AE27" s="2"/>
      <c r="AF27" s="2"/>
      <c r="AG27" s="2"/>
      <c r="AH27" s="2"/>
      <c r="AI27" s="2"/>
      <c r="AJ27" s="2"/>
      <c r="AK27" s="2"/>
      <c r="AL27" s="9">
        <v>90.3</v>
      </c>
      <c r="AM27" s="2"/>
      <c r="AN27" s="2"/>
      <c r="AO27" s="2"/>
      <c r="AP27" s="2"/>
      <c r="AQ27" s="2"/>
      <c r="AR27" s="2"/>
      <c r="AS27" s="2"/>
      <c r="AT27" s="2"/>
      <c r="AU27" s="2"/>
      <c r="AV27" s="2" t="s">
        <v>149</v>
      </c>
      <c r="AW27" s="9">
        <v>21.5</v>
      </c>
      <c r="AX27" s="9">
        <v>1</v>
      </c>
      <c r="AY27" s="9">
        <v>3</v>
      </c>
      <c r="AZ27" s="2" t="s">
        <v>150</v>
      </c>
      <c r="BA27" s="2"/>
      <c r="BB27" s="2" t="s">
        <v>116</v>
      </c>
      <c r="BC27" s="6" t="s">
        <v>151</v>
      </c>
      <c r="BD27" s="2"/>
      <c r="BE27" s="2">
        <v>0</v>
      </c>
    </row>
    <row r="28" spans="1:57" ht="28" x14ac:dyDescent="0.15">
      <c r="A28" s="7" t="s">
        <v>140</v>
      </c>
      <c r="B28" s="8" t="s">
        <v>141</v>
      </c>
      <c r="C28" s="9">
        <v>2016</v>
      </c>
      <c r="D28" s="2" t="s">
        <v>142</v>
      </c>
      <c r="E28" s="2" t="s">
        <v>112</v>
      </c>
      <c r="F28" s="2" t="s">
        <v>143</v>
      </c>
      <c r="G28" s="2" t="s">
        <v>144</v>
      </c>
      <c r="H28" s="2" t="s">
        <v>145</v>
      </c>
      <c r="I28" s="2" t="s">
        <v>153</v>
      </c>
      <c r="J28" s="10" t="s">
        <v>147</v>
      </c>
      <c r="K28" s="9">
        <v>400</v>
      </c>
      <c r="L28" s="9">
        <v>24</v>
      </c>
      <c r="M28" s="2"/>
      <c r="N28" s="2"/>
      <c r="O28" s="2"/>
      <c r="P28" s="2"/>
      <c r="Q28" s="11">
        <v>3</v>
      </c>
      <c r="R28" s="9">
        <v>1</v>
      </c>
      <c r="S28" s="9">
        <v>10000</v>
      </c>
      <c r="T28" s="2"/>
      <c r="U28" s="2"/>
      <c r="V28" s="9">
        <f>12*5</f>
        <v>60</v>
      </c>
      <c r="W28" s="2" t="s">
        <v>148</v>
      </c>
      <c r="X28" s="2"/>
      <c r="Y28" s="2"/>
      <c r="Z28" s="2"/>
      <c r="AA28" s="2"/>
      <c r="AB28" s="2"/>
      <c r="AC28" s="2"/>
      <c r="AD28" s="2"/>
      <c r="AE28" s="2"/>
      <c r="AF28" s="2"/>
      <c r="AG28" s="2"/>
      <c r="AH28" s="2"/>
      <c r="AI28" s="2"/>
      <c r="AJ28" s="2"/>
      <c r="AK28" s="2"/>
      <c r="AL28" s="9">
        <v>54.3</v>
      </c>
      <c r="AM28" s="2"/>
      <c r="AN28" s="9">
        <f>AL28-AL29</f>
        <v>9.8999999999999986</v>
      </c>
      <c r="AO28" s="9">
        <f>(AN28/AL29)*100</f>
        <v>22.297297297297295</v>
      </c>
      <c r="AP28" s="2"/>
      <c r="AQ28" s="2"/>
      <c r="AR28" s="2"/>
      <c r="AS28" s="2"/>
      <c r="AT28" s="2"/>
      <c r="AU28" s="2"/>
      <c r="AV28" s="2" t="s">
        <v>154</v>
      </c>
      <c r="AW28" s="9">
        <v>68.5</v>
      </c>
      <c r="AX28" s="9">
        <v>1</v>
      </c>
      <c r="AY28" s="9">
        <v>3</v>
      </c>
      <c r="AZ28" s="2" t="s">
        <v>150</v>
      </c>
      <c r="BA28" s="2"/>
      <c r="BB28" s="2" t="s">
        <v>116</v>
      </c>
      <c r="BC28" s="6" t="s">
        <v>151</v>
      </c>
      <c r="BD28" s="2"/>
      <c r="BE28" s="2">
        <v>0</v>
      </c>
    </row>
    <row r="29" spans="1:57" ht="28" x14ac:dyDescent="0.15">
      <c r="A29" s="7" t="s">
        <v>140</v>
      </c>
      <c r="B29" s="8" t="s">
        <v>141</v>
      </c>
      <c r="C29" s="9">
        <v>2016</v>
      </c>
      <c r="D29" s="2" t="s">
        <v>142</v>
      </c>
      <c r="E29" s="2" t="s">
        <v>112</v>
      </c>
      <c r="F29" s="2" t="s">
        <v>143</v>
      </c>
      <c r="G29" s="2" t="s">
        <v>113</v>
      </c>
      <c r="H29" s="2"/>
      <c r="I29" s="2" t="s">
        <v>155</v>
      </c>
      <c r="J29" s="10" t="s">
        <v>147</v>
      </c>
      <c r="K29" s="9">
        <v>400</v>
      </c>
      <c r="L29" s="9">
        <v>24</v>
      </c>
      <c r="M29" s="2"/>
      <c r="N29" s="2"/>
      <c r="O29" s="2"/>
      <c r="P29" s="2"/>
      <c r="Q29" s="11">
        <v>3</v>
      </c>
      <c r="R29" s="9">
        <v>1</v>
      </c>
      <c r="S29" s="9">
        <v>10000</v>
      </c>
      <c r="T29" s="2"/>
      <c r="U29" s="16"/>
      <c r="V29" s="9">
        <f>12*80</f>
        <v>960</v>
      </c>
      <c r="W29" s="2" t="s">
        <v>148</v>
      </c>
      <c r="X29" s="2"/>
      <c r="Y29" s="2"/>
      <c r="Z29" s="2"/>
      <c r="AA29" s="2"/>
      <c r="AB29" s="2"/>
      <c r="AC29" s="2"/>
      <c r="AD29" s="2"/>
      <c r="AE29" s="2"/>
      <c r="AF29" s="2"/>
      <c r="AG29" s="2"/>
      <c r="AH29" s="2"/>
      <c r="AI29" s="2"/>
      <c r="AJ29" s="2"/>
      <c r="AK29" s="2"/>
      <c r="AL29" s="9">
        <v>44.4</v>
      </c>
      <c r="AM29" s="2"/>
      <c r="AN29" s="2"/>
      <c r="AO29" s="2"/>
      <c r="AP29" s="2"/>
      <c r="AQ29" s="2"/>
      <c r="AR29" s="2"/>
      <c r="AS29" s="2"/>
      <c r="AT29" s="2"/>
      <c r="AU29" s="2"/>
      <c r="AV29" s="2" t="s">
        <v>154</v>
      </c>
      <c r="AW29" s="9">
        <v>68.5</v>
      </c>
      <c r="AX29" s="9">
        <v>1</v>
      </c>
      <c r="AY29" s="9">
        <v>3</v>
      </c>
      <c r="AZ29" s="2" t="s">
        <v>150</v>
      </c>
      <c r="BA29" s="2"/>
      <c r="BB29" s="2" t="s">
        <v>116</v>
      </c>
      <c r="BC29" s="6" t="s">
        <v>151</v>
      </c>
      <c r="BD29" s="2"/>
      <c r="BE29" s="2">
        <v>0</v>
      </c>
    </row>
    <row r="30" spans="1:57" ht="28" x14ac:dyDescent="0.15">
      <c r="A30" s="7" t="s">
        <v>140</v>
      </c>
      <c r="B30" s="8" t="s">
        <v>141</v>
      </c>
      <c r="C30" s="9">
        <v>2016</v>
      </c>
      <c r="D30" s="2" t="s">
        <v>142</v>
      </c>
      <c r="E30" s="2" t="s">
        <v>112</v>
      </c>
      <c r="F30" s="2" t="s">
        <v>143</v>
      </c>
      <c r="G30" s="2" t="s">
        <v>144</v>
      </c>
      <c r="H30" s="2" t="s">
        <v>145</v>
      </c>
      <c r="I30" s="2" t="s">
        <v>156</v>
      </c>
      <c r="J30" s="10" t="s">
        <v>147</v>
      </c>
      <c r="K30" s="9">
        <v>400</v>
      </c>
      <c r="L30" s="9">
        <v>24</v>
      </c>
      <c r="M30" s="2"/>
      <c r="N30" s="2"/>
      <c r="O30" s="2"/>
      <c r="P30" s="2"/>
      <c r="Q30" s="11">
        <v>3</v>
      </c>
      <c r="R30" s="9">
        <v>1</v>
      </c>
      <c r="S30" s="9">
        <v>10000</v>
      </c>
      <c r="T30" s="2"/>
      <c r="U30" s="16"/>
      <c r="V30" s="9">
        <f>12*6</f>
        <v>72</v>
      </c>
      <c r="W30" s="2" t="s">
        <v>148</v>
      </c>
      <c r="X30" s="2"/>
      <c r="Y30" s="2"/>
      <c r="Z30" s="2"/>
      <c r="AA30" s="2"/>
      <c r="AB30" s="2"/>
      <c r="AC30" s="2"/>
      <c r="AD30" s="2"/>
      <c r="AE30" s="2"/>
      <c r="AF30" s="2"/>
      <c r="AG30" s="2"/>
      <c r="AH30" s="2"/>
      <c r="AI30" s="2"/>
      <c r="AJ30" s="2"/>
      <c r="AK30" s="2"/>
      <c r="AL30" s="9">
        <v>25.5</v>
      </c>
      <c r="AM30" s="2"/>
      <c r="AN30" s="9">
        <f>AL30-AL31</f>
        <v>5</v>
      </c>
      <c r="AO30" s="9">
        <f>(AN30/AL31)*100</f>
        <v>24.390243902439025</v>
      </c>
      <c r="AP30" s="2"/>
      <c r="AQ30" s="2"/>
      <c r="AR30" s="2"/>
      <c r="AS30" s="2"/>
      <c r="AT30" s="2"/>
      <c r="AU30" s="2"/>
      <c r="AV30" s="2" t="s">
        <v>48</v>
      </c>
      <c r="AW30" s="9">
        <v>81</v>
      </c>
      <c r="AX30" s="9">
        <v>1</v>
      </c>
      <c r="AY30" s="9">
        <v>3</v>
      </c>
      <c r="AZ30" s="2" t="s">
        <v>150</v>
      </c>
      <c r="BA30" s="2"/>
      <c r="BB30" s="2" t="s">
        <v>116</v>
      </c>
      <c r="BC30" s="6" t="s">
        <v>151</v>
      </c>
      <c r="BD30" s="2"/>
      <c r="BE30" s="2">
        <v>0</v>
      </c>
    </row>
    <row r="31" spans="1:57" ht="28" x14ac:dyDescent="0.15">
      <c r="A31" s="7" t="s">
        <v>140</v>
      </c>
      <c r="B31" s="8" t="s">
        <v>141</v>
      </c>
      <c r="C31" s="9">
        <v>2016</v>
      </c>
      <c r="D31" s="2" t="s">
        <v>142</v>
      </c>
      <c r="E31" s="2" t="s">
        <v>112</v>
      </c>
      <c r="F31" s="2" t="s">
        <v>143</v>
      </c>
      <c r="G31" s="2" t="s">
        <v>113</v>
      </c>
      <c r="H31" s="2"/>
      <c r="I31" s="2" t="s">
        <v>157</v>
      </c>
      <c r="J31" s="10" t="s">
        <v>147</v>
      </c>
      <c r="K31" s="9">
        <v>400</v>
      </c>
      <c r="L31" s="9">
        <v>24</v>
      </c>
      <c r="M31" s="2"/>
      <c r="N31" s="2"/>
      <c r="O31" s="2"/>
      <c r="P31" s="2"/>
      <c r="Q31" s="11">
        <v>3</v>
      </c>
      <c r="R31" s="9">
        <v>1</v>
      </c>
      <c r="S31" s="9">
        <v>10000</v>
      </c>
      <c r="T31" s="2"/>
      <c r="U31" s="16"/>
      <c r="V31" s="9">
        <f>12*85</f>
        <v>1020</v>
      </c>
      <c r="W31" s="2" t="s">
        <v>148</v>
      </c>
      <c r="X31" s="2"/>
      <c r="Y31" s="2"/>
      <c r="Z31" s="2"/>
      <c r="AA31" s="2"/>
      <c r="AB31" s="2"/>
      <c r="AC31" s="2"/>
      <c r="AD31" s="2"/>
      <c r="AE31" s="2"/>
      <c r="AF31" s="2"/>
      <c r="AG31" s="2"/>
      <c r="AH31" s="2"/>
      <c r="AI31" s="2"/>
      <c r="AJ31" s="2"/>
      <c r="AK31" s="2"/>
      <c r="AL31" s="9">
        <v>20.5</v>
      </c>
      <c r="AM31" s="2"/>
      <c r="AN31" s="2"/>
      <c r="AO31" s="2"/>
      <c r="AP31" s="2"/>
      <c r="AQ31" s="2"/>
      <c r="AR31" s="2"/>
      <c r="AS31" s="2"/>
      <c r="AT31" s="2"/>
      <c r="AU31" s="2"/>
      <c r="AV31" s="2" t="s">
        <v>48</v>
      </c>
      <c r="AW31" s="9">
        <v>81</v>
      </c>
      <c r="AX31" s="9">
        <v>1</v>
      </c>
      <c r="AY31" s="9">
        <v>3</v>
      </c>
      <c r="AZ31" s="2" t="s">
        <v>150</v>
      </c>
      <c r="BA31" s="2"/>
      <c r="BB31" s="2" t="s">
        <v>116</v>
      </c>
      <c r="BC31" s="6" t="s">
        <v>151</v>
      </c>
      <c r="BD31" s="2"/>
      <c r="BE31" s="2">
        <v>0</v>
      </c>
    </row>
    <row r="32" spans="1:57" ht="42" x14ac:dyDescent="0.15">
      <c r="A32" s="7" t="s">
        <v>158</v>
      </c>
      <c r="B32" s="8" t="s">
        <v>159</v>
      </c>
      <c r="C32" s="9">
        <v>2019</v>
      </c>
      <c r="D32" s="2" t="s">
        <v>160</v>
      </c>
      <c r="E32" s="2" t="s">
        <v>112</v>
      </c>
      <c r="F32" s="2"/>
      <c r="G32" s="2" t="s">
        <v>113</v>
      </c>
      <c r="H32" s="2"/>
      <c r="I32" s="2" t="s">
        <v>161</v>
      </c>
      <c r="J32" s="10" t="s">
        <v>115</v>
      </c>
      <c r="K32" s="9">
        <v>500</v>
      </c>
      <c r="L32" s="9">
        <v>22</v>
      </c>
      <c r="M32" s="2"/>
      <c r="N32" s="2"/>
      <c r="O32" s="2"/>
      <c r="P32" s="9">
        <v>640</v>
      </c>
      <c r="Q32" s="11">
        <v>24</v>
      </c>
      <c r="R32" s="9">
        <v>5</v>
      </c>
      <c r="S32" s="9">
        <v>100</v>
      </c>
      <c r="T32" s="15">
        <v>41395</v>
      </c>
      <c r="U32" s="15">
        <v>41426</v>
      </c>
      <c r="V32" s="2"/>
      <c r="W32" s="2" t="s">
        <v>162</v>
      </c>
      <c r="X32" s="2"/>
      <c r="Y32" s="2"/>
      <c r="Z32" s="9">
        <v>20</v>
      </c>
      <c r="AA32" s="9">
        <v>1</v>
      </c>
      <c r="AB32" s="2"/>
      <c r="AC32" s="2"/>
      <c r="AD32" s="2"/>
      <c r="AE32" s="2"/>
      <c r="AF32" s="2"/>
      <c r="AG32" s="2"/>
      <c r="AH32" s="9">
        <v>1.39</v>
      </c>
      <c r="AI32" s="2"/>
      <c r="AJ32" s="2"/>
      <c r="AK32" s="2"/>
      <c r="AL32" s="9">
        <f>100*AH32*(Z32*0.001)*20</f>
        <v>55.600000000000009</v>
      </c>
      <c r="AM32" s="2"/>
      <c r="AN32" s="2"/>
      <c r="AO32" s="2"/>
      <c r="AP32" s="2"/>
      <c r="AQ32" s="2"/>
      <c r="AR32" s="2"/>
      <c r="AS32" s="2"/>
      <c r="AT32" s="2"/>
      <c r="AU32" s="2" t="s">
        <v>163</v>
      </c>
      <c r="AV32" s="2" t="s">
        <v>164</v>
      </c>
      <c r="AW32" s="2"/>
      <c r="AX32" s="9">
        <v>1</v>
      </c>
      <c r="AY32" s="9">
        <v>3</v>
      </c>
      <c r="AZ32" s="2" t="s">
        <v>165</v>
      </c>
      <c r="BA32" s="2" t="s">
        <v>132</v>
      </c>
      <c r="BB32" s="2" t="s">
        <v>133</v>
      </c>
      <c r="BC32" s="6"/>
      <c r="BD32" s="2"/>
      <c r="BE32" s="2">
        <v>0</v>
      </c>
    </row>
    <row r="33" spans="1:57" ht="42" x14ac:dyDescent="0.15">
      <c r="A33" s="7" t="s">
        <v>158</v>
      </c>
      <c r="B33" s="8" t="s">
        <v>159</v>
      </c>
      <c r="C33" s="9">
        <v>2019</v>
      </c>
      <c r="D33" s="2" t="s">
        <v>160</v>
      </c>
      <c r="E33" s="2" t="s">
        <v>112</v>
      </c>
      <c r="F33" s="2"/>
      <c r="G33" s="2" t="s">
        <v>113</v>
      </c>
      <c r="H33" s="2"/>
      <c r="I33" s="2" t="s">
        <v>166</v>
      </c>
      <c r="J33" s="10" t="s">
        <v>115</v>
      </c>
      <c r="K33" s="9">
        <v>500</v>
      </c>
      <c r="L33" s="9">
        <v>22</v>
      </c>
      <c r="M33" s="2"/>
      <c r="N33" s="2"/>
      <c r="O33" s="2"/>
      <c r="P33" s="9">
        <v>640</v>
      </c>
      <c r="Q33" s="11">
        <v>24</v>
      </c>
      <c r="R33" s="9">
        <v>5</v>
      </c>
      <c r="S33" s="9">
        <v>100</v>
      </c>
      <c r="T33" s="15">
        <v>41395</v>
      </c>
      <c r="U33" s="15">
        <v>41426</v>
      </c>
      <c r="V33" s="2"/>
      <c r="W33" s="2" t="s">
        <v>162</v>
      </c>
      <c r="X33" s="2"/>
      <c r="Y33" s="2"/>
      <c r="Z33" s="9">
        <v>23</v>
      </c>
      <c r="AA33" s="9">
        <v>1</v>
      </c>
      <c r="AB33" s="2"/>
      <c r="AC33" s="2"/>
      <c r="AD33" s="2"/>
      <c r="AE33" s="2"/>
      <c r="AF33" s="2"/>
      <c r="AG33" s="2"/>
      <c r="AH33" s="9">
        <v>1.49</v>
      </c>
      <c r="AI33" s="2"/>
      <c r="AJ33" s="2"/>
      <c r="AK33" s="2"/>
      <c r="AL33" s="9">
        <f>100*AH33*(Z33*0.001)*20</f>
        <v>68.540000000000006</v>
      </c>
      <c r="AM33" s="2"/>
      <c r="AN33" s="2"/>
      <c r="AO33" s="2"/>
      <c r="AP33" s="2"/>
      <c r="AQ33" s="2"/>
      <c r="AR33" s="2"/>
      <c r="AS33" s="2"/>
      <c r="AT33" s="2"/>
      <c r="AU33" s="2" t="s">
        <v>163</v>
      </c>
      <c r="AV33" s="2" t="s">
        <v>164</v>
      </c>
      <c r="AW33" s="2"/>
      <c r="AX33" s="9">
        <v>1</v>
      </c>
      <c r="AY33" s="9">
        <v>3</v>
      </c>
      <c r="AZ33" s="2" t="s">
        <v>165</v>
      </c>
      <c r="BA33" s="2" t="s">
        <v>132</v>
      </c>
      <c r="BB33" s="2" t="s">
        <v>133</v>
      </c>
      <c r="BC33" s="6"/>
      <c r="BD33" s="2"/>
      <c r="BE33" s="2">
        <v>0</v>
      </c>
    </row>
    <row r="34" spans="1:57" ht="42" x14ac:dyDescent="0.15">
      <c r="A34" s="7" t="s">
        <v>158</v>
      </c>
      <c r="B34" s="8" t="s">
        <v>159</v>
      </c>
      <c r="C34" s="9">
        <v>2019</v>
      </c>
      <c r="D34" s="2" t="s">
        <v>160</v>
      </c>
      <c r="E34" s="2" t="s">
        <v>112</v>
      </c>
      <c r="F34" s="2"/>
      <c r="G34" s="2" t="s">
        <v>122</v>
      </c>
      <c r="H34" s="2"/>
      <c r="I34" s="2" t="s">
        <v>167</v>
      </c>
      <c r="J34" s="10" t="s">
        <v>115</v>
      </c>
      <c r="K34" s="9">
        <v>500</v>
      </c>
      <c r="L34" s="9">
        <v>22</v>
      </c>
      <c r="M34" s="2"/>
      <c r="N34" s="2"/>
      <c r="O34" s="2"/>
      <c r="P34" s="9">
        <v>640</v>
      </c>
      <c r="Q34" s="11">
        <v>24</v>
      </c>
      <c r="R34" s="9">
        <v>5</v>
      </c>
      <c r="S34" s="9">
        <v>100</v>
      </c>
      <c r="T34" s="15">
        <v>41395</v>
      </c>
      <c r="U34" s="15">
        <v>41426</v>
      </c>
      <c r="V34" s="2"/>
      <c r="W34" s="2" t="s">
        <v>162</v>
      </c>
      <c r="X34" s="2"/>
      <c r="Y34" s="2"/>
      <c r="Z34" s="9">
        <v>22</v>
      </c>
      <c r="AA34" s="9">
        <v>1</v>
      </c>
      <c r="AB34" s="2"/>
      <c r="AC34" s="2"/>
      <c r="AD34" s="2"/>
      <c r="AE34" s="2"/>
      <c r="AF34" s="2"/>
      <c r="AG34" s="2"/>
      <c r="AH34" s="9">
        <v>1.29</v>
      </c>
      <c r="AI34" s="2"/>
      <c r="AJ34" s="2"/>
      <c r="AK34" s="2"/>
      <c r="AL34" s="9">
        <f>100*AH34*(Z34*0.001)*20</f>
        <v>56.759999999999991</v>
      </c>
      <c r="AM34" s="2"/>
      <c r="AN34" s="9">
        <f>AL34-AL32</f>
        <v>1.1599999999999824</v>
      </c>
      <c r="AO34" s="9">
        <f>(AN34/AL32)*100</f>
        <v>2.0863309352517665</v>
      </c>
      <c r="AP34" s="2"/>
      <c r="AQ34" s="9">
        <f>Z34-Z32</f>
        <v>2</v>
      </c>
      <c r="AR34" s="9">
        <f>(AQ34/Z32)*100</f>
        <v>10</v>
      </c>
      <c r="AS34" s="2"/>
      <c r="AT34" s="2"/>
      <c r="AU34" s="2" t="s">
        <v>163</v>
      </c>
      <c r="AV34" s="2" t="s">
        <v>164</v>
      </c>
      <c r="AW34" s="2"/>
      <c r="AX34" s="9">
        <v>1</v>
      </c>
      <c r="AY34" s="9">
        <v>1</v>
      </c>
      <c r="AZ34" s="2" t="s">
        <v>168</v>
      </c>
      <c r="BA34" s="2" t="s">
        <v>132</v>
      </c>
      <c r="BB34" s="2" t="s">
        <v>133</v>
      </c>
      <c r="BC34" s="6"/>
      <c r="BD34" s="2"/>
      <c r="BE34" s="2">
        <v>0</v>
      </c>
    </row>
    <row r="35" spans="1:57" ht="42" x14ac:dyDescent="0.15">
      <c r="A35" s="7" t="s">
        <v>158</v>
      </c>
      <c r="B35" s="8" t="s">
        <v>159</v>
      </c>
      <c r="C35" s="9">
        <v>2019</v>
      </c>
      <c r="D35" s="2" t="s">
        <v>160</v>
      </c>
      <c r="E35" s="2" t="s">
        <v>112</v>
      </c>
      <c r="F35" s="2"/>
      <c r="G35" s="2" t="s">
        <v>122</v>
      </c>
      <c r="H35" s="2"/>
      <c r="I35" s="2" t="s">
        <v>169</v>
      </c>
      <c r="J35" s="10" t="s">
        <v>115</v>
      </c>
      <c r="K35" s="9">
        <v>500</v>
      </c>
      <c r="L35" s="9">
        <v>22</v>
      </c>
      <c r="M35" s="2"/>
      <c r="N35" s="2"/>
      <c r="O35" s="2"/>
      <c r="P35" s="9">
        <v>640</v>
      </c>
      <c r="Q35" s="11">
        <v>24</v>
      </c>
      <c r="R35" s="9">
        <v>5</v>
      </c>
      <c r="S35" s="9">
        <v>100</v>
      </c>
      <c r="T35" s="15">
        <v>41395</v>
      </c>
      <c r="U35" s="15">
        <v>41426</v>
      </c>
      <c r="V35" s="2"/>
      <c r="W35" s="2" t="s">
        <v>162</v>
      </c>
      <c r="X35" s="2"/>
      <c r="Y35" s="2"/>
      <c r="Z35" s="9">
        <v>17</v>
      </c>
      <c r="AA35" s="9">
        <v>1</v>
      </c>
      <c r="AB35" s="2"/>
      <c r="AC35" s="2"/>
      <c r="AD35" s="2"/>
      <c r="AE35" s="2"/>
      <c r="AF35" s="2"/>
      <c r="AG35" s="2"/>
      <c r="AH35" s="9">
        <v>1.33</v>
      </c>
      <c r="AI35" s="2"/>
      <c r="AJ35" s="2"/>
      <c r="AK35" s="2"/>
      <c r="AL35" s="9">
        <f>100*AH35*(Z35*0.001)*20</f>
        <v>45.22</v>
      </c>
      <c r="AM35" s="2"/>
      <c r="AN35" s="9">
        <f>AL35-AL33</f>
        <v>-23.320000000000007</v>
      </c>
      <c r="AO35" s="9">
        <f>(AN35/AL33)*100</f>
        <v>-34.023927633498694</v>
      </c>
      <c r="AP35" s="2"/>
      <c r="AQ35" s="9">
        <f>Z35-Z33</f>
        <v>-6</v>
      </c>
      <c r="AR35" s="9">
        <f>(AQ35/Z33)*100</f>
        <v>-26.086956521739129</v>
      </c>
      <c r="AS35" s="2"/>
      <c r="AT35" s="2"/>
      <c r="AU35" s="2" t="s">
        <v>163</v>
      </c>
      <c r="AV35" s="2" t="s">
        <v>164</v>
      </c>
      <c r="AW35" s="2"/>
      <c r="AX35" s="9">
        <v>1</v>
      </c>
      <c r="AY35" s="9">
        <v>3</v>
      </c>
      <c r="AZ35" s="2" t="s">
        <v>165</v>
      </c>
      <c r="BA35" s="2" t="s">
        <v>132</v>
      </c>
      <c r="BB35" s="2" t="s">
        <v>133</v>
      </c>
      <c r="BC35" s="6"/>
      <c r="BD35" s="2"/>
      <c r="BE35" s="2">
        <v>0</v>
      </c>
    </row>
    <row r="36" spans="1:57" ht="42" x14ac:dyDescent="0.15">
      <c r="A36" s="7" t="s">
        <v>158</v>
      </c>
      <c r="B36" s="8" t="s">
        <v>159</v>
      </c>
      <c r="C36" s="9">
        <v>2019</v>
      </c>
      <c r="D36" s="2" t="s">
        <v>160</v>
      </c>
      <c r="E36" s="2" t="s">
        <v>112</v>
      </c>
      <c r="F36" s="2"/>
      <c r="G36" s="2" t="s">
        <v>122</v>
      </c>
      <c r="H36" s="2" t="s">
        <v>170</v>
      </c>
      <c r="I36" s="2" t="s">
        <v>171</v>
      </c>
      <c r="J36" s="10" t="s">
        <v>115</v>
      </c>
      <c r="K36" s="9">
        <v>400</v>
      </c>
      <c r="L36" s="9">
        <v>22</v>
      </c>
      <c r="M36" s="2"/>
      <c r="N36" s="2"/>
      <c r="O36" s="2"/>
      <c r="P36" s="9">
        <v>640</v>
      </c>
      <c r="Q36" s="11">
        <v>24</v>
      </c>
      <c r="R36" s="9">
        <v>5</v>
      </c>
      <c r="S36" s="9">
        <v>100</v>
      </c>
      <c r="T36" s="15">
        <v>41395</v>
      </c>
      <c r="U36" s="15">
        <v>41426</v>
      </c>
      <c r="V36" s="2"/>
      <c r="W36" s="2" t="s">
        <v>162</v>
      </c>
      <c r="X36" s="2"/>
      <c r="Y36" s="2"/>
      <c r="Z36" s="9">
        <v>23</v>
      </c>
      <c r="AA36" s="9">
        <v>1</v>
      </c>
      <c r="AB36" s="2"/>
      <c r="AC36" s="2"/>
      <c r="AD36" s="2"/>
      <c r="AE36" s="2"/>
      <c r="AF36" s="2"/>
      <c r="AG36" s="2"/>
      <c r="AH36" s="9">
        <v>1.28</v>
      </c>
      <c r="AI36" s="2"/>
      <c r="AJ36" s="2"/>
      <c r="AK36" s="2"/>
      <c r="AL36" s="9">
        <f>100*AH36*(Z36*0.001)*20</f>
        <v>58.879999999999995</v>
      </c>
      <c r="AM36" s="2"/>
      <c r="AN36" s="2">
        <f>AL36-AL33</f>
        <v>-9.6600000000000108</v>
      </c>
      <c r="AO36" s="2">
        <f>(AN36/AL33)*100</f>
        <v>-14.09395973154364</v>
      </c>
      <c r="AP36" s="2"/>
      <c r="AQ36" s="2">
        <f>Z36-Z33</f>
        <v>0</v>
      </c>
      <c r="AR36" s="2">
        <f>(AQ36/Z33)*100</f>
        <v>0</v>
      </c>
      <c r="AS36" s="2"/>
      <c r="AT36" s="2"/>
      <c r="AU36" s="2" t="s">
        <v>172</v>
      </c>
      <c r="AV36" s="2" t="s">
        <v>173</v>
      </c>
      <c r="AW36" s="2"/>
      <c r="AX36" s="9">
        <v>2</v>
      </c>
      <c r="AY36" s="9">
        <v>3</v>
      </c>
      <c r="AZ36" s="2" t="s">
        <v>174</v>
      </c>
      <c r="BA36" s="2" t="s">
        <v>132</v>
      </c>
      <c r="BB36" s="2" t="s">
        <v>133</v>
      </c>
      <c r="BC36" s="6"/>
      <c r="BD36" s="2"/>
      <c r="BE36" s="2">
        <v>0</v>
      </c>
    </row>
    <row r="37" spans="1:57" ht="28" hidden="1" x14ac:dyDescent="0.15">
      <c r="A37" s="7" t="s">
        <v>175</v>
      </c>
      <c r="B37" s="8" t="s">
        <v>159</v>
      </c>
      <c r="C37" s="9">
        <v>2020</v>
      </c>
      <c r="D37" s="2" t="s">
        <v>176</v>
      </c>
      <c r="E37" s="2" t="s">
        <v>143</v>
      </c>
      <c r="F37" s="2"/>
      <c r="G37" s="2" t="s">
        <v>177</v>
      </c>
      <c r="H37" s="2"/>
      <c r="I37" s="2" t="s">
        <v>178</v>
      </c>
      <c r="J37" s="10" t="s">
        <v>179</v>
      </c>
      <c r="K37" s="9">
        <v>500</v>
      </c>
      <c r="L37" s="9">
        <v>16</v>
      </c>
      <c r="M37" s="2"/>
      <c r="N37" s="2"/>
      <c r="O37" s="2"/>
      <c r="P37" s="2"/>
      <c r="Q37" s="11">
        <v>6</v>
      </c>
      <c r="R37" s="9">
        <v>1</v>
      </c>
      <c r="S37" s="9">
        <v>100</v>
      </c>
      <c r="T37" s="9">
        <v>2014</v>
      </c>
      <c r="U37" s="9">
        <v>2019</v>
      </c>
      <c r="V37" s="9">
        <v>60</v>
      </c>
      <c r="W37" s="2" t="s">
        <v>180</v>
      </c>
      <c r="X37" s="2"/>
      <c r="Y37" s="2"/>
      <c r="Z37" s="2"/>
      <c r="AA37" s="2"/>
      <c r="AB37" s="2"/>
      <c r="AC37" s="2"/>
      <c r="AD37" s="2"/>
      <c r="AE37" s="2"/>
      <c r="AF37" s="2"/>
      <c r="AG37" s="2"/>
      <c r="AH37" s="2"/>
      <c r="AI37" s="2"/>
      <c r="AJ37" s="2"/>
      <c r="AK37" s="2"/>
      <c r="AL37" s="9">
        <v>9.6</v>
      </c>
      <c r="AM37" s="2" t="s">
        <v>181</v>
      </c>
      <c r="AN37" s="9">
        <f>AL37-AL39</f>
        <v>-0.90000000000000036</v>
      </c>
      <c r="AO37" s="9">
        <f>(AN37/AL39)*100</f>
        <v>-8.5714285714285747</v>
      </c>
      <c r="AP37" s="2"/>
      <c r="AQ37" s="2"/>
      <c r="AR37" s="2"/>
      <c r="AS37" s="2"/>
      <c r="AT37" s="2"/>
      <c r="AU37" s="2"/>
      <c r="AV37" s="2" t="s">
        <v>182</v>
      </c>
      <c r="AW37" s="2"/>
      <c r="AX37" s="2"/>
      <c r="AY37" s="2"/>
      <c r="AZ37" s="2"/>
      <c r="BA37" s="2"/>
      <c r="BB37" s="2" t="s">
        <v>116</v>
      </c>
      <c r="BC37" s="6" t="s">
        <v>183</v>
      </c>
      <c r="BD37" s="2"/>
      <c r="BE37" s="2">
        <v>0</v>
      </c>
    </row>
    <row r="38" spans="1:57" ht="28" hidden="1" x14ac:dyDescent="0.15">
      <c r="A38" s="7" t="s">
        <v>175</v>
      </c>
      <c r="B38" s="8" t="s">
        <v>159</v>
      </c>
      <c r="C38" s="9">
        <v>2020</v>
      </c>
      <c r="D38" s="2" t="s">
        <v>176</v>
      </c>
      <c r="E38" s="2" t="s">
        <v>143</v>
      </c>
      <c r="F38" s="2"/>
      <c r="G38" s="2" t="s">
        <v>177</v>
      </c>
      <c r="H38" s="2"/>
      <c r="I38" s="2" t="s">
        <v>184</v>
      </c>
      <c r="J38" s="10" t="s">
        <v>179</v>
      </c>
      <c r="K38" s="9">
        <v>500</v>
      </c>
      <c r="L38" s="9">
        <v>16</v>
      </c>
      <c r="M38" s="2"/>
      <c r="N38" s="2"/>
      <c r="O38" s="2"/>
      <c r="P38" s="2"/>
      <c r="Q38" s="11">
        <v>6</v>
      </c>
      <c r="R38" s="9">
        <v>1</v>
      </c>
      <c r="S38" s="9">
        <v>100</v>
      </c>
      <c r="T38" s="9">
        <v>2014</v>
      </c>
      <c r="U38" s="9">
        <v>2019</v>
      </c>
      <c r="V38" s="9">
        <v>60</v>
      </c>
      <c r="W38" s="2" t="s">
        <v>180</v>
      </c>
      <c r="X38" s="2"/>
      <c r="Y38" s="2"/>
      <c r="Z38" s="2"/>
      <c r="AA38" s="2"/>
      <c r="AB38" s="2"/>
      <c r="AC38" s="2"/>
      <c r="AD38" s="2"/>
      <c r="AE38" s="2"/>
      <c r="AF38" s="2"/>
      <c r="AG38" s="2"/>
      <c r="AH38" s="2"/>
      <c r="AI38" s="2"/>
      <c r="AJ38" s="2"/>
      <c r="AK38" s="2"/>
      <c r="AL38" s="9">
        <v>10.4</v>
      </c>
      <c r="AM38" s="2"/>
      <c r="AN38" s="9">
        <f>AL38-AL40</f>
        <v>-1.5999999999999996</v>
      </c>
      <c r="AO38" s="9">
        <f>(AN38/AL40)*100</f>
        <v>-13.33333333333333</v>
      </c>
      <c r="AP38" s="2"/>
      <c r="AQ38" s="2"/>
      <c r="AR38" s="2"/>
      <c r="AS38" s="2"/>
      <c r="AT38" s="2"/>
      <c r="AU38" s="2"/>
      <c r="AV38" s="2" t="s">
        <v>182</v>
      </c>
      <c r="AW38" s="2"/>
      <c r="AX38" s="2"/>
      <c r="AY38" s="2"/>
      <c r="AZ38" s="2"/>
      <c r="BA38" s="2"/>
      <c r="BB38" s="2" t="s">
        <v>116</v>
      </c>
      <c r="BC38" s="6" t="s">
        <v>183</v>
      </c>
      <c r="BD38" s="2"/>
      <c r="BE38" s="2">
        <v>0</v>
      </c>
    </row>
    <row r="39" spans="1:57" ht="28" hidden="1" x14ac:dyDescent="0.15">
      <c r="A39" s="7" t="s">
        <v>175</v>
      </c>
      <c r="B39" s="8" t="s">
        <v>159</v>
      </c>
      <c r="C39" s="9">
        <v>2020</v>
      </c>
      <c r="D39" s="2" t="s">
        <v>176</v>
      </c>
      <c r="E39" s="2" t="s">
        <v>143</v>
      </c>
      <c r="F39" s="2"/>
      <c r="G39" s="2" t="s">
        <v>113</v>
      </c>
      <c r="H39" s="2"/>
      <c r="I39" s="2" t="s">
        <v>185</v>
      </c>
      <c r="J39" s="10" t="s">
        <v>179</v>
      </c>
      <c r="K39" s="9">
        <v>500</v>
      </c>
      <c r="L39" s="9">
        <v>16</v>
      </c>
      <c r="M39" s="2"/>
      <c r="N39" s="2"/>
      <c r="O39" s="2"/>
      <c r="P39" s="2"/>
      <c r="Q39" s="11">
        <v>6</v>
      </c>
      <c r="R39" s="9">
        <v>1</v>
      </c>
      <c r="S39" s="9">
        <v>100</v>
      </c>
      <c r="T39" s="9">
        <v>2014</v>
      </c>
      <c r="U39" s="9">
        <v>2019</v>
      </c>
      <c r="V39" s="9">
        <v>60</v>
      </c>
      <c r="W39" s="2" t="s">
        <v>180</v>
      </c>
      <c r="X39" s="2"/>
      <c r="Y39" s="2"/>
      <c r="Z39" s="2"/>
      <c r="AA39" s="2"/>
      <c r="AB39" s="2"/>
      <c r="AC39" s="2"/>
      <c r="AD39" s="2"/>
      <c r="AE39" s="2"/>
      <c r="AF39" s="2"/>
      <c r="AG39" s="2"/>
      <c r="AH39" s="2"/>
      <c r="AI39" s="2"/>
      <c r="AJ39" s="2"/>
      <c r="AK39" s="2"/>
      <c r="AL39" s="9">
        <v>10.5</v>
      </c>
      <c r="AM39" s="2"/>
      <c r="AN39" s="2"/>
      <c r="AO39" s="2"/>
      <c r="AP39" s="2"/>
      <c r="AQ39" s="2"/>
      <c r="AR39" s="2"/>
      <c r="AS39" s="2"/>
      <c r="AT39" s="2"/>
      <c r="AU39" s="2"/>
      <c r="AV39" s="2" t="s">
        <v>182</v>
      </c>
      <c r="AW39" s="2"/>
      <c r="AX39" s="9">
        <v>1</v>
      </c>
      <c r="AY39" s="9">
        <v>1</v>
      </c>
      <c r="AZ39" s="2" t="s">
        <v>168</v>
      </c>
      <c r="BA39" s="2"/>
      <c r="BB39" s="2" t="s">
        <v>116</v>
      </c>
      <c r="BC39" s="6" t="s">
        <v>183</v>
      </c>
      <c r="BD39" s="2"/>
      <c r="BE39" s="2">
        <v>0</v>
      </c>
    </row>
    <row r="40" spans="1:57" ht="28" hidden="1" x14ac:dyDescent="0.15">
      <c r="A40" s="7" t="s">
        <v>175</v>
      </c>
      <c r="B40" s="8" t="s">
        <v>159</v>
      </c>
      <c r="C40" s="9">
        <v>2020</v>
      </c>
      <c r="D40" s="2" t="s">
        <v>176</v>
      </c>
      <c r="E40" s="2" t="s">
        <v>143</v>
      </c>
      <c r="F40" s="2"/>
      <c r="G40" s="2" t="s">
        <v>113</v>
      </c>
      <c r="H40" s="2"/>
      <c r="I40" s="2" t="s">
        <v>186</v>
      </c>
      <c r="J40" s="10" t="s">
        <v>179</v>
      </c>
      <c r="K40" s="9">
        <v>500</v>
      </c>
      <c r="L40" s="9">
        <v>16</v>
      </c>
      <c r="M40" s="2"/>
      <c r="N40" s="2"/>
      <c r="O40" s="2"/>
      <c r="P40" s="2"/>
      <c r="Q40" s="11">
        <v>6</v>
      </c>
      <c r="R40" s="9">
        <v>1</v>
      </c>
      <c r="S40" s="9">
        <v>100</v>
      </c>
      <c r="T40" s="9">
        <v>2014</v>
      </c>
      <c r="U40" s="9">
        <v>2019</v>
      </c>
      <c r="V40" s="9">
        <v>60</v>
      </c>
      <c r="W40" s="2" t="s">
        <v>180</v>
      </c>
      <c r="X40" s="2"/>
      <c r="Y40" s="2"/>
      <c r="Z40" s="2"/>
      <c r="AA40" s="2"/>
      <c r="AB40" s="2"/>
      <c r="AC40" s="2"/>
      <c r="AD40" s="2"/>
      <c r="AE40" s="2"/>
      <c r="AF40" s="2"/>
      <c r="AG40" s="2"/>
      <c r="AH40" s="2"/>
      <c r="AI40" s="2"/>
      <c r="AJ40" s="2"/>
      <c r="AK40" s="2"/>
      <c r="AL40" s="9">
        <v>12</v>
      </c>
      <c r="AM40" s="2"/>
      <c r="AN40" s="2"/>
      <c r="AO40" s="2"/>
      <c r="AP40" s="2"/>
      <c r="AQ40" s="2"/>
      <c r="AR40" s="2"/>
      <c r="AS40" s="2"/>
      <c r="AT40" s="2"/>
      <c r="AU40" s="2"/>
      <c r="AV40" s="2" t="s">
        <v>182</v>
      </c>
      <c r="AW40" s="2"/>
      <c r="AX40" s="9">
        <v>1</v>
      </c>
      <c r="AY40" s="9">
        <v>1</v>
      </c>
      <c r="AZ40" s="2" t="s">
        <v>168</v>
      </c>
      <c r="BA40" s="2"/>
      <c r="BB40" s="2" t="s">
        <v>116</v>
      </c>
      <c r="BC40" s="6" t="s">
        <v>183</v>
      </c>
      <c r="BD40" s="2"/>
      <c r="BE40" s="2">
        <v>0</v>
      </c>
    </row>
    <row r="41" spans="1:57" ht="29" hidden="1" x14ac:dyDescent="0.2">
      <c r="A41" s="7" t="s">
        <v>187</v>
      </c>
      <c r="B41" s="8" t="s">
        <v>188</v>
      </c>
      <c r="C41" s="9">
        <v>2000</v>
      </c>
      <c r="D41" s="2" t="s">
        <v>189</v>
      </c>
      <c r="E41" s="2" t="s">
        <v>135</v>
      </c>
      <c r="F41" s="2"/>
      <c r="G41" s="2" t="s">
        <v>136</v>
      </c>
      <c r="H41" s="2"/>
      <c r="I41" s="2" t="s">
        <v>190</v>
      </c>
      <c r="J41" s="10" t="s">
        <v>179</v>
      </c>
      <c r="K41" s="9">
        <v>630</v>
      </c>
      <c r="L41" s="9">
        <v>17.7</v>
      </c>
      <c r="M41" s="2"/>
      <c r="N41" s="2"/>
      <c r="O41" s="2"/>
      <c r="P41" s="9">
        <v>1400</v>
      </c>
      <c r="Q41" s="17"/>
      <c r="R41" s="9">
        <v>3</v>
      </c>
      <c r="S41" s="9">
        <f>27*23</f>
        <v>621</v>
      </c>
      <c r="T41" s="9">
        <v>1947</v>
      </c>
      <c r="U41" s="9">
        <v>1997</v>
      </c>
      <c r="V41" s="9">
        <f>(U41-T41)*12</f>
        <v>600</v>
      </c>
      <c r="W41" s="2" t="s">
        <v>191</v>
      </c>
      <c r="X41" s="2"/>
      <c r="Y41" s="2"/>
      <c r="Z41" s="18">
        <f>1.45*10</f>
        <v>14.5</v>
      </c>
      <c r="AA41" s="2"/>
      <c r="AB41" s="2"/>
      <c r="AC41" s="2"/>
      <c r="AD41" s="2"/>
      <c r="AE41" s="2"/>
      <c r="AF41" s="2"/>
      <c r="AG41" s="2"/>
      <c r="AH41" s="19">
        <v>1.24</v>
      </c>
      <c r="AI41" s="2"/>
      <c r="AJ41" s="2"/>
      <c r="AK41" s="2"/>
      <c r="AL41" s="9">
        <v>9</v>
      </c>
      <c r="AM41" s="2"/>
      <c r="AN41" s="10">
        <f>AL41-AL$47</f>
        <v>-8.1000000000000014</v>
      </c>
      <c r="AO41" s="10">
        <f>(AN41/AL47)*100</f>
        <v>-47.368421052631582</v>
      </c>
      <c r="AP41" s="2"/>
      <c r="AQ41" s="9">
        <f>Z41-Z$47</f>
        <v>-19.349999999999994</v>
      </c>
      <c r="AR41" s="9">
        <f>(AQ41/Z$48)*100</f>
        <v>-332.18884120171663</v>
      </c>
      <c r="AS41" s="2"/>
      <c r="AT41" s="2"/>
      <c r="AU41" s="2" t="s">
        <v>192</v>
      </c>
      <c r="AV41" s="2" t="s">
        <v>193</v>
      </c>
      <c r="AW41" s="2"/>
      <c r="AX41" s="2"/>
      <c r="AY41" s="2"/>
      <c r="AZ41" s="2"/>
      <c r="BA41" s="2" t="s">
        <v>132</v>
      </c>
      <c r="BB41" s="2" t="s">
        <v>133</v>
      </c>
      <c r="BC41" s="6" t="s">
        <v>194</v>
      </c>
      <c r="BD41" s="2"/>
      <c r="BE41" s="2">
        <v>0</v>
      </c>
    </row>
    <row r="42" spans="1:57" ht="29" hidden="1" x14ac:dyDescent="0.2">
      <c r="A42" s="7" t="s">
        <v>187</v>
      </c>
      <c r="B42" s="8" t="s">
        <v>188</v>
      </c>
      <c r="C42" s="9">
        <v>2000</v>
      </c>
      <c r="D42" s="2" t="s">
        <v>189</v>
      </c>
      <c r="E42" s="2" t="s">
        <v>135</v>
      </c>
      <c r="F42" s="2"/>
      <c r="G42" s="2" t="s">
        <v>136</v>
      </c>
      <c r="H42" s="2"/>
      <c r="I42" s="2" t="s">
        <v>195</v>
      </c>
      <c r="J42" s="10" t="s">
        <v>179</v>
      </c>
      <c r="K42" s="9">
        <v>630</v>
      </c>
      <c r="L42" s="9">
        <v>17.7</v>
      </c>
      <c r="M42" s="2"/>
      <c r="N42" s="2"/>
      <c r="O42" s="2"/>
      <c r="P42" s="9">
        <v>1400</v>
      </c>
      <c r="Q42" s="17"/>
      <c r="R42" s="9">
        <v>3</v>
      </c>
      <c r="S42" s="9">
        <f>27*23</f>
        <v>621</v>
      </c>
      <c r="T42" s="9">
        <v>1947</v>
      </c>
      <c r="U42" s="9">
        <v>1997</v>
      </c>
      <c r="V42" s="9">
        <f>(U42-T42)*12</f>
        <v>600</v>
      </c>
      <c r="W42" s="2" t="s">
        <v>191</v>
      </c>
      <c r="X42" s="2"/>
      <c r="Y42" s="2"/>
      <c r="Z42" s="18">
        <f>AVERAGE(1.15,2.05)*10</f>
        <v>15.999999999999998</v>
      </c>
      <c r="AA42" s="2"/>
      <c r="AB42" s="2"/>
      <c r="AC42" s="2"/>
      <c r="AD42" s="2"/>
      <c r="AE42" s="2"/>
      <c r="AF42" s="2"/>
      <c r="AG42" s="2"/>
      <c r="AH42" s="18">
        <f>AVERAGE(1.35,1.25)</f>
        <v>1.3</v>
      </c>
      <c r="AI42" s="2"/>
      <c r="AJ42" s="2"/>
      <c r="AK42" s="2"/>
      <c r="AL42" s="9">
        <f>AVERAGE(78,129)/10</f>
        <v>10.35</v>
      </c>
      <c r="AM42" s="2"/>
      <c r="AN42" s="10">
        <f>AL42-AL$47</f>
        <v>-6.7500000000000018</v>
      </c>
      <c r="AO42" s="10">
        <f>(AN42/AL48)*100</f>
        <v>-123.85321100917434</v>
      </c>
      <c r="AP42" s="2"/>
      <c r="AQ42" s="9">
        <f>Z42-Z$47</f>
        <v>-17.849999999999994</v>
      </c>
      <c r="AR42" s="9">
        <f>(AQ42/Z$48)*100</f>
        <v>-306.43776824034325</v>
      </c>
      <c r="AS42" s="2"/>
      <c r="AT42" s="2"/>
      <c r="AU42" s="2" t="s">
        <v>192</v>
      </c>
      <c r="AV42" s="2" t="s">
        <v>193</v>
      </c>
      <c r="AW42" s="2"/>
      <c r="AX42" s="2"/>
      <c r="AY42" s="2"/>
      <c r="AZ42" s="2"/>
      <c r="BA42" s="2" t="s">
        <v>132</v>
      </c>
      <c r="BB42" s="2" t="s">
        <v>133</v>
      </c>
      <c r="BC42" s="6" t="s">
        <v>194</v>
      </c>
      <c r="BD42" s="2"/>
      <c r="BE42" s="2">
        <v>0</v>
      </c>
    </row>
    <row r="43" spans="1:57" ht="29" hidden="1" x14ac:dyDescent="0.2">
      <c r="A43" s="7" t="s">
        <v>187</v>
      </c>
      <c r="B43" s="8" t="s">
        <v>188</v>
      </c>
      <c r="C43" s="9">
        <v>2000</v>
      </c>
      <c r="D43" s="2" t="s">
        <v>189</v>
      </c>
      <c r="E43" s="2" t="s">
        <v>135</v>
      </c>
      <c r="F43" s="2"/>
      <c r="G43" s="2" t="s">
        <v>136</v>
      </c>
      <c r="H43" s="2"/>
      <c r="I43" s="2" t="s">
        <v>196</v>
      </c>
      <c r="J43" s="10" t="s">
        <v>179</v>
      </c>
      <c r="K43" s="9">
        <v>630</v>
      </c>
      <c r="L43" s="9">
        <v>17.7</v>
      </c>
      <c r="M43" s="2"/>
      <c r="N43" s="2"/>
      <c r="O43" s="2"/>
      <c r="P43" s="9">
        <v>1400</v>
      </c>
      <c r="Q43" s="17"/>
      <c r="R43" s="9">
        <v>3</v>
      </c>
      <c r="S43" s="9">
        <f>27*23</f>
        <v>621</v>
      </c>
      <c r="T43" s="9">
        <v>1947</v>
      </c>
      <c r="U43" s="9">
        <v>1997</v>
      </c>
      <c r="V43" s="9">
        <f>(U43-T43)*12</f>
        <v>600</v>
      </c>
      <c r="W43" s="2" t="s">
        <v>191</v>
      </c>
      <c r="X43" s="2"/>
      <c r="Y43" s="2"/>
      <c r="Z43" s="18">
        <f>AVERAGE(1.31,1.88)*10</f>
        <v>15.95</v>
      </c>
      <c r="AA43" s="2"/>
      <c r="AB43" s="2"/>
      <c r="AC43" s="2"/>
      <c r="AD43" s="2"/>
      <c r="AE43" s="2"/>
      <c r="AF43" s="2"/>
      <c r="AG43" s="2"/>
      <c r="AH43" s="18">
        <f>AVERAGE(1.34,1.02)</f>
        <v>1.1800000000000002</v>
      </c>
      <c r="AI43" s="2"/>
      <c r="AJ43" s="2"/>
      <c r="AK43" s="2"/>
      <c r="AL43" s="9">
        <f>AVERAGE(88,95)/10</f>
        <v>9.15</v>
      </c>
      <c r="AM43" s="2"/>
      <c r="AN43" s="10">
        <f>AL43-AL$47</f>
        <v>-7.9500000000000011</v>
      </c>
      <c r="AO43" s="10">
        <f>(AN43/AL49)*100</f>
        <v>-121.37404580152673</v>
      </c>
      <c r="AP43" s="2"/>
      <c r="AQ43" s="9">
        <f>Z43-Z$47</f>
        <v>-17.899999999999995</v>
      </c>
      <c r="AR43" s="9">
        <f>(AQ43/Z$48)*100</f>
        <v>-307.29613733905569</v>
      </c>
      <c r="AS43" s="2"/>
      <c r="AT43" s="2"/>
      <c r="AU43" s="2" t="s">
        <v>192</v>
      </c>
      <c r="AV43" s="2" t="s">
        <v>193</v>
      </c>
      <c r="AW43" s="2"/>
      <c r="AX43" s="2"/>
      <c r="AY43" s="2"/>
      <c r="AZ43" s="2"/>
      <c r="BA43" s="2" t="s">
        <v>132</v>
      </c>
      <c r="BB43" s="2" t="s">
        <v>133</v>
      </c>
      <c r="BC43" s="6" t="s">
        <v>194</v>
      </c>
      <c r="BD43" s="2"/>
      <c r="BE43" s="2">
        <v>0</v>
      </c>
    </row>
    <row r="44" spans="1:57" ht="29" hidden="1" x14ac:dyDescent="0.2">
      <c r="A44" s="7" t="s">
        <v>187</v>
      </c>
      <c r="B44" s="8" t="s">
        <v>188</v>
      </c>
      <c r="C44" s="9">
        <v>2000</v>
      </c>
      <c r="D44" s="2" t="s">
        <v>189</v>
      </c>
      <c r="E44" s="2" t="s">
        <v>135</v>
      </c>
      <c r="F44" s="2"/>
      <c r="G44" s="2" t="s">
        <v>136</v>
      </c>
      <c r="H44" s="2"/>
      <c r="I44" s="2" t="s">
        <v>197</v>
      </c>
      <c r="J44" s="10" t="s">
        <v>179</v>
      </c>
      <c r="K44" s="9">
        <v>630</v>
      </c>
      <c r="L44" s="9">
        <v>17.7</v>
      </c>
      <c r="M44" s="2"/>
      <c r="N44" s="2"/>
      <c r="O44" s="2"/>
      <c r="P44" s="9">
        <v>1400</v>
      </c>
      <c r="Q44" s="17"/>
      <c r="R44" s="9">
        <v>3</v>
      </c>
      <c r="S44" s="9">
        <f>27*23</f>
        <v>621</v>
      </c>
      <c r="T44" s="9">
        <v>1947</v>
      </c>
      <c r="U44" s="9">
        <v>1997</v>
      </c>
      <c r="V44" s="9">
        <f>(U44-T44)*12</f>
        <v>600</v>
      </c>
      <c r="W44" s="2" t="s">
        <v>191</v>
      </c>
      <c r="X44" s="2"/>
      <c r="Y44" s="2"/>
      <c r="Z44" s="18">
        <f>AVERAGE(1.5,2.01)*10</f>
        <v>17.549999999999997</v>
      </c>
      <c r="AA44" s="2"/>
      <c r="AB44" s="2"/>
      <c r="AC44" s="2"/>
      <c r="AD44" s="2"/>
      <c r="AE44" s="2"/>
      <c r="AF44" s="2"/>
      <c r="AG44" s="2"/>
      <c r="AH44" s="18">
        <f>AVERAGE(1.4,1.22)</f>
        <v>1.31</v>
      </c>
      <c r="AI44" s="2"/>
      <c r="AJ44" s="2"/>
      <c r="AK44" s="2"/>
      <c r="AL44" s="9">
        <f>AVERAGE(105,123)/10</f>
        <v>11.4</v>
      </c>
      <c r="AM44" s="2"/>
      <c r="AN44" s="10">
        <f>AL44-AL$47</f>
        <v>-5.7000000000000011</v>
      </c>
      <c r="AO44" s="10">
        <f>(AN44/AL50)*100</f>
        <v>-82.608695652173921</v>
      </c>
      <c r="AP44" s="2"/>
      <c r="AQ44" s="9">
        <f>Z44-Z$47</f>
        <v>-16.299999999999997</v>
      </c>
      <c r="AR44" s="9">
        <f>(AQ44/Z$48)*100</f>
        <v>-279.82832618025742</v>
      </c>
      <c r="AS44" s="2"/>
      <c r="AT44" s="2"/>
      <c r="AU44" s="2" t="s">
        <v>192</v>
      </c>
      <c r="AV44" s="2" t="s">
        <v>193</v>
      </c>
      <c r="AW44" s="2"/>
      <c r="AX44" s="2"/>
      <c r="AY44" s="2"/>
      <c r="AZ44" s="2"/>
      <c r="BA44" s="2" t="s">
        <v>132</v>
      </c>
      <c r="BB44" s="2" t="s">
        <v>133</v>
      </c>
      <c r="BC44" s="6" t="s">
        <v>194</v>
      </c>
      <c r="BD44" s="2"/>
      <c r="BE44" s="2">
        <v>0</v>
      </c>
    </row>
    <row r="45" spans="1:57" ht="29" hidden="1" x14ac:dyDescent="0.2">
      <c r="A45" s="7" t="s">
        <v>187</v>
      </c>
      <c r="B45" s="8" t="s">
        <v>188</v>
      </c>
      <c r="C45" s="9">
        <v>2000</v>
      </c>
      <c r="D45" s="2" t="s">
        <v>189</v>
      </c>
      <c r="E45" s="2" t="s">
        <v>135</v>
      </c>
      <c r="F45" s="2"/>
      <c r="G45" s="2" t="s">
        <v>136</v>
      </c>
      <c r="H45" s="2"/>
      <c r="I45" s="2" t="s">
        <v>198</v>
      </c>
      <c r="J45" s="10" t="s">
        <v>179</v>
      </c>
      <c r="K45" s="9">
        <v>630</v>
      </c>
      <c r="L45" s="9">
        <v>17.7</v>
      </c>
      <c r="M45" s="2"/>
      <c r="N45" s="2"/>
      <c r="O45" s="2"/>
      <c r="P45" s="9">
        <v>1400</v>
      </c>
      <c r="Q45" s="17"/>
      <c r="R45" s="9">
        <v>3</v>
      </c>
      <c r="S45" s="9">
        <f>27*23</f>
        <v>621</v>
      </c>
      <c r="T45" s="9">
        <v>1947</v>
      </c>
      <c r="U45" s="9">
        <v>1997</v>
      </c>
      <c r="V45" s="9">
        <f>(U45-T45)*12</f>
        <v>600</v>
      </c>
      <c r="W45" s="2" t="s">
        <v>191</v>
      </c>
      <c r="X45" s="2"/>
      <c r="Y45" s="2"/>
      <c r="Z45" s="18">
        <f>AVERAGE(1.86,2.67)*10</f>
        <v>22.650000000000002</v>
      </c>
      <c r="AA45" s="2"/>
      <c r="AB45" s="2"/>
      <c r="AC45" s="2"/>
      <c r="AD45" s="2"/>
      <c r="AE45" s="2"/>
      <c r="AF45" s="2"/>
      <c r="AG45" s="2"/>
      <c r="AH45" s="18">
        <f>AVERAGE(1.14,0.91)</f>
        <v>1.0249999999999999</v>
      </c>
      <c r="AI45" s="2"/>
      <c r="AJ45" s="2"/>
      <c r="AK45" s="2"/>
      <c r="AL45" s="9">
        <f>AVERAGE(106,122)/10</f>
        <v>11.4</v>
      </c>
      <c r="AM45" s="2"/>
      <c r="AN45" s="10">
        <f>AL45-AL$47</f>
        <v>-5.7000000000000011</v>
      </c>
      <c r="AO45" s="10">
        <f>(AN45/AL51)*100</f>
        <v>-73.076923076923094</v>
      </c>
      <c r="AP45" s="2"/>
      <c r="AQ45" s="9">
        <f>Z45-Z$47</f>
        <v>-11.199999999999992</v>
      </c>
      <c r="AR45" s="9">
        <f>(AQ45/Z$48)*100</f>
        <v>-192.27467811158786</v>
      </c>
      <c r="AS45" s="2"/>
      <c r="AT45" s="2"/>
      <c r="AU45" s="2" t="s">
        <v>192</v>
      </c>
      <c r="AV45" s="2" t="s">
        <v>193</v>
      </c>
      <c r="AW45" s="2"/>
      <c r="AX45" s="2"/>
      <c r="AY45" s="2"/>
      <c r="AZ45" s="2"/>
      <c r="BA45" s="2" t="s">
        <v>132</v>
      </c>
      <c r="BB45" s="2" t="s">
        <v>133</v>
      </c>
      <c r="BC45" s="6" t="s">
        <v>194</v>
      </c>
      <c r="BD45" s="2"/>
      <c r="BE45" s="2">
        <v>0</v>
      </c>
    </row>
    <row r="46" spans="1:57" ht="29" hidden="1" x14ac:dyDescent="0.2">
      <c r="A46" s="7" t="s">
        <v>187</v>
      </c>
      <c r="B46" s="8" t="s">
        <v>188</v>
      </c>
      <c r="C46" s="9">
        <v>2000</v>
      </c>
      <c r="D46" s="2" t="s">
        <v>189</v>
      </c>
      <c r="E46" s="2" t="s">
        <v>135</v>
      </c>
      <c r="F46" s="2"/>
      <c r="G46" s="2" t="s">
        <v>136</v>
      </c>
      <c r="H46" s="2"/>
      <c r="I46" s="2" t="s">
        <v>199</v>
      </c>
      <c r="J46" s="10" t="s">
        <v>179</v>
      </c>
      <c r="K46" s="9">
        <v>630</v>
      </c>
      <c r="L46" s="9">
        <v>17.7</v>
      </c>
      <c r="M46" s="2"/>
      <c r="N46" s="2"/>
      <c r="O46" s="2"/>
      <c r="P46" s="9">
        <v>1400</v>
      </c>
      <c r="Q46" s="17"/>
      <c r="R46" s="9">
        <v>3</v>
      </c>
      <c r="S46" s="9">
        <f>27*23</f>
        <v>621</v>
      </c>
      <c r="T46" s="9">
        <v>1947</v>
      </c>
      <c r="U46" s="9">
        <v>1997</v>
      </c>
      <c r="V46" s="9">
        <f>(U46-T46)*12</f>
        <v>600</v>
      </c>
      <c r="W46" s="2" t="s">
        <v>191</v>
      </c>
      <c r="X46" s="2"/>
      <c r="Y46" s="2"/>
      <c r="Z46" s="18">
        <f>AVERAGE(1.39,1.97)*10</f>
        <v>16.8</v>
      </c>
      <c r="AA46" s="2"/>
      <c r="AB46" s="2"/>
      <c r="AC46" s="2"/>
      <c r="AD46" s="2"/>
      <c r="AE46" s="2"/>
      <c r="AF46" s="2"/>
      <c r="AG46" s="2"/>
      <c r="AH46" s="18">
        <f>AVERAGE(1.61,1.08)</f>
        <v>1.3450000000000002</v>
      </c>
      <c r="AI46" s="2"/>
      <c r="AJ46" s="2"/>
      <c r="AK46" s="2"/>
      <c r="AL46" s="9">
        <f>AVERAGE(112,106)/10</f>
        <v>10.9</v>
      </c>
      <c r="AM46" s="2"/>
      <c r="AN46" s="10">
        <f>AL46-AL$47</f>
        <v>-6.2000000000000011</v>
      </c>
      <c r="AO46" s="10">
        <f>(AN46/AL52)*100</f>
        <v>-139.32584269662925</v>
      </c>
      <c r="AP46" s="2"/>
      <c r="AQ46" s="9">
        <f>Z46-Z$47</f>
        <v>-17.049999999999994</v>
      </c>
      <c r="AR46" s="9">
        <f>(AQ46/Z$48)*100</f>
        <v>-292.70386266094408</v>
      </c>
      <c r="AS46" s="2"/>
      <c r="AT46" s="2"/>
      <c r="AU46" s="2" t="s">
        <v>192</v>
      </c>
      <c r="AV46" s="2" t="s">
        <v>193</v>
      </c>
      <c r="AW46" s="2"/>
      <c r="AX46" s="2"/>
      <c r="AY46" s="2"/>
      <c r="AZ46" s="2"/>
      <c r="BA46" s="2" t="s">
        <v>132</v>
      </c>
      <c r="BB46" s="2" t="s">
        <v>133</v>
      </c>
      <c r="BC46" s="6" t="s">
        <v>194</v>
      </c>
      <c r="BD46" s="2"/>
      <c r="BE46" s="2">
        <v>0</v>
      </c>
    </row>
    <row r="47" spans="1:57" ht="29" hidden="1" x14ac:dyDescent="0.2">
      <c r="A47" s="7" t="s">
        <v>187</v>
      </c>
      <c r="B47" s="8" t="s">
        <v>188</v>
      </c>
      <c r="C47" s="9">
        <v>2000</v>
      </c>
      <c r="D47" s="2" t="s">
        <v>189</v>
      </c>
      <c r="E47" s="2" t="s">
        <v>135</v>
      </c>
      <c r="F47" s="2"/>
      <c r="G47" s="2" t="s">
        <v>200</v>
      </c>
      <c r="H47" s="2"/>
      <c r="I47" s="2" t="s">
        <v>201</v>
      </c>
      <c r="J47" s="10" t="s">
        <v>179</v>
      </c>
      <c r="K47" s="9">
        <v>630</v>
      </c>
      <c r="L47" s="9">
        <v>17.7</v>
      </c>
      <c r="M47" s="2"/>
      <c r="N47" s="2"/>
      <c r="O47" s="2"/>
      <c r="P47" s="9">
        <v>1400</v>
      </c>
      <c r="Q47" s="17"/>
      <c r="R47" s="9">
        <v>3</v>
      </c>
      <c r="S47" s="9">
        <f>27*23</f>
        <v>621</v>
      </c>
      <c r="T47" s="9">
        <v>1947</v>
      </c>
      <c r="U47" s="9">
        <v>1997</v>
      </c>
      <c r="V47" s="9">
        <f>(U47-T47)*12</f>
        <v>600</v>
      </c>
      <c r="W47" s="2" t="s">
        <v>191</v>
      </c>
      <c r="X47" s="2"/>
      <c r="Y47" s="2"/>
      <c r="Z47" s="18">
        <f>AVERAGE(2.23,4.54)*10</f>
        <v>33.849999999999994</v>
      </c>
      <c r="AA47" s="2"/>
      <c r="AB47" s="2"/>
      <c r="AC47" s="2"/>
      <c r="AD47" s="2"/>
      <c r="AE47" s="2"/>
      <c r="AF47" s="2"/>
      <c r="AG47" s="2"/>
      <c r="AH47" s="9">
        <f>AVERAGE(1.29,0.88)</f>
        <v>1.085</v>
      </c>
      <c r="AI47" s="2"/>
      <c r="AJ47" s="2"/>
      <c r="AK47" s="2"/>
      <c r="AL47" s="9">
        <f>AVERAGE(143,199)/10</f>
        <v>17.100000000000001</v>
      </c>
      <c r="AM47" s="2"/>
      <c r="AN47" s="2"/>
      <c r="AO47" s="2"/>
      <c r="AP47" s="2"/>
      <c r="AQ47" s="2"/>
      <c r="AR47" s="2"/>
      <c r="AS47" s="2"/>
      <c r="AT47" s="2"/>
      <c r="AU47" s="2" t="s">
        <v>192</v>
      </c>
      <c r="AV47" s="2" t="s">
        <v>193</v>
      </c>
      <c r="AW47" s="2"/>
      <c r="AX47" s="2"/>
      <c r="AY47" s="2"/>
      <c r="AZ47" s="2"/>
      <c r="BA47" s="2" t="s">
        <v>132</v>
      </c>
      <c r="BB47" s="2" t="s">
        <v>133</v>
      </c>
      <c r="BC47" s="6" t="s">
        <v>194</v>
      </c>
      <c r="BD47" s="2"/>
      <c r="BE47" s="2">
        <v>0</v>
      </c>
    </row>
    <row r="48" spans="1:57" ht="29" hidden="1" x14ac:dyDescent="0.2">
      <c r="A48" s="7" t="s">
        <v>187</v>
      </c>
      <c r="B48" s="8" t="s">
        <v>188</v>
      </c>
      <c r="C48" s="9">
        <v>2000</v>
      </c>
      <c r="D48" s="2" t="s">
        <v>202</v>
      </c>
      <c r="E48" s="2" t="s">
        <v>135</v>
      </c>
      <c r="F48" s="2"/>
      <c r="G48" s="2" t="s">
        <v>136</v>
      </c>
      <c r="H48" s="2"/>
      <c r="I48" s="2" t="s">
        <v>203</v>
      </c>
      <c r="J48" s="10" t="s">
        <v>179</v>
      </c>
      <c r="K48" s="9">
        <v>630</v>
      </c>
      <c r="L48" s="9">
        <v>17.7</v>
      </c>
      <c r="M48" s="2"/>
      <c r="N48" s="2"/>
      <c r="O48" s="2"/>
      <c r="P48" s="9">
        <v>1400</v>
      </c>
      <c r="Q48" s="17"/>
      <c r="R48" s="9">
        <v>3</v>
      </c>
      <c r="S48" s="9">
        <f>27*23</f>
        <v>621</v>
      </c>
      <c r="T48" s="9">
        <v>1947</v>
      </c>
      <c r="U48" s="9">
        <v>1997</v>
      </c>
      <c r="V48" s="9">
        <f>(U48-T48)*12</f>
        <v>600</v>
      </c>
      <c r="W48" s="2" t="s">
        <v>191</v>
      </c>
      <c r="X48" s="2"/>
      <c r="Y48" s="2"/>
      <c r="Z48" s="18">
        <f>AVERAGE(0.44,0.71,0.5,0.68)*10</f>
        <v>5.8250000000000002</v>
      </c>
      <c r="AA48" s="2"/>
      <c r="AB48" s="2"/>
      <c r="AC48" s="2"/>
      <c r="AD48" s="2"/>
      <c r="AE48" s="2"/>
      <c r="AF48" s="2"/>
      <c r="AG48" s="2"/>
      <c r="AH48" s="18">
        <f>AVERAGE(1.77,2.06,1.81,1.8)</f>
        <v>1.86</v>
      </c>
      <c r="AI48" s="2"/>
      <c r="AJ48" s="2"/>
      <c r="AK48" s="2"/>
      <c r="AL48" s="9">
        <f>AVERAGE(39,73,45,61)/10</f>
        <v>5.45</v>
      </c>
      <c r="AM48" s="2"/>
      <c r="AN48" s="10">
        <f>AL48-AL$53</f>
        <v>-3.6749999999999998</v>
      </c>
      <c r="AO48" s="10" t="e">
        <f>(AN48/#REF!)*100</f>
        <v>#REF!</v>
      </c>
      <c r="AP48" s="2"/>
      <c r="AQ48" s="9">
        <f>Z48-Z$53</f>
        <v>-6.5250000000000012</v>
      </c>
      <c r="AR48" s="9">
        <f>(AQ48/Z$53)*100</f>
        <v>-52.834008097165999</v>
      </c>
      <c r="AS48" s="2"/>
      <c r="AT48" s="2"/>
      <c r="AU48" s="2" t="s">
        <v>192</v>
      </c>
      <c r="AV48" s="2" t="s">
        <v>204</v>
      </c>
      <c r="AW48" s="2"/>
      <c r="AX48" s="2"/>
      <c r="AY48" s="2"/>
      <c r="AZ48" s="2"/>
      <c r="BA48" s="2" t="s">
        <v>132</v>
      </c>
      <c r="BB48" s="2" t="s">
        <v>133</v>
      </c>
      <c r="BC48" s="6" t="s">
        <v>194</v>
      </c>
      <c r="BD48" s="2"/>
      <c r="BE48" s="2">
        <v>0</v>
      </c>
    </row>
    <row r="49" spans="1:57" ht="29" hidden="1" x14ac:dyDescent="0.2">
      <c r="A49" s="7" t="s">
        <v>187</v>
      </c>
      <c r="B49" s="8" t="s">
        <v>188</v>
      </c>
      <c r="C49" s="9">
        <v>2000</v>
      </c>
      <c r="D49" s="2" t="s">
        <v>202</v>
      </c>
      <c r="E49" s="2" t="s">
        <v>135</v>
      </c>
      <c r="F49" s="2"/>
      <c r="G49" s="2" t="s">
        <v>136</v>
      </c>
      <c r="H49" s="2"/>
      <c r="I49" s="2" t="s">
        <v>205</v>
      </c>
      <c r="J49" s="10" t="s">
        <v>179</v>
      </c>
      <c r="K49" s="9">
        <v>630</v>
      </c>
      <c r="L49" s="9">
        <v>17.7</v>
      </c>
      <c r="M49" s="2"/>
      <c r="N49" s="2"/>
      <c r="O49" s="2"/>
      <c r="P49" s="9">
        <v>1400</v>
      </c>
      <c r="Q49" s="17"/>
      <c r="R49" s="9">
        <v>3</v>
      </c>
      <c r="S49" s="9">
        <f>27*23</f>
        <v>621</v>
      </c>
      <c r="T49" s="9">
        <v>1947</v>
      </c>
      <c r="U49" s="9">
        <v>1997</v>
      </c>
      <c r="V49" s="9">
        <f>(U49-T49)*12</f>
        <v>600</v>
      </c>
      <c r="W49" s="2" t="s">
        <v>191</v>
      </c>
      <c r="X49" s="2"/>
      <c r="Y49" s="2"/>
      <c r="Z49" s="18">
        <f>AVERAGE(0.55,0.86)*10</f>
        <v>7.0500000000000007</v>
      </c>
      <c r="AA49" s="2"/>
      <c r="AB49" s="2"/>
      <c r="AC49" s="2"/>
      <c r="AD49" s="2"/>
      <c r="AE49" s="2"/>
      <c r="AF49" s="2"/>
      <c r="AG49" s="2"/>
      <c r="AH49" s="18">
        <f>AVERAGE(2,1.76)</f>
        <v>1.88</v>
      </c>
      <c r="AI49" s="2"/>
      <c r="AJ49" s="2"/>
      <c r="AK49" s="2"/>
      <c r="AL49" s="9">
        <f>AVERAGE(55,76)/10</f>
        <v>6.55</v>
      </c>
      <c r="AM49" s="2"/>
      <c r="AN49" s="10">
        <f>AL49-AL$53</f>
        <v>-2.5750000000000002</v>
      </c>
      <c r="AO49" s="10" t="e">
        <f>(AN49/#REF!)*100</f>
        <v>#REF!</v>
      </c>
      <c r="AP49" s="2"/>
      <c r="AQ49" s="9">
        <f>Z49-Z$53</f>
        <v>-5.3000000000000007</v>
      </c>
      <c r="AR49" s="9">
        <f>(AQ49/Z$53)*100</f>
        <v>-42.914979757085021</v>
      </c>
      <c r="AS49" s="2"/>
      <c r="AT49" s="2"/>
      <c r="AU49" s="2" t="s">
        <v>192</v>
      </c>
      <c r="AV49" s="2" t="s">
        <v>204</v>
      </c>
      <c r="AW49" s="2"/>
      <c r="AX49" s="2"/>
      <c r="AY49" s="2"/>
      <c r="AZ49" s="2"/>
      <c r="BA49" s="2" t="s">
        <v>132</v>
      </c>
      <c r="BB49" s="2" t="s">
        <v>133</v>
      </c>
      <c r="BC49" s="6" t="s">
        <v>194</v>
      </c>
      <c r="BD49" s="2"/>
      <c r="BE49" s="2">
        <v>0</v>
      </c>
    </row>
    <row r="50" spans="1:57" ht="29" hidden="1" x14ac:dyDescent="0.2">
      <c r="A50" s="7" t="s">
        <v>187</v>
      </c>
      <c r="B50" s="8" t="s">
        <v>188</v>
      </c>
      <c r="C50" s="9">
        <v>2000</v>
      </c>
      <c r="D50" s="2" t="s">
        <v>202</v>
      </c>
      <c r="E50" s="2" t="s">
        <v>135</v>
      </c>
      <c r="F50" s="2"/>
      <c r="G50" s="2" t="s">
        <v>136</v>
      </c>
      <c r="H50" s="2"/>
      <c r="I50" s="2" t="s">
        <v>206</v>
      </c>
      <c r="J50" s="10" t="s">
        <v>179</v>
      </c>
      <c r="K50" s="9">
        <v>630</v>
      </c>
      <c r="L50" s="9">
        <v>17.7</v>
      </c>
      <c r="M50" s="2"/>
      <c r="N50" s="2"/>
      <c r="O50" s="2"/>
      <c r="P50" s="9">
        <v>1400</v>
      </c>
      <c r="Q50" s="17"/>
      <c r="R50" s="9">
        <v>3</v>
      </c>
      <c r="S50" s="9">
        <f>27*23</f>
        <v>621</v>
      </c>
      <c r="T50" s="9">
        <v>1947</v>
      </c>
      <c r="U50" s="9">
        <v>1997</v>
      </c>
      <c r="V50" s="9">
        <f>(U50-T50)*12</f>
        <v>600</v>
      </c>
      <c r="W50" s="2" t="s">
        <v>191</v>
      </c>
      <c r="X50" s="2"/>
      <c r="Y50" s="2"/>
      <c r="Z50" s="18">
        <f>AVERAGE(0.71,1.13)*10</f>
        <v>9.1999999999999993</v>
      </c>
      <c r="AA50" s="2"/>
      <c r="AB50" s="2"/>
      <c r="AC50" s="2"/>
      <c r="AD50" s="2"/>
      <c r="AE50" s="2"/>
      <c r="AF50" s="2"/>
      <c r="AG50" s="2"/>
      <c r="AH50" s="9">
        <f>AVERAGE(1.58,1.45)</f>
        <v>1.5150000000000001</v>
      </c>
      <c r="AI50" s="2"/>
      <c r="AJ50" s="2"/>
      <c r="AK50" s="2"/>
      <c r="AL50" s="9">
        <f>AVERAGE(56,82)/10</f>
        <v>6.9</v>
      </c>
      <c r="AM50" s="2"/>
      <c r="AN50" s="10">
        <f>AL50-AL$53</f>
        <v>-2.2249999999999996</v>
      </c>
      <c r="AO50" s="10" t="e">
        <f>(AN50/#REF!)*100</f>
        <v>#REF!</v>
      </c>
      <c r="AP50" s="2"/>
      <c r="AQ50" s="9">
        <f>Z50-Z$53</f>
        <v>-3.1500000000000021</v>
      </c>
      <c r="AR50" s="9">
        <f>(AQ50/Z$53)*100</f>
        <v>-25.506072874493942</v>
      </c>
      <c r="AS50" s="2"/>
      <c r="AT50" s="2"/>
      <c r="AU50" s="2" t="s">
        <v>192</v>
      </c>
      <c r="AV50" s="2" t="s">
        <v>204</v>
      </c>
      <c r="AW50" s="2"/>
      <c r="AX50" s="2"/>
      <c r="AY50" s="2"/>
      <c r="AZ50" s="2"/>
      <c r="BA50" s="2" t="s">
        <v>132</v>
      </c>
      <c r="BB50" s="2" t="s">
        <v>133</v>
      </c>
      <c r="BC50" s="6" t="s">
        <v>194</v>
      </c>
      <c r="BD50" s="2"/>
      <c r="BE50" s="2">
        <v>0</v>
      </c>
    </row>
    <row r="51" spans="1:57" ht="29" hidden="1" x14ac:dyDescent="0.2">
      <c r="A51" s="7" t="s">
        <v>187</v>
      </c>
      <c r="B51" s="8" t="s">
        <v>188</v>
      </c>
      <c r="C51" s="9">
        <v>2000</v>
      </c>
      <c r="D51" s="2" t="s">
        <v>202</v>
      </c>
      <c r="E51" s="2" t="s">
        <v>135</v>
      </c>
      <c r="F51" s="2"/>
      <c r="G51" s="2" t="s">
        <v>136</v>
      </c>
      <c r="H51" s="2"/>
      <c r="I51" s="2" t="s">
        <v>207</v>
      </c>
      <c r="J51" s="10" t="s">
        <v>179</v>
      </c>
      <c r="K51" s="9">
        <v>630</v>
      </c>
      <c r="L51" s="9">
        <v>17.7</v>
      </c>
      <c r="M51" s="2"/>
      <c r="N51" s="2"/>
      <c r="O51" s="2"/>
      <c r="P51" s="9">
        <v>1400</v>
      </c>
      <c r="Q51" s="17"/>
      <c r="R51" s="9">
        <v>3</v>
      </c>
      <c r="S51" s="9">
        <f>27*23</f>
        <v>621</v>
      </c>
      <c r="T51" s="9">
        <v>1947</v>
      </c>
      <c r="U51" s="9">
        <v>1997</v>
      </c>
      <c r="V51" s="9">
        <f>(U51-T51)*12</f>
        <v>600</v>
      </c>
      <c r="W51" s="2" t="s">
        <v>191</v>
      </c>
      <c r="X51" s="2"/>
      <c r="Y51" s="2"/>
      <c r="Z51" s="18">
        <f>AVERAGE(0.59,1.12)*10</f>
        <v>8.5500000000000007</v>
      </c>
      <c r="AA51" s="2"/>
      <c r="AB51" s="2"/>
      <c r="AC51" s="2"/>
      <c r="AD51" s="2"/>
      <c r="AE51" s="2"/>
      <c r="AF51" s="2"/>
      <c r="AG51" s="2"/>
      <c r="AH51" s="9">
        <f>AVERAGE(1.91,1.79)</f>
        <v>1.85</v>
      </c>
      <c r="AI51" s="2"/>
      <c r="AJ51" s="2"/>
      <c r="AK51" s="2"/>
      <c r="AL51" s="9">
        <f>AVERAGE(56,100)/10</f>
        <v>7.8</v>
      </c>
      <c r="AM51" s="2"/>
      <c r="AN51" s="10">
        <f>AL51-AL$53</f>
        <v>-1.3250000000000002</v>
      </c>
      <c r="AO51" s="10" t="e">
        <f>(AN51/#REF!)*100</f>
        <v>#REF!</v>
      </c>
      <c r="AP51" s="2"/>
      <c r="AQ51" s="9">
        <f>Z51-Z$53</f>
        <v>-3.8000000000000007</v>
      </c>
      <c r="AR51" s="9">
        <f>(AQ51/Z$53)*100</f>
        <v>-30.76923076923077</v>
      </c>
      <c r="AS51" s="2"/>
      <c r="AT51" s="2"/>
      <c r="AU51" s="2" t="s">
        <v>192</v>
      </c>
      <c r="AV51" s="2" t="s">
        <v>204</v>
      </c>
      <c r="AW51" s="2"/>
      <c r="AX51" s="2"/>
      <c r="AY51" s="2"/>
      <c r="AZ51" s="2"/>
      <c r="BA51" s="2" t="s">
        <v>132</v>
      </c>
      <c r="BB51" s="2" t="s">
        <v>133</v>
      </c>
      <c r="BC51" s="6" t="s">
        <v>194</v>
      </c>
      <c r="BD51" s="2"/>
      <c r="BE51" s="2">
        <v>0</v>
      </c>
    </row>
    <row r="52" spans="1:57" ht="29" hidden="1" x14ac:dyDescent="0.2">
      <c r="A52" s="7" t="s">
        <v>187</v>
      </c>
      <c r="B52" s="8" t="s">
        <v>188</v>
      </c>
      <c r="C52" s="9">
        <v>2000</v>
      </c>
      <c r="D52" s="2" t="s">
        <v>202</v>
      </c>
      <c r="E52" s="2" t="s">
        <v>135</v>
      </c>
      <c r="F52" s="2"/>
      <c r="G52" s="2" t="s">
        <v>136</v>
      </c>
      <c r="H52" s="2"/>
      <c r="I52" s="2" t="s">
        <v>208</v>
      </c>
      <c r="J52" s="10" t="s">
        <v>179</v>
      </c>
      <c r="K52" s="9">
        <v>630</v>
      </c>
      <c r="L52" s="9">
        <v>17.7</v>
      </c>
      <c r="M52" s="2"/>
      <c r="N52" s="2"/>
      <c r="O52" s="2"/>
      <c r="P52" s="9">
        <v>1400</v>
      </c>
      <c r="Q52" s="17"/>
      <c r="R52" s="9">
        <v>3</v>
      </c>
      <c r="S52" s="9">
        <f>27*23</f>
        <v>621</v>
      </c>
      <c r="T52" s="9">
        <v>1947</v>
      </c>
      <c r="U52" s="9">
        <v>1997</v>
      </c>
      <c r="V52" s="9">
        <f>(U52-T52)*12</f>
        <v>600</v>
      </c>
      <c r="W52" s="2" t="s">
        <v>191</v>
      </c>
      <c r="X52" s="2"/>
      <c r="Y52" s="2"/>
      <c r="Z52" s="18">
        <f>AVERAGE(0.33,0.65)*10</f>
        <v>4.9000000000000004</v>
      </c>
      <c r="AA52" s="2"/>
      <c r="AB52" s="2"/>
      <c r="AC52" s="2"/>
      <c r="AD52" s="2"/>
      <c r="AE52" s="2"/>
      <c r="AF52" s="2"/>
      <c r="AG52" s="2"/>
      <c r="AH52" s="9">
        <f>AVERAGE(2.13,1.68)</f>
        <v>1.9049999999999998</v>
      </c>
      <c r="AI52" s="2"/>
      <c r="AJ52" s="2"/>
      <c r="AK52" s="2"/>
      <c r="AL52" s="9">
        <f>AVERAGE(35,54)/10</f>
        <v>4.45</v>
      </c>
      <c r="AM52" s="2"/>
      <c r="AN52" s="10">
        <f>AL52-AL$53</f>
        <v>-4.6749999999999998</v>
      </c>
      <c r="AO52" s="10" t="e">
        <f>(AN52/#REF!)*100</f>
        <v>#REF!</v>
      </c>
      <c r="AP52" s="2"/>
      <c r="AQ52" s="9">
        <f>Z52-Z$53</f>
        <v>-7.4500000000000011</v>
      </c>
      <c r="AR52" s="9">
        <f>(AQ52/Z$53)*100</f>
        <v>-60.323886639676118</v>
      </c>
      <c r="AS52" s="2"/>
      <c r="AT52" s="2"/>
      <c r="AU52" s="2" t="s">
        <v>192</v>
      </c>
      <c r="AV52" s="2" t="s">
        <v>204</v>
      </c>
      <c r="AW52" s="2"/>
      <c r="AX52" s="2"/>
      <c r="AY52" s="2"/>
      <c r="AZ52" s="2"/>
      <c r="BA52" s="2" t="s">
        <v>132</v>
      </c>
      <c r="BB52" s="2" t="s">
        <v>133</v>
      </c>
      <c r="BC52" s="6" t="s">
        <v>194</v>
      </c>
      <c r="BD52" s="2"/>
      <c r="BE52" s="2">
        <v>0</v>
      </c>
    </row>
    <row r="53" spans="1:57" ht="29" hidden="1" x14ac:dyDescent="0.2">
      <c r="A53" s="7" t="s">
        <v>187</v>
      </c>
      <c r="B53" s="8" t="s">
        <v>188</v>
      </c>
      <c r="C53" s="9">
        <v>2000</v>
      </c>
      <c r="D53" s="2" t="s">
        <v>202</v>
      </c>
      <c r="E53" s="2" t="s">
        <v>135</v>
      </c>
      <c r="F53" s="2"/>
      <c r="G53" s="2" t="s">
        <v>200</v>
      </c>
      <c r="H53" s="2"/>
      <c r="I53" s="2" t="s">
        <v>209</v>
      </c>
      <c r="J53" s="10" t="s">
        <v>179</v>
      </c>
      <c r="K53" s="9">
        <v>630</v>
      </c>
      <c r="L53" s="9">
        <v>17.7</v>
      </c>
      <c r="M53" s="2"/>
      <c r="N53" s="2"/>
      <c r="O53" s="2"/>
      <c r="P53" s="9">
        <v>1400</v>
      </c>
      <c r="Q53" s="17"/>
      <c r="R53" s="9">
        <v>3</v>
      </c>
      <c r="S53" s="9">
        <f>27*23</f>
        <v>621</v>
      </c>
      <c r="T53" s="9">
        <v>1947</v>
      </c>
      <c r="U53" s="9">
        <v>1997</v>
      </c>
      <c r="V53" s="9">
        <f>(U53-T53)*12</f>
        <v>600</v>
      </c>
      <c r="W53" s="2" t="s">
        <v>191</v>
      </c>
      <c r="X53" s="2"/>
      <c r="Y53" s="2"/>
      <c r="Z53" s="18">
        <f>AVERAGE(0.91,1.38,1.06,1.59)*10</f>
        <v>12.350000000000001</v>
      </c>
      <c r="AA53" s="2"/>
      <c r="AB53" s="2"/>
      <c r="AC53" s="2"/>
      <c r="AD53" s="2"/>
      <c r="AE53" s="2"/>
      <c r="AF53" s="2"/>
      <c r="AG53" s="2"/>
      <c r="AH53" s="9">
        <f>AVERAGE(1.36,1.12,1.88,1.59)</f>
        <v>1.4875</v>
      </c>
      <c r="AI53" s="2"/>
      <c r="AJ53" s="2"/>
      <c r="AK53" s="2"/>
      <c r="AL53" s="9">
        <f>AVERAGE(62,77,100,126)/10</f>
        <v>9.125</v>
      </c>
      <c r="AM53" s="2"/>
      <c r="AN53" s="2"/>
      <c r="AO53" s="2"/>
      <c r="AP53" s="2"/>
      <c r="AQ53" s="2"/>
      <c r="AR53" s="2"/>
      <c r="AS53" s="2"/>
      <c r="AT53" s="2"/>
      <c r="AU53" s="2" t="s">
        <v>192</v>
      </c>
      <c r="AV53" s="2" t="s">
        <v>204</v>
      </c>
      <c r="AW53" s="2"/>
      <c r="AX53" s="2"/>
      <c r="AY53" s="2"/>
      <c r="AZ53" s="2"/>
      <c r="BA53" s="2" t="s">
        <v>132</v>
      </c>
      <c r="BB53" s="2" t="s">
        <v>133</v>
      </c>
      <c r="BC53" s="6" t="s">
        <v>194</v>
      </c>
      <c r="BD53" s="2"/>
      <c r="BE53" s="2">
        <v>0</v>
      </c>
    </row>
    <row r="54" spans="1:57" ht="28" hidden="1" x14ac:dyDescent="0.15">
      <c r="A54" s="7" t="s">
        <v>210</v>
      </c>
      <c r="B54" s="8" t="s">
        <v>211</v>
      </c>
      <c r="C54" s="9">
        <v>2018</v>
      </c>
      <c r="D54" s="2" t="s">
        <v>212</v>
      </c>
      <c r="E54" s="2" t="s">
        <v>135</v>
      </c>
      <c r="F54" s="2"/>
      <c r="G54" s="2" t="s">
        <v>136</v>
      </c>
      <c r="H54" s="2"/>
      <c r="I54" s="2" t="s">
        <v>213</v>
      </c>
      <c r="J54" s="10" t="s">
        <v>214</v>
      </c>
      <c r="K54" s="9">
        <v>450</v>
      </c>
      <c r="L54" s="9">
        <v>21.5</v>
      </c>
      <c r="M54" s="9">
        <v>2900</v>
      </c>
      <c r="N54" s="2"/>
      <c r="O54" s="2"/>
      <c r="P54" s="9">
        <v>1650</v>
      </c>
      <c r="Q54" s="11">
        <v>6</v>
      </c>
      <c r="R54" s="9">
        <v>4</v>
      </c>
      <c r="S54" s="9">
        <v>200</v>
      </c>
      <c r="T54" s="15">
        <v>41671</v>
      </c>
      <c r="U54" s="15">
        <v>41730</v>
      </c>
      <c r="V54" s="9">
        <f>12*1</f>
        <v>12</v>
      </c>
      <c r="W54" s="2" t="s">
        <v>215</v>
      </c>
      <c r="X54" s="2"/>
      <c r="Y54" s="2"/>
      <c r="Z54" s="9">
        <v>3.9</v>
      </c>
      <c r="AA54" s="9">
        <v>0.3</v>
      </c>
      <c r="AB54" s="2"/>
      <c r="AC54" s="2"/>
      <c r="AD54" s="2"/>
      <c r="AE54" s="2"/>
      <c r="AF54" s="2"/>
      <c r="AG54" s="2"/>
      <c r="AH54" s="2"/>
      <c r="AI54" s="2"/>
      <c r="AJ54" s="2"/>
      <c r="AK54" s="2"/>
      <c r="AL54" s="2"/>
      <c r="AM54" s="2"/>
      <c r="AN54" s="2"/>
      <c r="AO54" s="2"/>
      <c r="AP54" s="2"/>
      <c r="AQ54" s="9">
        <f>Z54-Z$56</f>
        <v>0</v>
      </c>
      <c r="AR54" s="9">
        <f>(AQ54/Z$56)*100</f>
        <v>0</v>
      </c>
      <c r="AS54" s="2"/>
      <c r="AT54" s="2"/>
      <c r="AU54" s="2" t="s">
        <v>172</v>
      </c>
      <c r="AV54" s="2" t="s">
        <v>216</v>
      </c>
      <c r="AW54" s="9">
        <v>94.9</v>
      </c>
      <c r="AX54" s="2"/>
      <c r="AY54" s="2"/>
      <c r="AZ54" s="2"/>
      <c r="BA54" s="2" t="s">
        <v>132</v>
      </c>
      <c r="BB54" s="2" t="s">
        <v>133</v>
      </c>
      <c r="BC54" s="6" t="s">
        <v>217</v>
      </c>
      <c r="BD54" s="2"/>
      <c r="BE54" s="2">
        <v>0</v>
      </c>
    </row>
    <row r="55" spans="1:57" ht="28" hidden="1" x14ac:dyDescent="0.15">
      <c r="A55" s="7" t="s">
        <v>210</v>
      </c>
      <c r="B55" s="8" t="s">
        <v>211</v>
      </c>
      <c r="C55" s="9">
        <v>2018</v>
      </c>
      <c r="D55" s="2" t="s">
        <v>212</v>
      </c>
      <c r="E55" s="2" t="s">
        <v>135</v>
      </c>
      <c r="F55" s="2"/>
      <c r="G55" s="2" t="s">
        <v>113</v>
      </c>
      <c r="H55" s="2"/>
      <c r="I55" s="2" t="s">
        <v>218</v>
      </c>
      <c r="J55" s="10" t="s">
        <v>214</v>
      </c>
      <c r="K55" s="9">
        <v>450</v>
      </c>
      <c r="L55" s="9">
        <v>21.5</v>
      </c>
      <c r="M55" s="9">
        <v>2900</v>
      </c>
      <c r="N55" s="2"/>
      <c r="O55" s="2"/>
      <c r="P55" s="9">
        <v>1650</v>
      </c>
      <c r="Q55" s="11">
        <v>6</v>
      </c>
      <c r="R55" s="9">
        <v>4</v>
      </c>
      <c r="S55" s="9">
        <v>200</v>
      </c>
      <c r="T55" s="15">
        <v>41671</v>
      </c>
      <c r="U55" s="15">
        <v>41730</v>
      </c>
      <c r="V55" s="9">
        <f>12*2</f>
        <v>24</v>
      </c>
      <c r="W55" s="2" t="s">
        <v>215</v>
      </c>
      <c r="X55" s="2"/>
      <c r="Y55" s="2"/>
      <c r="Z55" s="9">
        <v>3.2</v>
      </c>
      <c r="AA55" s="9">
        <v>0.2</v>
      </c>
      <c r="AB55" s="2"/>
      <c r="AC55" s="2"/>
      <c r="AD55" s="2"/>
      <c r="AE55" s="2"/>
      <c r="AF55" s="2"/>
      <c r="AG55" s="2"/>
      <c r="AH55" s="2"/>
      <c r="AI55" s="2"/>
      <c r="AJ55" s="2"/>
      <c r="AK55" s="2"/>
      <c r="AL55" s="2"/>
      <c r="AM55" s="2"/>
      <c r="AN55" s="2"/>
      <c r="AO55" s="2"/>
      <c r="AP55" s="2"/>
      <c r="AQ55" s="2"/>
      <c r="AR55" s="2"/>
      <c r="AS55" s="2"/>
      <c r="AT55" s="2"/>
      <c r="AU55" s="2" t="s">
        <v>172</v>
      </c>
      <c r="AV55" s="2" t="s">
        <v>216</v>
      </c>
      <c r="AW55" s="9">
        <v>94.9</v>
      </c>
      <c r="AX55" s="2"/>
      <c r="AY55" s="2"/>
      <c r="AZ55" s="2"/>
      <c r="BA55" s="2" t="s">
        <v>132</v>
      </c>
      <c r="BB55" s="2" t="s">
        <v>133</v>
      </c>
      <c r="BC55" s="6" t="s">
        <v>217</v>
      </c>
      <c r="BD55" s="2"/>
      <c r="BE55" s="2">
        <v>0</v>
      </c>
    </row>
    <row r="56" spans="1:57" ht="28" hidden="1" x14ac:dyDescent="0.15">
      <c r="A56" s="7" t="s">
        <v>210</v>
      </c>
      <c r="B56" s="8" t="s">
        <v>211</v>
      </c>
      <c r="C56" s="9">
        <v>2018</v>
      </c>
      <c r="D56" s="2" t="s">
        <v>212</v>
      </c>
      <c r="E56" s="2" t="s">
        <v>135</v>
      </c>
      <c r="F56" s="2"/>
      <c r="G56" s="8" t="s">
        <v>200</v>
      </c>
      <c r="H56" s="2"/>
      <c r="I56" s="2" t="s">
        <v>219</v>
      </c>
      <c r="J56" s="10" t="s">
        <v>214</v>
      </c>
      <c r="K56" s="9">
        <v>450</v>
      </c>
      <c r="L56" s="9">
        <v>21.5</v>
      </c>
      <c r="M56" s="9">
        <v>2900</v>
      </c>
      <c r="N56" s="2"/>
      <c r="O56" s="2"/>
      <c r="P56" s="9">
        <v>1650</v>
      </c>
      <c r="Q56" s="11">
        <v>6</v>
      </c>
      <c r="R56" s="9">
        <v>4</v>
      </c>
      <c r="S56" s="9">
        <v>200</v>
      </c>
      <c r="T56" s="15">
        <v>41671</v>
      </c>
      <c r="U56" s="15">
        <v>41730</v>
      </c>
      <c r="V56" s="9">
        <f>12*14</f>
        <v>168</v>
      </c>
      <c r="W56" s="2" t="s">
        <v>215</v>
      </c>
      <c r="X56" s="2"/>
      <c r="Y56" s="2"/>
      <c r="Z56" s="9">
        <v>3.9</v>
      </c>
      <c r="AA56" s="9">
        <v>0.2</v>
      </c>
      <c r="AB56" s="2"/>
      <c r="AC56" s="2"/>
      <c r="AD56" s="2"/>
      <c r="AE56" s="2"/>
      <c r="AF56" s="2"/>
      <c r="AG56" s="2"/>
      <c r="AH56" s="2"/>
      <c r="AI56" s="2"/>
      <c r="AJ56" s="2"/>
      <c r="AK56" s="2"/>
      <c r="AL56" s="2"/>
      <c r="AM56" s="2"/>
      <c r="AN56" s="2"/>
      <c r="AO56" s="2"/>
      <c r="AP56" s="2"/>
      <c r="AQ56" s="9">
        <f>Z56-Z$56</f>
        <v>0</v>
      </c>
      <c r="AR56" s="9">
        <f>(AQ56/Z$56)*100</f>
        <v>0</v>
      </c>
      <c r="AS56" s="2"/>
      <c r="AT56" s="2"/>
      <c r="AU56" s="2" t="s">
        <v>172</v>
      </c>
      <c r="AV56" s="2" t="s">
        <v>216</v>
      </c>
      <c r="AW56" s="9">
        <v>94.9</v>
      </c>
      <c r="AX56" s="2"/>
      <c r="AY56" s="2"/>
      <c r="AZ56" s="2"/>
      <c r="BA56" s="2" t="s">
        <v>132</v>
      </c>
      <c r="BB56" s="2" t="s">
        <v>133</v>
      </c>
      <c r="BC56" s="6" t="s">
        <v>217</v>
      </c>
      <c r="BD56" s="2"/>
      <c r="BE56" s="2">
        <v>0</v>
      </c>
    </row>
    <row r="57" spans="1:57" ht="28" hidden="1" x14ac:dyDescent="0.15">
      <c r="A57" s="7" t="s">
        <v>210</v>
      </c>
      <c r="B57" s="8" t="s">
        <v>211</v>
      </c>
      <c r="C57" s="9">
        <v>2018</v>
      </c>
      <c r="D57" s="2" t="s">
        <v>212</v>
      </c>
      <c r="E57" s="2" t="s">
        <v>135</v>
      </c>
      <c r="F57" s="2"/>
      <c r="G57" s="8" t="s">
        <v>200</v>
      </c>
      <c r="H57" s="2"/>
      <c r="I57" s="2" t="s">
        <v>220</v>
      </c>
      <c r="J57" s="10" t="s">
        <v>214</v>
      </c>
      <c r="K57" s="9">
        <v>450</v>
      </c>
      <c r="L57" s="9">
        <v>21.5</v>
      </c>
      <c r="M57" s="9">
        <v>2900</v>
      </c>
      <c r="N57" s="2"/>
      <c r="O57" s="2"/>
      <c r="P57" s="9">
        <v>1650</v>
      </c>
      <c r="Q57" s="11">
        <v>6</v>
      </c>
      <c r="R57" s="9">
        <v>4</v>
      </c>
      <c r="S57" s="9">
        <v>200</v>
      </c>
      <c r="T57" s="15">
        <v>41671</v>
      </c>
      <c r="U57" s="15">
        <v>41730</v>
      </c>
      <c r="V57" s="9">
        <f>12*24</f>
        <v>288</v>
      </c>
      <c r="W57" s="2" t="s">
        <v>215</v>
      </c>
      <c r="X57" s="2"/>
      <c r="Y57" s="2"/>
      <c r="Z57" s="9">
        <v>3.5</v>
      </c>
      <c r="AA57" s="9">
        <v>0.2</v>
      </c>
      <c r="AB57" s="2"/>
      <c r="AC57" s="2"/>
      <c r="AD57" s="2"/>
      <c r="AE57" s="2"/>
      <c r="AF57" s="2"/>
      <c r="AG57" s="2"/>
      <c r="AH57" s="2"/>
      <c r="AI57" s="2"/>
      <c r="AJ57" s="2"/>
      <c r="AK57" s="2"/>
      <c r="AL57" s="2"/>
      <c r="AM57" s="2"/>
      <c r="AN57" s="2"/>
      <c r="AO57" s="2"/>
      <c r="AP57" s="2"/>
      <c r="AQ57" s="9">
        <f>Z57-Z$56</f>
        <v>-0.39999999999999991</v>
      </c>
      <c r="AR57" s="9">
        <f>(AQ57/Z$56)*100</f>
        <v>-10.256410256410255</v>
      </c>
      <c r="AS57" s="2"/>
      <c r="AT57" s="2"/>
      <c r="AU57" s="2" t="s">
        <v>172</v>
      </c>
      <c r="AV57" s="2" t="s">
        <v>216</v>
      </c>
      <c r="AW57" s="9">
        <v>94.9</v>
      </c>
      <c r="AX57" s="2"/>
      <c r="AY57" s="2"/>
      <c r="AZ57" s="2"/>
      <c r="BA57" s="2" t="s">
        <v>132</v>
      </c>
      <c r="BB57" s="2" t="s">
        <v>133</v>
      </c>
      <c r="BC57" s="6" t="s">
        <v>217</v>
      </c>
      <c r="BD57" s="2"/>
      <c r="BE57" s="2">
        <v>0</v>
      </c>
    </row>
    <row r="58" spans="1:57" ht="13" x14ac:dyDescent="0.15">
      <c r="A58" s="74" t="s">
        <v>221</v>
      </c>
      <c r="B58" s="2" t="s">
        <v>110</v>
      </c>
      <c r="C58" s="9">
        <v>2017</v>
      </c>
      <c r="D58" s="2" t="s">
        <v>222</v>
      </c>
      <c r="E58" s="2" t="s">
        <v>112</v>
      </c>
      <c r="F58" s="2"/>
      <c r="G58" s="2" t="s">
        <v>170</v>
      </c>
      <c r="H58" s="2"/>
      <c r="I58" s="2" t="s">
        <v>223</v>
      </c>
      <c r="J58" s="2" t="s">
        <v>214</v>
      </c>
      <c r="K58" s="2"/>
      <c r="L58" s="2"/>
      <c r="M58" s="2"/>
      <c r="N58" s="2"/>
      <c r="O58" s="2"/>
      <c r="P58" s="2"/>
      <c r="Q58" s="17"/>
      <c r="R58" s="2"/>
      <c r="S58" s="2"/>
      <c r="T58" s="2"/>
      <c r="U58" s="2"/>
      <c r="V58" s="2"/>
      <c r="W58" s="2"/>
      <c r="X58" s="2"/>
      <c r="Y58" s="2"/>
      <c r="Z58" s="2"/>
      <c r="AA58" s="2"/>
      <c r="AB58" s="2"/>
      <c r="AC58" s="2"/>
      <c r="AD58" s="2"/>
      <c r="AE58" s="2"/>
      <c r="AF58" s="2"/>
      <c r="AG58" s="2"/>
      <c r="AH58" s="9">
        <v>1.22</v>
      </c>
      <c r="AI58" s="2"/>
      <c r="AJ58" s="2"/>
      <c r="AK58" s="2"/>
      <c r="AL58" s="9">
        <v>20.95</v>
      </c>
      <c r="AM58" s="9">
        <v>1.43</v>
      </c>
      <c r="AN58" s="9">
        <f>AL58-AL70</f>
        <v>2.2899999999999991</v>
      </c>
      <c r="AO58" s="9">
        <f>(AN58/AL70)*100</f>
        <v>12.272240085744905</v>
      </c>
      <c r="AP58" s="2"/>
      <c r="AQ58" s="2"/>
      <c r="AR58" s="2"/>
      <c r="AS58" s="2"/>
      <c r="AT58" s="2"/>
      <c r="AU58" s="2"/>
      <c r="AV58" s="2"/>
      <c r="AW58" s="2"/>
      <c r="AX58" s="2"/>
      <c r="AY58" s="2"/>
      <c r="AZ58" s="2"/>
      <c r="BA58" s="2"/>
      <c r="BB58" s="2" t="s">
        <v>224</v>
      </c>
      <c r="BC58" s="74"/>
      <c r="BD58" s="2"/>
      <c r="BE58" s="2">
        <v>0</v>
      </c>
    </row>
    <row r="59" spans="1:57" ht="13" x14ac:dyDescent="0.15">
      <c r="A59" s="74" t="s">
        <v>221</v>
      </c>
      <c r="B59" s="2" t="s">
        <v>110</v>
      </c>
      <c r="C59" s="9">
        <v>2017</v>
      </c>
      <c r="D59" s="2" t="s">
        <v>222</v>
      </c>
      <c r="E59" s="2" t="s">
        <v>112</v>
      </c>
      <c r="F59" s="2"/>
      <c r="G59" s="2" t="s">
        <v>170</v>
      </c>
      <c r="H59" s="2"/>
      <c r="I59" s="2" t="s">
        <v>223</v>
      </c>
      <c r="J59" s="20">
        <v>45585</v>
      </c>
      <c r="K59" s="2"/>
      <c r="L59" s="2"/>
      <c r="M59" s="2"/>
      <c r="N59" s="2"/>
      <c r="O59" s="2"/>
      <c r="P59" s="2"/>
      <c r="Q59" s="17"/>
      <c r="R59" s="2"/>
      <c r="S59" s="2"/>
      <c r="T59" s="2"/>
      <c r="U59" s="2"/>
      <c r="V59" s="2"/>
      <c r="W59" s="2"/>
      <c r="X59" s="2"/>
      <c r="Y59" s="2"/>
      <c r="Z59" s="2"/>
      <c r="AA59" s="2"/>
      <c r="AB59" s="2"/>
      <c r="AC59" s="2"/>
      <c r="AD59" s="2"/>
      <c r="AE59" s="2"/>
      <c r="AF59" s="2"/>
      <c r="AG59" s="2"/>
      <c r="AH59" s="9">
        <v>1.17</v>
      </c>
      <c r="AI59" s="2"/>
      <c r="AJ59" s="2"/>
      <c r="AK59" s="2"/>
      <c r="AL59" s="9">
        <v>19.420000000000002</v>
      </c>
      <c r="AM59" s="9">
        <v>1.65</v>
      </c>
      <c r="AN59" s="9">
        <f>AL59-AL71</f>
        <v>4.4700000000000024</v>
      </c>
      <c r="AO59" s="9">
        <f>(AN59/AL71)*100</f>
        <v>29.899665551839483</v>
      </c>
      <c r="AP59" s="2"/>
      <c r="AQ59" s="2"/>
      <c r="AR59" s="2"/>
      <c r="AS59" s="2"/>
      <c r="AT59" s="2"/>
      <c r="AU59" s="2"/>
      <c r="AV59" s="2"/>
      <c r="AW59" s="2"/>
      <c r="AX59" s="2"/>
      <c r="AY59" s="2"/>
      <c r="AZ59" s="2"/>
      <c r="BA59" s="2"/>
      <c r="BB59" s="2" t="s">
        <v>224</v>
      </c>
      <c r="BC59" s="74"/>
      <c r="BD59" s="2"/>
      <c r="BE59" s="2">
        <v>0</v>
      </c>
    </row>
    <row r="60" spans="1:57" ht="13" x14ac:dyDescent="0.15">
      <c r="A60" s="74" t="s">
        <v>221</v>
      </c>
      <c r="B60" s="2" t="s">
        <v>110</v>
      </c>
      <c r="C60" s="9">
        <v>2017</v>
      </c>
      <c r="D60" s="2" t="s">
        <v>222</v>
      </c>
      <c r="E60" s="2" t="s">
        <v>112</v>
      </c>
      <c r="F60" s="2"/>
      <c r="G60" s="2" t="s">
        <v>170</v>
      </c>
      <c r="H60" s="2"/>
      <c r="I60" s="2" t="s">
        <v>223</v>
      </c>
      <c r="J60" s="2" t="s">
        <v>225</v>
      </c>
      <c r="K60" s="2"/>
      <c r="L60" s="2"/>
      <c r="M60" s="2"/>
      <c r="N60" s="2"/>
      <c r="O60" s="2"/>
      <c r="P60" s="2"/>
      <c r="Q60" s="17"/>
      <c r="R60" s="2"/>
      <c r="S60" s="2"/>
      <c r="T60" s="2"/>
      <c r="U60" s="2"/>
      <c r="V60" s="2"/>
      <c r="W60" s="2"/>
      <c r="X60" s="2"/>
      <c r="Y60" s="2"/>
      <c r="Z60" s="2"/>
      <c r="AA60" s="2"/>
      <c r="AB60" s="2"/>
      <c r="AC60" s="2"/>
      <c r="AD60" s="2"/>
      <c r="AE60" s="2"/>
      <c r="AF60" s="2"/>
      <c r="AG60" s="2"/>
      <c r="AH60" s="9">
        <v>1.1299999999999999</v>
      </c>
      <c r="AI60" s="2"/>
      <c r="AJ60" s="2"/>
      <c r="AK60" s="2"/>
      <c r="AL60" s="9">
        <v>15.93</v>
      </c>
      <c r="AM60" s="9">
        <v>4.7300000000000004</v>
      </c>
      <c r="AN60" s="9">
        <f>AL60-AL72</f>
        <v>3.9599999999999991</v>
      </c>
      <c r="AO60" s="9">
        <f>(AN60/AL72)*100</f>
        <v>33.082706766917283</v>
      </c>
      <c r="AP60" s="2"/>
      <c r="AQ60" s="2"/>
      <c r="AR60" s="2"/>
      <c r="AS60" s="2"/>
      <c r="AT60" s="2"/>
      <c r="AU60" s="2"/>
      <c r="AV60" s="2"/>
      <c r="AW60" s="2"/>
      <c r="AX60" s="2"/>
      <c r="AY60" s="2"/>
      <c r="AZ60" s="2"/>
      <c r="BA60" s="2"/>
      <c r="BB60" s="2" t="s">
        <v>224</v>
      </c>
      <c r="BC60" s="74"/>
      <c r="BD60" s="2"/>
      <c r="BE60" s="2">
        <v>0</v>
      </c>
    </row>
    <row r="61" spans="1:57" ht="13" x14ac:dyDescent="0.15">
      <c r="A61" s="74" t="s">
        <v>221</v>
      </c>
      <c r="B61" s="2" t="s">
        <v>110</v>
      </c>
      <c r="C61" s="9">
        <v>2017</v>
      </c>
      <c r="D61" s="2" t="s">
        <v>222</v>
      </c>
      <c r="E61" s="2" t="s">
        <v>112</v>
      </c>
      <c r="F61" s="2"/>
      <c r="G61" s="74" t="s">
        <v>170</v>
      </c>
      <c r="H61" s="2"/>
      <c r="I61" s="2" t="s">
        <v>223</v>
      </c>
      <c r="J61" s="2" t="s">
        <v>226</v>
      </c>
      <c r="K61" s="2"/>
      <c r="L61" s="2"/>
      <c r="M61" s="2"/>
      <c r="N61" s="2"/>
      <c r="O61" s="2"/>
      <c r="P61" s="2"/>
      <c r="Q61" s="17"/>
      <c r="R61" s="2"/>
      <c r="S61" s="2"/>
      <c r="T61" s="2"/>
      <c r="U61" s="2"/>
      <c r="V61" s="2"/>
      <c r="W61" s="2"/>
      <c r="X61" s="2"/>
      <c r="Y61" s="2"/>
      <c r="Z61" s="2"/>
      <c r="AA61" s="2"/>
      <c r="AB61" s="2"/>
      <c r="AC61" s="2"/>
      <c r="AD61" s="2"/>
      <c r="AE61" s="2"/>
      <c r="AF61" s="2"/>
      <c r="AG61" s="2"/>
      <c r="AH61" s="9">
        <v>1.06</v>
      </c>
      <c r="AI61" s="2"/>
      <c r="AJ61" s="2"/>
      <c r="AK61" s="2"/>
      <c r="AL61" s="9">
        <v>38.76</v>
      </c>
      <c r="AM61" s="9">
        <v>3.57</v>
      </c>
      <c r="AN61" s="9">
        <f>AL61-AL73</f>
        <v>11.969999999999999</v>
      </c>
      <c r="AO61" s="9">
        <f>(AN61/AL73)*100</f>
        <v>44.680851063829785</v>
      </c>
      <c r="AP61" s="2"/>
      <c r="AQ61" s="2"/>
      <c r="AR61" s="2"/>
      <c r="AS61" s="2"/>
      <c r="AT61" s="2"/>
      <c r="AU61" s="2"/>
      <c r="AV61" s="2"/>
      <c r="AW61" s="2"/>
      <c r="AX61" s="2"/>
      <c r="AY61" s="2"/>
      <c r="AZ61" s="2"/>
      <c r="BA61" s="2"/>
      <c r="BB61" s="2" t="s">
        <v>224</v>
      </c>
      <c r="BC61" s="74"/>
      <c r="BD61" s="2"/>
      <c r="BE61" s="2">
        <v>0</v>
      </c>
    </row>
    <row r="62" spans="1:57" ht="13" x14ac:dyDescent="0.15">
      <c r="A62" s="74" t="s">
        <v>221</v>
      </c>
      <c r="B62" s="2" t="s">
        <v>110</v>
      </c>
      <c r="C62" s="9">
        <v>2017</v>
      </c>
      <c r="D62" s="2" t="s">
        <v>222</v>
      </c>
      <c r="E62" s="2" t="s">
        <v>112</v>
      </c>
      <c r="F62" s="2"/>
      <c r="G62" s="2" t="s">
        <v>170</v>
      </c>
      <c r="H62" s="2"/>
      <c r="I62" s="2" t="s">
        <v>223</v>
      </c>
      <c r="J62" s="2" t="s">
        <v>227</v>
      </c>
      <c r="K62" s="2"/>
      <c r="L62" s="2"/>
      <c r="M62" s="2"/>
      <c r="N62" s="2"/>
      <c r="O62" s="2"/>
      <c r="P62" s="2"/>
      <c r="Q62" s="17"/>
      <c r="R62" s="2"/>
      <c r="S62" s="2"/>
      <c r="T62" s="2"/>
      <c r="U62" s="2"/>
      <c r="V62" s="2"/>
      <c r="W62" s="2"/>
      <c r="X62" s="2"/>
      <c r="Y62" s="2"/>
      <c r="Z62" s="2"/>
      <c r="AA62" s="2"/>
      <c r="AB62" s="2"/>
      <c r="AC62" s="2"/>
      <c r="AD62" s="2"/>
      <c r="AE62" s="2"/>
      <c r="AF62" s="2"/>
      <c r="AG62" s="2"/>
      <c r="AH62" s="9">
        <v>1.08</v>
      </c>
      <c r="AI62" s="2"/>
      <c r="AJ62" s="2"/>
      <c r="AK62" s="2"/>
      <c r="AL62" s="9">
        <v>33.47</v>
      </c>
      <c r="AM62" s="9">
        <v>2.82</v>
      </c>
      <c r="AN62" s="9">
        <f>AL62-AL74</f>
        <v>12.369999999999997</v>
      </c>
      <c r="AO62" s="9">
        <f>(AN62/AL74)*100</f>
        <v>58.625592417061597</v>
      </c>
      <c r="AP62" s="2"/>
      <c r="AQ62" s="2"/>
      <c r="AR62" s="2"/>
      <c r="AS62" s="2"/>
      <c r="AT62" s="2"/>
      <c r="AU62" s="2"/>
      <c r="AV62" s="2"/>
      <c r="AW62" s="2"/>
      <c r="AX62" s="2"/>
      <c r="AY62" s="2"/>
      <c r="AZ62" s="2"/>
      <c r="BA62" s="2"/>
      <c r="BB62" s="2" t="s">
        <v>224</v>
      </c>
      <c r="BC62" s="74"/>
      <c r="BD62" s="2"/>
      <c r="BE62" s="2">
        <v>0</v>
      </c>
    </row>
    <row r="63" spans="1:57" ht="13" x14ac:dyDescent="0.15">
      <c r="A63" s="74" t="s">
        <v>221</v>
      </c>
      <c r="B63" s="2" t="s">
        <v>110</v>
      </c>
      <c r="C63" s="9">
        <v>2017</v>
      </c>
      <c r="D63" s="2" t="s">
        <v>222</v>
      </c>
      <c r="E63" s="2" t="s">
        <v>112</v>
      </c>
      <c r="F63" s="2"/>
      <c r="G63" s="2" t="s">
        <v>170</v>
      </c>
      <c r="H63" s="2"/>
      <c r="I63" s="2" t="s">
        <v>223</v>
      </c>
      <c r="J63" s="2" t="s">
        <v>228</v>
      </c>
      <c r="K63" s="2"/>
      <c r="L63" s="2"/>
      <c r="M63" s="2"/>
      <c r="N63" s="2"/>
      <c r="O63" s="2"/>
      <c r="P63" s="2"/>
      <c r="Q63" s="17"/>
      <c r="R63" s="2"/>
      <c r="S63" s="2"/>
      <c r="T63" s="2"/>
      <c r="U63" s="2"/>
      <c r="V63" s="2"/>
      <c r="W63" s="2"/>
      <c r="X63" s="2"/>
      <c r="Y63" s="2"/>
      <c r="Z63" s="2"/>
      <c r="AA63" s="2"/>
      <c r="AB63" s="2"/>
      <c r="AC63" s="2"/>
      <c r="AD63" s="2"/>
      <c r="AE63" s="2"/>
      <c r="AF63" s="2"/>
      <c r="AG63" s="2"/>
      <c r="AH63" s="9">
        <v>1.07</v>
      </c>
      <c r="AI63" s="2"/>
      <c r="AJ63" s="2"/>
      <c r="AK63" s="2"/>
      <c r="AL63" s="9">
        <v>28.6</v>
      </c>
      <c r="AM63" s="9">
        <v>2.04</v>
      </c>
      <c r="AN63" s="9">
        <f>AL63-AL75</f>
        <v>11.55</v>
      </c>
      <c r="AO63" s="2"/>
      <c r="AP63" s="2"/>
      <c r="AQ63" s="2"/>
      <c r="AR63" s="2"/>
      <c r="AS63" s="2"/>
      <c r="AT63" s="2"/>
      <c r="AU63" s="2"/>
      <c r="AV63" s="2"/>
      <c r="AW63" s="2"/>
      <c r="AX63" s="2"/>
      <c r="AY63" s="2"/>
      <c r="AZ63" s="2"/>
      <c r="BA63" s="2"/>
      <c r="BB63" s="2" t="s">
        <v>224</v>
      </c>
      <c r="BC63" s="74"/>
      <c r="BD63" s="2"/>
      <c r="BE63" s="2">
        <v>0</v>
      </c>
    </row>
    <row r="64" spans="1:57" ht="13" x14ac:dyDescent="0.15">
      <c r="A64" s="74" t="s">
        <v>221</v>
      </c>
      <c r="B64" s="2" t="s">
        <v>110</v>
      </c>
      <c r="C64" s="9">
        <v>2017</v>
      </c>
      <c r="D64" s="2" t="s">
        <v>222</v>
      </c>
      <c r="E64" s="2" t="s">
        <v>112</v>
      </c>
      <c r="F64" s="2"/>
      <c r="G64" s="2" t="s">
        <v>122</v>
      </c>
      <c r="H64" s="2"/>
      <c r="I64" s="2" t="s">
        <v>229</v>
      </c>
      <c r="J64" s="2" t="s">
        <v>214</v>
      </c>
      <c r="K64" s="2"/>
      <c r="L64" s="2"/>
      <c r="M64" s="2"/>
      <c r="N64" s="2"/>
      <c r="O64" s="2"/>
      <c r="P64" s="2"/>
      <c r="Q64" s="17"/>
      <c r="R64" s="2"/>
      <c r="S64" s="2"/>
      <c r="T64" s="2"/>
      <c r="U64" s="2"/>
      <c r="V64" s="2"/>
      <c r="W64" s="2"/>
      <c r="X64" s="2"/>
      <c r="Y64" s="2"/>
      <c r="Z64" s="2"/>
      <c r="AA64" s="2"/>
      <c r="AB64" s="2"/>
      <c r="AC64" s="2"/>
      <c r="AD64" s="2"/>
      <c r="AE64" s="2"/>
      <c r="AF64" s="2"/>
      <c r="AG64" s="2"/>
      <c r="AH64" s="9">
        <v>1.45</v>
      </c>
      <c r="AI64" s="2"/>
      <c r="AJ64" s="2"/>
      <c r="AK64" s="2"/>
      <c r="AL64" s="9">
        <v>20.9</v>
      </c>
      <c r="AM64" s="9">
        <v>1.8</v>
      </c>
      <c r="AN64" s="9">
        <f>AL64-AL70</f>
        <v>2.2399999999999984</v>
      </c>
      <c r="AO64" s="9">
        <f>(AN64/AL70)*100</f>
        <v>12.004287245444793</v>
      </c>
      <c r="AP64" s="2"/>
      <c r="AQ64" s="2"/>
      <c r="AR64" s="2"/>
      <c r="AS64" s="2"/>
      <c r="AT64" s="2"/>
      <c r="AU64" s="2"/>
      <c r="AV64" s="2"/>
      <c r="AW64" s="2"/>
      <c r="AX64" s="2"/>
      <c r="AY64" s="2"/>
      <c r="AZ64" s="2"/>
      <c r="BA64" s="2"/>
      <c r="BB64" s="2" t="s">
        <v>224</v>
      </c>
      <c r="BC64" s="74"/>
      <c r="BD64" s="2"/>
      <c r="BE64" s="2">
        <v>0</v>
      </c>
    </row>
    <row r="65" spans="1:57" ht="13" x14ac:dyDescent="0.15">
      <c r="A65" s="74" t="s">
        <v>221</v>
      </c>
      <c r="B65" s="2" t="s">
        <v>110</v>
      </c>
      <c r="C65" s="9">
        <v>2017</v>
      </c>
      <c r="D65" s="2" t="s">
        <v>222</v>
      </c>
      <c r="E65" s="2" t="s">
        <v>112</v>
      </c>
      <c r="F65" s="2"/>
      <c r="G65" s="2" t="s">
        <v>122</v>
      </c>
      <c r="H65" s="2"/>
      <c r="I65" s="2" t="s">
        <v>229</v>
      </c>
      <c r="J65" s="20">
        <v>45585</v>
      </c>
      <c r="K65" s="2"/>
      <c r="L65" s="2"/>
      <c r="M65" s="2"/>
      <c r="N65" s="2"/>
      <c r="O65" s="2"/>
      <c r="P65" s="2"/>
      <c r="Q65" s="17"/>
      <c r="R65" s="2"/>
      <c r="S65" s="2"/>
      <c r="T65" s="2"/>
      <c r="U65" s="2"/>
      <c r="V65" s="2"/>
      <c r="W65" s="2"/>
      <c r="X65" s="2"/>
      <c r="Y65" s="2"/>
      <c r="Z65" s="2"/>
      <c r="AA65" s="2"/>
      <c r="AB65" s="2"/>
      <c r="AC65" s="2"/>
      <c r="AD65" s="2"/>
      <c r="AE65" s="2"/>
      <c r="AF65" s="2"/>
      <c r="AG65" s="2"/>
      <c r="AH65" s="9">
        <v>1.38</v>
      </c>
      <c r="AI65" s="2"/>
      <c r="AJ65" s="2"/>
      <c r="AK65" s="2"/>
      <c r="AL65" s="9">
        <v>18.850000000000001</v>
      </c>
      <c r="AM65" s="9">
        <v>0.51</v>
      </c>
      <c r="AN65" s="9">
        <f>AL65-AL71</f>
        <v>3.9000000000000021</v>
      </c>
      <c r="AO65" s="9">
        <f>(AN65/AL71)*100</f>
        <v>26.086956521739147</v>
      </c>
      <c r="AP65" s="2"/>
      <c r="AQ65" s="2"/>
      <c r="AR65" s="2"/>
      <c r="AS65" s="2"/>
      <c r="AT65" s="2"/>
      <c r="AU65" s="2"/>
      <c r="AV65" s="2"/>
      <c r="AW65" s="2"/>
      <c r="AX65" s="2"/>
      <c r="AY65" s="2"/>
      <c r="AZ65" s="2"/>
      <c r="BA65" s="2"/>
      <c r="BB65" s="2" t="s">
        <v>224</v>
      </c>
      <c r="BC65" s="74"/>
      <c r="BD65" s="2"/>
      <c r="BE65" s="2">
        <v>0</v>
      </c>
    </row>
    <row r="66" spans="1:57" ht="13" x14ac:dyDescent="0.15">
      <c r="A66" s="74" t="s">
        <v>221</v>
      </c>
      <c r="B66" s="2" t="s">
        <v>110</v>
      </c>
      <c r="C66" s="9">
        <v>2017</v>
      </c>
      <c r="D66" s="2" t="s">
        <v>222</v>
      </c>
      <c r="E66" s="2" t="s">
        <v>112</v>
      </c>
      <c r="F66" s="2"/>
      <c r="G66" s="2" t="s">
        <v>122</v>
      </c>
      <c r="H66" s="2"/>
      <c r="I66" s="2" t="s">
        <v>229</v>
      </c>
      <c r="J66" s="2" t="s">
        <v>225</v>
      </c>
      <c r="K66" s="2"/>
      <c r="L66" s="2"/>
      <c r="M66" s="2"/>
      <c r="N66" s="2"/>
      <c r="O66" s="2"/>
      <c r="P66" s="2"/>
      <c r="Q66" s="17"/>
      <c r="R66" s="2"/>
      <c r="S66" s="2"/>
      <c r="T66" s="2"/>
      <c r="U66" s="2"/>
      <c r="V66" s="2"/>
      <c r="W66" s="2"/>
      <c r="X66" s="2"/>
      <c r="Y66" s="2"/>
      <c r="Z66" s="2"/>
      <c r="AA66" s="2"/>
      <c r="AB66" s="2"/>
      <c r="AC66" s="2"/>
      <c r="AD66" s="2"/>
      <c r="AE66" s="2"/>
      <c r="AF66" s="2"/>
      <c r="AG66" s="2"/>
      <c r="AH66" s="9">
        <v>1.24</v>
      </c>
      <c r="AI66" s="2"/>
      <c r="AJ66" s="2"/>
      <c r="AK66" s="2"/>
      <c r="AL66" s="9">
        <v>13.67</v>
      </c>
      <c r="AM66" s="9">
        <v>2.11</v>
      </c>
      <c r="AN66" s="9">
        <f>AL66-AL72</f>
        <v>1.6999999999999993</v>
      </c>
      <c r="AO66" s="9">
        <f>(AN66/AL72)*100</f>
        <v>14.202172096908933</v>
      </c>
      <c r="AP66" s="2"/>
      <c r="AQ66" s="2"/>
      <c r="AR66" s="2"/>
      <c r="AS66" s="2"/>
      <c r="AT66" s="2"/>
      <c r="AU66" s="2"/>
      <c r="AV66" s="2"/>
      <c r="AW66" s="2"/>
      <c r="AX66" s="2"/>
      <c r="AY66" s="2"/>
      <c r="AZ66" s="2"/>
      <c r="BA66" s="2"/>
      <c r="BB66" s="2" t="s">
        <v>224</v>
      </c>
      <c r="BC66" s="74"/>
      <c r="BD66" s="2"/>
      <c r="BE66" s="2">
        <v>0</v>
      </c>
    </row>
    <row r="67" spans="1:57" ht="13" x14ac:dyDescent="0.15">
      <c r="A67" s="74" t="s">
        <v>221</v>
      </c>
      <c r="B67" s="2" t="s">
        <v>110</v>
      </c>
      <c r="C67" s="9">
        <v>2017</v>
      </c>
      <c r="D67" s="2" t="s">
        <v>222</v>
      </c>
      <c r="E67" s="2" t="s">
        <v>112</v>
      </c>
      <c r="F67" s="2"/>
      <c r="G67" s="2" t="s">
        <v>122</v>
      </c>
      <c r="H67" s="2"/>
      <c r="I67" s="2" t="s">
        <v>229</v>
      </c>
      <c r="J67" s="2" t="s">
        <v>226</v>
      </c>
      <c r="K67" s="2"/>
      <c r="L67" s="2"/>
      <c r="M67" s="2"/>
      <c r="N67" s="2"/>
      <c r="O67" s="2"/>
      <c r="P67" s="2"/>
      <c r="Q67" s="17"/>
      <c r="R67" s="2"/>
      <c r="S67" s="2"/>
      <c r="T67" s="2"/>
      <c r="U67" s="2"/>
      <c r="V67" s="2"/>
      <c r="W67" s="2"/>
      <c r="X67" s="2"/>
      <c r="Y67" s="2"/>
      <c r="Z67" s="2"/>
      <c r="AA67" s="2"/>
      <c r="AB67" s="2"/>
      <c r="AC67" s="2"/>
      <c r="AD67" s="2"/>
      <c r="AE67" s="2"/>
      <c r="AF67" s="2"/>
      <c r="AG67" s="2"/>
      <c r="AH67" s="9">
        <v>1.1399999999999999</v>
      </c>
      <c r="AI67" s="2"/>
      <c r="AJ67" s="2"/>
      <c r="AK67" s="2"/>
      <c r="AL67" s="9">
        <v>28.63</v>
      </c>
      <c r="AM67" s="9">
        <v>2.52</v>
      </c>
      <c r="AN67" s="9">
        <f>AL67-AL73</f>
        <v>1.8399999999999999</v>
      </c>
      <c r="AO67" s="9">
        <f>(AN67/AL73)*100</f>
        <v>6.8682344158267998</v>
      </c>
      <c r="AP67" s="2"/>
      <c r="AQ67" s="2"/>
      <c r="AR67" s="2"/>
      <c r="AS67" s="2"/>
      <c r="AT67" s="2"/>
      <c r="AU67" s="2"/>
      <c r="AV67" s="2"/>
      <c r="AW67" s="2"/>
      <c r="AX67" s="2"/>
      <c r="AY67" s="2"/>
      <c r="AZ67" s="2"/>
      <c r="BA67" s="2"/>
      <c r="BB67" s="2" t="s">
        <v>224</v>
      </c>
      <c r="BC67" s="74"/>
      <c r="BD67" s="2"/>
      <c r="BE67" s="2">
        <v>0</v>
      </c>
    </row>
    <row r="68" spans="1:57" ht="13" x14ac:dyDescent="0.15">
      <c r="A68" s="74" t="s">
        <v>221</v>
      </c>
      <c r="B68" s="2" t="s">
        <v>110</v>
      </c>
      <c r="C68" s="9">
        <v>2017</v>
      </c>
      <c r="D68" s="2" t="s">
        <v>222</v>
      </c>
      <c r="E68" s="2" t="s">
        <v>112</v>
      </c>
      <c r="F68" s="2"/>
      <c r="G68" s="2" t="s">
        <v>122</v>
      </c>
      <c r="H68" s="2"/>
      <c r="I68" s="2" t="s">
        <v>229</v>
      </c>
      <c r="J68" s="2" t="s">
        <v>227</v>
      </c>
      <c r="K68" s="2"/>
      <c r="L68" s="2"/>
      <c r="M68" s="2"/>
      <c r="N68" s="2"/>
      <c r="O68" s="2"/>
      <c r="P68" s="2"/>
      <c r="Q68" s="17"/>
      <c r="R68" s="2"/>
      <c r="S68" s="2"/>
      <c r="T68" s="2"/>
      <c r="U68" s="2"/>
      <c r="V68" s="2"/>
      <c r="W68" s="2"/>
      <c r="X68" s="2"/>
      <c r="Y68" s="2"/>
      <c r="Z68" s="2"/>
      <c r="AA68" s="2"/>
      <c r="AB68" s="2"/>
      <c r="AC68" s="2"/>
      <c r="AD68" s="2"/>
      <c r="AE68" s="2"/>
      <c r="AF68" s="2"/>
      <c r="AG68" s="2"/>
      <c r="AH68" s="9">
        <v>1.1000000000000001</v>
      </c>
      <c r="AI68" s="2"/>
      <c r="AJ68" s="2"/>
      <c r="AK68" s="2"/>
      <c r="AL68" s="9">
        <v>23.14</v>
      </c>
      <c r="AM68" s="9">
        <v>2.87</v>
      </c>
      <c r="AN68" s="9">
        <f>AL68-AL74</f>
        <v>2.0399999999999991</v>
      </c>
      <c r="AO68" s="9">
        <f>(AN68/AL74)*100</f>
        <v>9.6682464454976262</v>
      </c>
      <c r="AP68" s="2"/>
      <c r="AQ68" s="2"/>
      <c r="AR68" s="2"/>
      <c r="AS68" s="2"/>
      <c r="AT68" s="2"/>
      <c r="AU68" s="2"/>
      <c r="AV68" s="2"/>
      <c r="AW68" s="2"/>
      <c r="AX68" s="2"/>
      <c r="AY68" s="2"/>
      <c r="AZ68" s="2"/>
      <c r="BA68" s="2"/>
      <c r="BB68" s="2" t="s">
        <v>224</v>
      </c>
      <c r="BC68" s="74"/>
      <c r="BD68" s="2"/>
      <c r="BE68" s="2">
        <v>0</v>
      </c>
    </row>
    <row r="69" spans="1:57" ht="13" x14ac:dyDescent="0.15">
      <c r="A69" s="74" t="s">
        <v>221</v>
      </c>
      <c r="B69" s="2" t="s">
        <v>110</v>
      </c>
      <c r="C69" s="9">
        <v>2017</v>
      </c>
      <c r="D69" s="2" t="s">
        <v>222</v>
      </c>
      <c r="E69" s="2" t="s">
        <v>112</v>
      </c>
      <c r="F69" s="2"/>
      <c r="G69" s="2" t="s">
        <v>122</v>
      </c>
      <c r="H69" s="2"/>
      <c r="I69" s="2" t="s">
        <v>229</v>
      </c>
      <c r="J69" s="2" t="s">
        <v>228</v>
      </c>
      <c r="K69" s="2"/>
      <c r="L69" s="2"/>
      <c r="M69" s="2"/>
      <c r="N69" s="2"/>
      <c r="O69" s="2"/>
      <c r="P69" s="2"/>
      <c r="Q69" s="17"/>
      <c r="R69" s="2"/>
      <c r="S69" s="2"/>
      <c r="T69" s="2"/>
      <c r="U69" s="2"/>
      <c r="V69" s="2"/>
      <c r="W69" s="2"/>
      <c r="X69" s="2"/>
      <c r="Y69" s="2"/>
      <c r="Z69" s="2"/>
      <c r="AA69" s="2"/>
      <c r="AB69" s="2"/>
      <c r="AC69" s="2"/>
      <c r="AD69" s="2"/>
      <c r="AE69" s="2"/>
      <c r="AF69" s="2"/>
      <c r="AG69" s="2"/>
      <c r="AH69" s="9">
        <v>1.08</v>
      </c>
      <c r="AI69" s="2"/>
      <c r="AJ69" s="2"/>
      <c r="AK69" s="2"/>
      <c r="AL69" s="9">
        <v>22.03</v>
      </c>
      <c r="AM69" s="9">
        <v>1.65</v>
      </c>
      <c r="AN69" s="9">
        <f>AL69-AL75</f>
        <v>4.9800000000000004</v>
      </c>
      <c r="AO69" s="2"/>
      <c r="AP69" s="2"/>
      <c r="AQ69" s="2"/>
      <c r="AR69" s="2"/>
      <c r="AS69" s="2"/>
      <c r="AT69" s="2"/>
      <c r="AU69" s="2"/>
      <c r="AV69" s="2"/>
      <c r="AW69" s="2"/>
      <c r="AX69" s="2"/>
      <c r="AY69" s="2"/>
      <c r="AZ69" s="2"/>
      <c r="BA69" s="2"/>
      <c r="BB69" s="2" t="s">
        <v>224</v>
      </c>
      <c r="BC69" s="74"/>
      <c r="BD69" s="2"/>
      <c r="BE69" s="2">
        <v>0</v>
      </c>
    </row>
    <row r="70" spans="1:57" ht="13" x14ac:dyDescent="0.15">
      <c r="A70" s="74" t="s">
        <v>221</v>
      </c>
      <c r="B70" s="2" t="s">
        <v>110</v>
      </c>
      <c r="C70" s="9">
        <v>2017</v>
      </c>
      <c r="D70" s="2" t="s">
        <v>222</v>
      </c>
      <c r="E70" s="2" t="s">
        <v>112</v>
      </c>
      <c r="F70" s="2"/>
      <c r="G70" s="2" t="s">
        <v>113</v>
      </c>
      <c r="H70" s="2"/>
      <c r="I70" s="2" t="s">
        <v>230</v>
      </c>
      <c r="J70" s="2" t="s">
        <v>214</v>
      </c>
      <c r="K70" s="2"/>
      <c r="L70" s="2"/>
      <c r="M70" s="2"/>
      <c r="N70" s="2"/>
      <c r="O70" s="2"/>
      <c r="P70" s="2"/>
      <c r="Q70" s="17"/>
      <c r="R70" s="2"/>
      <c r="S70" s="2"/>
      <c r="T70" s="2"/>
      <c r="U70" s="2"/>
      <c r="V70" s="2"/>
      <c r="W70" s="2"/>
      <c r="X70" s="2"/>
      <c r="Y70" s="2"/>
      <c r="Z70" s="2"/>
      <c r="AA70" s="2"/>
      <c r="AB70" s="2"/>
      <c r="AC70" s="2"/>
      <c r="AD70" s="2"/>
      <c r="AE70" s="2"/>
      <c r="AF70" s="2"/>
      <c r="AG70" s="2"/>
      <c r="AH70" s="9">
        <v>1.57</v>
      </c>
      <c r="AI70" s="2"/>
      <c r="AJ70" s="2"/>
      <c r="AK70" s="2"/>
      <c r="AL70" s="9">
        <v>18.66</v>
      </c>
      <c r="AM70" s="9">
        <v>2.82</v>
      </c>
      <c r="AN70" s="2"/>
      <c r="AO70" s="2"/>
      <c r="AP70" s="2"/>
      <c r="AQ70" s="2"/>
      <c r="AR70" s="2"/>
      <c r="AS70" s="2"/>
      <c r="AT70" s="2"/>
      <c r="AU70" s="2"/>
      <c r="AV70" s="2"/>
      <c r="AW70" s="2"/>
      <c r="AX70" s="2"/>
      <c r="AY70" s="2"/>
      <c r="AZ70" s="2"/>
      <c r="BA70" s="2"/>
      <c r="BB70" s="2" t="s">
        <v>224</v>
      </c>
      <c r="BC70" s="74"/>
      <c r="BD70" s="2"/>
      <c r="BE70" s="2">
        <v>0</v>
      </c>
    </row>
    <row r="71" spans="1:57" ht="13" x14ac:dyDescent="0.15">
      <c r="A71" s="74" t="s">
        <v>221</v>
      </c>
      <c r="B71" s="2" t="s">
        <v>110</v>
      </c>
      <c r="C71" s="9">
        <v>2017</v>
      </c>
      <c r="D71" s="2" t="s">
        <v>222</v>
      </c>
      <c r="E71" s="2" t="s">
        <v>112</v>
      </c>
      <c r="F71" s="2"/>
      <c r="G71" s="2" t="s">
        <v>113</v>
      </c>
      <c r="H71" s="2"/>
      <c r="I71" s="2" t="s">
        <v>230</v>
      </c>
      <c r="J71" s="20">
        <v>45585</v>
      </c>
      <c r="K71" s="2"/>
      <c r="L71" s="2"/>
      <c r="M71" s="2"/>
      <c r="N71" s="2"/>
      <c r="O71" s="2"/>
      <c r="P71" s="2"/>
      <c r="Q71" s="17"/>
      <c r="R71" s="2"/>
      <c r="S71" s="2"/>
      <c r="T71" s="2"/>
      <c r="U71" s="2"/>
      <c r="V71" s="2"/>
      <c r="W71" s="2"/>
      <c r="X71" s="2"/>
      <c r="Y71" s="2"/>
      <c r="Z71" s="2"/>
      <c r="AA71" s="2"/>
      <c r="AB71" s="2"/>
      <c r="AC71" s="2"/>
      <c r="AD71" s="2"/>
      <c r="AE71" s="2"/>
      <c r="AF71" s="2"/>
      <c r="AG71" s="2"/>
      <c r="AH71" s="9">
        <v>1.46</v>
      </c>
      <c r="AI71" s="2"/>
      <c r="AJ71" s="2"/>
      <c r="AK71" s="2"/>
      <c r="AL71" s="9">
        <v>14.95</v>
      </c>
      <c r="AM71" s="9">
        <v>2</v>
      </c>
      <c r="AN71" s="2"/>
      <c r="AO71" s="2"/>
      <c r="AP71" s="2"/>
      <c r="AQ71" s="2"/>
      <c r="AR71" s="2"/>
      <c r="AS71" s="2"/>
      <c r="AT71" s="2"/>
      <c r="AU71" s="2"/>
      <c r="AV71" s="2"/>
      <c r="AW71" s="2"/>
      <c r="AX71" s="2"/>
      <c r="AY71" s="2"/>
      <c r="AZ71" s="2"/>
      <c r="BA71" s="2"/>
      <c r="BB71" s="2" t="s">
        <v>224</v>
      </c>
      <c r="BC71" s="74"/>
      <c r="BD71" s="2"/>
      <c r="BE71" s="2">
        <v>0</v>
      </c>
    </row>
    <row r="72" spans="1:57" ht="13" x14ac:dyDescent="0.15">
      <c r="A72" s="74" t="s">
        <v>221</v>
      </c>
      <c r="B72" s="2" t="s">
        <v>110</v>
      </c>
      <c r="C72" s="9">
        <v>2017</v>
      </c>
      <c r="D72" s="2" t="s">
        <v>222</v>
      </c>
      <c r="E72" s="2" t="s">
        <v>112</v>
      </c>
      <c r="F72" s="2"/>
      <c r="G72" s="2" t="s">
        <v>113</v>
      </c>
      <c r="H72" s="2"/>
      <c r="I72" s="2" t="s">
        <v>230</v>
      </c>
      <c r="J72" s="2" t="s">
        <v>225</v>
      </c>
      <c r="K72" s="2"/>
      <c r="L72" s="2"/>
      <c r="M72" s="2"/>
      <c r="N72" s="2"/>
      <c r="O72" s="2"/>
      <c r="P72" s="2"/>
      <c r="Q72" s="17"/>
      <c r="R72" s="2"/>
      <c r="S72" s="2"/>
      <c r="T72" s="2"/>
      <c r="U72" s="2"/>
      <c r="V72" s="2"/>
      <c r="W72" s="2"/>
      <c r="X72" s="2"/>
      <c r="Y72" s="2"/>
      <c r="Z72" s="2"/>
      <c r="AA72" s="2"/>
      <c r="AB72" s="2"/>
      <c r="AC72" s="2"/>
      <c r="AD72" s="2"/>
      <c r="AE72" s="2"/>
      <c r="AF72" s="2"/>
      <c r="AG72" s="2"/>
      <c r="AH72" s="9">
        <v>1.28</v>
      </c>
      <c r="AI72" s="2"/>
      <c r="AJ72" s="2"/>
      <c r="AK72" s="2"/>
      <c r="AL72" s="9">
        <v>11.97</v>
      </c>
      <c r="AM72" s="9">
        <v>2.41</v>
      </c>
      <c r="AN72" s="2"/>
      <c r="AO72" s="2"/>
      <c r="AP72" s="2"/>
      <c r="AQ72" s="2"/>
      <c r="AR72" s="2"/>
      <c r="AS72" s="2"/>
      <c r="AT72" s="2"/>
      <c r="AU72" s="2"/>
      <c r="AV72" s="2"/>
      <c r="AW72" s="2"/>
      <c r="AX72" s="2"/>
      <c r="AY72" s="2"/>
      <c r="AZ72" s="2"/>
      <c r="BA72" s="2"/>
      <c r="BB72" s="2" t="s">
        <v>224</v>
      </c>
      <c r="BC72" s="74"/>
      <c r="BD72" s="2"/>
      <c r="BE72" s="2">
        <v>0</v>
      </c>
    </row>
    <row r="73" spans="1:57" ht="13" x14ac:dyDescent="0.15">
      <c r="A73" s="74" t="s">
        <v>221</v>
      </c>
      <c r="B73" s="2" t="s">
        <v>110</v>
      </c>
      <c r="C73" s="9">
        <v>2017</v>
      </c>
      <c r="D73" s="2" t="s">
        <v>222</v>
      </c>
      <c r="E73" s="2" t="s">
        <v>112</v>
      </c>
      <c r="F73" s="2"/>
      <c r="G73" s="2" t="s">
        <v>113</v>
      </c>
      <c r="H73" s="2"/>
      <c r="I73" s="2" t="s">
        <v>230</v>
      </c>
      <c r="J73" s="2" t="s">
        <v>226</v>
      </c>
      <c r="K73" s="2"/>
      <c r="L73" s="2"/>
      <c r="M73" s="2"/>
      <c r="N73" s="2"/>
      <c r="O73" s="2"/>
      <c r="P73" s="2"/>
      <c r="Q73" s="17"/>
      <c r="R73" s="2"/>
      <c r="S73" s="2"/>
      <c r="T73" s="2"/>
      <c r="U73" s="2"/>
      <c r="V73" s="2"/>
      <c r="W73" s="2"/>
      <c r="X73" s="2"/>
      <c r="Y73" s="2"/>
      <c r="Z73" s="2"/>
      <c r="AA73" s="2"/>
      <c r="AB73" s="2"/>
      <c r="AC73" s="2"/>
      <c r="AD73" s="2"/>
      <c r="AE73" s="2"/>
      <c r="AF73" s="2"/>
      <c r="AG73" s="2"/>
      <c r="AH73" s="9">
        <v>1.22</v>
      </c>
      <c r="AI73" s="2"/>
      <c r="AJ73" s="2"/>
      <c r="AK73" s="2"/>
      <c r="AL73" s="9">
        <v>26.79</v>
      </c>
      <c r="AM73" s="9">
        <v>2.37</v>
      </c>
      <c r="AN73" s="2"/>
      <c r="AO73" s="2"/>
      <c r="AP73" s="2"/>
      <c r="AQ73" s="2"/>
      <c r="AR73" s="2"/>
      <c r="AS73" s="2"/>
      <c r="AT73" s="2"/>
      <c r="AU73" s="2"/>
      <c r="AV73" s="2"/>
      <c r="AW73" s="2"/>
      <c r="AX73" s="2"/>
      <c r="AY73" s="2"/>
      <c r="AZ73" s="2"/>
      <c r="BA73" s="2"/>
      <c r="BB73" s="2" t="s">
        <v>224</v>
      </c>
      <c r="BC73" s="74"/>
      <c r="BD73" s="2"/>
      <c r="BE73" s="2">
        <v>0</v>
      </c>
    </row>
    <row r="74" spans="1:57" ht="13" x14ac:dyDescent="0.15">
      <c r="A74" s="74" t="s">
        <v>221</v>
      </c>
      <c r="B74" s="2" t="s">
        <v>110</v>
      </c>
      <c r="C74" s="9">
        <v>2017</v>
      </c>
      <c r="D74" s="2" t="s">
        <v>222</v>
      </c>
      <c r="E74" s="2" t="s">
        <v>112</v>
      </c>
      <c r="F74" s="2"/>
      <c r="G74" s="2" t="s">
        <v>113</v>
      </c>
      <c r="H74" s="2"/>
      <c r="I74" s="2" t="s">
        <v>230</v>
      </c>
      <c r="J74" s="2" t="s">
        <v>227</v>
      </c>
      <c r="K74" s="2"/>
      <c r="L74" s="2"/>
      <c r="M74" s="2"/>
      <c r="N74" s="2"/>
      <c r="O74" s="2"/>
      <c r="P74" s="2"/>
      <c r="Q74" s="17"/>
      <c r="R74" s="2"/>
      <c r="S74" s="2"/>
      <c r="T74" s="2"/>
      <c r="U74" s="2"/>
      <c r="V74" s="2"/>
      <c r="W74" s="2"/>
      <c r="X74" s="2"/>
      <c r="Y74" s="2"/>
      <c r="Z74" s="2"/>
      <c r="AA74" s="2"/>
      <c r="AB74" s="2"/>
      <c r="AC74" s="2"/>
      <c r="AD74" s="2"/>
      <c r="AE74" s="2"/>
      <c r="AF74" s="2"/>
      <c r="AG74" s="2"/>
      <c r="AH74" s="9">
        <v>1.1399999999999999</v>
      </c>
      <c r="AI74" s="2"/>
      <c r="AJ74" s="2"/>
      <c r="AK74" s="2"/>
      <c r="AL74" s="9">
        <v>21.1</v>
      </c>
      <c r="AM74" s="9">
        <v>2.2999999999999998</v>
      </c>
      <c r="AN74" s="2"/>
      <c r="AO74" s="2"/>
      <c r="AP74" s="2"/>
      <c r="AQ74" s="2"/>
      <c r="AR74" s="2"/>
      <c r="AS74" s="2"/>
      <c r="AT74" s="2"/>
      <c r="AU74" s="2"/>
      <c r="AV74" s="2"/>
      <c r="AW74" s="2"/>
      <c r="AX74" s="2"/>
      <c r="AY74" s="2"/>
      <c r="AZ74" s="2"/>
      <c r="BA74" s="2"/>
      <c r="BB74" s="2" t="s">
        <v>224</v>
      </c>
      <c r="BC74" s="74"/>
      <c r="BD74" s="2"/>
      <c r="BE74" s="2">
        <v>0</v>
      </c>
    </row>
    <row r="75" spans="1:57" ht="13" x14ac:dyDescent="0.15">
      <c r="A75" s="74" t="s">
        <v>221</v>
      </c>
      <c r="B75" s="2" t="s">
        <v>110</v>
      </c>
      <c r="C75" s="9">
        <v>2017</v>
      </c>
      <c r="D75" s="2" t="s">
        <v>222</v>
      </c>
      <c r="E75" s="2" t="s">
        <v>112</v>
      </c>
      <c r="F75" s="2"/>
      <c r="G75" s="2" t="s">
        <v>113</v>
      </c>
      <c r="H75" s="2"/>
      <c r="I75" s="2" t="s">
        <v>230</v>
      </c>
      <c r="J75" s="2" t="s">
        <v>228</v>
      </c>
      <c r="K75" s="2"/>
      <c r="L75" s="2"/>
      <c r="M75" s="2"/>
      <c r="N75" s="2"/>
      <c r="O75" s="2"/>
      <c r="P75" s="2"/>
      <c r="Q75" s="17"/>
      <c r="R75" s="2"/>
      <c r="S75" s="2"/>
      <c r="T75" s="2"/>
      <c r="U75" s="2"/>
      <c r="V75" s="2"/>
      <c r="W75" s="2"/>
      <c r="X75" s="2"/>
      <c r="Y75" s="2"/>
      <c r="Z75" s="2"/>
      <c r="AA75" s="2"/>
      <c r="AB75" s="2"/>
      <c r="AC75" s="2"/>
      <c r="AD75" s="2"/>
      <c r="AE75" s="2"/>
      <c r="AF75" s="2"/>
      <c r="AG75" s="2"/>
      <c r="AH75" s="9">
        <v>1.18</v>
      </c>
      <c r="AI75" s="2"/>
      <c r="AJ75" s="2"/>
      <c r="AK75" s="2"/>
      <c r="AL75" s="9">
        <v>17.05</v>
      </c>
      <c r="AM75" s="9">
        <v>0.56999999999999995</v>
      </c>
      <c r="AN75" s="2"/>
      <c r="AO75" s="2"/>
      <c r="AP75" s="2"/>
      <c r="AQ75" s="2"/>
      <c r="AR75" s="2"/>
      <c r="AS75" s="2"/>
      <c r="AT75" s="2"/>
      <c r="AU75" s="2"/>
      <c r="AV75" s="2"/>
      <c r="AW75" s="2"/>
      <c r="AX75" s="2"/>
      <c r="AY75" s="2"/>
      <c r="AZ75" s="2"/>
      <c r="BA75" s="2"/>
      <c r="BB75" s="2" t="s">
        <v>224</v>
      </c>
      <c r="BC75" s="74"/>
      <c r="BD75" s="2"/>
      <c r="BE75" s="2">
        <v>0</v>
      </c>
    </row>
    <row r="76" spans="1:57" ht="42" hidden="1" x14ac:dyDescent="0.15">
      <c r="A76" s="7" t="s">
        <v>231</v>
      </c>
      <c r="B76" s="8" t="s">
        <v>159</v>
      </c>
      <c r="C76" s="9">
        <v>2009</v>
      </c>
      <c r="D76" s="2" t="s">
        <v>232</v>
      </c>
      <c r="E76" s="2" t="s">
        <v>143</v>
      </c>
      <c r="F76" s="2"/>
      <c r="G76" s="2" t="s">
        <v>113</v>
      </c>
      <c r="H76" s="2"/>
      <c r="I76" s="2" t="s">
        <v>233</v>
      </c>
      <c r="J76" s="10" t="s">
        <v>115</v>
      </c>
      <c r="K76" s="9">
        <v>350</v>
      </c>
      <c r="L76" s="2"/>
      <c r="M76" s="2"/>
      <c r="N76" s="2"/>
      <c r="O76" s="2"/>
      <c r="P76" s="9">
        <v>1240</v>
      </c>
      <c r="Q76" s="17"/>
      <c r="R76" s="2"/>
      <c r="S76" s="2"/>
      <c r="T76" s="9">
        <v>1999</v>
      </c>
      <c r="U76" s="9">
        <v>2005</v>
      </c>
      <c r="V76" s="9">
        <f>(U76-T76)*12</f>
        <v>72</v>
      </c>
      <c r="W76" s="2" t="s">
        <v>234</v>
      </c>
      <c r="X76" s="2"/>
      <c r="Y76" s="2"/>
      <c r="Z76" s="9">
        <v>1</v>
      </c>
      <c r="AA76" s="2"/>
      <c r="AB76" s="2"/>
      <c r="AC76" s="2"/>
      <c r="AD76" s="2"/>
      <c r="AE76" s="2"/>
      <c r="AF76" s="2"/>
      <c r="AG76" s="2"/>
      <c r="AH76" s="2"/>
      <c r="AI76" s="2"/>
      <c r="AJ76" s="2"/>
      <c r="AK76" s="2"/>
      <c r="AL76" s="2"/>
      <c r="AM76" s="2"/>
      <c r="AN76" s="2"/>
      <c r="AO76" s="2"/>
      <c r="AP76" s="2"/>
      <c r="AQ76" s="2"/>
      <c r="AR76" s="2"/>
      <c r="AS76" s="2"/>
      <c r="AT76" s="2"/>
      <c r="AU76" s="2" t="s">
        <v>235</v>
      </c>
      <c r="AV76" s="2" t="s">
        <v>236</v>
      </c>
      <c r="AW76" s="2"/>
      <c r="AX76" s="9">
        <v>1</v>
      </c>
      <c r="AY76" s="2"/>
      <c r="AZ76" s="2"/>
      <c r="BA76" s="2"/>
      <c r="BB76" s="2" t="s">
        <v>116</v>
      </c>
      <c r="BC76" s="6" t="s">
        <v>237</v>
      </c>
      <c r="BD76" s="2"/>
      <c r="BE76" s="2">
        <v>0</v>
      </c>
    </row>
    <row r="77" spans="1:57" ht="42" hidden="1" x14ac:dyDescent="0.15">
      <c r="A77" s="7" t="s">
        <v>231</v>
      </c>
      <c r="B77" s="8" t="s">
        <v>159</v>
      </c>
      <c r="C77" s="9">
        <v>2009</v>
      </c>
      <c r="D77" s="2" t="s">
        <v>232</v>
      </c>
      <c r="E77" s="2" t="s">
        <v>143</v>
      </c>
      <c r="F77" s="2"/>
      <c r="G77" s="21" t="s">
        <v>238</v>
      </c>
      <c r="H77" s="2"/>
      <c r="I77" s="2" t="s">
        <v>239</v>
      </c>
      <c r="J77" s="10" t="s">
        <v>115</v>
      </c>
      <c r="K77" s="9">
        <v>350</v>
      </c>
      <c r="L77" s="2"/>
      <c r="M77" s="2"/>
      <c r="N77" s="2"/>
      <c r="O77" s="2"/>
      <c r="P77" s="9">
        <v>1240</v>
      </c>
      <c r="Q77" s="17"/>
      <c r="R77" s="2"/>
      <c r="S77" s="2"/>
      <c r="T77" s="9">
        <v>1999</v>
      </c>
      <c r="U77" s="9">
        <v>2005</v>
      </c>
      <c r="V77" s="9">
        <v>72</v>
      </c>
      <c r="W77" s="2" t="s">
        <v>234</v>
      </c>
      <c r="X77" s="2"/>
      <c r="Y77" s="2"/>
      <c r="Z77" s="9">
        <v>1.2</v>
      </c>
      <c r="AA77" s="2"/>
      <c r="AB77" s="2"/>
      <c r="AC77" s="2"/>
      <c r="AD77" s="2"/>
      <c r="AE77" s="2"/>
      <c r="AF77" s="2"/>
      <c r="AG77" s="2"/>
      <c r="AH77" s="2"/>
      <c r="AI77" s="2"/>
      <c r="AJ77" s="2"/>
      <c r="AK77" s="2"/>
      <c r="AL77" s="2"/>
      <c r="AM77" s="2"/>
      <c r="AN77" s="2"/>
      <c r="AO77" s="2"/>
      <c r="AP77" s="2"/>
      <c r="AQ77" s="2"/>
      <c r="AR77" s="2"/>
      <c r="AS77" s="2"/>
      <c r="AT77" s="2"/>
      <c r="AU77" s="2" t="s">
        <v>235</v>
      </c>
      <c r="AV77" s="2" t="s">
        <v>236</v>
      </c>
      <c r="AW77" s="2"/>
      <c r="AX77" s="9">
        <v>1</v>
      </c>
      <c r="AY77" s="2"/>
      <c r="AZ77" s="2"/>
      <c r="BA77" s="2"/>
      <c r="BB77" s="2" t="s">
        <v>116</v>
      </c>
      <c r="BC77" s="6" t="s">
        <v>237</v>
      </c>
      <c r="BD77" s="2"/>
      <c r="BE77" s="2">
        <v>0</v>
      </c>
    </row>
    <row r="78" spans="1:57" ht="42" hidden="1" x14ac:dyDescent="0.15">
      <c r="A78" s="7" t="s">
        <v>231</v>
      </c>
      <c r="B78" s="8" t="s">
        <v>159</v>
      </c>
      <c r="C78" s="9">
        <v>2009</v>
      </c>
      <c r="D78" s="2" t="s">
        <v>240</v>
      </c>
      <c r="E78" s="2" t="s">
        <v>143</v>
      </c>
      <c r="F78" s="2"/>
      <c r="G78" s="2" t="s">
        <v>113</v>
      </c>
      <c r="H78" s="2"/>
      <c r="I78" s="2" t="s">
        <v>241</v>
      </c>
      <c r="J78" s="10" t="s">
        <v>115</v>
      </c>
      <c r="K78" s="9">
        <v>375</v>
      </c>
      <c r="L78" s="2"/>
      <c r="M78" s="2"/>
      <c r="N78" s="2"/>
      <c r="O78" s="2"/>
      <c r="P78" s="9">
        <v>1148</v>
      </c>
      <c r="Q78" s="17"/>
      <c r="R78" s="2"/>
      <c r="S78" s="2"/>
      <c r="T78" s="9">
        <v>1999</v>
      </c>
      <c r="U78" s="9">
        <v>2005</v>
      </c>
      <c r="V78" s="9">
        <v>72</v>
      </c>
      <c r="W78" s="2" t="s">
        <v>234</v>
      </c>
      <c r="X78" s="2"/>
      <c r="Y78" s="2"/>
      <c r="Z78" s="9">
        <v>1</v>
      </c>
      <c r="AA78" s="2"/>
      <c r="AB78" s="2"/>
      <c r="AC78" s="2"/>
      <c r="AD78" s="2"/>
      <c r="AE78" s="2"/>
      <c r="AF78" s="2"/>
      <c r="AG78" s="2"/>
      <c r="AH78" s="2"/>
      <c r="AI78" s="2"/>
      <c r="AJ78" s="2"/>
      <c r="AK78" s="2"/>
      <c r="AL78" s="2"/>
      <c r="AM78" s="2"/>
      <c r="AN78" s="2"/>
      <c r="AO78" s="2"/>
      <c r="AP78" s="2"/>
      <c r="AQ78" s="2"/>
      <c r="AR78" s="2"/>
      <c r="AS78" s="2"/>
      <c r="AT78" s="2"/>
      <c r="AU78" s="2" t="s">
        <v>235</v>
      </c>
      <c r="AV78" s="2" t="s">
        <v>236</v>
      </c>
      <c r="AW78" s="2"/>
      <c r="AX78" s="9">
        <v>1</v>
      </c>
      <c r="AY78" s="2"/>
      <c r="AZ78" s="2"/>
      <c r="BA78" s="2"/>
      <c r="BB78" s="2" t="s">
        <v>116</v>
      </c>
      <c r="BC78" s="6" t="s">
        <v>237</v>
      </c>
      <c r="BD78" s="2"/>
      <c r="BE78" s="2">
        <v>0</v>
      </c>
    </row>
    <row r="79" spans="1:57" ht="42" hidden="1" x14ac:dyDescent="0.15">
      <c r="A79" s="7" t="s">
        <v>231</v>
      </c>
      <c r="B79" s="8" t="s">
        <v>159</v>
      </c>
      <c r="C79" s="9">
        <v>2009</v>
      </c>
      <c r="D79" s="2" t="s">
        <v>240</v>
      </c>
      <c r="E79" s="2" t="s">
        <v>143</v>
      </c>
      <c r="F79" s="2"/>
      <c r="G79" s="21" t="s">
        <v>238</v>
      </c>
      <c r="H79" s="2"/>
      <c r="I79" s="2" t="s">
        <v>242</v>
      </c>
      <c r="J79" s="10" t="s">
        <v>115</v>
      </c>
      <c r="K79" s="9">
        <v>375</v>
      </c>
      <c r="L79" s="2"/>
      <c r="M79" s="2"/>
      <c r="N79" s="2"/>
      <c r="O79" s="2"/>
      <c r="P79" s="9">
        <v>1148</v>
      </c>
      <c r="Q79" s="17"/>
      <c r="R79" s="2"/>
      <c r="S79" s="2"/>
      <c r="T79" s="9">
        <v>1999</v>
      </c>
      <c r="U79" s="9">
        <v>2005</v>
      </c>
      <c r="V79" s="9">
        <v>72</v>
      </c>
      <c r="W79" s="2" t="s">
        <v>234</v>
      </c>
      <c r="X79" s="2"/>
      <c r="Y79" s="2"/>
      <c r="Z79" s="9">
        <v>1</v>
      </c>
      <c r="AA79" s="2"/>
      <c r="AB79" s="2"/>
      <c r="AC79" s="2"/>
      <c r="AD79" s="2"/>
      <c r="AE79" s="2"/>
      <c r="AF79" s="2"/>
      <c r="AG79" s="2"/>
      <c r="AH79" s="2"/>
      <c r="AI79" s="2"/>
      <c r="AJ79" s="2"/>
      <c r="AK79" s="2"/>
      <c r="AL79" s="2"/>
      <c r="AM79" s="2"/>
      <c r="AN79" s="2"/>
      <c r="AO79" s="2"/>
      <c r="AP79" s="2"/>
      <c r="AQ79" s="2"/>
      <c r="AR79" s="2"/>
      <c r="AS79" s="2"/>
      <c r="AT79" s="2"/>
      <c r="AU79" s="2" t="s">
        <v>235</v>
      </c>
      <c r="AV79" s="2" t="s">
        <v>236</v>
      </c>
      <c r="AW79" s="2"/>
      <c r="AX79" s="9">
        <v>1</v>
      </c>
      <c r="AY79" s="2"/>
      <c r="AZ79" s="2"/>
      <c r="BA79" s="2"/>
      <c r="BB79" s="2" t="s">
        <v>116</v>
      </c>
      <c r="BC79" s="6" t="s">
        <v>237</v>
      </c>
      <c r="BD79" s="2"/>
      <c r="BE79" s="2">
        <v>0</v>
      </c>
    </row>
    <row r="80" spans="1:57" ht="42" hidden="1" x14ac:dyDescent="0.15">
      <c r="A80" s="7" t="s">
        <v>231</v>
      </c>
      <c r="B80" s="8" t="s">
        <v>159</v>
      </c>
      <c r="C80" s="9">
        <v>2009</v>
      </c>
      <c r="D80" s="2" t="s">
        <v>243</v>
      </c>
      <c r="E80" s="2" t="s">
        <v>143</v>
      </c>
      <c r="F80" s="2"/>
      <c r="G80" s="2" t="s">
        <v>113</v>
      </c>
      <c r="H80" s="2"/>
      <c r="I80" s="2" t="s">
        <v>244</v>
      </c>
      <c r="J80" s="10" t="s">
        <v>115</v>
      </c>
      <c r="K80" s="9">
        <v>275</v>
      </c>
      <c r="L80" s="2"/>
      <c r="M80" s="2"/>
      <c r="N80" s="2"/>
      <c r="O80" s="2"/>
      <c r="P80" s="9">
        <v>1134</v>
      </c>
      <c r="Q80" s="17"/>
      <c r="R80" s="2"/>
      <c r="S80" s="2"/>
      <c r="T80" s="9">
        <v>1999</v>
      </c>
      <c r="U80" s="9">
        <v>2005</v>
      </c>
      <c r="V80" s="9">
        <v>72</v>
      </c>
      <c r="W80" s="2" t="s">
        <v>234</v>
      </c>
      <c r="X80" s="2"/>
      <c r="Y80" s="2"/>
      <c r="Z80" s="9">
        <v>0.6</v>
      </c>
      <c r="AA80" s="2"/>
      <c r="AB80" s="2"/>
      <c r="AC80" s="2"/>
      <c r="AD80" s="2"/>
      <c r="AE80" s="2"/>
      <c r="AF80" s="2"/>
      <c r="AG80" s="2"/>
      <c r="AH80" s="2"/>
      <c r="AI80" s="2"/>
      <c r="AJ80" s="2"/>
      <c r="AK80" s="2"/>
      <c r="AL80" s="2"/>
      <c r="AM80" s="2"/>
      <c r="AN80" s="2"/>
      <c r="AO80" s="2"/>
      <c r="AP80" s="2"/>
      <c r="AQ80" s="2"/>
      <c r="AR80" s="2"/>
      <c r="AS80" s="2"/>
      <c r="AT80" s="2"/>
      <c r="AU80" s="2" t="s">
        <v>235</v>
      </c>
      <c r="AV80" s="2" t="s">
        <v>204</v>
      </c>
      <c r="AW80" s="2"/>
      <c r="AX80" s="9">
        <v>1</v>
      </c>
      <c r="AY80" s="2"/>
      <c r="AZ80" s="2"/>
      <c r="BA80" s="2"/>
      <c r="BB80" s="2" t="s">
        <v>116</v>
      </c>
      <c r="BC80" s="6" t="s">
        <v>237</v>
      </c>
      <c r="BD80" s="2"/>
      <c r="BE80" s="2">
        <v>0</v>
      </c>
    </row>
    <row r="81" spans="1:57" ht="42" hidden="1" x14ac:dyDescent="0.15">
      <c r="A81" s="7" t="s">
        <v>231</v>
      </c>
      <c r="B81" s="8" t="s">
        <v>159</v>
      </c>
      <c r="C81" s="9">
        <v>2009</v>
      </c>
      <c r="D81" s="2" t="s">
        <v>243</v>
      </c>
      <c r="E81" s="2" t="s">
        <v>143</v>
      </c>
      <c r="F81" s="2"/>
      <c r="G81" s="21" t="s">
        <v>238</v>
      </c>
      <c r="H81" s="2"/>
      <c r="I81" s="2" t="s">
        <v>245</v>
      </c>
      <c r="J81" s="10" t="s">
        <v>115</v>
      </c>
      <c r="K81" s="9">
        <v>275</v>
      </c>
      <c r="L81" s="2"/>
      <c r="M81" s="2"/>
      <c r="N81" s="2"/>
      <c r="O81" s="2"/>
      <c r="P81" s="9">
        <v>1134</v>
      </c>
      <c r="Q81" s="17"/>
      <c r="R81" s="2"/>
      <c r="S81" s="2"/>
      <c r="T81" s="9">
        <v>1999</v>
      </c>
      <c r="U81" s="9">
        <v>2005</v>
      </c>
      <c r="V81" s="9">
        <v>72</v>
      </c>
      <c r="W81" s="2" t="s">
        <v>234</v>
      </c>
      <c r="X81" s="2"/>
      <c r="Y81" s="2"/>
      <c r="Z81" s="9">
        <v>0.7</v>
      </c>
      <c r="AA81" s="2"/>
      <c r="AB81" s="2"/>
      <c r="AC81" s="2"/>
      <c r="AD81" s="2"/>
      <c r="AE81" s="2"/>
      <c r="AF81" s="2"/>
      <c r="AG81" s="2"/>
      <c r="AH81" s="2"/>
      <c r="AI81" s="2"/>
      <c r="AJ81" s="2"/>
      <c r="AK81" s="2"/>
      <c r="AL81" s="2"/>
      <c r="AM81" s="2"/>
      <c r="AN81" s="2"/>
      <c r="AO81" s="2"/>
      <c r="AP81" s="2"/>
      <c r="AQ81" s="2"/>
      <c r="AR81" s="2"/>
      <c r="AS81" s="2"/>
      <c r="AT81" s="2"/>
      <c r="AU81" s="2" t="s">
        <v>235</v>
      </c>
      <c r="AV81" s="2" t="s">
        <v>204</v>
      </c>
      <c r="AW81" s="2"/>
      <c r="AX81" s="9">
        <v>1</v>
      </c>
      <c r="AY81" s="2"/>
      <c r="AZ81" s="2"/>
      <c r="BA81" s="2"/>
      <c r="BB81" s="2" t="s">
        <v>116</v>
      </c>
      <c r="BC81" s="6" t="s">
        <v>237</v>
      </c>
      <c r="BD81" s="2"/>
      <c r="BE81" s="2">
        <v>0</v>
      </c>
    </row>
    <row r="82" spans="1:57" ht="13" x14ac:dyDescent="0.15">
      <c r="A82" s="74" t="s">
        <v>246</v>
      </c>
      <c r="B82" s="2" t="s">
        <v>159</v>
      </c>
      <c r="C82" s="9">
        <v>2017</v>
      </c>
      <c r="D82" s="2" t="s">
        <v>247</v>
      </c>
      <c r="E82" s="2" t="s">
        <v>112</v>
      </c>
      <c r="F82" s="2"/>
      <c r="G82" s="2" t="s">
        <v>170</v>
      </c>
      <c r="H82" s="2"/>
      <c r="I82" s="2" t="s">
        <v>248</v>
      </c>
      <c r="J82" s="10" t="s">
        <v>214</v>
      </c>
      <c r="K82" s="9">
        <v>780</v>
      </c>
      <c r="L82" s="9">
        <v>25</v>
      </c>
      <c r="M82" s="2"/>
      <c r="N82" s="2"/>
      <c r="O82" s="2"/>
      <c r="P82" s="9">
        <v>1500</v>
      </c>
      <c r="Q82" s="11">
        <v>10</v>
      </c>
      <c r="R82" s="9">
        <v>3</v>
      </c>
      <c r="S82" s="9">
        <v>100</v>
      </c>
      <c r="T82" s="2"/>
      <c r="U82" s="2"/>
      <c r="V82" s="9">
        <v>360</v>
      </c>
      <c r="W82" s="2" t="s">
        <v>249</v>
      </c>
      <c r="X82" s="2"/>
      <c r="Y82" s="9"/>
      <c r="Z82" s="9">
        <v>4.43</v>
      </c>
      <c r="AA82" s="9">
        <v>0.26400000000000001</v>
      </c>
      <c r="AB82" s="2"/>
      <c r="AC82" s="2"/>
      <c r="AD82" s="2"/>
      <c r="AE82" s="2"/>
      <c r="AF82" s="2"/>
      <c r="AG82" s="2"/>
      <c r="AH82" s="2"/>
      <c r="AI82" s="2"/>
      <c r="AJ82" s="2"/>
      <c r="AK82" s="2"/>
      <c r="AL82" s="2"/>
      <c r="AM82" s="2"/>
      <c r="AN82" s="2"/>
      <c r="AO82" s="2"/>
      <c r="AP82" s="2"/>
      <c r="AQ82" s="9">
        <f>Z82-Z83</f>
        <v>-2.0000000000000462E-2</v>
      </c>
      <c r="AR82" s="9">
        <f>(AQ82/Z83)*100</f>
        <v>-0.44943820224720138</v>
      </c>
      <c r="AS82" s="2"/>
      <c r="AT82" s="2"/>
      <c r="AU82" s="2" t="s">
        <v>250</v>
      </c>
      <c r="AV82" s="2" t="s">
        <v>251</v>
      </c>
      <c r="AW82" s="2"/>
      <c r="AX82" s="9">
        <v>1</v>
      </c>
      <c r="AY82" s="9">
        <v>1</v>
      </c>
      <c r="AZ82" s="2" t="s">
        <v>252</v>
      </c>
      <c r="BA82" s="2" t="s">
        <v>132</v>
      </c>
      <c r="BB82" s="2" t="s">
        <v>253</v>
      </c>
      <c r="BC82" s="74" t="s">
        <v>254</v>
      </c>
      <c r="BD82" s="2"/>
      <c r="BE82" s="2">
        <v>0</v>
      </c>
    </row>
    <row r="83" spans="1:57" ht="13" x14ac:dyDescent="0.15">
      <c r="A83" s="74" t="s">
        <v>246</v>
      </c>
      <c r="B83" s="2" t="s">
        <v>159</v>
      </c>
      <c r="C83" s="9">
        <v>2017</v>
      </c>
      <c r="D83" s="2" t="s">
        <v>247</v>
      </c>
      <c r="E83" s="2" t="s">
        <v>112</v>
      </c>
      <c r="F83" s="2"/>
      <c r="G83" s="2" t="s">
        <v>113</v>
      </c>
      <c r="H83" s="2"/>
      <c r="I83" s="2" t="s">
        <v>255</v>
      </c>
      <c r="J83" s="10" t="s">
        <v>214</v>
      </c>
      <c r="K83" s="9">
        <v>780</v>
      </c>
      <c r="L83" s="9">
        <v>25</v>
      </c>
      <c r="M83" s="2"/>
      <c r="N83" s="2"/>
      <c r="O83" s="2"/>
      <c r="P83" s="9">
        <v>1500</v>
      </c>
      <c r="Q83" s="11">
        <v>10</v>
      </c>
      <c r="R83" s="9">
        <v>3</v>
      </c>
      <c r="S83" s="9">
        <v>100</v>
      </c>
      <c r="T83" s="2"/>
      <c r="U83" s="2"/>
      <c r="V83" s="9">
        <v>204</v>
      </c>
      <c r="W83" s="2" t="s">
        <v>249</v>
      </c>
      <c r="X83" s="2"/>
      <c r="Y83" s="9"/>
      <c r="Z83" s="9">
        <v>4.45</v>
      </c>
      <c r="AA83" s="9">
        <v>0.47799999999999998</v>
      </c>
      <c r="AB83" s="2"/>
      <c r="AC83" s="2"/>
      <c r="AD83" s="2"/>
      <c r="AE83" s="2"/>
      <c r="AF83" s="2"/>
      <c r="AG83" s="2"/>
      <c r="AH83" s="2"/>
      <c r="AI83" s="2"/>
      <c r="AJ83" s="2"/>
      <c r="AK83" s="2"/>
      <c r="AL83" s="2"/>
      <c r="AM83" s="2"/>
      <c r="AN83" s="2"/>
      <c r="AO83" s="2"/>
      <c r="AP83" s="2"/>
      <c r="AQ83" s="9"/>
      <c r="AR83" s="9"/>
      <c r="AS83" s="2"/>
      <c r="AT83" s="2"/>
      <c r="AU83" s="2" t="s">
        <v>250</v>
      </c>
      <c r="AV83" s="2" t="s">
        <v>251</v>
      </c>
      <c r="AW83" s="2"/>
      <c r="AX83" s="9">
        <v>1</v>
      </c>
      <c r="AY83" s="9">
        <v>1</v>
      </c>
      <c r="AZ83" s="2" t="s">
        <v>252</v>
      </c>
      <c r="BA83" s="2" t="s">
        <v>132</v>
      </c>
      <c r="BB83" s="2" t="s">
        <v>253</v>
      </c>
      <c r="BC83" s="74" t="s">
        <v>254</v>
      </c>
      <c r="BD83" s="2"/>
      <c r="BE83" s="2">
        <v>0</v>
      </c>
    </row>
    <row r="84" spans="1:57" ht="13" x14ac:dyDescent="0.15">
      <c r="A84" s="74" t="s">
        <v>246</v>
      </c>
      <c r="B84" s="2" t="s">
        <v>159</v>
      </c>
      <c r="C84" s="9">
        <v>2017</v>
      </c>
      <c r="D84" s="2" t="s">
        <v>256</v>
      </c>
      <c r="E84" s="2" t="s">
        <v>112</v>
      </c>
      <c r="F84" s="2"/>
      <c r="G84" s="2" t="s">
        <v>170</v>
      </c>
      <c r="H84" s="2"/>
      <c r="I84" s="2" t="s">
        <v>248</v>
      </c>
      <c r="J84" s="10" t="s">
        <v>214</v>
      </c>
      <c r="K84" s="9">
        <v>780</v>
      </c>
      <c r="L84" s="9">
        <v>25</v>
      </c>
      <c r="M84" s="2"/>
      <c r="N84" s="2"/>
      <c r="O84" s="2"/>
      <c r="P84" s="9">
        <v>1500</v>
      </c>
      <c r="Q84" s="11">
        <v>10</v>
      </c>
      <c r="R84" s="9">
        <v>3</v>
      </c>
      <c r="S84" s="9">
        <v>100</v>
      </c>
      <c r="T84" s="2"/>
      <c r="U84" s="2"/>
      <c r="V84" s="9">
        <v>180</v>
      </c>
      <c r="W84" s="2" t="s">
        <v>249</v>
      </c>
      <c r="X84" s="2"/>
      <c r="Y84" s="9"/>
      <c r="Z84" s="9">
        <v>2.9</v>
      </c>
      <c r="AA84" s="9">
        <v>0.63900000000000001</v>
      </c>
      <c r="AB84" s="2"/>
      <c r="AC84" s="2"/>
      <c r="AD84" s="2"/>
      <c r="AE84" s="2"/>
      <c r="AF84" s="2"/>
      <c r="AG84" s="2"/>
      <c r="AH84" s="2"/>
      <c r="AI84" s="2"/>
      <c r="AJ84" s="2"/>
      <c r="AK84" s="2"/>
      <c r="AL84" s="2"/>
      <c r="AM84" s="2"/>
      <c r="AN84" s="2"/>
      <c r="AO84" s="2"/>
      <c r="AP84" s="2"/>
      <c r="AQ84" s="9">
        <f>Z84-Z85</f>
        <v>2.9999999999999805E-2</v>
      </c>
      <c r="AR84" s="9">
        <f>(AQ84/Z85)*100</f>
        <v>1.0452961672473799</v>
      </c>
      <c r="AS84" s="2"/>
      <c r="AT84" s="2"/>
      <c r="AU84" s="2" t="s">
        <v>250</v>
      </c>
      <c r="AV84" s="2" t="s">
        <v>251</v>
      </c>
      <c r="AW84" s="2"/>
      <c r="AX84" s="9">
        <v>1</v>
      </c>
      <c r="AY84" s="9">
        <v>1</v>
      </c>
      <c r="AZ84" s="2" t="s">
        <v>252</v>
      </c>
      <c r="BA84" s="2" t="s">
        <v>132</v>
      </c>
      <c r="BB84" s="2" t="s">
        <v>253</v>
      </c>
      <c r="BC84" s="74" t="s">
        <v>254</v>
      </c>
      <c r="BD84" s="2"/>
      <c r="BE84" s="2">
        <v>0</v>
      </c>
    </row>
    <row r="85" spans="1:57" ht="13" x14ac:dyDescent="0.15">
      <c r="A85" s="74" t="s">
        <v>246</v>
      </c>
      <c r="B85" s="2" t="s">
        <v>159</v>
      </c>
      <c r="C85" s="9">
        <v>2017</v>
      </c>
      <c r="D85" s="2" t="s">
        <v>256</v>
      </c>
      <c r="E85" s="2" t="s">
        <v>112</v>
      </c>
      <c r="F85" s="2"/>
      <c r="G85" s="2" t="s">
        <v>113</v>
      </c>
      <c r="H85" s="2"/>
      <c r="I85" s="2" t="s">
        <v>257</v>
      </c>
      <c r="J85" s="10" t="s">
        <v>214</v>
      </c>
      <c r="K85" s="9">
        <v>780</v>
      </c>
      <c r="L85" s="9">
        <v>25</v>
      </c>
      <c r="M85" s="2"/>
      <c r="N85" s="2"/>
      <c r="O85" s="2"/>
      <c r="P85" s="9">
        <v>1500</v>
      </c>
      <c r="Q85" s="11">
        <v>10</v>
      </c>
      <c r="R85" s="9">
        <v>3</v>
      </c>
      <c r="S85" s="9">
        <v>100</v>
      </c>
      <c r="T85" s="2"/>
      <c r="U85" s="2"/>
      <c r="V85" s="9">
        <v>180</v>
      </c>
      <c r="W85" s="2" t="s">
        <v>249</v>
      </c>
      <c r="X85" s="2"/>
      <c r="Y85" s="9"/>
      <c r="Z85" s="9">
        <v>2.87</v>
      </c>
      <c r="AA85" s="9">
        <v>0.73599999999999999</v>
      </c>
      <c r="AB85" s="2"/>
      <c r="AC85" s="2"/>
      <c r="AD85" s="2"/>
      <c r="AE85" s="2"/>
      <c r="AF85" s="2"/>
      <c r="AG85" s="2"/>
      <c r="AH85" s="2"/>
      <c r="AI85" s="2"/>
      <c r="AJ85" s="2"/>
      <c r="AK85" s="2"/>
      <c r="AL85" s="2"/>
      <c r="AM85" s="2"/>
      <c r="AN85" s="2"/>
      <c r="AO85" s="2"/>
      <c r="AP85" s="2"/>
      <c r="AQ85" s="9"/>
      <c r="AR85" s="9"/>
      <c r="AS85" s="2"/>
      <c r="AT85" s="2"/>
      <c r="AU85" s="2" t="s">
        <v>250</v>
      </c>
      <c r="AV85" s="2" t="s">
        <v>251</v>
      </c>
      <c r="AW85" s="2"/>
      <c r="AX85" s="9">
        <v>1</v>
      </c>
      <c r="AY85" s="9">
        <v>1</v>
      </c>
      <c r="AZ85" s="2" t="s">
        <v>252</v>
      </c>
      <c r="BA85" s="2" t="s">
        <v>132</v>
      </c>
      <c r="BB85" s="2" t="s">
        <v>253</v>
      </c>
      <c r="BC85" s="74" t="s">
        <v>254</v>
      </c>
      <c r="BD85" s="2"/>
      <c r="BE85" s="2">
        <v>0</v>
      </c>
    </row>
    <row r="86" spans="1:57" ht="13" hidden="1" x14ac:dyDescent="0.15">
      <c r="A86" s="2" t="s">
        <v>258</v>
      </c>
      <c r="B86" s="2" t="s">
        <v>127</v>
      </c>
      <c r="C86" s="9">
        <v>2020</v>
      </c>
      <c r="D86" s="2" t="s">
        <v>259</v>
      </c>
      <c r="E86" s="2" t="s">
        <v>143</v>
      </c>
      <c r="F86" s="2"/>
      <c r="G86" s="2" t="s">
        <v>177</v>
      </c>
      <c r="H86" s="2"/>
      <c r="I86" s="2" t="s">
        <v>260</v>
      </c>
      <c r="J86" s="2" t="s">
        <v>130</v>
      </c>
      <c r="K86" s="2"/>
      <c r="L86" s="2"/>
      <c r="M86" s="2"/>
      <c r="N86" s="2"/>
      <c r="O86" s="2"/>
      <c r="P86" s="9">
        <v>1350</v>
      </c>
      <c r="Q86" s="17"/>
      <c r="R86" s="2"/>
      <c r="S86" s="2"/>
      <c r="T86" s="2"/>
      <c r="U86" s="2"/>
      <c r="V86" s="2"/>
      <c r="W86" s="2" t="s">
        <v>261</v>
      </c>
      <c r="X86" s="2"/>
      <c r="Y86" s="2"/>
      <c r="Z86" s="9">
        <v>1.89</v>
      </c>
      <c r="AA86" s="9">
        <v>0.1</v>
      </c>
      <c r="AB86" s="2"/>
      <c r="AC86" s="2"/>
      <c r="AD86" s="2"/>
      <c r="AE86" s="2"/>
      <c r="AF86" s="2"/>
      <c r="AG86" s="2"/>
      <c r="AH86" s="2"/>
      <c r="AI86" s="2"/>
      <c r="AJ86" s="2"/>
      <c r="AK86" s="2"/>
      <c r="AL86" s="9">
        <v>73.61</v>
      </c>
      <c r="AM86" s="9">
        <v>4.9400000000000004</v>
      </c>
      <c r="AN86" s="9">
        <f>AL86-AL87</f>
        <v>27.97</v>
      </c>
      <c r="AO86" s="9">
        <f>AN86/AL87*100</f>
        <v>61.283961437335662</v>
      </c>
      <c r="AP86" s="2"/>
      <c r="AQ86" s="2"/>
      <c r="AR86" s="2"/>
      <c r="AS86" s="2"/>
      <c r="AT86" s="2"/>
      <c r="AU86" s="2"/>
      <c r="AV86" s="2"/>
      <c r="AW86" s="2"/>
      <c r="AX86" s="2"/>
      <c r="AY86" s="2"/>
      <c r="AZ86" s="2"/>
      <c r="BA86" s="2"/>
      <c r="BB86" s="2" t="s">
        <v>224</v>
      </c>
      <c r="BC86" s="2"/>
      <c r="BD86" s="2"/>
      <c r="BE86" s="2">
        <v>0</v>
      </c>
    </row>
    <row r="87" spans="1:57" ht="13" hidden="1" x14ac:dyDescent="0.15">
      <c r="A87" s="2" t="s">
        <v>258</v>
      </c>
      <c r="B87" s="2" t="s">
        <v>127</v>
      </c>
      <c r="C87" s="9">
        <v>2020</v>
      </c>
      <c r="D87" s="2" t="s">
        <v>259</v>
      </c>
      <c r="E87" s="2" t="s">
        <v>143</v>
      </c>
      <c r="F87" s="2"/>
      <c r="G87" s="2" t="s">
        <v>113</v>
      </c>
      <c r="H87" s="2"/>
      <c r="I87" s="2" t="s">
        <v>262</v>
      </c>
      <c r="J87" s="2" t="s">
        <v>130</v>
      </c>
      <c r="K87" s="2"/>
      <c r="L87" s="2"/>
      <c r="M87" s="2"/>
      <c r="N87" s="2"/>
      <c r="O87" s="2"/>
      <c r="P87" s="2"/>
      <c r="Q87" s="17"/>
      <c r="R87" s="2"/>
      <c r="S87" s="2"/>
      <c r="T87" s="2"/>
      <c r="U87" s="2"/>
      <c r="V87" s="2"/>
      <c r="W87" s="2" t="s">
        <v>261</v>
      </c>
      <c r="X87" s="2"/>
      <c r="Y87" s="2"/>
      <c r="Z87" s="9">
        <v>1.29</v>
      </c>
      <c r="AA87" s="9">
        <v>0.06</v>
      </c>
      <c r="AB87" s="2"/>
      <c r="AC87" s="2"/>
      <c r="AD87" s="2"/>
      <c r="AE87" s="2"/>
      <c r="AF87" s="2"/>
      <c r="AG87" s="2"/>
      <c r="AH87" s="2"/>
      <c r="AI87" s="2"/>
      <c r="AJ87" s="2"/>
      <c r="AK87" s="2"/>
      <c r="AL87" s="9">
        <v>45.64</v>
      </c>
      <c r="AM87" s="9">
        <v>2.57</v>
      </c>
      <c r="AN87" s="2"/>
      <c r="AO87" s="2"/>
      <c r="AP87" s="2"/>
      <c r="AQ87" s="2"/>
      <c r="AR87" s="2"/>
      <c r="AS87" s="2"/>
      <c r="AT87" s="2"/>
      <c r="AU87" s="2"/>
      <c r="AV87" s="2"/>
      <c r="AW87" s="2"/>
      <c r="AX87" s="2"/>
      <c r="AY87" s="2"/>
      <c r="AZ87" s="2"/>
      <c r="BA87" s="2"/>
      <c r="BB87" s="2" t="s">
        <v>224</v>
      </c>
      <c r="BC87" s="2"/>
      <c r="BD87" s="2"/>
      <c r="BE87" s="2">
        <v>0</v>
      </c>
    </row>
    <row r="88" spans="1:57" ht="28" x14ac:dyDescent="0.15">
      <c r="A88" s="7" t="s">
        <v>263</v>
      </c>
      <c r="B88" s="8" t="s">
        <v>211</v>
      </c>
      <c r="C88" s="9">
        <v>2024</v>
      </c>
      <c r="D88" s="2" t="s">
        <v>264</v>
      </c>
      <c r="E88" s="8" t="s">
        <v>112</v>
      </c>
      <c r="F88" s="2"/>
      <c r="G88" s="2" t="s">
        <v>122</v>
      </c>
      <c r="H88" s="2" t="s">
        <v>170</v>
      </c>
      <c r="I88" s="2" t="s">
        <v>265</v>
      </c>
      <c r="J88" s="10" t="s">
        <v>214</v>
      </c>
      <c r="K88" s="9">
        <v>375</v>
      </c>
      <c r="L88" s="9">
        <v>20</v>
      </c>
      <c r="M88" s="9">
        <v>2450</v>
      </c>
      <c r="N88" s="2"/>
      <c r="O88" s="2"/>
      <c r="P88" s="9">
        <f>(1264+1478)/2</f>
        <v>1371</v>
      </c>
      <c r="Q88" s="11">
        <v>9</v>
      </c>
      <c r="R88" s="9">
        <v>3</v>
      </c>
      <c r="S88" s="9">
        <f>10*10</f>
        <v>100</v>
      </c>
      <c r="T88" s="15">
        <v>44228</v>
      </c>
      <c r="U88" s="15">
        <v>44317</v>
      </c>
      <c r="V88" s="2" t="s">
        <v>266</v>
      </c>
      <c r="W88" s="2"/>
      <c r="X88" s="2"/>
      <c r="Y88" s="2"/>
      <c r="Z88" s="9">
        <v>5.5</v>
      </c>
      <c r="AA88" s="2"/>
      <c r="AB88" s="2"/>
      <c r="AC88" s="2"/>
      <c r="AD88" s="2"/>
      <c r="AE88" s="2"/>
      <c r="AF88" s="2"/>
      <c r="AG88" s="2"/>
      <c r="AH88" s="9">
        <f>AVERAGE(1.67,1.49)</f>
        <v>1.58</v>
      </c>
      <c r="AI88" s="9">
        <f>AVERAGE(0.05,0.09)</f>
        <v>7.0000000000000007E-2</v>
      </c>
      <c r="AJ88" s="2"/>
      <c r="AK88" s="2"/>
      <c r="AL88" s="9">
        <f>9.5-AL89</f>
        <v>5.0999999999999996</v>
      </c>
      <c r="AM88" s="2"/>
      <c r="AN88" s="2"/>
      <c r="AO88" s="2"/>
      <c r="AP88" s="2"/>
      <c r="AQ88" s="2"/>
      <c r="AR88" s="2"/>
      <c r="AS88" s="2"/>
      <c r="AT88" s="2"/>
      <c r="AU88" s="2" t="s">
        <v>172</v>
      </c>
      <c r="AV88" s="2" t="s">
        <v>216</v>
      </c>
      <c r="AW88" s="9">
        <v>91.1</v>
      </c>
      <c r="AX88" s="9">
        <v>1</v>
      </c>
      <c r="AY88" s="9">
        <v>1</v>
      </c>
      <c r="AZ88" s="2" t="s">
        <v>168</v>
      </c>
      <c r="BA88" s="2" t="s">
        <v>132</v>
      </c>
      <c r="BB88" s="2" t="s">
        <v>133</v>
      </c>
      <c r="BC88" s="6" t="s">
        <v>267</v>
      </c>
      <c r="BD88" s="2"/>
      <c r="BE88" s="2">
        <v>0</v>
      </c>
    </row>
    <row r="89" spans="1:57" ht="28" x14ac:dyDescent="0.15">
      <c r="A89" s="7" t="s">
        <v>263</v>
      </c>
      <c r="B89" s="8" t="s">
        <v>211</v>
      </c>
      <c r="C89" s="9">
        <v>2024</v>
      </c>
      <c r="D89" s="2" t="s">
        <v>264</v>
      </c>
      <c r="E89" s="8" t="s">
        <v>112</v>
      </c>
      <c r="F89" s="2"/>
      <c r="G89" s="2" t="s">
        <v>122</v>
      </c>
      <c r="H89" s="2" t="s">
        <v>170</v>
      </c>
      <c r="I89" s="2" t="s">
        <v>265</v>
      </c>
      <c r="J89" s="14">
        <v>45585</v>
      </c>
      <c r="K89" s="9">
        <v>375</v>
      </c>
      <c r="L89" s="9">
        <v>20</v>
      </c>
      <c r="M89" s="9">
        <v>2450</v>
      </c>
      <c r="N89" s="2"/>
      <c r="O89" s="2"/>
      <c r="P89" s="9">
        <f>(1264+1478)/2</f>
        <v>1371</v>
      </c>
      <c r="Q89" s="11">
        <v>9</v>
      </c>
      <c r="R89" s="9">
        <v>3</v>
      </c>
      <c r="S89" s="9">
        <f>10*10</f>
        <v>100</v>
      </c>
      <c r="T89" s="15">
        <v>44228</v>
      </c>
      <c r="U89" s="15">
        <v>44317</v>
      </c>
      <c r="V89" s="2" t="s">
        <v>266</v>
      </c>
      <c r="W89" s="2"/>
      <c r="X89" s="2"/>
      <c r="Y89" s="2"/>
      <c r="Z89" s="9">
        <v>4.2</v>
      </c>
      <c r="AA89" s="2"/>
      <c r="AB89" s="2"/>
      <c r="AC89" s="2"/>
      <c r="AD89" s="2"/>
      <c r="AE89" s="2"/>
      <c r="AF89" s="2"/>
      <c r="AG89" s="2"/>
      <c r="AH89" s="9">
        <f>AVERAGE(1.68,1.57)</f>
        <v>1.625</v>
      </c>
      <c r="AI89" s="9">
        <f>AVERAGE(0.05,0.06)</f>
        <v>5.5E-2</v>
      </c>
      <c r="AJ89" s="2"/>
      <c r="AK89" s="2"/>
      <c r="AL89" s="9">
        <v>4.4000000000000004</v>
      </c>
      <c r="AM89" s="2"/>
      <c r="AN89" s="2"/>
      <c r="AO89" s="2"/>
      <c r="AP89" s="2"/>
      <c r="AQ89" s="2"/>
      <c r="AR89" s="2"/>
      <c r="AS89" s="2"/>
      <c r="AT89" s="2"/>
      <c r="AU89" s="2" t="s">
        <v>172</v>
      </c>
      <c r="AV89" s="2" t="s">
        <v>216</v>
      </c>
      <c r="AW89" s="9">
        <v>91.1</v>
      </c>
      <c r="AX89" s="9">
        <v>1</v>
      </c>
      <c r="AY89" s="9">
        <v>1</v>
      </c>
      <c r="AZ89" s="2" t="s">
        <v>168</v>
      </c>
      <c r="BA89" s="2" t="s">
        <v>132</v>
      </c>
      <c r="BB89" s="2" t="s">
        <v>133</v>
      </c>
      <c r="BC89" s="6" t="s">
        <v>268</v>
      </c>
      <c r="BD89" s="2"/>
      <c r="BE89" s="2">
        <v>0</v>
      </c>
    </row>
    <row r="90" spans="1:57" ht="28" x14ac:dyDescent="0.15">
      <c r="A90" s="7" t="s">
        <v>263</v>
      </c>
      <c r="B90" s="8" t="s">
        <v>211</v>
      </c>
      <c r="C90" s="9">
        <v>2024</v>
      </c>
      <c r="D90" s="2" t="s">
        <v>264</v>
      </c>
      <c r="E90" s="8" t="s">
        <v>112</v>
      </c>
      <c r="F90" s="2"/>
      <c r="G90" s="74" t="s">
        <v>113</v>
      </c>
      <c r="H90" s="2"/>
      <c r="I90" s="2" t="s">
        <v>269</v>
      </c>
      <c r="J90" s="10" t="s">
        <v>214</v>
      </c>
      <c r="K90" s="9">
        <v>375</v>
      </c>
      <c r="L90" s="9">
        <v>20</v>
      </c>
      <c r="M90" s="9">
        <v>2450</v>
      </c>
      <c r="N90" s="2"/>
      <c r="O90" s="2"/>
      <c r="P90" s="9">
        <f>(1264+1478)/2</f>
        <v>1371</v>
      </c>
      <c r="Q90" s="11">
        <v>9</v>
      </c>
      <c r="R90" s="9">
        <v>3</v>
      </c>
      <c r="S90" s="9">
        <f>10*10</f>
        <v>100</v>
      </c>
      <c r="T90" s="15">
        <v>44228</v>
      </c>
      <c r="U90" s="15">
        <v>44317</v>
      </c>
      <c r="V90" s="2" t="s">
        <v>266</v>
      </c>
      <c r="W90" s="2"/>
      <c r="X90" s="2"/>
      <c r="Y90" s="2"/>
      <c r="Z90" s="9">
        <v>2.1</v>
      </c>
      <c r="AA90" s="2"/>
      <c r="AB90" s="2"/>
      <c r="AC90" s="2"/>
      <c r="AD90" s="2"/>
      <c r="AE90" s="2"/>
      <c r="AF90" s="2"/>
      <c r="AG90" s="2"/>
      <c r="AH90" s="9">
        <f>AVERAGE(1.69,1.5)</f>
        <v>1.595</v>
      </c>
      <c r="AI90" s="9">
        <f>AVERAGE(0.04,0.07)</f>
        <v>5.5000000000000007E-2</v>
      </c>
      <c r="AJ90" s="2"/>
      <c r="AK90" s="2"/>
      <c r="AL90" s="9">
        <f>6.6-AL91</f>
        <v>3.4999999999999996</v>
      </c>
      <c r="AM90" s="2"/>
      <c r="AN90" s="2"/>
      <c r="AO90" s="2"/>
      <c r="AP90" s="2"/>
      <c r="AQ90" s="2"/>
      <c r="AR90" s="2"/>
      <c r="AS90" s="2"/>
      <c r="AT90" s="2"/>
      <c r="AU90" s="2" t="s">
        <v>172</v>
      </c>
      <c r="AV90" s="2" t="s">
        <v>216</v>
      </c>
      <c r="AW90" s="9">
        <v>87.5</v>
      </c>
      <c r="AX90" s="9">
        <v>1</v>
      </c>
      <c r="AY90" s="9">
        <v>1</v>
      </c>
      <c r="AZ90" s="2" t="s">
        <v>168</v>
      </c>
      <c r="BA90" s="2" t="s">
        <v>132</v>
      </c>
      <c r="BB90" s="2" t="s">
        <v>133</v>
      </c>
      <c r="BC90" s="6" t="s">
        <v>268</v>
      </c>
      <c r="BD90" s="2"/>
      <c r="BE90" s="2">
        <v>0</v>
      </c>
    </row>
    <row r="91" spans="1:57" ht="28" x14ac:dyDescent="0.15">
      <c r="A91" s="7" t="s">
        <v>263</v>
      </c>
      <c r="B91" s="8" t="s">
        <v>211</v>
      </c>
      <c r="C91" s="9">
        <v>2024</v>
      </c>
      <c r="D91" s="2" t="s">
        <v>264</v>
      </c>
      <c r="E91" s="8" t="s">
        <v>112</v>
      </c>
      <c r="F91" s="2"/>
      <c r="G91" s="2" t="s">
        <v>113</v>
      </c>
      <c r="H91" s="2"/>
      <c r="I91" s="2" t="s">
        <v>269</v>
      </c>
      <c r="J91" s="14">
        <v>45585</v>
      </c>
      <c r="K91" s="9">
        <v>375</v>
      </c>
      <c r="L91" s="9">
        <v>20</v>
      </c>
      <c r="M91" s="9">
        <v>2450</v>
      </c>
      <c r="N91" s="2"/>
      <c r="O91" s="2"/>
      <c r="P91" s="9">
        <f>(1264+1478)/2</f>
        <v>1371</v>
      </c>
      <c r="Q91" s="11">
        <v>9</v>
      </c>
      <c r="R91" s="9">
        <v>3</v>
      </c>
      <c r="S91" s="9">
        <f>10*10</f>
        <v>100</v>
      </c>
      <c r="T91" s="15">
        <v>44228</v>
      </c>
      <c r="U91" s="15">
        <v>44317</v>
      </c>
      <c r="V91" s="2" t="s">
        <v>266</v>
      </c>
      <c r="W91" s="2"/>
      <c r="X91" s="2"/>
      <c r="Y91" s="2"/>
      <c r="Z91" s="9">
        <v>1.9</v>
      </c>
      <c r="AA91" s="2"/>
      <c r="AB91" s="2"/>
      <c r="AC91" s="2"/>
      <c r="AD91" s="2"/>
      <c r="AE91" s="2"/>
      <c r="AF91" s="2"/>
      <c r="AG91" s="2"/>
      <c r="AH91" s="9">
        <f>AVERAGE(1.68,1.57)</f>
        <v>1.625</v>
      </c>
      <c r="AI91" s="9">
        <f>AVERAGE(0.04,0.05)</f>
        <v>4.4999999999999998E-2</v>
      </c>
      <c r="AJ91" s="2"/>
      <c r="AK91" s="2"/>
      <c r="AL91" s="9">
        <v>3.1</v>
      </c>
      <c r="AM91" s="2"/>
      <c r="AN91" s="2"/>
      <c r="AO91" s="2"/>
      <c r="AP91" s="2"/>
      <c r="AQ91" s="2"/>
      <c r="AR91" s="2"/>
      <c r="AS91" s="2"/>
      <c r="AT91" s="2"/>
      <c r="AU91" s="2" t="s">
        <v>172</v>
      </c>
      <c r="AV91" s="2" t="s">
        <v>216</v>
      </c>
      <c r="AW91" s="9">
        <v>87.5</v>
      </c>
      <c r="AX91" s="9">
        <v>1</v>
      </c>
      <c r="AY91" s="9">
        <v>1</v>
      </c>
      <c r="AZ91" s="2" t="s">
        <v>168</v>
      </c>
      <c r="BA91" s="2" t="s">
        <v>132</v>
      </c>
      <c r="BB91" s="2" t="s">
        <v>133</v>
      </c>
      <c r="BC91" s="6" t="s">
        <v>268</v>
      </c>
      <c r="BD91" s="2"/>
      <c r="BE91" s="2">
        <v>0</v>
      </c>
    </row>
    <row r="92" spans="1:57" ht="13" hidden="1" x14ac:dyDescent="0.15">
      <c r="A92" s="2" t="s">
        <v>270</v>
      </c>
      <c r="B92" s="2" t="s">
        <v>271</v>
      </c>
      <c r="C92" s="9">
        <v>2018</v>
      </c>
      <c r="D92" s="2" t="s">
        <v>272</v>
      </c>
      <c r="E92" s="2" t="s">
        <v>143</v>
      </c>
      <c r="F92" s="2"/>
      <c r="G92" s="2" t="s">
        <v>113</v>
      </c>
      <c r="H92" s="2"/>
      <c r="I92" s="2" t="s">
        <v>113</v>
      </c>
      <c r="J92" s="10" t="s">
        <v>273</v>
      </c>
      <c r="K92" s="9">
        <v>318</v>
      </c>
      <c r="L92" s="9">
        <v>27.3</v>
      </c>
      <c r="M92" s="2"/>
      <c r="N92" s="2"/>
      <c r="O92" s="2"/>
      <c r="P92" s="9">
        <v>560</v>
      </c>
      <c r="Q92" s="11">
        <v>3</v>
      </c>
      <c r="R92" s="9">
        <v>4</v>
      </c>
      <c r="S92" s="9">
        <v>2500</v>
      </c>
      <c r="T92" s="2"/>
      <c r="U92" s="2"/>
      <c r="V92" s="9">
        <v>0</v>
      </c>
      <c r="W92" s="2" t="s">
        <v>274</v>
      </c>
      <c r="X92" s="2"/>
      <c r="Y92" s="2"/>
      <c r="Z92" s="2"/>
      <c r="AA92" s="2"/>
      <c r="AB92" s="2"/>
      <c r="AC92" s="2"/>
      <c r="AD92" s="2"/>
      <c r="AE92" s="2"/>
      <c r="AF92" s="2"/>
      <c r="AG92" s="2"/>
      <c r="AH92" s="2"/>
      <c r="AI92" s="2"/>
      <c r="AJ92" s="9">
        <v>9.5</v>
      </c>
      <c r="AK92" s="9">
        <v>0.51</v>
      </c>
      <c r="AL92" s="2"/>
      <c r="AM92" s="2"/>
      <c r="AN92" s="2"/>
      <c r="AO92" s="2"/>
      <c r="AP92" s="2"/>
      <c r="AQ92" s="2"/>
      <c r="AR92" s="2"/>
      <c r="AS92" s="2"/>
      <c r="AT92" s="2"/>
      <c r="AU92" s="2" t="s">
        <v>275</v>
      </c>
      <c r="AV92" s="2"/>
      <c r="AW92" s="9">
        <v>90</v>
      </c>
      <c r="AX92" s="9">
        <v>1</v>
      </c>
      <c r="AY92" s="9">
        <v>3</v>
      </c>
      <c r="AZ92" s="2" t="s">
        <v>276</v>
      </c>
      <c r="BA92" s="2" t="s">
        <v>132</v>
      </c>
      <c r="BB92" s="2" t="s">
        <v>253</v>
      </c>
      <c r="BC92" s="2"/>
      <c r="BD92" s="2"/>
      <c r="BE92" s="2">
        <v>0</v>
      </c>
    </row>
    <row r="93" spans="1:57" ht="14" hidden="1" x14ac:dyDescent="0.15">
      <c r="A93" s="2" t="s">
        <v>270</v>
      </c>
      <c r="B93" s="2" t="s">
        <v>271</v>
      </c>
      <c r="C93" s="9">
        <v>2018</v>
      </c>
      <c r="D93" s="2" t="s">
        <v>272</v>
      </c>
      <c r="E93" s="2" t="s">
        <v>143</v>
      </c>
      <c r="F93" s="2"/>
      <c r="G93" s="8" t="s">
        <v>277</v>
      </c>
      <c r="H93" s="2"/>
      <c r="I93" s="2" t="s">
        <v>278</v>
      </c>
      <c r="J93" s="10" t="s">
        <v>273</v>
      </c>
      <c r="K93" s="9">
        <v>318</v>
      </c>
      <c r="L93" s="9">
        <v>27.3</v>
      </c>
      <c r="M93" s="2"/>
      <c r="N93" s="2"/>
      <c r="O93" s="2"/>
      <c r="P93" s="9">
        <v>560</v>
      </c>
      <c r="Q93" s="11">
        <v>3</v>
      </c>
      <c r="R93" s="9">
        <v>3</v>
      </c>
      <c r="S93" s="9">
        <v>1000</v>
      </c>
      <c r="T93" s="2"/>
      <c r="U93" s="2"/>
      <c r="V93" s="9">
        <v>180</v>
      </c>
      <c r="W93" s="2" t="s">
        <v>274</v>
      </c>
      <c r="X93" s="2"/>
      <c r="Y93" s="2"/>
      <c r="Z93" s="2"/>
      <c r="AA93" s="2"/>
      <c r="AB93" s="2"/>
      <c r="AC93" s="2"/>
      <c r="AD93" s="2"/>
      <c r="AE93" s="2"/>
      <c r="AF93" s="2"/>
      <c r="AG93" s="2"/>
      <c r="AH93" s="2"/>
      <c r="AI93" s="2"/>
      <c r="AJ93" s="2"/>
      <c r="AK93" s="2"/>
      <c r="AL93" s="9">
        <v>10.24</v>
      </c>
      <c r="AM93" s="9">
        <v>1.43</v>
      </c>
      <c r="AN93" s="9">
        <f>AL93-AJ$92</f>
        <v>0.74000000000000021</v>
      </c>
      <c r="AO93" s="9">
        <f>(AN93/AJ92)*100</f>
        <v>7.7894736842105283</v>
      </c>
      <c r="AP93" s="2"/>
      <c r="AQ93" s="2"/>
      <c r="AR93" s="2"/>
      <c r="AS93" s="2"/>
      <c r="AT93" s="2"/>
      <c r="AU93" s="2" t="s">
        <v>275</v>
      </c>
      <c r="AV93" s="2"/>
      <c r="AW93" s="9">
        <v>90</v>
      </c>
      <c r="AX93" s="9">
        <v>1</v>
      </c>
      <c r="AY93" s="9">
        <v>3</v>
      </c>
      <c r="AZ93" s="2" t="s">
        <v>276</v>
      </c>
      <c r="BA93" s="2" t="s">
        <v>132</v>
      </c>
      <c r="BB93" s="2" t="s">
        <v>253</v>
      </c>
      <c r="BC93" s="2"/>
      <c r="BD93" s="2"/>
      <c r="BE93" s="2">
        <v>0</v>
      </c>
    </row>
    <row r="94" spans="1:57" ht="14" hidden="1" x14ac:dyDescent="0.15">
      <c r="A94" s="2" t="s">
        <v>270</v>
      </c>
      <c r="B94" s="2" t="s">
        <v>271</v>
      </c>
      <c r="C94" s="9">
        <v>2018</v>
      </c>
      <c r="D94" s="2" t="s">
        <v>272</v>
      </c>
      <c r="E94" s="2" t="s">
        <v>143</v>
      </c>
      <c r="F94" s="2"/>
      <c r="G94" s="8" t="s">
        <v>277</v>
      </c>
      <c r="H94" s="2"/>
      <c r="I94" s="2" t="s">
        <v>279</v>
      </c>
      <c r="J94" s="10" t="s">
        <v>273</v>
      </c>
      <c r="K94" s="9">
        <v>318</v>
      </c>
      <c r="L94" s="9">
        <v>27.3</v>
      </c>
      <c r="M94" s="2"/>
      <c r="N94" s="2"/>
      <c r="O94" s="2"/>
      <c r="P94" s="9">
        <v>560</v>
      </c>
      <c r="Q94" s="11">
        <v>3</v>
      </c>
      <c r="R94" s="9">
        <v>3</v>
      </c>
      <c r="S94" s="9">
        <v>1000</v>
      </c>
      <c r="T94" s="2"/>
      <c r="U94" s="2"/>
      <c r="V94" s="9">
        <v>288</v>
      </c>
      <c r="W94" s="2" t="s">
        <v>274</v>
      </c>
      <c r="X94" s="2"/>
      <c r="Y94" s="2"/>
      <c r="Z94" s="2"/>
      <c r="AA94" s="2"/>
      <c r="AB94" s="2"/>
      <c r="AC94" s="2"/>
      <c r="AD94" s="2"/>
      <c r="AE94" s="2"/>
      <c r="AF94" s="2"/>
      <c r="AG94" s="2"/>
      <c r="AH94" s="2"/>
      <c r="AI94" s="2"/>
      <c r="AJ94" s="2"/>
      <c r="AK94" s="2"/>
      <c r="AL94" s="9">
        <v>12.6</v>
      </c>
      <c r="AM94" s="9">
        <v>1.22</v>
      </c>
      <c r="AN94" s="9">
        <f>AL94-AJ$92</f>
        <v>3.0999999999999996</v>
      </c>
      <c r="AO94" s="9">
        <f>(AN94/AJ92)*100</f>
        <v>32.631578947368418</v>
      </c>
      <c r="AP94" s="2"/>
      <c r="AQ94" s="2"/>
      <c r="AR94" s="2"/>
      <c r="AS94" s="2"/>
      <c r="AT94" s="2"/>
      <c r="AU94" s="2" t="s">
        <v>275</v>
      </c>
      <c r="AV94" s="2"/>
      <c r="AW94" s="9">
        <v>90</v>
      </c>
      <c r="AX94" s="9">
        <v>1</v>
      </c>
      <c r="AY94" s="9">
        <v>3</v>
      </c>
      <c r="AZ94" s="2" t="s">
        <v>276</v>
      </c>
      <c r="BA94" s="2" t="s">
        <v>132</v>
      </c>
      <c r="BB94" s="2" t="s">
        <v>253</v>
      </c>
      <c r="BC94" s="2"/>
      <c r="BD94" s="2"/>
      <c r="BE94" s="2">
        <v>0</v>
      </c>
    </row>
    <row r="95" spans="1:57" ht="14" hidden="1" x14ac:dyDescent="0.15">
      <c r="A95" s="2" t="s">
        <v>270</v>
      </c>
      <c r="B95" s="2" t="s">
        <v>271</v>
      </c>
      <c r="C95" s="9">
        <v>2018</v>
      </c>
      <c r="D95" s="2" t="s">
        <v>280</v>
      </c>
      <c r="E95" s="2" t="s">
        <v>143</v>
      </c>
      <c r="F95" s="2"/>
      <c r="G95" s="8" t="s">
        <v>277</v>
      </c>
      <c r="H95" s="2"/>
      <c r="I95" s="2" t="s">
        <v>281</v>
      </c>
      <c r="J95" s="10" t="s">
        <v>273</v>
      </c>
      <c r="K95" s="9">
        <v>318</v>
      </c>
      <c r="L95" s="9">
        <v>27.3</v>
      </c>
      <c r="M95" s="2"/>
      <c r="N95" s="2"/>
      <c r="O95" s="2"/>
      <c r="P95" s="9">
        <v>570</v>
      </c>
      <c r="Q95" s="11">
        <v>3</v>
      </c>
      <c r="R95" s="9">
        <v>4</v>
      </c>
      <c r="S95" s="9">
        <v>900</v>
      </c>
      <c r="T95" s="2"/>
      <c r="U95" s="2"/>
      <c r="V95" s="9">
        <v>0</v>
      </c>
      <c r="W95" s="2" t="s">
        <v>274</v>
      </c>
      <c r="X95" s="2"/>
      <c r="Y95" s="2"/>
      <c r="Z95" s="2"/>
      <c r="AA95" s="2"/>
      <c r="AB95" s="2"/>
      <c r="AC95" s="2"/>
      <c r="AD95" s="2"/>
      <c r="AE95" s="2"/>
      <c r="AF95" s="2"/>
      <c r="AG95" s="2"/>
      <c r="AH95" s="2"/>
      <c r="AI95" s="2"/>
      <c r="AJ95" s="9">
        <v>8.67</v>
      </c>
      <c r="AK95" s="9">
        <v>0.59</v>
      </c>
      <c r="AL95" s="2"/>
      <c r="AM95" s="2"/>
      <c r="AN95" s="2"/>
      <c r="AO95" s="2"/>
      <c r="AP95" s="2"/>
      <c r="AQ95" s="2"/>
      <c r="AR95" s="2"/>
      <c r="AS95" s="2"/>
      <c r="AT95" s="2"/>
      <c r="AU95" s="2" t="s">
        <v>275</v>
      </c>
      <c r="AV95" s="2"/>
      <c r="AW95" s="9">
        <v>90</v>
      </c>
      <c r="AX95" s="9">
        <v>1</v>
      </c>
      <c r="AY95" s="9">
        <v>3</v>
      </c>
      <c r="AZ95" s="2" t="s">
        <v>276</v>
      </c>
      <c r="BA95" s="2" t="s">
        <v>132</v>
      </c>
      <c r="BB95" s="2" t="s">
        <v>253</v>
      </c>
      <c r="BC95" s="2"/>
      <c r="BD95" s="2"/>
      <c r="BE95" s="2">
        <v>0</v>
      </c>
    </row>
    <row r="96" spans="1:57" ht="14" hidden="1" x14ac:dyDescent="0.15">
      <c r="A96" s="2" t="s">
        <v>270</v>
      </c>
      <c r="B96" s="2" t="s">
        <v>271</v>
      </c>
      <c r="C96" s="9">
        <v>2018</v>
      </c>
      <c r="D96" s="2" t="s">
        <v>280</v>
      </c>
      <c r="E96" s="2" t="s">
        <v>143</v>
      </c>
      <c r="F96" s="2"/>
      <c r="G96" s="8" t="s">
        <v>277</v>
      </c>
      <c r="H96" s="2"/>
      <c r="I96" s="2" t="s">
        <v>282</v>
      </c>
      <c r="J96" s="10" t="s">
        <v>273</v>
      </c>
      <c r="K96" s="9">
        <v>318</v>
      </c>
      <c r="L96" s="9">
        <v>27.3</v>
      </c>
      <c r="M96" s="2"/>
      <c r="N96" s="2"/>
      <c r="O96" s="2"/>
      <c r="P96" s="9">
        <v>570</v>
      </c>
      <c r="Q96" s="11">
        <v>3</v>
      </c>
      <c r="R96" s="9">
        <v>3</v>
      </c>
      <c r="S96" s="9">
        <v>1000</v>
      </c>
      <c r="T96" s="2"/>
      <c r="U96" s="2"/>
      <c r="V96" s="9">
        <v>84</v>
      </c>
      <c r="W96" s="2" t="s">
        <v>274</v>
      </c>
      <c r="X96" s="2"/>
      <c r="Y96" s="2"/>
      <c r="Z96" s="2"/>
      <c r="AA96" s="2"/>
      <c r="AB96" s="2"/>
      <c r="AC96" s="2"/>
      <c r="AD96" s="2"/>
      <c r="AE96" s="2"/>
      <c r="AF96" s="2"/>
      <c r="AG96" s="2"/>
      <c r="AH96" s="2"/>
      <c r="AI96" s="2"/>
      <c r="AJ96" s="2"/>
      <c r="AK96" s="2"/>
      <c r="AL96" s="9">
        <v>9.82</v>
      </c>
      <c r="AM96" s="9">
        <v>1.9</v>
      </c>
      <c r="AN96" s="9">
        <f>AL96-AJ$95</f>
        <v>1.1500000000000004</v>
      </c>
      <c r="AO96" s="9">
        <f>(AN96/AJ$95)*100</f>
        <v>13.264129181084202</v>
      </c>
      <c r="AP96" s="2"/>
      <c r="AQ96" s="2"/>
      <c r="AR96" s="2"/>
      <c r="AS96" s="2"/>
      <c r="AT96" s="2"/>
      <c r="AU96" s="2" t="s">
        <v>275</v>
      </c>
      <c r="AV96" s="2"/>
      <c r="AW96" s="9">
        <v>90</v>
      </c>
      <c r="AX96" s="9">
        <v>1</v>
      </c>
      <c r="AY96" s="9">
        <v>3</v>
      </c>
      <c r="AZ96" s="2" t="s">
        <v>276</v>
      </c>
      <c r="BA96" s="2" t="s">
        <v>132</v>
      </c>
      <c r="BB96" s="2" t="s">
        <v>253</v>
      </c>
      <c r="BC96" s="2"/>
      <c r="BD96" s="2"/>
      <c r="BE96" s="2">
        <v>0</v>
      </c>
    </row>
    <row r="97" spans="1:57" ht="14" hidden="1" x14ac:dyDescent="0.15">
      <c r="A97" s="2" t="s">
        <v>270</v>
      </c>
      <c r="B97" s="2" t="s">
        <v>271</v>
      </c>
      <c r="C97" s="9">
        <v>2018</v>
      </c>
      <c r="D97" s="2" t="s">
        <v>280</v>
      </c>
      <c r="E97" s="2" t="s">
        <v>143</v>
      </c>
      <c r="F97" s="2"/>
      <c r="G97" s="8" t="s">
        <v>277</v>
      </c>
      <c r="H97" s="2"/>
      <c r="I97" s="2" t="s">
        <v>278</v>
      </c>
      <c r="J97" s="10" t="s">
        <v>273</v>
      </c>
      <c r="K97" s="9">
        <v>318</v>
      </c>
      <c r="L97" s="9">
        <v>27.3</v>
      </c>
      <c r="M97" s="2"/>
      <c r="N97" s="2"/>
      <c r="O97" s="2"/>
      <c r="P97" s="9">
        <v>570</v>
      </c>
      <c r="Q97" s="11">
        <v>3</v>
      </c>
      <c r="R97" s="9">
        <v>3</v>
      </c>
      <c r="S97" s="9">
        <v>1000</v>
      </c>
      <c r="T97" s="2"/>
      <c r="U97" s="2"/>
      <c r="V97" s="9">
        <v>180</v>
      </c>
      <c r="W97" s="2" t="s">
        <v>274</v>
      </c>
      <c r="X97" s="2"/>
      <c r="Y97" s="2"/>
      <c r="Z97" s="2"/>
      <c r="AA97" s="2"/>
      <c r="AB97" s="2"/>
      <c r="AC97" s="2"/>
      <c r="AD97" s="2"/>
      <c r="AE97" s="2"/>
      <c r="AF97" s="2"/>
      <c r="AG97" s="2"/>
      <c r="AH97" s="2"/>
      <c r="AI97" s="2"/>
      <c r="AJ97" s="2"/>
      <c r="AK97" s="2"/>
      <c r="AL97" s="9">
        <v>12.16</v>
      </c>
      <c r="AM97" s="9">
        <v>1.38</v>
      </c>
      <c r="AN97" s="9">
        <f>AL97-AJ$95</f>
        <v>3.49</v>
      </c>
      <c r="AO97" s="9">
        <f>(AN97/AJ$95)*100</f>
        <v>40.253748558246834</v>
      </c>
      <c r="AP97" s="2"/>
      <c r="AQ97" s="2"/>
      <c r="AR97" s="2"/>
      <c r="AS97" s="2"/>
      <c r="AT97" s="2"/>
      <c r="AU97" s="2" t="s">
        <v>275</v>
      </c>
      <c r="AV97" s="2"/>
      <c r="AW97" s="9">
        <v>90</v>
      </c>
      <c r="AX97" s="9">
        <v>1</v>
      </c>
      <c r="AY97" s="9">
        <v>3</v>
      </c>
      <c r="AZ97" s="2" t="s">
        <v>276</v>
      </c>
      <c r="BA97" s="2" t="s">
        <v>132</v>
      </c>
      <c r="BB97" s="2" t="s">
        <v>253</v>
      </c>
      <c r="BC97" s="2"/>
      <c r="BD97" s="2"/>
      <c r="BE97" s="2">
        <v>0</v>
      </c>
    </row>
    <row r="98" spans="1:57" ht="14" hidden="1" x14ac:dyDescent="0.15">
      <c r="A98" s="2" t="s">
        <v>270</v>
      </c>
      <c r="B98" s="2" t="s">
        <v>271</v>
      </c>
      <c r="C98" s="9">
        <v>2018</v>
      </c>
      <c r="D98" s="2" t="s">
        <v>280</v>
      </c>
      <c r="E98" s="2" t="s">
        <v>143</v>
      </c>
      <c r="F98" s="2"/>
      <c r="G98" s="8" t="s">
        <v>277</v>
      </c>
      <c r="H98" s="2"/>
      <c r="I98" s="2" t="s">
        <v>283</v>
      </c>
      <c r="J98" s="10" t="s">
        <v>273</v>
      </c>
      <c r="K98" s="9">
        <v>318</v>
      </c>
      <c r="L98" s="9">
        <v>27.3</v>
      </c>
      <c r="M98" s="2"/>
      <c r="N98" s="2"/>
      <c r="O98" s="2"/>
      <c r="P98" s="9">
        <v>570</v>
      </c>
      <c r="Q98" s="11">
        <v>3</v>
      </c>
      <c r="R98" s="9">
        <v>3</v>
      </c>
      <c r="S98" s="9">
        <v>1000</v>
      </c>
      <c r="T98" s="2"/>
      <c r="U98" s="2"/>
      <c r="V98" s="9">
        <v>240</v>
      </c>
      <c r="W98" s="2" t="s">
        <v>274</v>
      </c>
      <c r="X98" s="2"/>
      <c r="Y98" s="2"/>
      <c r="Z98" s="2"/>
      <c r="AA98" s="2"/>
      <c r="AB98" s="2"/>
      <c r="AC98" s="2"/>
      <c r="AD98" s="2"/>
      <c r="AE98" s="2"/>
      <c r="AF98" s="2"/>
      <c r="AG98" s="2"/>
      <c r="AH98" s="2"/>
      <c r="AI98" s="2"/>
      <c r="AJ98" s="2"/>
      <c r="AK98" s="2"/>
      <c r="AL98" s="9">
        <v>14.22</v>
      </c>
      <c r="AM98" s="9">
        <v>2.4</v>
      </c>
      <c r="AN98" s="9">
        <f>AL98-AJ$95</f>
        <v>5.5500000000000007</v>
      </c>
      <c r="AO98" s="9">
        <f>(AN98/AJ$95)*100</f>
        <v>64.013840830449837</v>
      </c>
      <c r="AP98" s="2"/>
      <c r="AQ98" s="2"/>
      <c r="AR98" s="2"/>
      <c r="AS98" s="2"/>
      <c r="AT98" s="2"/>
      <c r="AU98" s="2" t="s">
        <v>275</v>
      </c>
      <c r="AV98" s="2"/>
      <c r="AW98" s="9">
        <v>90</v>
      </c>
      <c r="AX98" s="9">
        <v>1</v>
      </c>
      <c r="AY98" s="9">
        <v>3</v>
      </c>
      <c r="AZ98" s="2" t="s">
        <v>276</v>
      </c>
      <c r="BA98" s="2" t="s">
        <v>132</v>
      </c>
      <c r="BB98" s="2" t="s">
        <v>253</v>
      </c>
      <c r="BC98" s="2"/>
      <c r="BD98" s="2"/>
      <c r="BE98" s="2">
        <v>0</v>
      </c>
    </row>
    <row r="99" spans="1:57" ht="13" hidden="1" x14ac:dyDescent="0.15">
      <c r="A99" s="2" t="s">
        <v>284</v>
      </c>
      <c r="B99" s="2" t="s">
        <v>159</v>
      </c>
      <c r="C99" s="9">
        <v>2021</v>
      </c>
      <c r="D99" s="2" t="s">
        <v>285</v>
      </c>
      <c r="E99" s="2" t="s">
        <v>135</v>
      </c>
      <c r="F99" s="2" t="s">
        <v>143</v>
      </c>
      <c r="G99" s="2" t="s">
        <v>113</v>
      </c>
      <c r="H99" s="2" t="s">
        <v>286</v>
      </c>
      <c r="I99" s="2" t="s">
        <v>287</v>
      </c>
      <c r="J99" s="2" t="s">
        <v>179</v>
      </c>
      <c r="K99" s="9">
        <v>694</v>
      </c>
      <c r="L99" s="9">
        <v>18.399999999999999</v>
      </c>
      <c r="M99" s="2"/>
      <c r="N99" s="2"/>
      <c r="O99" s="2"/>
      <c r="P99" s="9">
        <v>844</v>
      </c>
      <c r="Q99" s="17"/>
      <c r="R99" s="2"/>
      <c r="S99" s="2"/>
      <c r="T99" s="2"/>
      <c r="U99" s="2"/>
      <c r="V99" s="2"/>
      <c r="W99" s="2"/>
      <c r="X99" s="2"/>
      <c r="Y99" s="2"/>
      <c r="Z99" s="2"/>
      <c r="AA99" s="2"/>
      <c r="AB99" s="2"/>
      <c r="AC99" s="2"/>
      <c r="AD99" s="2"/>
      <c r="AE99" s="2"/>
      <c r="AF99" s="2"/>
      <c r="AG99" s="2"/>
      <c r="AH99" s="9">
        <v>0.92</v>
      </c>
      <c r="AI99" s="2"/>
      <c r="AJ99" s="9">
        <v>0.2</v>
      </c>
      <c r="AK99" s="2"/>
      <c r="AL99" s="9">
        <v>17.8</v>
      </c>
      <c r="AM99" s="9">
        <v>0.1</v>
      </c>
      <c r="AN99" s="2"/>
      <c r="AO99" s="2"/>
      <c r="AP99" s="2"/>
      <c r="AQ99" s="2"/>
      <c r="AR99" s="2"/>
      <c r="AS99" s="2"/>
      <c r="AT99" s="2"/>
      <c r="AU99" s="2" t="s">
        <v>163</v>
      </c>
      <c r="AV99" s="2" t="s">
        <v>288</v>
      </c>
      <c r="AW99" s="9">
        <v>20</v>
      </c>
      <c r="AX99" s="2"/>
      <c r="AY99" s="2"/>
      <c r="AZ99" s="2"/>
      <c r="BA99" s="2" t="s">
        <v>132</v>
      </c>
      <c r="BB99" s="2" t="s">
        <v>224</v>
      </c>
      <c r="BC99" s="2"/>
      <c r="BD99" s="2"/>
      <c r="BE99" s="2">
        <v>0</v>
      </c>
    </row>
    <row r="100" spans="1:57" ht="13" hidden="1" x14ac:dyDescent="0.15">
      <c r="A100" s="2" t="s">
        <v>284</v>
      </c>
      <c r="B100" s="2" t="s">
        <v>159</v>
      </c>
      <c r="C100" s="9">
        <v>2021</v>
      </c>
      <c r="D100" s="2" t="s">
        <v>285</v>
      </c>
      <c r="E100" s="2" t="s">
        <v>135</v>
      </c>
      <c r="F100" s="2" t="s">
        <v>143</v>
      </c>
      <c r="G100" s="2" t="s">
        <v>113</v>
      </c>
      <c r="H100" s="2" t="s">
        <v>286</v>
      </c>
      <c r="I100" s="2" t="s">
        <v>287</v>
      </c>
      <c r="J100" s="20">
        <v>45422</v>
      </c>
      <c r="K100" s="9">
        <v>694</v>
      </c>
      <c r="L100" s="9">
        <v>18.399999999999999</v>
      </c>
      <c r="M100" s="2"/>
      <c r="N100" s="2"/>
      <c r="O100" s="2"/>
      <c r="P100" s="9">
        <v>844</v>
      </c>
      <c r="Q100" s="17"/>
      <c r="R100" s="2"/>
      <c r="S100" s="2"/>
      <c r="T100" s="2"/>
      <c r="U100" s="2"/>
      <c r="V100" s="2"/>
      <c r="W100" s="2"/>
      <c r="X100" s="2"/>
      <c r="Y100" s="2"/>
      <c r="Z100" s="2"/>
      <c r="AA100" s="2"/>
      <c r="AB100" s="2"/>
      <c r="AC100" s="2"/>
      <c r="AD100" s="2"/>
      <c r="AE100" s="2"/>
      <c r="AF100" s="2"/>
      <c r="AG100" s="2"/>
      <c r="AH100" s="9">
        <v>1.03</v>
      </c>
      <c r="AI100" s="2"/>
      <c r="AJ100" s="9">
        <v>0.2</v>
      </c>
      <c r="AK100" s="2"/>
      <c r="AL100" s="9">
        <v>15.8</v>
      </c>
      <c r="AM100" s="9">
        <v>0.3</v>
      </c>
      <c r="AN100" s="2"/>
      <c r="AO100" s="2"/>
      <c r="AP100" s="2"/>
      <c r="AQ100" s="2"/>
      <c r="AR100" s="2"/>
      <c r="AS100" s="2"/>
      <c r="AT100" s="2"/>
      <c r="AU100" s="2" t="s">
        <v>163</v>
      </c>
      <c r="AV100" s="2" t="s">
        <v>288</v>
      </c>
      <c r="AW100" s="9">
        <v>20</v>
      </c>
      <c r="AX100" s="2"/>
      <c r="AY100" s="2"/>
      <c r="AZ100" s="2"/>
      <c r="BA100" s="2" t="s">
        <v>132</v>
      </c>
      <c r="BB100" s="2" t="s">
        <v>224</v>
      </c>
      <c r="BC100" s="2"/>
      <c r="BD100" s="2"/>
      <c r="BE100" s="2">
        <v>0</v>
      </c>
    </row>
    <row r="101" spans="1:57" ht="13" hidden="1" x14ac:dyDescent="0.15">
      <c r="A101" s="2" t="s">
        <v>284</v>
      </c>
      <c r="B101" s="2" t="s">
        <v>159</v>
      </c>
      <c r="C101" s="9">
        <v>2021</v>
      </c>
      <c r="D101" s="2" t="s">
        <v>285</v>
      </c>
      <c r="E101" s="2" t="s">
        <v>135</v>
      </c>
      <c r="F101" s="2" t="s">
        <v>143</v>
      </c>
      <c r="G101" s="2" t="s">
        <v>113</v>
      </c>
      <c r="H101" s="2" t="s">
        <v>286</v>
      </c>
      <c r="I101" s="2" t="s">
        <v>287</v>
      </c>
      <c r="J101" s="20">
        <v>45585</v>
      </c>
      <c r="K101" s="9">
        <v>694</v>
      </c>
      <c r="L101" s="9">
        <v>18.399999999999999</v>
      </c>
      <c r="M101" s="2"/>
      <c r="N101" s="2"/>
      <c r="O101" s="2"/>
      <c r="P101" s="9">
        <v>844</v>
      </c>
      <c r="Q101" s="17"/>
      <c r="R101" s="2"/>
      <c r="S101" s="2"/>
      <c r="T101" s="2"/>
      <c r="U101" s="2"/>
      <c r="V101" s="2"/>
      <c r="W101" s="2"/>
      <c r="X101" s="2"/>
      <c r="Y101" s="2"/>
      <c r="Z101" s="2"/>
      <c r="AA101" s="2"/>
      <c r="AB101" s="2"/>
      <c r="AC101" s="2"/>
      <c r="AD101" s="2"/>
      <c r="AE101" s="2"/>
      <c r="AF101" s="2"/>
      <c r="AG101" s="2"/>
      <c r="AH101" s="9">
        <v>1.2</v>
      </c>
      <c r="AI101" s="2"/>
      <c r="AJ101" s="9">
        <v>0.4</v>
      </c>
      <c r="AK101" s="2"/>
      <c r="AL101" s="9">
        <v>14.3</v>
      </c>
      <c r="AM101" s="9">
        <v>0.3</v>
      </c>
      <c r="AN101" s="2"/>
      <c r="AO101" s="2"/>
      <c r="AP101" s="2"/>
      <c r="AQ101" s="2"/>
      <c r="AR101" s="2"/>
      <c r="AS101" s="2"/>
      <c r="AT101" s="2"/>
      <c r="AU101" s="2" t="s">
        <v>163</v>
      </c>
      <c r="AV101" s="2" t="s">
        <v>288</v>
      </c>
      <c r="AW101" s="9">
        <v>20</v>
      </c>
      <c r="AX101" s="2"/>
      <c r="AY101" s="2"/>
      <c r="AZ101" s="2"/>
      <c r="BA101" s="2" t="s">
        <v>132</v>
      </c>
      <c r="BB101" s="2" t="s">
        <v>224</v>
      </c>
      <c r="BC101" s="2"/>
      <c r="BD101" s="2"/>
      <c r="BE101" s="2">
        <v>0</v>
      </c>
    </row>
    <row r="102" spans="1:57" ht="13" hidden="1" x14ac:dyDescent="0.15">
      <c r="A102" s="2" t="s">
        <v>284</v>
      </c>
      <c r="B102" s="2" t="s">
        <v>159</v>
      </c>
      <c r="C102" s="9">
        <v>2021</v>
      </c>
      <c r="D102" s="2" t="s">
        <v>285</v>
      </c>
      <c r="E102" s="2" t="s">
        <v>135</v>
      </c>
      <c r="F102" s="2" t="s">
        <v>143</v>
      </c>
      <c r="G102" s="2" t="s">
        <v>113</v>
      </c>
      <c r="H102" s="2" t="s">
        <v>286</v>
      </c>
      <c r="I102" s="2" t="s">
        <v>287</v>
      </c>
      <c r="J102" s="2" t="s">
        <v>225</v>
      </c>
      <c r="K102" s="9">
        <v>694</v>
      </c>
      <c r="L102" s="9">
        <v>18.399999999999999</v>
      </c>
      <c r="M102" s="2"/>
      <c r="N102" s="2"/>
      <c r="O102" s="2"/>
      <c r="P102" s="9">
        <v>844</v>
      </c>
      <c r="Q102" s="17"/>
      <c r="R102" s="2"/>
      <c r="S102" s="2"/>
      <c r="T102" s="2"/>
      <c r="U102" s="2"/>
      <c r="V102" s="2"/>
      <c r="W102" s="2"/>
      <c r="X102" s="2"/>
      <c r="Y102" s="2"/>
      <c r="Z102" s="2"/>
      <c r="AA102" s="2"/>
      <c r="AB102" s="2"/>
      <c r="AC102" s="2"/>
      <c r="AD102" s="2"/>
      <c r="AE102" s="2"/>
      <c r="AF102" s="2"/>
      <c r="AG102" s="2"/>
      <c r="AH102" s="9">
        <v>1.7</v>
      </c>
      <c r="AI102" s="2"/>
      <c r="AJ102" s="9">
        <v>0.2</v>
      </c>
      <c r="AK102" s="2"/>
      <c r="AL102" s="9">
        <v>13.9</v>
      </c>
      <c r="AM102" s="9">
        <v>0.2</v>
      </c>
      <c r="AN102" s="2"/>
      <c r="AO102" s="2"/>
      <c r="AP102" s="2"/>
      <c r="AQ102" s="2"/>
      <c r="AR102" s="2"/>
      <c r="AS102" s="2"/>
      <c r="AT102" s="2"/>
      <c r="AU102" s="2" t="s">
        <v>163</v>
      </c>
      <c r="AV102" s="2" t="s">
        <v>288</v>
      </c>
      <c r="AW102" s="9">
        <v>20</v>
      </c>
      <c r="AX102" s="2"/>
      <c r="AY102" s="2"/>
      <c r="AZ102" s="2"/>
      <c r="BA102" s="2" t="s">
        <v>132</v>
      </c>
      <c r="BB102" s="2" t="s">
        <v>224</v>
      </c>
      <c r="BC102" s="2"/>
      <c r="BD102" s="2"/>
      <c r="BE102" s="2">
        <v>0</v>
      </c>
    </row>
    <row r="103" spans="1:57" ht="13" hidden="1" x14ac:dyDescent="0.15">
      <c r="A103" s="2" t="s">
        <v>284</v>
      </c>
      <c r="B103" s="2" t="s">
        <v>159</v>
      </c>
      <c r="C103" s="9">
        <v>2021</v>
      </c>
      <c r="D103" s="2" t="s">
        <v>285</v>
      </c>
      <c r="E103" s="2" t="s">
        <v>135</v>
      </c>
      <c r="F103" s="2"/>
      <c r="G103" s="2" t="s">
        <v>136</v>
      </c>
      <c r="H103" s="2"/>
      <c r="I103" s="2" t="s">
        <v>289</v>
      </c>
      <c r="J103" s="2" t="s">
        <v>179</v>
      </c>
      <c r="K103" s="9">
        <v>694</v>
      </c>
      <c r="L103" s="9">
        <v>18.399999999999999</v>
      </c>
      <c r="M103" s="2"/>
      <c r="N103" s="2"/>
      <c r="O103" s="2"/>
      <c r="P103" s="9">
        <v>844</v>
      </c>
      <c r="Q103" s="17"/>
      <c r="R103" s="2"/>
      <c r="S103" s="2"/>
      <c r="T103" s="2"/>
      <c r="U103" s="2"/>
      <c r="V103" s="2"/>
      <c r="W103" s="2"/>
      <c r="X103" s="2"/>
      <c r="Y103" s="2"/>
      <c r="Z103" s="2"/>
      <c r="AA103" s="2"/>
      <c r="AB103" s="2"/>
      <c r="AC103" s="2"/>
      <c r="AD103" s="2"/>
      <c r="AE103" s="2"/>
      <c r="AF103" s="2"/>
      <c r="AG103" s="2"/>
      <c r="AH103" s="9">
        <v>1.03</v>
      </c>
      <c r="AI103" s="2"/>
      <c r="AJ103" s="9">
        <v>0.1</v>
      </c>
      <c r="AK103" s="2"/>
      <c r="AL103" s="9">
        <v>17.399999999999999</v>
      </c>
      <c r="AM103" s="9">
        <v>0.1</v>
      </c>
      <c r="AN103" s="9">
        <f>AL103-AL99</f>
        <v>-0.40000000000000213</v>
      </c>
      <c r="AO103" s="9">
        <f>(AN103/AL99)*100</f>
        <v>-2.2471910112359668</v>
      </c>
      <c r="AP103" s="2"/>
      <c r="AQ103" s="2"/>
      <c r="AR103" s="2"/>
      <c r="AS103" s="2"/>
      <c r="AT103" s="2"/>
      <c r="AU103" s="2" t="s">
        <v>163</v>
      </c>
      <c r="AV103" s="2" t="s">
        <v>288</v>
      </c>
      <c r="AW103" s="9">
        <v>20</v>
      </c>
      <c r="AX103" s="2"/>
      <c r="AY103" s="2"/>
      <c r="AZ103" s="2"/>
      <c r="BA103" s="2" t="s">
        <v>132</v>
      </c>
      <c r="BB103" s="2" t="s">
        <v>224</v>
      </c>
      <c r="BC103" s="2"/>
      <c r="BD103" s="2"/>
      <c r="BE103" s="2">
        <v>0</v>
      </c>
    </row>
    <row r="104" spans="1:57" ht="13" hidden="1" x14ac:dyDescent="0.15">
      <c r="A104" s="2" t="s">
        <v>284</v>
      </c>
      <c r="B104" s="2" t="s">
        <v>159</v>
      </c>
      <c r="C104" s="9">
        <v>2021</v>
      </c>
      <c r="D104" s="2" t="s">
        <v>285</v>
      </c>
      <c r="E104" s="2" t="s">
        <v>135</v>
      </c>
      <c r="F104" s="2"/>
      <c r="G104" s="2" t="s">
        <v>136</v>
      </c>
      <c r="H104" s="2"/>
      <c r="I104" s="2" t="s">
        <v>289</v>
      </c>
      <c r="J104" s="20">
        <v>45422</v>
      </c>
      <c r="K104" s="9">
        <v>694</v>
      </c>
      <c r="L104" s="9">
        <v>18.399999999999999</v>
      </c>
      <c r="M104" s="2"/>
      <c r="N104" s="2"/>
      <c r="O104" s="2"/>
      <c r="P104" s="9">
        <v>844</v>
      </c>
      <c r="Q104" s="17"/>
      <c r="R104" s="2"/>
      <c r="S104" s="2"/>
      <c r="T104" s="2"/>
      <c r="U104" s="2"/>
      <c r="V104" s="2"/>
      <c r="W104" s="2"/>
      <c r="X104" s="2"/>
      <c r="Y104" s="2"/>
      <c r="Z104" s="2"/>
      <c r="AA104" s="2"/>
      <c r="AB104" s="2"/>
      <c r="AC104" s="2"/>
      <c r="AD104" s="2"/>
      <c r="AE104" s="2"/>
      <c r="AF104" s="2"/>
      <c r="AG104" s="2"/>
      <c r="AH104" s="9">
        <v>1.05</v>
      </c>
      <c r="AI104" s="2"/>
      <c r="AJ104" s="9">
        <v>0.02</v>
      </c>
      <c r="AK104" s="2"/>
      <c r="AL104" s="9">
        <v>15.1</v>
      </c>
      <c r="AM104" s="9">
        <v>0.2</v>
      </c>
      <c r="AN104" s="9">
        <f>AL104-AL100</f>
        <v>-0.70000000000000107</v>
      </c>
      <c r="AO104" s="9">
        <f>(AN104/AL100)*100</f>
        <v>-4.4303797468354489</v>
      </c>
      <c r="AP104" s="2"/>
      <c r="AQ104" s="2"/>
      <c r="AR104" s="2"/>
      <c r="AS104" s="2"/>
      <c r="AT104" s="2"/>
      <c r="AU104" s="2" t="s">
        <v>163</v>
      </c>
      <c r="AV104" s="2" t="s">
        <v>288</v>
      </c>
      <c r="AW104" s="9">
        <v>20</v>
      </c>
      <c r="AX104" s="2"/>
      <c r="AY104" s="2"/>
      <c r="AZ104" s="2"/>
      <c r="BA104" s="2" t="s">
        <v>132</v>
      </c>
      <c r="BB104" s="2" t="s">
        <v>224</v>
      </c>
      <c r="BC104" s="2"/>
      <c r="BD104" s="2"/>
      <c r="BE104" s="2">
        <v>0</v>
      </c>
    </row>
    <row r="105" spans="1:57" ht="13" hidden="1" x14ac:dyDescent="0.15">
      <c r="A105" s="2" t="s">
        <v>284</v>
      </c>
      <c r="B105" s="2" t="s">
        <v>159</v>
      </c>
      <c r="C105" s="9">
        <v>2021</v>
      </c>
      <c r="D105" s="2" t="s">
        <v>285</v>
      </c>
      <c r="E105" s="2" t="s">
        <v>135</v>
      </c>
      <c r="F105" s="2"/>
      <c r="G105" s="2" t="s">
        <v>136</v>
      </c>
      <c r="H105" s="2"/>
      <c r="I105" s="2" t="s">
        <v>289</v>
      </c>
      <c r="J105" s="20">
        <v>45585</v>
      </c>
      <c r="K105" s="9">
        <v>694</v>
      </c>
      <c r="L105" s="9">
        <v>18.399999999999999</v>
      </c>
      <c r="M105" s="2"/>
      <c r="N105" s="2"/>
      <c r="O105" s="2"/>
      <c r="P105" s="9">
        <v>844</v>
      </c>
      <c r="Q105" s="17"/>
      <c r="R105" s="2"/>
      <c r="S105" s="2"/>
      <c r="T105" s="2"/>
      <c r="U105" s="2"/>
      <c r="V105" s="2"/>
      <c r="W105" s="2"/>
      <c r="X105" s="2"/>
      <c r="Y105" s="2"/>
      <c r="Z105" s="2"/>
      <c r="AA105" s="2"/>
      <c r="AB105" s="2"/>
      <c r="AC105" s="2"/>
      <c r="AD105" s="2"/>
      <c r="AE105" s="2"/>
      <c r="AF105" s="2"/>
      <c r="AG105" s="2"/>
      <c r="AH105" s="9">
        <v>1.1000000000000001</v>
      </c>
      <c r="AI105" s="2"/>
      <c r="AJ105" s="9">
        <v>0.02</v>
      </c>
      <c r="AK105" s="2"/>
      <c r="AL105" s="9">
        <v>14</v>
      </c>
      <c r="AM105" s="9">
        <v>0.2</v>
      </c>
      <c r="AN105" s="9">
        <f>AL105-AL101</f>
        <v>-0.30000000000000071</v>
      </c>
      <c r="AO105" s="9">
        <f>(AN105/AL101)*100</f>
        <v>-2.0979020979021028</v>
      </c>
      <c r="AP105" s="2"/>
      <c r="AQ105" s="2"/>
      <c r="AR105" s="2"/>
      <c r="AS105" s="2"/>
      <c r="AT105" s="2"/>
      <c r="AU105" s="2" t="s">
        <v>163</v>
      </c>
      <c r="AV105" s="2" t="s">
        <v>288</v>
      </c>
      <c r="AW105" s="9">
        <v>20</v>
      </c>
      <c r="AX105" s="2"/>
      <c r="AY105" s="2"/>
      <c r="AZ105" s="2"/>
      <c r="BA105" s="2" t="s">
        <v>132</v>
      </c>
      <c r="BB105" s="2" t="s">
        <v>224</v>
      </c>
      <c r="BC105" s="2"/>
      <c r="BD105" s="2"/>
      <c r="BE105" s="2">
        <v>0</v>
      </c>
    </row>
    <row r="106" spans="1:57" ht="13" hidden="1" x14ac:dyDescent="0.15">
      <c r="A106" s="2" t="s">
        <v>284</v>
      </c>
      <c r="B106" s="2" t="s">
        <v>159</v>
      </c>
      <c r="C106" s="9">
        <v>2021</v>
      </c>
      <c r="D106" s="2" t="s">
        <v>285</v>
      </c>
      <c r="E106" s="2" t="s">
        <v>135</v>
      </c>
      <c r="F106" s="2"/>
      <c r="G106" s="2" t="s">
        <v>136</v>
      </c>
      <c r="H106" s="2"/>
      <c r="I106" s="2" t="s">
        <v>289</v>
      </c>
      <c r="J106" s="2" t="s">
        <v>225</v>
      </c>
      <c r="K106" s="9">
        <v>694</v>
      </c>
      <c r="L106" s="9">
        <v>18.399999999999999</v>
      </c>
      <c r="M106" s="2"/>
      <c r="N106" s="2"/>
      <c r="O106" s="2"/>
      <c r="P106" s="9">
        <v>844</v>
      </c>
      <c r="Q106" s="17"/>
      <c r="R106" s="2"/>
      <c r="S106" s="2"/>
      <c r="T106" s="2"/>
      <c r="U106" s="2"/>
      <c r="V106" s="2"/>
      <c r="W106" s="2"/>
      <c r="X106" s="2"/>
      <c r="Y106" s="2"/>
      <c r="Z106" s="2"/>
      <c r="AA106" s="2"/>
      <c r="AB106" s="2"/>
      <c r="AC106" s="2"/>
      <c r="AD106" s="2"/>
      <c r="AE106" s="2"/>
      <c r="AF106" s="2"/>
      <c r="AG106" s="2"/>
      <c r="AH106" s="9">
        <v>2.4</v>
      </c>
      <c r="AI106" s="2"/>
      <c r="AJ106" s="9">
        <v>0.5</v>
      </c>
      <c r="AK106" s="2"/>
      <c r="AL106" s="9">
        <v>13.7</v>
      </c>
      <c r="AM106" s="9">
        <v>0.2</v>
      </c>
      <c r="AN106" s="9">
        <f>AL106-AL102</f>
        <v>-0.20000000000000107</v>
      </c>
      <c r="AO106" s="9">
        <f>(AN106/AL102)*100</f>
        <v>-1.4388489208633171</v>
      </c>
      <c r="AP106" s="2"/>
      <c r="AQ106" s="2"/>
      <c r="AR106" s="2"/>
      <c r="AS106" s="2"/>
      <c r="AT106" s="2"/>
      <c r="AU106" s="2" t="s">
        <v>163</v>
      </c>
      <c r="AV106" s="2" t="s">
        <v>288</v>
      </c>
      <c r="AW106" s="9">
        <v>20</v>
      </c>
      <c r="AX106" s="2"/>
      <c r="AY106" s="2"/>
      <c r="AZ106" s="2"/>
      <c r="BA106" s="2" t="s">
        <v>132</v>
      </c>
      <c r="BB106" s="2" t="s">
        <v>224</v>
      </c>
      <c r="BC106" s="2"/>
      <c r="BD106" s="2"/>
      <c r="BE106" s="2">
        <v>0</v>
      </c>
    </row>
    <row r="107" spans="1:57" ht="13" hidden="1" x14ac:dyDescent="0.15">
      <c r="A107" s="2" t="s">
        <v>284</v>
      </c>
      <c r="B107" s="2" t="s">
        <v>159</v>
      </c>
      <c r="C107" s="9">
        <v>2021</v>
      </c>
      <c r="D107" s="2" t="s">
        <v>285</v>
      </c>
      <c r="E107" s="2" t="s">
        <v>143</v>
      </c>
      <c r="F107" s="2"/>
      <c r="G107" s="2" t="s">
        <v>290</v>
      </c>
      <c r="H107" s="2"/>
      <c r="I107" s="2" t="s">
        <v>291</v>
      </c>
      <c r="J107" s="2" t="s">
        <v>179</v>
      </c>
      <c r="K107" s="9">
        <v>694</v>
      </c>
      <c r="L107" s="9">
        <v>18.399999999999999</v>
      </c>
      <c r="M107" s="2"/>
      <c r="N107" s="2"/>
      <c r="O107" s="2"/>
      <c r="P107" s="9">
        <v>844</v>
      </c>
      <c r="Q107" s="17"/>
      <c r="R107" s="2"/>
      <c r="S107" s="2"/>
      <c r="T107" s="2"/>
      <c r="U107" s="2"/>
      <c r="V107" s="2"/>
      <c r="W107" s="2"/>
      <c r="X107" s="2"/>
      <c r="Y107" s="2"/>
      <c r="Z107" s="2"/>
      <c r="AA107" s="2"/>
      <c r="AB107" s="2"/>
      <c r="AC107" s="2"/>
      <c r="AD107" s="2"/>
      <c r="AE107" s="2"/>
      <c r="AF107" s="2"/>
      <c r="AG107" s="2"/>
      <c r="AH107" s="9">
        <v>1.1499999999999999</v>
      </c>
      <c r="AI107" s="2"/>
      <c r="AJ107" s="9">
        <v>0.1</v>
      </c>
      <c r="AK107" s="2"/>
      <c r="AL107" s="9">
        <v>16.899999999999999</v>
      </c>
      <c r="AM107" s="9">
        <v>0.2</v>
      </c>
      <c r="AN107" s="9">
        <f>AL107-AL99</f>
        <v>-0.90000000000000213</v>
      </c>
      <c r="AO107" s="9">
        <f>(AN107/AL99)*100</f>
        <v>-5.0561797752809108</v>
      </c>
      <c r="AP107" s="2"/>
      <c r="AQ107" s="2"/>
      <c r="AR107" s="2"/>
      <c r="AS107" s="2"/>
      <c r="AT107" s="2"/>
      <c r="AU107" s="2" t="s">
        <v>163</v>
      </c>
      <c r="AV107" s="2" t="s">
        <v>288</v>
      </c>
      <c r="AW107" s="9">
        <v>20</v>
      </c>
      <c r="AX107" s="2"/>
      <c r="AY107" s="2"/>
      <c r="AZ107" s="2"/>
      <c r="BA107" s="2" t="s">
        <v>132</v>
      </c>
      <c r="BB107" s="2" t="s">
        <v>224</v>
      </c>
      <c r="BC107" s="2"/>
      <c r="BD107" s="2"/>
      <c r="BE107" s="2">
        <v>0</v>
      </c>
    </row>
    <row r="108" spans="1:57" ht="13" hidden="1" x14ac:dyDescent="0.15">
      <c r="A108" s="2" t="s">
        <v>284</v>
      </c>
      <c r="B108" s="2" t="s">
        <v>159</v>
      </c>
      <c r="C108" s="9">
        <v>2021</v>
      </c>
      <c r="D108" s="2" t="s">
        <v>285</v>
      </c>
      <c r="E108" s="2" t="s">
        <v>143</v>
      </c>
      <c r="F108" s="2"/>
      <c r="G108" s="2" t="s">
        <v>290</v>
      </c>
      <c r="H108" s="2"/>
      <c r="I108" s="2" t="s">
        <v>291</v>
      </c>
      <c r="J108" s="20">
        <v>45422</v>
      </c>
      <c r="K108" s="9">
        <v>694</v>
      </c>
      <c r="L108" s="9">
        <v>18.399999999999999</v>
      </c>
      <c r="M108" s="2"/>
      <c r="N108" s="2"/>
      <c r="O108" s="2"/>
      <c r="P108" s="9">
        <v>844</v>
      </c>
      <c r="Q108" s="17"/>
      <c r="R108" s="2"/>
      <c r="S108" s="2"/>
      <c r="T108" s="2"/>
      <c r="U108" s="2"/>
      <c r="V108" s="2"/>
      <c r="W108" s="2"/>
      <c r="X108" s="2"/>
      <c r="Y108" s="2"/>
      <c r="Z108" s="2"/>
      <c r="AA108" s="2"/>
      <c r="AB108" s="2"/>
      <c r="AC108" s="2"/>
      <c r="AD108" s="2"/>
      <c r="AE108" s="2"/>
      <c r="AF108" s="2"/>
      <c r="AG108" s="2"/>
      <c r="AH108" s="9">
        <v>1.1299999999999999</v>
      </c>
      <c r="AI108" s="2"/>
      <c r="AJ108" s="9">
        <v>0.2</v>
      </c>
      <c r="AK108" s="2"/>
      <c r="AL108" s="9">
        <v>14.9</v>
      </c>
      <c r="AM108" s="9">
        <v>0.2</v>
      </c>
      <c r="AN108" s="9">
        <f>AL108-AL100</f>
        <v>-0.90000000000000036</v>
      </c>
      <c r="AO108" s="9">
        <f>(AN108/AL100)*100</f>
        <v>-5.6962025316455716</v>
      </c>
      <c r="AP108" s="2"/>
      <c r="AQ108" s="2"/>
      <c r="AR108" s="2"/>
      <c r="AS108" s="2"/>
      <c r="AT108" s="2"/>
      <c r="AU108" s="2" t="s">
        <v>163</v>
      </c>
      <c r="AV108" s="2" t="s">
        <v>288</v>
      </c>
      <c r="AW108" s="9">
        <v>20</v>
      </c>
      <c r="AX108" s="2"/>
      <c r="AY108" s="2"/>
      <c r="AZ108" s="2"/>
      <c r="BA108" s="2" t="s">
        <v>132</v>
      </c>
      <c r="BB108" s="2" t="s">
        <v>224</v>
      </c>
      <c r="BC108" s="2"/>
      <c r="BD108" s="2"/>
      <c r="BE108" s="2">
        <v>0</v>
      </c>
    </row>
    <row r="109" spans="1:57" ht="13" hidden="1" x14ac:dyDescent="0.15">
      <c r="A109" s="2" t="s">
        <v>284</v>
      </c>
      <c r="B109" s="2" t="s">
        <v>159</v>
      </c>
      <c r="C109" s="9">
        <v>2021</v>
      </c>
      <c r="D109" s="2" t="s">
        <v>285</v>
      </c>
      <c r="E109" s="2" t="s">
        <v>143</v>
      </c>
      <c r="F109" s="2"/>
      <c r="G109" s="2" t="s">
        <v>290</v>
      </c>
      <c r="H109" s="2"/>
      <c r="I109" s="2" t="s">
        <v>291</v>
      </c>
      <c r="J109" s="20">
        <v>45585</v>
      </c>
      <c r="K109" s="9">
        <v>694</v>
      </c>
      <c r="L109" s="9">
        <v>18.399999999999999</v>
      </c>
      <c r="M109" s="2"/>
      <c r="N109" s="2"/>
      <c r="O109" s="2"/>
      <c r="P109" s="9">
        <v>844</v>
      </c>
      <c r="Q109" s="17"/>
      <c r="R109" s="2"/>
      <c r="S109" s="2"/>
      <c r="T109" s="2"/>
      <c r="U109" s="2"/>
      <c r="V109" s="2"/>
      <c r="W109" s="2"/>
      <c r="X109" s="2"/>
      <c r="Y109" s="2"/>
      <c r="Z109" s="2"/>
      <c r="AA109" s="2"/>
      <c r="AB109" s="2"/>
      <c r="AC109" s="2"/>
      <c r="AD109" s="2"/>
      <c r="AE109" s="2"/>
      <c r="AF109" s="2"/>
      <c r="AG109" s="2"/>
      <c r="AH109" s="9">
        <v>1.1399999999999999</v>
      </c>
      <c r="AI109" s="2"/>
      <c r="AJ109" s="9">
        <v>0.02</v>
      </c>
      <c r="AK109" s="2"/>
      <c r="AL109" s="9">
        <v>14.3</v>
      </c>
      <c r="AM109" s="9">
        <v>0.1</v>
      </c>
      <c r="AN109" s="9">
        <f>AL109-AL101</f>
        <v>0</v>
      </c>
      <c r="AO109" s="9">
        <f>(AN109/AL101)*100</f>
        <v>0</v>
      </c>
      <c r="AP109" s="2"/>
      <c r="AQ109" s="2"/>
      <c r="AR109" s="2"/>
      <c r="AS109" s="2"/>
      <c r="AT109" s="2"/>
      <c r="AU109" s="2" t="s">
        <v>163</v>
      </c>
      <c r="AV109" s="2" t="s">
        <v>288</v>
      </c>
      <c r="AW109" s="9">
        <v>20</v>
      </c>
      <c r="AX109" s="2"/>
      <c r="AY109" s="2"/>
      <c r="AZ109" s="2"/>
      <c r="BA109" s="2" t="s">
        <v>132</v>
      </c>
      <c r="BB109" s="2" t="s">
        <v>224</v>
      </c>
      <c r="BC109" s="2"/>
      <c r="BD109" s="2"/>
      <c r="BE109" s="2">
        <v>0</v>
      </c>
    </row>
    <row r="110" spans="1:57" ht="13" hidden="1" x14ac:dyDescent="0.15">
      <c r="A110" s="2" t="s">
        <v>284</v>
      </c>
      <c r="B110" s="2" t="s">
        <v>159</v>
      </c>
      <c r="C110" s="9">
        <v>2021</v>
      </c>
      <c r="D110" s="2" t="s">
        <v>285</v>
      </c>
      <c r="E110" s="2" t="s">
        <v>143</v>
      </c>
      <c r="F110" s="2"/>
      <c r="G110" s="2" t="s">
        <v>290</v>
      </c>
      <c r="H110" s="2"/>
      <c r="I110" s="2" t="s">
        <v>291</v>
      </c>
      <c r="J110" s="2" t="s">
        <v>225</v>
      </c>
      <c r="K110" s="9">
        <v>694</v>
      </c>
      <c r="L110" s="9">
        <v>18.399999999999999</v>
      </c>
      <c r="M110" s="2"/>
      <c r="N110" s="2"/>
      <c r="O110" s="2"/>
      <c r="P110" s="9">
        <v>844</v>
      </c>
      <c r="Q110" s="17"/>
      <c r="R110" s="2"/>
      <c r="S110" s="2"/>
      <c r="T110" s="2"/>
      <c r="U110" s="2"/>
      <c r="V110" s="2"/>
      <c r="W110" s="2"/>
      <c r="X110" s="2"/>
      <c r="Y110" s="2"/>
      <c r="Z110" s="2"/>
      <c r="AA110" s="2"/>
      <c r="AB110" s="2"/>
      <c r="AC110" s="2"/>
      <c r="AD110" s="2"/>
      <c r="AE110" s="2"/>
      <c r="AF110" s="2"/>
      <c r="AG110" s="2"/>
      <c r="AH110" s="9">
        <v>1.8</v>
      </c>
      <c r="AI110" s="2"/>
      <c r="AJ110" s="9">
        <v>0.1</v>
      </c>
      <c r="AK110" s="2"/>
      <c r="AL110" s="9">
        <v>13</v>
      </c>
      <c r="AM110" s="9">
        <v>0.3</v>
      </c>
      <c r="AN110" s="9">
        <f>AL110-AL102</f>
        <v>-0.90000000000000036</v>
      </c>
      <c r="AO110" s="9">
        <f>(AN110/AL102)*100</f>
        <v>-6.4748201438848945</v>
      </c>
      <c r="AP110" s="2"/>
      <c r="AQ110" s="2"/>
      <c r="AR110" s="2"/>
      <c r="AS110" s="2"/>
      <c r="AT110" s="2"/>
      <c r="AU110" s="2" t="s">
        <v>163</v>
      </c>
      <c r="AV110" s="2" t="s">
        <v>288</v>
      </c>
      <c r="AW110" s="9">
        <v>20</v>
      </c>
      <c r="AX110" s="2"/>
      <c r="AY110" s="2"/>
      <c r="AZ110" s="2"/>
      <c r="BA110" s="2" t="s">
        <v>132</v>
      </c>
      <c r="BB110" s="2" t="s">
        <v>224</v>
      </c>
      <c r="BC110" s="2"/>
      <c r="BD110" s="2"/>
      <c r="BE110" s="2">
        <v>0</v>
      </c>
    </row>
    <row r="111" spans="1:57" ht="29" x14ac:dyDescent="0.2">
      <c r="A111" s="7" t="s">
        <v>292</v>
      </c>
      <c r="B111" s="8" t="s">
        <v>127</v>
      </c>
      <c r="C111" s="9">
        <v>2017</v>
      </c>
      <c r="D111" s="2" t="s">
        <v>293</v>
      </c>
      <c r="E111" s="8" t="s">
        <v>112</v>
      </c>
      <c r="F111" s="2"/>
      <c r="G111" s="2" t="s">
        <v>122</v>
      </c>
      <c r="H111" s="2"/>
      <c r="I111" s="2" t="s">
        <v>294</v>
      </c>
      <c r="J111" s="10" t="s">
        <v>115</v>
      </c>
      <c r="K111" s="9">
        <v>436</v>
      </c>
      <c r="L111" s="9">
        <v>22.5</v>
      </c>
      <c r="M111" s="2"/>
      <c r="N111" s="2"/>
      <c r="O111" s="2"/>
      <c r="P111" s="2"/>
      <c r="Q111" s="11">
        <v>8</v>
      </c>
      <c r="R111" s="9">
        <v>1</v>
      </c>
      <c r="S111" s="9">
        <v>1000</v>
      </c>
      <c r="T111" s="2"/>
      <c r="U111" s="2"/>
      <c r="V111" s="9">
        <f>12*14</f>
        <v>168</v>
      </c>
      <c r="W111" s="2" t="s">
        <v>295</v>
      </c>
      <c r="X111" s="2"/>
      <c r="Y111" s="2"/>
      <c r="Z111" s="22">
        <v>8.4</v>
      </c>
      <c r="AA111" s="22">
        <v>1.2</v>
      </c>
      <c r="AB111" s="2"/>
      <c r="AC111" s="2"/>
      <c r="AD111" s="2"/>
      <c r="AE111" s="2"/>
      <c r="AF111" s="2"/>
      <c r="AG111" s="2"/>
      <c r="AH111" s="9">
        <v>0.9</v>
      </c>
      <c r="AI111" s="2"/>
      <c r="AJ111" s="2"/>
      <c r="AK111" s="2"/>
      <c r="AL111" s="18">
        <v>14.74</v>
      </c>
      <c r="AM111" s="18">
        <v>2.0699999999999998</v>
      </c>
      <c r="AN111" s="2"/>
      <c r="AO111" s="2"/>
      <c r="AP111" s="2"/>
      <c r="AQ111" s="2"/>
      <c r="AR111" s="2"/>
      <c r="AS111" s="2"/>
      <c r="AT111" s="2"/>
      <c r="AU111" s="2"/>
      <c r="AV111" s="2" t="s">
        <v>236</v>
      </c>
      <c r="AW111" s="9">
        <v>26.9</v>
      </c>
      <c r="AX111" s="9">
        <v>1</v>
      </c>
      <c r="AY111" s="9">
        <v>3</v>
      </c>
      <c r="AZ111" s="2" t="s">
        <v>296</v>
      </c>
      <c r="BA111" s="2" t="s">
        <v>132</v>
      </c>
      <c r="BB111" s="2" t="s">
        <v>133</v>
      </c>
      <c r="BC111" s="6" t="s">
        <v>297</v>
      </c>
      <c r="BD111" s="2" t="s">
        <v>599</v>
      </c>
      <c r="BE111" s="2">
        <v>0</v>
      </c>
    </row>
    <row r="112" spans="1:57" ht="29" x14ac:dyDescent="0.2">
      <c r="A112" s="7" t="s">
        <v>292</v>
      </c>
      <c r="B112" s="8" t="s">
        <v>127</v>
      </c>
      <c r="C112" s="9">
        <v>2017</v>
      </c>
      <c r="D112" s="2" t="s">
        <v>293</v>
      </c>
      <c r="E112" s="8" t="s">
        <v>112</v>
      </c>
      <c r="F112" s="2"/>
      <c r="G112" s="2" t="s">
        <v>122</v>
      </c>
      <c r="H112" s="2"/>
      <c r="I112" s="2" t="s">
        <v>298</v>
      </c>
      <c r="J112" s="10" t="s">
        <v>115</v>
      </c>
      <c r="K112" s="9">
        <v>436</v>
      </c>
      <c r="L112" s="9">
        <v>22.5</v>
      </c>
      <c r="M112" s="2"/>
      <c r="N112" s="2"/>
      <c r="O112" s="2"/>
      <c r="P112" s="2"/>
      <c r="Q112" s="11">
        <v>6</v>
      </c>
      <c r="R112" s="9">
        <v>1</v>
      </c>
      <c r="S112" s="9">
        <v>1000</v>
      </c>
      <c r="T112" s="2"/>
      <c r="U112" s="2"/>
      <c r="V112" s="9">
        <f>12*15</f>
        <v>180</v>
      </c>
      <c r="W112" s="2" t="s">
        <v>295</v>
      </c>
      <c r="X112" s="2"/>
      <c r="Y112" s="2"/>
      <c r="Z112" s="22">
        <v>7.7</v>
      </c>
      <c r="AA112" s="22">
        <v>0.1</v>
      </c>
      <c r="AB112" s="2"/>
      <c r="AC112" s="2"/>
      <c r="AD112" s="2"/>
      <c r="AE112" s="2"/>
      <c r="AF112" s="2"/>
      <c r="AG112" s="2"/>
      <c r="AH112" s="9">
        <v>0.9</v>
      </c>
      <c r="AI112" s="2"/>
      <c r="AJ112" s="2"/>
      <c r="AK112" s="2"/>
      <c r="AL112" s="18">
        <v>13.31</v>
      </c>
      <c r="AM112" s="18">
        <v>2.92</v>
      </c>
      <c r="AN112" s="2"/>
      <c r="AO112" s="2"/>
      <c r="AP112" s="2"/>
      <c r="AQ112" s="2"/>
      <c r="AR112" s="2"/>
      <c r="AS112" s="2"/>
      <c r="AT112" s="2"/>
      <c r="AU112" s="2"/>
      <c r="AV112" s="2" t="s">
        <v>236</v>
      </c>
      <c r="AW112" s="9">
        <v>23.2</v>
      </c>
      <c r="AX112" s="9">
        <v>1</v>
      </c>
      <c r="AY112" s="9">
        <v>3</v>
      </c>
      <c r="AZ112" s="2" t="s">
        <v>296</v>
      </c>
      <c r="BA112" s="2" t="s">
        <v>132</v>
      </c>
      <c r="BB112" s="2" t="s">
        <v>133</v>
      </c>
      <c r="BC112" s="6" t="s">
        <v>297</v>
      </c>
      <c r="BD112" s="2" t="s">
        <v>599</v>
      </c>
      <c r="BE112" s="2">
        <v>0</v>
      </c>
    </row>
    <row r="113" spans="1:57" ht="29" x14ac:dyDescent="0.2">
      <c r="A113" s="7" t="s">
        <v>292</v>
      </c>
      <c r="B113" s="8" t="s">
        <v>127</v>
      </c>
      <c r="C113" s="9">
        <v>2017</v>
      </c>
      <c r="D113" s="2" t="s">
        <v>293</v>
      </c>
      <c r="E113" s="8" t="s">
        <v>112</v>
      </c>
      <c r="F113" s="2"/>
      <c r="G113" s="2" t="s">
        <v>122</v>
      </c>
      <c r="H113" s="2"/>
      <c r="I113" s="2" t="s">
        <v>299</v>
      </c>
      <c r="J113" s="10" t="s">
        <v>115</v>
      </c>
      <c r="K113" s="9">
        <v>436</v>
      </c>
      <c r="L113" s="9">
        <v>22.5</v>
      </c>
      <c r="M113" s="2"/>
      <c r="N113" s="2"/>
      <c r="O113" s="2"/>
      <c r="P113" s="2"/>
      <c r="Q113" s="11">
        <v>6</v>
      </c>
      <c r="R113" s="9">
        <v>1</v>
      </c>
      <c r="S113" s="9">
        <v>1000</v>
      </c>
      <c r="T113" s="2"/>
      <c r="U113" s="2"/>
      <c r="V113" s="9">
        <f>12*17</f>
        <v>204</v>
      </c>
      <c r="W113" s="2" t="s">
        <v>295</v>
      </c>
      <c r="X113" s="2"/>
      <c r="Y113" s="2"/>
      <c r="Z113" s="22">
        <v>10.9</v>
      </c>
      <c r="AA113" s="22">
        <v>0.6</v>
      </c>
      <c r="AB113" s="2"/>
      <c r="AC113" s="2"/>
      <c r="AD113" s="2"/>
      <c r="AE113" s="2"/>
      <c r="AF113" s="2"/>
      <c r="AG113" s="2"/>
      <c r="AH113" s="9">
        <v>0.7</v>
      </c>
      <c r="AI113" s="2"/>
      <c r="AJ113" s="2"/>
      <c r="AK113" s="2"/>
      <c r="AL113" s="18">
        <v>15.85</v>
      </c>
      <c r="AM113" s="18">
        <v>2.25</v>
      </c>
      <c r="AN113" s="2"/>
      <c r="AO113" s="2"/>
      <c r="AP113" s="2"/>
      <c r="AQ113" s="2"/>
      <c r="AR113" s="2"/>
      <c r="AS113" s="2"/>
      <c r="AT113" s="2"/>
      <c r="AU113" s="2"/>
      <c r="AV113" s="2" t="s">
        <v>236</v>
      </c>
      <c r="AW113" s="9">
        <v>28.1</v>
      </c>
      <c r="AX113" s="9">
        <v>1</v>
      </c>
      <c r="AY113" s="9">
        <v>3</v>
      </c>
      <c r="AZ113" s="2" t="s">
        <v>296</v>
      </c>
      <c r="BA113" s="2" t="s">
        <v>132</v>
      </c>
      <c r="BB113" s="2" t="s">
        <v>133</v>
      </c>
      <c r="BC113" s="6" t="s">
        <v>297</v>
      </c>
      <c r="BD113" s="2" t="s">
        <v>599</v>
      </c>
      <c r="BE113" s="2">
        <v>0</v>
      </c>
    </row>
    <row r="114" spans="1:57" ht="29" x14ac:dyDescent="0.2">
      <c r="A114" s="7" t="s">
        <v>292</v>
      </c>
      <c r="B114" s="8" t="s">
        <v>127</v>
      </c>
      <c r="C114" s="9">
        <v>2017</v>
      </c>
      <c r="D114" s="2" t="s">
        <v>293</v>
      </c>
      <c r="E114" s="8" t="s">
        <v>112</v>
      </c>
      <c r="F114" s="2"/>
      <c r="G114" s="2" t="s">
        <v>122</v>
      </c>
      <c r="H114" s="2"/>
      <c r="I114" s="2" t="s">
        <v>300</v>
      </c>
      <c r="J114" s="10" t="s">
        <v>115</v>
      </c>
      <c r="K114" s="9">
        <v>436</v>
      </c>
      <c r="L114" s="9">
        <v>22.5</v>
      </c>
      <c r="M114" s="2"/>
      <c r="N114" s="2"/>
      <c r="O114" s="2"/>
      <c r="P114" s="2"/>
      <c r="Q114" s="11">
        <v>9</v>
      </c>
      <c r="R114" s="9">
        <v>1</v>
      </c>
      <c r="S114" s="9">
        <v>1000</v>
      </c>
      <c r="T114" s="2"/>
      <c r="U114" s="2"/>
      <c r="V114" s="9">
        <v>216</v>
      </c>
      <c r="W114" s="2" t="s">
        <v>295</v>
      </c>
      <c r="X114" s="2"/>
      <c r="Y114" s="2"/>
      <c r="Z114" s="22">
        <v>12.7</v>
      </c>
      <c r="AA114" s="22">
        <v>4.3</v>
      </c>
      <c r="AB114" s="2"/>
      <c r="AC114" s="2"/>
      <c r="AD114" s="2"/>
      <c r="AE114" s="2"/>
      <c r="AF114" s="2"/>
      <c r="AG114" s="2"/>
      <c r="AH114" s="9">
        <v>0.8</v>
      </c>
      <c r="AI114" s="2"/>
      <c r="AJ114" s="2"/>
      <c r="AK114" s="2"/>
      <c r="AL114" s="18">
        <v>20.68</v>
      </c>
      <c r="AM114" s="18">
        <v>4.2699999999999996</v>
      </c>
      <c r="AN114" s="2"/>
      <c r="AO114" s="2"/>
      <c r="AP114" s="2"/>
      <c r="AQ114" s="2"/>
      <c r="AR114" s="2"/>
      <c r="AS114" s="2"/>
      <c r="AT114" s="2"/>
      <c r="AU114" s="2"/>
      <c r="AV114" s="2" t="s">
        <v>236</v>
      </c>
      <c r="AW114" s="9">
        <v>9.1</v>
      </c>
      <c r="AX114" s="9">
        <v>1</v>
      </c>
      <c r="AY114" s="9">
        <v>3</v>
      </c>
      <c r="AZ114" s="2" t="s">
        <v>296</v>
      </c>
      <c r="BA114" s="2" t="s">
        <v>132</v>
      </c>
      <c r="BB114" s="2" t="s">
        <v>133</v>
      </c>
      <c r="BC114" s="6" t="s">
        <v>297</v>
      </c>
      <c r="BD114" s="2" t="s">
        <v>599</v>
      </c>
      <c r="BE114" s="2">
        <v>0</v>
      </c>
    </row>
    <row r="115" spans="1:57" ht="29" x14ac:dyDescent="0.2">
      <c r="A115" s="7" t="s">
        <v>292</v>
      </c>
      <c r="B115" s="8" t="s">
        <v>127</v>
      </c>
      <c r="C115" s="9">
        <v>2017</v>
      </c>
      <c r="D115" s="2" t="s">
        <v>293</v>
      </c>
      <c r="E115" s="8" t="s">
        <v>112</v>
      </c>
      <c r="F115" s="2"/>
      <c r="G115" s="2" t="s">
        <v>122</v>
      </c>
      <c r="H115" s="2"/>
      <c r="I115" s="2" t="s">
        <v>301</v>
      </c>
      <c r="J115" s="10" t="s">
        <v>115</v>
      </c>
      <c r="K115" s="9">
        <v>436</v>
      </c>
      <c r="L115" s="9">
        <v>22.5</v>
      </c>
      <c r="M115" s="2"/>
      <c r="N115" s="2"/>
      <c r="O115" s="2"/>
      <c r="P115" s="2"/>
      <c r="Q115" s="11">
        <v>17</v>
      </c>
      <c r="R115" s="9">
        <v>1</v>
      </c>
      <c r="S115" s="9">
        <v>1000</v>
      </c>
      <c r="T115" s="2"/>
      <c r="U115" s="2"/>
      <c r="V115" s="9">
        <v>240</v>
      </c>
      <c r="W115" s="2" t="s">
        <v>295</v>
      </c>
      <c r="X115" s="2"/>
      <c r="Y115" s="2"/>
      <c r="Z115" s="22">
        <v>9.5</v>
      </c>
      <c r="AA115" s="22">
        <v>1.1000000000000001</v>
      </c>
      <c r="AB115" s="2"/>
      <c r="AC115" s="2"/>
      <c r="AD115" s="2"/>
      <c r="AE115" s="2"/>
      <c r="AF115" s="2"/>
      <c r="AG115" s="2"/>
      <c r="AH115" s="9">
        <v>1</v>
      </c>
      <c r="AI115" s="2"/>
      <c r="AJ115" s="2"/>
      <c r="AK115" s="2"/>
      <c r="AL115" s="18">
        <v>19.73</v>
      </c>
      <c r="AM115" s="18">
        <v>4.7699999999999996</v>
      </c>
      <c r="AN115" s="2"/>
      <c r="AO115" s="2"/>
      <c r="AP115" s="2"/>
      <c r="AQ115" s="2"/>
      <c r="AR115" s="2"/>
      <c r="AS115" s="2"/>
      <c r="AT115" s="2"/>
      <c r="AU115" s="2"/>
      <c r="AV115" s="2" t="s">
        <v>236</v>
      </c>
      <c r="AW115" s="9">
        <v>25</v>
      </c>
      <c r="AX115" s="9">
        <v>1</v>
      </c>
      <c r="AY115" s="9">
        <v>3</v>
      </c>
      <c r="AZ115" s="2" t="s">
        <v>296</v>
      </c>
      <c r="BA115" s="2" t="s">
        <v>132</v>
      </c>
      <c r="BB115" s="2" t="s">
        <v>133</v>
      </c>
      <c r="BC115" s="6" t="s">
        <v>297</v>
      </c>
      <c r="BD115" s="2" t="s">
        <v>599</v>
      </c>
      <c r="BE115" s="2">
        <v>0</v>
      </c>
    </row>
    <row r="116" spans="1:57" ht="29" x14ac:dyDescent="0.2">
      <c r="A116" s="7" t="s">
        <v>292</v>
      </c>
      <c r="B116" s="8" t="s">
        <v>127</v>
      </c>
      <c r="C116" s="9">
        <v>2017</v>
      </c>
      <c r="D116" s="2" t="s">
        <v>293</v>
      </c>
      <c r="E116" s="8" t="s">
        <v>112</v>
      </c>
      <c r="F116" s="2"/>
      <c r="G116" s="2" t="s">
        <v>122</v>
      </c>
      <c r="H116" s="2"/>
      <c r="I116" s="2" t="s">
        <v>302</v>
      </c>
      <c r="J116" s="10" t="s">
        <v>115</v>
      </c>
      <c r="K116" s="9">
        <v>436</v>
      </c>
      <c r="L116" s="9">
        <v>22.5</v>
      </c>
      <c r="M116" s="2"/>
      <c r="N116" s="2"/>
      <c r="O116" s="2"/>
      <c r="P116" s="2"/>
      <c r="Q116" s="11">
        <v>16</v>
      </c>
      <c r="R116" s="9">
        <v>1</v>
      </c>
      <c r="S116" s="9">
        <v>1000</v>
      </c>
      <c r="T116" s="2"/>
      <c r="U116" s="2"/>
      <c r="V116" s="9">
        <v>384</v>
      </c>
      <c r="W116" s="2" t="s">
        <v>295</v>
      </c>
      <c r="X116" s="2"/>
      <c r="Y116" s="2"/>
      <c r="Z116" s="22">
        <v>13.7</v>
      </c>
      <c r="AA116" s="22">
        <v>3.5</v>
      </c>
      <c r="AB116" s="2"/>
      <c r="AC116" s="2"/>
      <c r="AD116" s="2"/>
      <c r="AE116" s="2"/>
      <c r="AF116" s="2"/>
      <c r="AG116" s="2"/>
      <c r="AH116" s="9">
        <v>0.8</v>
      </c>
      <c r="AI116" s="2"/>
      <c r="AJ116" s="2"/>
      <c r="AK116" s="2"/>
      <c r="AL116" s="18">
        <v>21.14</v>
      </c>
      <c r="AM116" s="18">
        <v>2.94</v>
      </c>
      <c r="AN116" s="2"/>
      <c r="AO116" s="2"/>
      <c r="AP116" s="2"/>
      <c r="AQ116" s="2"/>
      <c r="AR116" s="2"/>
      <c r="AS116" s="2"/>
      <c r="AT116" s="2"/>
      <c r="AU116" s="2"/>
      <c r="AV116" s="2" t="s">
        <v>236</v>
      </c>
      <c r="AW116" s="9">
        <v>18.2</v>
      </c>
      <c r="AX116" s="9">
        <v>1</v>
      </c>
      <c r="AY116" s="9">
        <v>3</v>
      </c>
      <c r="AZ116" s="2" t="s">
        <v>296</v>
      </c>
      <c r="BA116" s="2" t="s">
        <v>132</v>
      </c>
      <c r="BB116" s="2" t="s">
        <v>133</v>
      </c>
      <c r="BC116" s="6" t="s">
        <v>297</v>
      </c>
      <c r="BD116" s="2" t="s">
        <v>599</v>
      </c>
      <c r="BE116" s="2">
        <v>0</v>
      </c>
    </row>
    <row r="117" spans="1:57" ht="29" x14ac:dyDescent="0.2">
      <c r="A117" s="7" t="s">
        <v>292</v>
      </c>
      <c r="B117" s="8" t="s">
        <v>127</v>
      </c>
      <c r="C117" s="9">
        <v>2017</v>
      </c>
      <c r="D117" s="2" t="s">
        <v>293</v>
      </c>
      <c r="E117" s="8" t="s">
        <v>112</v>
      </c>
      <c r="F117" s="2"/>
      <c r="G117" s="2" t="s">
        <v>122</v>
      </c>
      <c r="H117" s="2"/>
      <c r="I117" s="2" t="s">
        <v>303</v>
      </c>
      <c r="J117" s="10" t="s">
        <v>115</v>
      </c>
      <c r="K117" s="9">
        <v>436</v>
      </c>
      <c r="L117" s="9">
        <v>22.5</v>
      </c>
      <c r="M117" s="2"/>
      <c r="N117" s="2"/>
      <c r="O117" s="2"/>
      <c r="P117" s="2"/>
      <c r="Q117" s="11">
        <v>16</v>
      </c>
      <c r="R117" s="9">
        <v>1</v>
      </c>
      <c r="S117" s="9">
        <v>1000</v>
      </c>
      <c r="T117" s="2"/>
      <c r="U117" s="2"/>
      <c r="V117" s="9">
        <v>396</v>
      </c>
      <c r="W117" s="2" t="s">
        <v>295</v>
      </c>
      <c r="X117" s="2"/>
      <c r="Y117" s="2"/>
      <c r="Z117" s="22">
        <v>9.9</v>
      </c>
      <c r="AA117" s="22">
        <v>2.7</v>
      </c>
      <c r="AB117" s="2"/>
      <c r="AC117" s="2"/>
      <c r="AD117" s="2"/>
      <c r="AE117" s="2"/>
      <c r="AF117" s="2"/>
      <c r="AG117" s="2"/>
      <c r="AH117" s="9">
        <v>1</v>
      </c>
      <c r="AI117" s="2"/>
      <c r="AJ117" s="2"/>
      <c r="AK117" s="2"/>
      <c r="AL117" s="18">
        <v>18.989999999999998</v>
      </c>
      <c r="AM117" s="18">
        <v>6.26</v>
      </c>
      <c r="AN117" s="2"/>
      <c r="AO117" s="2"/>
      <c r="AP117" s="2"/>
      <c r="AQ117" s="2"/>
      <c r="AR117" s="2"/>
      <c r="AS117" s="2"/>
      <c r="AT117" s="2"/>
      <c r="AU117" s="2"/>
      <c r="AV117" s="2" t="s">
        <v>236</v>
      </c>
      <c r="AW117" s="9">
        <v>24.1</v>
      </c>
      <c r="AX117" s="9">
        <v>1</v>
      </c>
      <c r="AY117" s="9">
        <v>3</v>
      </c>
      <c r="AZ117" s="2" t="s">
        <v>296</v>
      </c>
      <c r="BA117" s="2" t="s">
        <v>132</v>
      </c>
      <c r="BB117" s="2" t="s">
        <v>133</v>
      </c>
      <c r="BC117" s="6" t="s">
        <v>297</v>
      </c>
      <c r="BD117" s="2" t="s">
        <v>599</v>
      </c>
      <c r="BE117" s="2">
        <v>0</v>
      </c>
    </row>
    <row r="118" spans="1:57" ht="29" x14ac:dyDescent="0.2">
      <c r="A118" s="7" t="s">
        <v>292</v>
      </c>
      <c r="B118" s="8" t="s">
        <v>127</v>
      </c>
      <c r="C118" s="9">
        <v>2017</v>
      </c>
      <c r="D118" s="2" t="s">
        <v>293</v>
      </c>
      <c r="E118" s="8" t="s">
        <v>112</v>
      </c>
      <c r="F118" s="2"/>
      <c r="G118" s="2" t="s">
        <v>122</v>
      </c>
      <c r="H118" s="2"/>
      <c r="I118" s="2" t="s">
        <v>304</v>
      </c>
      <c r="J118" s="10" t="s">
        <v>115</v>
      </c>
      <c r="K118" s="9">
        <v>436</v>
      </c>
      <c r="L118" s="9">
        <v>22.5</v>
      </c>
      <c r="M118" s="2"/>
      <c r="N118" s="2"/>
      <c r="O118" s="2"/>
      <c r="P118" s="2"/>
      <c r="Q118" s="11">
        <v>8</v>
      </c>
      <c r="R118" s="9">
        <v>1</v>
      </c>
      <c r="S118" s="9">
        <v>1000</v>
      </c>
      <c r="T118" s="2"/>
      <c r="U118" s="2"/>
      <c r="V118" s="9">
        <v>408</v>
      </c>
      <c r="W118" s="2" t="s">
        <v>295</v>
      </c>
      <c r="X118" s="2"/>
      <c r="Y118" s="2"/>
      <c r="Z118" s="22">
        <v>16.5</v>
      </c>
      <c r="AA118" s="22">
        <v>10.8</v>
      </c>
      <c r="AB118" s="2"/>
      <c r="AC118" s="2"/>
      <c r="AD118" s="2"/>
      <c r="AE118" s="2"/>
      <c r="AF118" s="2"/>
      <c r="AG118" s="2"/>
      <c r="AH118" s="9">
        <v>1.2</v>
      </c>
      <c r="AI118" s="2"/>
      <c r="AJ118" s="2"/>
      <c r="AK118" s="2"/>
      <c r="AL118" s="18">
        <v>39.729999999999997</v>
      </c>
      <c r="AM118" s="18">
        <v>25.35</v>
      </c>
      <c r="AN118" s="2"/>
      <c r="AO118" s="2"/>
      <c r="AP118" s="2"/>
      <c r="AQ118" s="2"/>
      <c r="AR118" s="2"/>
      <c r="AS118" s="2"/>
      <c r="AT118" s="2"/>
      <c r="AU118" s="2"/>
      <c r="AV118" s="2" t="s">
        <v>236</v>
      </c>
      <c r="AW118" s="9">
        <v>18.8</v>
      </c>
      <c r="AX118" s="9">
        <v>1</v>
      </c>
      <c r="AY118" s="9">
        <v>3</v>
      </c>
      <c r="AZ118" s="2" t="s">
        <v>296</v>
      </c>
      <c r="BA118" s="2" t="s">
        <v>132</v>
      </c>
      <c r="BB118" s="2" t="s">
        <v>133</v>
      </c>
      <c r="BC118" s="6" t="s">
        <v>297</v>
      </c>
      <c r="BD118" s="2" t="s">
        <v>599</v>
      </c>
      <c r="BE118" s="2">
        <v>0</v>
      </c>
    </row>
    <row r="119" spans="1:57" ht="29" x14ac:dyDescent="0.2">
      <c r="A119" s="7" t="s">
        <v>292</v>
      </c>
      <c r="B119" s="8" t="s">
        <v>127</v>
      </c>
      <c r="C119" s="9">
        <v>2017</v>
      </c>
      <c r="D119" s="2" t="s">
        <v>293</v>
      </c>
      <c r="E119" s="8" t="s">
        <v>112</v>
      </c>
      <c r="F119" s="2"/>
      <c r="G119" s="2" t="s">
        <v>122</v>
      </c>
      <c r="H119" s="2"/>
      <c r="I119" s="2" t="s">
        <v>305</v>
      </c>
      <c r="J119" s="10" t="s">
        <v>115</v>
      </c>
      <c r="K119" s="9">
        <v>436</v>
      </c>
      <c r="L119" s="9">
        <v>22.5</v>
      </c>
      <c r="M119" s="2"/>
      <c r="N119" s="2"/>
      <c r="O119" s="2"/>
      <c r="P119" s="2"/>
      <c r="Q119" s="11">
        <v>8</v>
      </c>
      <c r="R119" s="9">
        <v>1</v>
      </c>
      <c r="S119" s="9">
        <v>1000</v>
      </c>
      <c r="T119" s="2"/>
      <c r="U119" s="2"/>
      <c r="V119" s="9">
        <v>432</v>
      </c>
      <c r="W119" s="2" t="s">
        <v>295</v>
      </c>
      <c r="X119" s="2"/>
      <c r="Y119" s="2"/>
      <c r="Z119" s="22">
        <v>11.4</v>
      </c>
      <c r="AA119" s="22">
        <v>1</v>
      </c>
      <c r="AB119" s="2"/>
      <c r="AC119" s="2"/>
      <c r="AD119" s="2"/>
      <c r="AE119" s="2"/>
      <c r="AF119" s="2"/>
      <c r="AG119" s="2"/>
      <c r="AH119" s="9">
        <v>0.6</v>
      </c>
      <c r="AI119" s="2"/>
      <c r="AJ119" s="2"/>
      <c r="AK119" s="2"/>
      <c r="AL119" s="18">
        <v>14.64</v>
      </c>
      <c r="AM119" s="18">
        <v>2.0499999999999998</v>
      </c>
      <c r="AN119" s="2"/>
      <c r="AO119" s="2"/>
      <c r="AP119" s="2"/>
      <c r="AQ119" s="2"/>
      <c r="AR119" s="2"/>
      <c r="AS119" s="2"/>
      <c r="AT119" s="2"/>
      <c r="AU119" s="2"/>
      <c r="AV119" s="2" t="s">
        <v>236</v>
      </c>
      <c r="AW119" s="9">
        <v>16.2</v>
      </c>
      <c r="AX119" s="9">
        <v>1</v>
      </c>
      <c r="AY119" s="9">
        <v>3</v>
      </c>
      <c r="AZ119" s="2" t="s">
        <v>296</v>
      </c>
      <c r="BA119" s="2" t="s">
        <v>132</v>
      </c>
      <c r="BB119" s="2" t="s">
        <v>133</v>
      </c>
      <c r="BC119" s="6" t="s">
        <v>297</v>
      </c>
      <c r="BD119" s="2" t="s">
        <v>599</v>
      </c>
      <c r="BE119" s="2">
        <v>0</v>
      </c>
    </row>
    <row r="120" spans="1:57" ht="29" x14ac:dyDescent="0.2">
      <c r="A120" s="7" t="s">
        <v>292</v>
      </c>
      <c r="B120" s="8" t="s">
        <v>127</v>
      </c>
      <c r="C120" s="9">
        <v>2017</v>
      </c>
      <c r="D120" s="2" t="s">
        <v>293</v>
      </c>
      <c r="E120" s="8" t="s">
        <v>112</v>
      </c>
      <c r="F120" s="2"/>
      <c r="G120" s="2" t="s">
        <v>122</v>
      </c>
      <c r="H120" s="2"/>
      <c r="I120" s="2" t="s">
        <v>294</v>
      </c>
      <c r="J120" s="10" t="s">
        <v>306</v>
      </c>
      <c r="K120" s="9">
        <v>436</v>
      </c>
      <c r="L120" s="9">
        <v>22.5</v>
      </c>
      <c r="M120" s="2"/>
      <c r="N120" s="2"/>
      <c r="O120" s="2"/>
      <c r="P120" s="2"/>
      <c r="Q120" s="11">
        <v>8</v>
      </c>
      <c r="R120" s="9">
        <v>1</v>
      </c>
      <c r="S120" s="9">
        <v>1000</v>
      </c>
      <c r="T120" s="2"/>
      <c r="U120" s="2"/>
      <c r="V120" s="9">
        <v>168</v>
      </c>
      <c r="W120" s="2" t="s">
        <v>295</v>
      </c>
      <c r="X120" s="2"/>
      <c r="Y120" s="2"/>
      <c r="Z120" s="22">
        <v>7.9</v>
      </c>
      <c r="AA120" s="22">
        <v>0.5</v>
      </c>
      <c r="AB120" s="2"/>
      <c r="AC120" s="2"/>
      <c r="AD120" s="2"/>
      <c r="AE120" s="2"/>
      <c r="AF120" s="2"/>
      <c r="AG120" s="2"/>
      <c r="AH120" s="9">
        <v>0.9</v>
      </c>
      <c r="AI120" s="2"/>
      <c r="AJ120" s="2"/>
      <c r="AK120" s="2"/>
      <c r="AL120" s="18">
        <v>21.32</v>
      </c>
      <c r="AM120" s="18">
        <v>3.84</v>
      </c>
      <c r="AN120" s="2"/>
      <c r="AO120" s="2"/>
      <c r="AP120" s="2"/>
      <c r="AQ120" s="2"/>
      <c r="AR120" s="2"/>
      <c r="AS120" s="2"/>
      <c r="AT120" s="2"/>
      <c r="AU120" s="2"/>
      <c r="AV120" s="2" t="s">
        <v>236</v>
      </c>
      <c r="AW120" s="9">
        <v>24.1</v>
      </c>
      <c r="AX120" s="9">
        <v>1</v>
      </c>
      <c r="AY120" s="9">
        <v>3</v>
      </c>
      <c r="AZ120" s="2" t="s">
        <v>296</v>
      </c>
      <c r="BA120" s="2" t="s">
        <v>132</v>
      </c>
      <c r="BB120" s="2" t="s">
        <v>133</v>
      </c>
      <c r="BC120" s="6" t="s">
        <v>297</v>
      </c>
      <c r="BD120" s="2" t="s">
        <v>599</v>
      </c>
      <c r="BE120" s="2">
        <v>0</v>
      </c>
    </row>
    <row r="121" spans="1:57" ht="29" x14ac:dyDescent="0.2">
      <c r="A121" s="7" t="s">
        <v>292</v>
      </c>
      <c r="B121" s="8" t="s">
        <v>127</v>
      </c>
      <c r="C121" s="9">
        <v>2017</v>
      </c>
      <c r="D121" s="2" t="s">
        <v>293</v>
      </c>
      <c r="E121" s="8" t="s">
        <v>112</v>
      </c>
      <c r="F121" s="2"/>
      <c r="G121" s="2" t="s">
        <v>122</v>
      </c>
      <c r="H121" s="2"/>
      <c r="I121" s="2" t="s">
        <v>298</v>
      </c>
      <c r="J121" s="10" t="s">
        <v>306</v>
      </c>
      <c r="K121" s="9">
        <v>436</v>
      </c>
      <c r="L121" s="9">
        <v>22.5</v>
      </c>
      <c r="M121" s="2"/>
      <c r="N121" s="2"/>
      <c r="O121" s="2"/>
      <c r="P121" s="2"/>
      <c r="Q121" s="11">
        <v>6</v>
      </c>
      <c r="R121" s="9">
        <v>1</v>
      </c>
      <c r="S121" s="9">
        <v>1000</v>
      </c>
      <c r="T121" s="2"/>
      <c r="U121" s="2"/>
      <c r="V121" s="9">
        <v>180</v>
      </c>
      <c r="W121" s="2" t="s">
        <v>295</v>
      </c>
      <c r="X121" s="2"/>
      <c r="Y121" s="2"/>
      <c r="Z121" s="22">
        <v>8</v>
      </c>
      <c r="AA121" s="22">
        <v>1.2</v>
      </c>
      <c r="AB121" s="2"/>
      <c r="AC121" s="2"/>
      <c r="AD121" s="2"/>
      <c r="AE121" s="2"/>
      <c r="AF121" s="2"/>
      <c r="AG121" s="2"/>
      <c r="AH121" s="9">
        <v>1</v>
      </c>
      <c r="AI121" s="2"/>
      <c r="AJ121" s="2"/>
      <c r="AK121" s="2"/>
      <c r="AL121" s="18">
        <v>23.75</v>
      </c>
      <c r="AM121" s="18">
        <v>4.79</v>
      </c>
      <c r="AN121" s="2"/>
      <c r="AO121" s="2"/>
      <c r="AP121" s="2"/>
      <c r="AQ121" s="2"/>
      <c r="AR121" s="2"/>
      <c r="AS121" s="2"/>
      <c r="AT121" s="2"/>
      <c r="AU121" s="2"/>
      <c r="AV121" s="2" t="s">
        <v>236</v>
      </c>
      <c r="AW121" s="9">
        <v>25.2</v>
      </c>
      <c r="AX121" s="9">
        <v>1</v>
      </c>
      <c r="AY121" s="9">
        <v>3</v>
      </c>
      <c r="AZ121" s="2" t="s">
        <v>296</v>
      </c>
      <c r="BA121" s="2" t="s">
        <v>132</v>
      </c>
      <c r="BB121" s="2" t="s">
        <v>133</v>
      </c>
      <c r="BC121" s="6" t="s">
        <v>297</v>
      </c>
      <c r="BD121" s="2" t="s">
        <v>599</v>
      </c>
      <c r="BE121" s="2">
        <v>0</v>
      </c>
    </row>
    <row r="122" spans="1:57" ht="29" x14ac:dyDescent="0.2">
      <c r="A122" s="7" t="s">
        <v>292</v>
      </c>
      <c r="B122" s="8" t="s">
        <v>127</v>
      </c>
      <c r="C122" s="9">
        <v>2017</v>
      </c>
      <c r="D122" s="2" t="s">
        <v>293</v>
      </c>
      <c r="E122" s="8" t="s">
        <v>112</v>
      </c>
      <c r="F122" s="2"/>
      <c r="G122" s="2" t="s">
        <v>122</v>
      </c>
      <c r="H122" s="2"/>
      <c r="I122" s="2" t="s">
        <v>299</v>
      </c>
      <c r="J122" s="10" t="s">
        <v>306</v>
      </c>
      <c r="K122" s="9">
        <v>436</v>
      </c>
      <c r="L122" s="9">
        <v>22.5</v>
      </c>
      <c r="M122" s="2"/>
      <c r="N122" s="2"/>
      <c r="O122" s="2"/>
      <c r="P122" s="2"/>
      <c r="Q122" s="11">
        <v>6</v>
      </c>
      <c r="R122" s="9">
        <v>1</v>
      </c>
      <c r="S122" s="9">
        <v>1000</v>
      </c>
      <c r="T122" s="2"/>
      <c r="U122" s="2"/>
      <c r="V122" s="9">
        <v>204</v>
      </c>
      <c r="W122" s="2" t="s">
        <v>295</v>
      </c>
      <c r="X122" s="2"/>
      <c r="Y122" s="2"/>
      <c r="Z122" s="22">
        <v>9.3000000000000007</v>
      </c>
      <c r="AA122" s="22">
        <v>1.6</v>
      </c>
      <c r="AB122" s="2"/>
      <c r="AC122" s="2"/>
      <c r="AD122" s="2"/>
      <c r="AE122" s="2"/>
      <c r="AF122" s="2"/>
      <c r="AG122" s="2"/>
      <c r="AH122" s="9">
        <v>0.8</v>
      </c>
      <c r="AI122" s="2"/>
      <c r="AJ122" s="2"/>
      <c r="AK122" s="2"/>
      <c r="AL122" s="18">
        <v>22.52</v>
      </c>
      <c r="AM122" s="18">
        <v>7.64</v>
      </c>
      <c r="AN122" s="2"/>
      <c r="AO122" s="2"/>
      <c r="AP122" s="2"/>
      <c r="AQ122" s="2"/>
      <c r="AR122" s="2"/>
      <c r="AS122" s="2"/>
      <c r="AT122" s="2"/>
      <c r="AU122" s="2"/>
      <c r="AV122" s="2" t="s">
        <v>236</v>
      </c>
      <c r="AW122" s="9">
        <v>30.9</v>
      </c>
      <c r="AX122" s="9">
        <v>1</v>
      </c>
      <c r="AY122" s="9">
        <v>3</v>
      </c>
      <c r="AZ122" s="2" t="s">
        <v>296</v>
      </c>
      <c r="BA122" s="2" t="s">
        <v>132</v>
      </c>
      <c r="BB122" s="2" t="s">
        <v>133</v>
      </c>
      <c r="BC122" s="6" t="s">
        <v>297</v>
      </c>
      <c r="BD122" s="2" t="s">
        <v>599</v>
      </c>
      <c r="BE122" s="2">
        <v>0</v>
      </c>
    </row>
    <row r="123" spans="1:57" ht="29" x14ac:dyDescent="0.2">
      <c r="A123" s="7" t="s">
        <v>292</v>
      </c>
      <c r="B123" s="8" t="s">
        <v>127</v>
      </c>
      <c r="C123" s="9">
        <v>2017</v>
      </c>
      <c r="D123" s="2" t="s">
        <v>293</v>
      </c>
      <c r="E123" s="8" t="s">
        <v>112</v>
      </c>
      <c r="F123" s="2"/>
      <c r="G123" s="2" t="s">
        <v>122</v>
      </c>
      <c r="H123" s="2"/>
      <c r="I123" s="2" t="s">
        <v>300</v>
      </c>
      <c r="J123" s="10" t="s">
        <v>306</v>
      </c>
      <c r="K123" s="9">
        <v>436</v>
      </c>
      <c r="L123" s="9">
        <v>22.5</v>
      </c>
      <c r="M123" s="2"/>
      <c r="N123" s="2"/>
      <c r="O123" s="2"/>
      <c r="P123" s="2"/>
      <c r="Q123" s="11">
        <v>9</v>
      </c>
      <c r="R123" s="9">
        <v>1</v>
      </c>
      <c r="S123" s="9">
        <v>1000</v>
      </c>
      <c r="T123" s="2"/>
      <c r="U123" s="2"/>
      <c r="V123" s="9">
        <v>216</v>
      </c>
      <c r="W123" s="2" t="s">
        <v>295</v>
      </c>
      <c r="X123" s="2"/>
      <c r="Y123" s="2"/>
      <c r="Z123" s="22">
        <v>10.8</v>
      </c>
      <c r="AA123" s="22">
        <v>3.3</v>
      </c>
      <c r="AB123" s="2"/>
      <c r="AC123" s="2"/>
      <c r="AD123" s="2"/>
      <c r="AE123" s="2"/>
      <c r="AF123" s="2"/>
      <c r="AG123" s="2"/>
      <c r="AH123" s="9">
        <v>0.5</v>
      </c>
      <c r="AI123" s="2"/>
      <c r="AJ123" s="2"/>
      <c r="AK123" s="2"/>
      <c r="AL123" s="18">
        <v>14.78</v>
      </c>
      <c r="AM123" s="18">
        <v>5.22</v>
      </c>
      <c r="AN123" s="2"/>
      <c r="AO123" s="2"/>
      <c r="AP123" s="2"/>
      <c r="AQ123" s="2"/>
      <c r="AR123" s="2"/>
      <c r="AS123" s="2"/>
      <c r="AT123" s="2"/>
      <c r="AU123" s="2"/>
      <c r="AV123" s="2" t="s">
        <v>236</v>
      </c>
      <c r="AW123" s="9">
        <v>10.1</v>
      </c>
      <c r="AX123" s="9">
        <v>1</v>
      </c>
      <c r="AY123" s="9">
        <v>3</v>
      </c>
      <c r="AZ123" s="2" t="s">
        <v>296</v>
      </c>
      <c r="BA123" s="2" t="s">
        <v>132</v>
      </c>
      <c r="BB123" s="2" t="s">
        <v>133</v>
      </c>
      <c r="BC123" s="6" t="s">
        <v>297</v>
      </c>
      <c r="BD123" s="2" t="s">
        <v>599</v>
      </c>
      <c r="BE123" s="2">
        <v>0</v>
      </c>
    </row>
    <row r="124" spans="1:57" ht="29" x14ac:dyDescent="0.2">
      <c r="A124" s="7" t="s">
        <v>292</v>
      </c>
      <c r="B124" s="8" t="s">
        <v>127</v>
      </c>
      <c r="C124" s="9">
        <v>2017</v>
      </c>
      <c r="D124" s="2" t="s">
        <v>293</v>
      </c>
      <c r="E124" s="8" t="s">
        <v>112</v>
      </c>
      <c r="F124" s="2"/>
      <c r="G124" s="2" t="s">
        <v>122</v>
      </c>
      <c r="H124" s="2"/>
      <c r="I124" s="2" t="s">
        <v>301</v>
      </c>
      <c r="J124" s="10" t="s">
        <v>306</v>
      </c>
      <c r="K124" s="9">
        <v>436</v>
      </c>
      <c r="L124" s="9">
        <v>22.5</v>
      </c>
      <c r="M124" s="2"/>
      <c r="N124" s="2"/>
      <c r="O124" s="2"/>
      <c r="P124" s="2"/>
      <c r="Q124" s="11">
        <v>17</v>
      </c>
      <c r="R124" s="9">
        <v>1</v>
      </c>
      <c r="S124" s="9">
        <v>1000</v>
      </c>
      <c r="T124" s="2"/>
      <c r="U124" s="2"/>
      <c r="V124" s="9">
        <v>240</v>
      </c>
      <c r="W124" s="2" t="s">
        <v>295</v>
      </c>
      <c r="X124" s="2"/>
      <c r="Y124" s="2"/>
      <c r="Z124" s="22">
        <v>9.6</v>
      </c>
      <c r="AA124" s="22">
        <v>3.3</v>
      </c>
      <c r="AB124" s="2"/>
      <c r="AC124" s="2"/>
      <c r="AD124" s="2"/>
      <c r="AE124" s="2"/>
      <c r="AF124" s="2"/>
      <c r="AG124" s="2"/>
      <c r="AH124" s="9">
        <v>0.8</v>
      </c>
      <c r="AI124" s="2"/>
      <c r="AJ124" s="2"/>
      <c r="AK124" s="2"/>
      <c r="AL124" s="18">
        <v>20.8</v>
      </c>
      <c r="AM124" s="18">
        <v>4.4000000000000004</v>
      </c>
      <c r="AN124" s="2"/>
      <c r="AO124" s="2"/>
      <c r="AP124" s="2"/>
      <c r="AQ124" s="2"/>
      <c r="AR124" s="2"/>
      <c r="AS124" s="2"/>
      <c r="AT124" s="2"/>
      <c r="AU124" s="2"/>
      <c r="AV124" s="2" t="s">
        <v>236</v>
      </c>
      <c r="AW124" s="9">
        <v>26.1</v>
      </c>
      <c r="AX124" s="9">
        <v>1</v>
      </c>
      <c r="AY124" s="9">
        <v>3</v>
      </c>
      <c r="AZ124" s="2" t="s">
        <v>296</v>
      </c>
      <c r="BA124" s="2" t="s">
        <v>132</v>
      </c>
      <c r="BB124" s="2" t="s">
        <v>133</v>
      </c>
      <c r="BC124" s="6" t="s">
        <v>297</v>
      </c>
      <c r="BD124" s="2" t="s">
        <v>599</v>
      </c>
      <c r="BE124" s="2">
        <v>0</v>
      </c>
    </row>
    <row r="125" spans="1:57" ht="29" x14ac:dyDescent="0.2">
      <c r="A125" s="7" t="s">
        <v>292</v>
      </c>
      <c r="B125" s="8" t="s">
        <v>127</v>
      </c>
      <c r="C125" s="9">
        <v>2017</v>
      </c>
      <c r="D125" s="2" t="s">
        <v>293</v>
      </c>
      <c r="E125" s="8" t="s">
        <v>112</v>
      </c>
      <c r="F125" s="2"/>
      <c r="G125" s="2" t="s">
        <v>122</v>
      </c>
      <c r="H125" s="2"/>
      <c r="I125" s="2" t="s">
        <v>302</v>
      </c>
      <c r="J125" s="10" t="s">
        <v>306</v>
      </c>
      <c r="K125" s="9">
        <v>436</v>
      </c>
      <c r="L125" s="9">
        <v>22.5</v>
      </c>
      <c r="M125" s="2"/>
      <c r="N125" s="2"/>
      <c r="O125" s="2"/>
      <c r="P125" s="2"/>
      <c r="Q125" s="11">
        <v>16</v>
      </c>
      <c r="R125" s="9">
        <v>1</v>
      </c>
      <c r="S125" s="9">
        <v>1000</v>
      </c>
      <c r="T125" s="2"/>
      <c r="U125" s="2"/>
      <c r="V125" s="9">
        <v>384</v>
      </c>
      <c r="W125" s="2" t="s">
        <v>295</v>
      </c>
      <c r="X125" s="2"/>
      <c r="Y125" s="2"/>
      <c r="Z125" s="22">
        <v>11</v>
      </c>
      <c r="AA125" s="22">
        <v>3.4</v>
      </c>
      <c r="AB125" s="2"/>
      <c r="AC125" s="2"/>
      <c r="AD125" s="2"/>
      <c r="AE125" s="2"/>
      <c r="AF125" s="2"/>
      <c r="AG125" s="2"/>
      <c r="AH125" s="9">
        <v>0.8</v>
      </c>
      <c r="AI125" s="2"/>
      <c r="AJ125" s="2"/>
      <c r="AK125" s="2"/>
      <c r="AL125" s="19">
        <v>24.75</v>
      </c>
      <c r="AM125" s="18">
        <v>5.4</v>
      </c>
      <c r="AN125" s="2"/>
      <c r="AO125" s="2"/>
      <c r="AP125" s="2"/>
      <c r="AQ125" s="2"/>
      <c r="AR125" s="2"/>
      <c r="AS125" s="2"/>
      <c r="AT125" s="2"/>
      <c r="AU125" s="2"/>
      <c r="AV125" s="2" t="s">
        <v>236</v>
      </c>
      <c r="AW125" s="9">
        <v>15.9</v>
      </c>
      <c r="AX125" s="9">
        <v>1</v>
      </c>
      <c r="AY125" s="9">
        <v>3</v>
      </c>
      <c r="AZ125" s="2" t="s">
        <v>296</v>
      </c>
      <c r="BA125" s="2" t="s">
        <v>132</v>
      </c>
      <c r="BB125" s="2" t="s">
        <v>133</v>
      </c>
      <c r="BC125" s="6" t="s">
        <v>297</v>
      </c>
      <c r="BD125" s="2" t="s">
        <v>599</v>
      </c>
      <c r="BE125" s="2">
        <v>0</v>
      </c>
    </row>
    <row r="126" spans="1:57" ht="29" x14ac:dyDescent="0.2">
      <c r="A126" s="7" t="s">
        <v>292</v>
      </c>
      <c r="B126" s="8" t="s">
        <v>127</v>
      </c>
      <c r="C126" s="9">
        <v>2017</v>
      </c>
      <c r="D126" s="2" t="s">
        <v>293</v>
      </c>
      <c r="E126" s="8" t="s">
        <v>112</v>
      </c>
      <c r="F126" s="2"/>
      <c r="G126" s="2" t="s">
        <v>122</v>
      </c>
      <c r="H126" s="2"/>
      <c r="I126" s="2" t="s">
        <v>303</v>
      </c>
      <c r="J126" s="10" t="s">
        <v>306</v>
      </c>
      <c r="K126" s="9">
        <v>436</v>
      </c>
      <c r="L126" s="9">
        <v>22.5</v>
      </c>
      <c r="M126" s="2"/>
      <c r="N126" s="2"/>
      <c r="O126" s="2"/>
      <c r="P126" s="2"/>
      <c r="Q126" s="11">
        <v>16</v>
      </c>
      <c r="R126" s="9">
        <v>1</v>
      </c>
      <c r="S126" s="9">
        <v>1000</v>
      </c>
      <c r="T126" s="2"/>
      <c r="U126" s="2"/>
      <c r="V126" s="9">
        <v>396</v>
      </c>
      <c r="W126" s="2" t="s">
        <v>295</v>
      </c>
      <c r="X126" s="2"/>
      <c r="Y126" s="2"/>
      <c r="Z126" s="22">
        <v>8.6999999999999993</v>
      </c>
      <c r="AA126" s="22">
        <v>2.2999999999999998</v>
      </c>
      <c r="AB126" s="2"/>
      <c r="AC126" s="2"/>
      <c r="AD126" s="2"/>
      <c r="AE126" s="2"/>
      <c r="AF126" s="2"/>
      <c r="AG126" s="2"/>
      <c r="AH126" s="9">
        <v>1</v>
      </c>
      <c r="AI126" s="2"/>
      <c r="AJ126" s="2"/>
      <c r="AK126" s="2"/>
      <c r="AL126" s="18">
        <v>26.2</v>
      </c>
      <c r="AM126" s="18">
        <v>7.92</v>
      </c>
      <c r="AN126" s="2"/>
      <c r="AO126" s="2"/>
      <c r="AP126" s="2"/>
      <c r="AQ126" s="2"/>
      <c r="AR126" s="2"/>
      <c r="AS126" s="2"/>
      <c r="AT126" s="2"/>
      <c r="AU126" s="2"/>
      <c r="AV126" s="2" t="s">
        <v>236</v>
      </c>
      <c r="AW126" s="9">
        <v>21.4</v>
      </c>
      <c r="AX126" s="9">
        <v>1</v>
      </c>
      <c r="AY126" s="9">
        <v>3</v>
      </c>
      <c r="AZ126" s="2" t="s">
        <v>296</v>
      </c>
      <c r="BA126" s="2" t="s">
        <v>132</v>
      </c>
      <c r="BB126" s="2" t="s">
        <v>133</v>
      </c>
      <c r="BC126" s="6" t="s">
        <v>297</v>
      </c>
      <c r="BD126" s="2" t="s">
        <v>599</v>
      </c>
      <c r="BE126" s="2">
        <v>0</v>
      </c>
    </row>
    <row r="127" spans="1:57" ht="29" x14ac:dyDescent="0.2">
      <c r="A127" s="7" t="s">
        <v>292</v>
      </c>
      <c r="B127" s="8" t="s">
        <v>127</v>
      </c>
      <c r="C127" s="9">
        <v>2017</v>
      </c>
      <c r="D127" s="2" t="s">
        <v>293</v>
      </c>
      <c r="E127" s="8" t="s">
        <v>112</v>
      </c>
      <c r="F127" s="2"/>
      <c r="G127" s="2" t="s">
        <v>122</v>
      </c>
      <c r="H127" s="2"/>
      <c r="I127" s="2" t="s">
        <v>304</v>
      </c>
      <c r="J127" s="10" t="s">
        <v>306</v>
      </c>
      <c r="K127" s="9">
        <v>436</v>
      </c>
      <c r="L127" s="9">
        <v>22.5</v>
      </c>
      <c r="M127" s="2"/>
      <c r="N127" s="2"/>
      <c r="O127" s="2"/>
      <c r="P127" s="2"/>
      <c r="Q127" s="11">
        <v>8</v>
      </c>
      <c r="R127" s="9">
        <v>1</v>
      </c>
      <c r="S127" s="9">
        <v>1000</v>
      </c>
      <c r="T127" s="2"/>
      <c r="U127" s="2"/>
      <c r="V127" s="9">
        <v>408</v>
      </c>
      <c r="W127" s="2" t="s">
        <v>295</v>
      </c>
      <c r="X127" s="2"/>
      <c r="Y127" s="2"/>
      <c r="Z127" s="22">
        <v>12.9</v>
      </c>
      <c r="AA127" s="22">
        <v>5.9</v>
      </c>
      <c r="AB127" s="2"/>
      <c r="AC127" s="2"/>
      <c r="AD127" s="2"/>
      <c r="AE127" s="2"/>
      <c r="AF127" s="2"/>
      <c r="AG127" s="2"/>
      <c r="AH127" s="9">
        <v>1.1000000000000001</v>
      </c>
      <c r="AI127" s="2"/>
      <c r="AJ127" s="2"/>
      <c r="AK127" s="2"/>
      <c r="AL127" s="18">
        <v>41.27</v>
      </c>
      <c r="AM127" s="18">
        <v>15.36</v>
      </c>
      <c r="AN127" s="2"/>
      <c r="AO127" s="2"/>
      <c r="AP127" s="2"/>
      <c r="AQ127" s="2"/>
      <c r="AR127" s="2"/>
      <c r="AS127" s="2"/>
      <c r="AT127" s="2"/>
      <c r="AU127" s="2"/>
      <c r="AV127" s="2" t="s">
        <v>236</v>
      </c>
      <c r="AW127" s="9">
        <v>19.399999999999999</v>
      </c>
      <c r="AX127" s="9">
        <v>1</v>
      </c>
      <c r="AY127" s="9">
        <v>3</v>
      </c>
      <c r="AZ127" s="2" t="s">
        <v>296</v>
      </c>
      <c r="BA127" s="2" t="s">
        <v>132</v>
      </c>
      <c r="BB127" s="2" t="s">
        <v>133</v>
      </c>
      <c r="BC127" s="6" t="s">
        <v>297</v>
      </c>
      <c r="BD127" s="2" t="s">
        <v>599</v>
      </c>
      <c r="BE127" s="2">
        <v>0</v>
      </c>
    </row>
    <row r="128" spans="1:57" ht="29" x14ac:dyDescent="0.2">
      <c r="A128" s="7" t="s">
        <v>292</v>
      </c>
      <c r="B128" s="8" t="s">
        <v>127</v>
      </c>
      <c r="C128" s="9">
        <v>2017</v>
      </c>
      <c r="D128" s="2" t="s">
        <v>293</v>
      </c>
      <c r="E128" s="8" t="s">
        <v>112</v>
      </c>
      <c r="F128" s="2"/>
      <c r="G128" s="2" t="s">
        <v>122</v>
      </c>
      <c r="H128" s="2"/>
      <c r="I128" s="2" t="s">
        <v>305</v>
      </c>
      <c r="J128" s="10" t="s">
        <v>306</v>
      </c>
      <c r="K128" s="9">
        <v>436</v>
      </c>
      <c r="L128" s="9">
        <v>22.5</v>
      </c>
      <c r="M128" s="2"/>
      <c r="N128" s="2"/>
      <c r="O128" s="2"/>
      <c r="P128" s="2"/>
      <c r="Q128" s="11">
        <v>8</v>
      </c>
      <c r="R128" s="9">
        <v>1</v>
      </c>
      <c r="S128" s="9">
        <v>1000</v>
      </c>
      <c r="T128" s="2"/>
      <c r="U128" s="2"/>
      <c r="V128" s="9">
        <v>432</v>
      </c>
      <c r="W128" s="2" t="s">
        <v>295</v>
      </c>
      <c r="X128" s="2"/>
      <c r="Y128" s="2"/>
      <c r="Z128" s="22">
        <v>9.1999999999999993</v>
      </c>
      <c r="AA128" s="22">
        <v>0.7</v>
      </c>
      <c r="AB128" s="2"/>
      <c r="AC128" s="2"/>
      <c r="AD128" s="2"/>
      <c r="AE128" s="2"/>
      <c r="AF128" s="2"/>
      <c r="AG128" s="2"/>
      <c r="AH128" s="9">
        <v>0.7</v>
      </c>
      <c r="AI128" s="2"/>
      <c r="AJ128" s="2"/>
      <c r="AK128" s="2"/>
      <c r="AL128" s="18">
        <v>18.920000000000002</v>
      </c>
      <c r="AM128" s="18">
        <v>5.4</v>
      </c>
      <c r="AN128" s="2"/>
      <c r="AO128" s="2"/>
      <c r="AP128" s="2"/>
      <c r="AQ128" s="2"/>
      <c r="AR128" s="2"/>
      <c r="AS128" s="2"/>
      <c r="AT128" s="2"/>
      <c r="AU128" s="2"/>
      <c r="AV128" s="2" t="s">
        <v>236</v>
      </c>
      <c r="AW128" s="9">
        <v>17</v>
      </c>
      <c r="AX128" s="9">
        <v>1</v>
      </c>
      <c r="AY128" s="9">
        <v>3</v>
      </c>
      <c r="AZ128" s="2" t="s">
        <v>296</v>
      </c>
      <c r="BA128" s="2" t="s">
        <v>132</v>
      </c>
      <c r="BB128" s="2" t="s">
        <v>133</v>
      </c>
      <c r="BC128" s="6" t="s">
        <v>297</v>
      </c>
      <c r="BD128" s="2" t="s">
        <v>599</v>
      </c>
      <c r="BE128" s="2">
        <v>0</v>
      </c>
    </row>
    <row r="129" spans="1:57" ht="29" x14ac:dyDescent="0.2">
      <c r="A129" s="7" t="s">
        <v>292</v>
      </c>
      <c r="B129" s="8" t="s">
        <v>127</v>
      </c>
      <c r="C129" s="9">
        <v>2017</v>
      </c>
      <c r="D129" s="2" t="s">
        <v>293</v>
      </c>
      <c r="E129" s="8" t="s">
        <v>112</v>
      </c>
      <c r="F129" s="2"/>
      <c r="G129" s="2" t="s">
        <v>113</v>
      </c>
      <c r="H129" s="2"/>
      <c r="I129" s="2" t="s">
        <v>307</v>
      </c>
      <c r="J129" s="10" t="s">
        <v>115</v>
      </c>
      <c r="K129" s="9">
        <v>436</v>
      </c>
      <c r="L129" s="9">
        <v>22.5</v>
      </c>
      <c r="M129" s="2"/>
      <c r="N129" s="2"/>
      <c r="O129" s="2"/>
      <c r="P129" s="2"/>
      <c r="Q129" s="11">
        <v>8</v>
      </c>
      <c r="R129" s="9">
        <v>1</v>
      </c>
      <c r="S129" s="9">
        <v>1000</v>
      </c>
      <c r="T129" s="2"/>
      <c r="U129" s="2"/>
      <c r="V129" s="9">
        <v>168</v>
      </c>
      <c r="W129" s="2" t="s">
        <v>295</v>
      </c>
      <c r="X129" s="2"/>
      <c r="Y129" s="2"/>
      <c r="Z129" s="18">
        <v>11.2</v>
      </c>
      <c r="AA129" s="18">
        <v>2.6</v>
      </c>
      <c r="AB129" s="2"/>
      <c r="AC129" s="2"/>
      <c r="AD129" s="2"/>
      <c r="AE129" s="2"/>
      <c r="AF129" s="2"/>
      <c r="AG129" s="2"/>
      <c r="AH129" s="9">
        <v>0.8</v>
      </c>
      <c r="AI129" s="2"/>
      <c r="AJ129" s="2"/>
      <c r="AK129" s="2"/>
      <c r="AL129" s="18">
        <v>17.739999999999998</v>
      </c>
      <c r="AM129" s="18">
        <v>5.23</v>
      </c>
      <c r="AN129" s="2"/>
      <c r="AO129" s="2"/>
      <c r="AP129" s="2"/>
      <c r="AQ129" s="2"/>
      <c r="AR129" s="2"/>
      <c r="AS129" s="2"/>
      <c r="AT129" s="2"/>
      <c r="AU129" s="2"/>
      <c r="AV129" s="2" t="s">
        <v>236</v>
      </c>
      <c r="AW129" s="9">
        <v>25.1</v>
      </c>
      <c r="AX129" s="9">
        <v>1</v>
      </c>
      <c r="AY129" s="9">
        <v>3</v>
      </c>
      <c r="AZ129" s="2" t="s">
        <v>296</v>
      </c>
      <c r="BA129" s="2" t="s">
        <v>132</v>
      </c>
      <c r="BB129" s="2" t="s">
        <v>133</v>
      </c>
      <c r="BC129" s="6" t="s">
        <v>297</v>
      </c>
      <c r="BD129" s="2" t="s">
        <v>599</v>
      </c>
      <c r="BE129" s="2">
        <v>0</v>
      </c>
    </row>
    <row r="130" spans="1:57" ht="29" x14ac:dyDescent="0.2">
      <c r="A130" s="7" t="s">
        <v>292</v>
      </c>
      <c r="B130" s="8" t="s">
        <v>127</v>
      </c>
      <c r="C130" s="9">
        <v>2017</v>
      </c>
      <c r="D130" s="2" t="s">
        <v>293</v>
      </c>
      <c r="E130" s="8" t="s">
        <v>112</v>
      </c>
      <c r="F130" s="2"/>
      <c r="G130" s="2" t="s">
        <v>113</v>
      </c>
      <c r="H130" s="2"/>
      <c r="I130" s="2" t="s">
        <v>308</v>
      </c>
      <c r="J130" s="10" t="s">
        <v>115</v>
      </c>
      <c r="K130" s="9">
        <v>436</v>
      </c>
      <c r="L130" s="9">
        <v>22.5</v>
      </c>
      <c r="M130" s="2"/>
      <c r="N130" s="2"/>
      <c r="O130" s="2"/>
      <c r="P130" s="2"/>
      <c r="Q130" s="11">
        <v>6</v>
      </c>
      <c r="R130" s="9">
        <v>1</v>
      </c>
      <c r="S130" s="9">
        <v>1000</v>
      </c>
      <c r="T130" s="2"/>
      <c r="U130" s="2"/>
      <c r="V130" s="9">
        <v>180</v>
      </c>
      <c r="W130" s="2" t="s">
        <v>295</v>
      </c>
      <c r="X130" s="2"/>
      <c r="Y130" s="2"/>
      <c r="Z130" s="18">
        <v>8.6999999999999993</v>
      </c>
      <c r="AA130" s="18">
        <v>1.8</v>
      </c>
      <c r="AB130" s="2"/>
      <c r="AC130" s="2"/>
      <c r="AD130" s="2"/>
      <c r="AE130" s="2"/>
      <c r="AF130" s="2"/>
      <c r="AG130" s="2"/>
      <c r="AH130" s="9">
        <v>1</v>
      </c>
      <c r="AI130" s="2"/>
      <c r="AJ130" s="2"/>
      <c r="AK130" s="2"/>
      <c r="AL130" s="18">
        <v>17.27</v>
      </c>
      <c r="AM130" s="18">
        <v>3.74</v>
      </c>
      <c r="AN130" s="2"/>
      <c r="AO130" s="2"/>
      <c r="AP130" s="2"/>
      <c r="AQ130" s="2"/>
      <c r="AR130" s="2"/>
      <c r="AS130" s="2"/>
      <c r="AT130" s="2"/>
      <c r="AU130" s="2"/>
      <c r="AV130" s="2" t="s">
        <v>236</v>
      </c>
      <c r="AW130" s="9">
        <v>21.8</v>
      </c>
      <c r="AX130" s="9">
        <v>1</v>
      </c>
      <c r="AY130" s="9">
        <v>3</v>
      </c>
      <c r="AZ130" s="2" t="s">
        <v>296</v>
      </c>
      <c r="BA130" s="2" t="s">
        <v>132</v>
      </c>
      <c r="BB130" s="2" t="s">
        <v>133</v>
      </c>
      <c r="BC130" s="6" t="s">
        <v>297</v>
      </c>
      <c r="BD130" s="2" t="s">
        <v>599</v>
      </c>
      <c r="BE130" s="2">
        <v>0</v>
      </c>
    </row>
    <row r="131" spans="1:57" ht="29" x14ac:dyDescent="0.2">
      <c r="A131" s="7" t="s">
        <v>292</v>
      </c>
      <c r="B131" s="8" t="s">
        <v>127</v>
      </c>
      <c r="C131" s="9">
        <v>2017</v>
      </c>
      <c r="D131" s="2" t="s">
        <v>293</v>
      </c>
      <c r="E131" s="8" t="s">
        <v>112</v>
      </c>
      <c r="F131" s="2"/>
      <c r="G131" s="2" t="s">
        <v>113</v>
      </c>
      <c r="H131" s="2"/>
      <c r="I131" s="2" t="s">
        <v>309</v>
      </c>
      <c r="J131" s="10" t="s">
        <v>115</v>
      </c>
      <c r="K131" s="9">
        <v>436</v>
      </c>
      <c r="L131" s="9">
        <v>22.5</v>
      </c>
      <c r="M131" s="2"/>
      <c r="N131" s="2"/>
      <c r="O131" s="2"/>
      <c r="P131" s="2"/>
      <c r="Q131" s="11">
        <v>6</v>
      </c>
      <c r="R131" s="9">
        <v>1</v>
      </c>
      <c r="S131" s="9">
        <v>1000</v>
      </c>
      <c r="T131" s="2"/>
      <c r="U131" s="2"/>
      <c r="V131" s="9">
        <v>204</v>
      </c>
      <c r="W131" s="2" t="s">
        <v>295</v>
      </c>
      <c r="X131" s="2"/>
      <c r="Y131" s="2"/>
      <c r="Z131" s="18">
        <v>11.7</v>
      </c>
      <c r="AA131" s="18">
        <v>3</v>
      </c>
      <c r="AB131" s="2"/>
      <c r="AC131" s="2"/>
      <c r="AD131" s="2"/>
      <c r="AE131" s="2"/>
      <c r="AF131" s="2"/>
      <c r="AG131" s="2"/>
      <c r="AH131" s="9">
        <v>0.8</v>
      </c>
      <c r="AI131" s="2"/>
      <c r="AJ131" s="2"/>
      <c r="AK131" s="2"/>
      <c r="AL131" s="18">
        <v>18.03</v>
      </c>
      <c r="AM131" s="18">
        <v>2.42</v>
      </c>
      <c r="AN131" s="2"/>
      <c r="AO131" s="2"/>
      <c r="AP131" s="2"/>
      <c r="AQ131" s="2"/>
      <c r="AR131" s="2"/>
      <c r="AS131" s="2"/>
      <c r="AT131" s="2"/>
      <c r="AU131" s="2"/>
      <c r="AV131" s="2" t="s">
        <v>236</v>
      </c>
      <c r="AW131" s="9">
        <v>23.4</v>
      </c>
      <c r="AX131" s="9">
        <v>1</v>
      </c>
      <c r="AY131" s="9">
        <v>3</v>
      </c>
      <c r="AZ131" s="2" t="s">
        <v>296</v>
      </c>
      <c r="BA131" s="2" t="s">
        <v>132</v>
      </c>
      <c r="BB131" s="2" t="s">
        <v>133</v>
      </c>
      <c r="BC131" s="6" t="s">
        <v>297</v>
      </c>
      <c r="BD131" s="2" t="s">
        <v>599</v>
      </c>
      <c r="BE131" s="2">
        <v>0</v>
      </c>
    </row>
    <row r="132" spans="1:57" ht="29" x14ac:dyDescent="0.2">
      <c r="A132" s="7" t="s">
        <v>292</v>
      </c>
      <c r="B132" s="8" t="s">
        <v>127</v>
      </c>
      <c r="C132" s="9">
        <v>2017</v>
      </c>
      <c r="D132" s="2" t="s">
        <v>293</v>
      </c>
      <c r="E132" s="8" t="s">
        <v>112</v>
      </c>
      <c r="F132" s="2"/>
      <c r="G132" s="2" t="s">
        <v>113</v>
      </c>
      <c r="H132" s="2"/>
      <c r="I132" s="2" t="s">
        <v>310</v>
      </c>
      <c r="J132" s="10" t="s">
        <v>115</v>
      </c>
      <c r="K132" s="9">
        <v>436</v>
      </c>
      <c r="L132" s="9">
        <v>22.5</v>
      </c>
      <c r="M132" s="2"/>
      <c r="N132" s="2"/>
      <c r="O132" s="2"/>
      <c r="P132" s="2"/>
      <c r="Q132" s="11">
        <v>9</v>
      </c>
      <c r="R132" s="9">
        <v>1</v>
      </c>
      <c r="S132" s="9">
        <v>1000</v>
      </c>
      <c r="T132" s="2"/>
      <c r="U132" s="2"/>
      <c r="V132" s="9">
        <v>216</v>
      </c>
      <c r="W132" s="2" t="s">
        <v>295</v>
      </c>
      <c r="X132" s="2"/>
      <c r="Y132" s="2"/>
      <c r="Z132" s="18">
        <v>11.5</v>
      </c>
      <c r="AA132" s="18">
        <v>3.4</v>
      </c>
      <c r="AB132" s="2"/>
      <c r="AC132" s="2"/>
      <c r="AD132" s="2"/>
      <c r="AE132" s="2"/>
      <c r="AF132" s="2"/>
      <c r="AG132" s="2"/>
      <c r="AH132" s="9">
        <v>0.9</v>
      </c>
      <c r="AI132" s="2"/>
      <c r="AJ132" s="2"/>
      <c r="AK132" s="2"/>
      <c r="AL132" s="18">
        <v>20.77</v>
      </c>
      <c r="AM132" s="18">
        <v>5.12</v>
      </c>
      <c r="AN132" s="2"/>
      <c r="AO132" s="2"/>
      <c r="AP132" s="2"/>
      <c r="AQ132" s="2"/>
      <c r="AR132" s="2"/>
      <c r="AS132" s="2"/>
      <c r="AT132" s="2"/>
      <c r="AU132" s="2"/>
      <c r="AV132" s="2" t="s">
        <v>236</v>
      </c>
      <c r="AW132" s="9">
        <v>6</v>
      </c>
      <c r="AX132" s="9">
        <v>1</v>
      </c>
      <c r="AY132" s="9">
        <v>3</v>
      </c>
      <c r="AZ132" s="2" t="s">
        <v>296</v>
      </c>
      <c r="BA132" s="2" t="s">
        <v>132</v>
      </c>
      <c r="BB132" s="2" t="s">
        <v>133</v>
      </c>
      <c r="BC132" s="6" t="s">
        <v>297</v>
      </c>
      <c r="BD132" s="2" t="s">
        <v>599</v>
      </c>
      <c r="BE132" s="2">
        <v>0</v>
      </c>
    </row>
    <row r="133" spans="1:57" ht="29" x14ac:dyDescent="0.2">
      <c r="A133" s="7" t="s">
        <v>292</v>
      </c>
      <c r="B133" s="8" t="s">
        <v>127</v>
      </c>
      <c r="C133" s="9">
        <v>2017</v>
      </c>
      <c r="D133" s="2" t="s">
        <v>293</v>
      </c>
      <c r="E133" s="8" t="s">
        <v>112</v>
      </c>
      <c r="F133" s="2"/>
      <c r="G133" s="2" t="s">
        <v>113</v>
      </c>
      <c r="H133" s="2"/>
      <c r="I133" s="2" t="s">
        <v>311</v>
      </c>
      <c r="J133" s="10" t="s">
        <v>115</v>
      </c>
      <c r="K133" s="9">
        <v>436</v>
      </c>
      <c r="L133" s="9">
        <v>22.5</v>
      </c>
      <c r="M133" s="2"/>
      <c r="N133" s="2"/>
      <c r="O133" s="2"/>
      <c r="P133" s="2"/>
      <c r="Q133" s="11">
        <v>17</v>
      </c>
      <c r="R133" s="9">
        <v>1</v>
      </c>
      <c r="S133" s="9">
        <v>1000</v>
      </c>
      <c r="T133" s="2"/>
      <c r="U133" s="2"/>
      <c r="V133" s="9">
        <v>240</v>
      </c>
      <c r="W133" s="2" t="s">
        <v>295</v>
      </c>
      <c r="X133" s="2"/>
      <c r="Y133" s="2"/>
      <c r="Z133" s="18">
        <v>10.8</v>
      </c>
      <c r="AA133" s="18">
        <v>2.4</v>
      </c>
      <c r="AB133" s="2"/>
      <c r="AC133" s="2"/>
      <c r="AD133" s="2"/>
      <c r="AE133" s="2"/>
      <c r="AF133" s="2"/>
      <c r="AG133" s="2"/>
      <c r="AH133" s="9">
        <v>0.9</v>
      </c>
      <c r="AI133" s="2"/>
      <c r="AJ133" s="2"/>
      <c r="AK133" s="2"/>
      <c r="AL133" s="18">
        <v>18.25</v>
      </c>
      <c r="AM133" s="18">
        <v>4.62</v>
      </c>
      <c r="AN133" s="2"/>
      <c r="AO133" s="2"/>
      <c r="AP133" s="2"/>
      <c r="AQ133" s="2"/>
      <c r="AR133" s="2"/>
      <c r="AS133" s="2"/>
      <c r="AT133" s="2"/>
      <c r="AU133" s="2"/>
      <c r="AV133" s="2" t="s">
        <v>236</v>
      </c>
      <c r="AW133" s="9">
        <v>17.5</v>
      </c>
      <c r="AX133" s="9">
        <v>1</v>
      </c>
      <c r="AY133" s="9">
        <v>3</v>
      </c>
      <c r="AZ133" s="2" t="s">
        <v>296</v>
      </c>
      <c r="BA133" s="2" t="s">
        <v>132</v>
      </c>
      <c r="BB133" s="2" t="s">
        <v>133</v>
      </c>
      <c r="BC133" s="6" t="s">
        <v>297</v>
      </c>
      <c r="BD133" s="2" t="s">
        <v>599</v>
      </c>
      <c r="BE133" s="2">
        <v>0</v>
      </c>
    </row>
    <row r="134" spans="1:57" ht="29" x14ac:dyDescent="0.2">
      <c r="A134" s="7" t="s">
        <v>292</v>
      </c>
      <c r="B134" s="8" t="s">
        <v>127</v>
      </c>
      <c r="C134" s="9">
        <v>2017</v>
      </c>
      <c r="D134" s="2" t="s">
        <v>293</v>
      </c>
      <c r="E134" s="8" t="s">
        <v>112</v>
      </c>
      <c r="F134" s="2"/>
      <c r="G134" s="2" t="s">
        <v>113</v>
      </c>
      <c r="H134" s="2"/>
      <c r="I134" s="2" t="s">
        <v>312</v>
      </c>
      <c r="J134" s="10" t="s">
        <v>115</v>
      </c>
      <c r="K134" s="9">
        <v>436</v>
      </c>
      <c r="L134" s="9">
        <v>22.5</v>
      </c>
      <c r="M134" s="2"/>
      <c r="N134" s="2"/>
      <c r="O134" s="2"/>
      <c r="P134" s="2"/>
      <c r="Q134" s="11">
        <v>16</v>
      </c>
      <c r="R134" s="9">
        <v>1</v>
      </c>
      <c r="S134" s="9">
        <v>1000</v>
      </c>
      <c r="T134" s="2"/>
      <c r="U134" s="2"/>
      <c r="V134" s="9">
        <v>384</v>
      </c>
      <c r="W134" s="2" t="s">
        <v>295</v>
      </c>
      <c r="X134" s="2"/>
      <c r="Y134" s="2"/>
      <c r="Z134" s="18">
        <v>13.5</v>
      </c>
      <c r="AA134" s="18">
        <v>8.4</v>
      </c>
      <c r="AB134" s="2"/>
      <c r="AC134" s="2"/>
      <c r="AD134" s="2"/>
      <c r="AE134" s="2"/>
      <c r="AF134" s="2"/>
      <c r="AG134" s="2"/>
      <c r="AH134" s="9">
        <v>1</v>
      </c>
      <c r="AI134" s="2"/>
      <c r="AJ134" s="2"/>
      <c r="AK134" s="2"/>
      <c r="AL134" s="18">
        <v>27.79</v>
      </c>
      <c r="AM134" s="18">
        <v>17.489999999999998</v>
      </c>
      <c r="AN134" s="2"/>
      <c r="AO134" s="2"/>
      <c r="AP134" s="2"/>
      <c r="AQ134" s="2"/>
      <c r="AR134" s="2"/>
      <c r="AS134" s="2"/>
      <c r="AT134" s="2"/>
      <c r="AU134" s="2"/>
      <c r="AV134" s="2" t="s">
        <v>236</v>
      </c>
      <c r="AW134" s="9">
        <v>10.3</v>
      </c>
      <c r="AX134" s="9">
        <v>1</v>
      </c>
      <c r="AY134" s="9">
        <v>3</v>
      </c>
      <c r="AZ134" s="2" t="s">
        <v>296</v>
      </c>
      <c r="BA134" s="2" t="s">
        <v>132</v>
      </c>
      <c r="BB134" s="2" t="s">
        <v>133</v>
      </c>
      <c r="BC134" s="6" t="s">
        <v>297</v>
      </c>
      <c r="BD134" s="2" t="s">
        <v>599</v>
      </c>
      <c r="BE134" s="2">
        <v>0</v>
      </c>
    </row>
    <row r="135" spans="1:57" ht="29" x14ac:dyDescent="0.2">
      <c r="A135" s="7" t="s">
        <v>292</v>
      </c>
      <c r="B135" s="8" t="s">
        <v>127</v>
      </c>
      <c r="C135" s="9">
        <v>2017</v>
      </c>
      <c r="D135" s="2" t="s">
        <v>293</v>
      </c>
      <c r="E135" s="8" t="s">
        <v>112</v>
      </c>
      <c r="F135" s="2"/>
      <c r="G135" s="2" t="s">
        <v>113</v>
      </c>
      <c r="H135" s="2"/>
      <c r="I135" s="2" t="s">
        <v>313</v>
      </c>
      <c r="J135" s="10" t="s">
        <v>115</v>
      </c>
      <c r="K135" s="9">
        <v>436</v>
      </c>
      <c r="L135" s="9">
        <v>22.5</v>
      </c>
      <c r="M135" s="2"/>
      <c r="N135" s="2"/>
      <c r="O135" s="2"/>
      <c r="P135" s="2"/>
      <c r="Q135" s="11">
        <v>16</v>
      </c>
      <c r="R135" s="9">
        <v>1</v>
      </c>
      <c r="S135" s="9">
        <v>1000</v>
      </c>
      <c r="T135" s="2"/>
      <c r="U135" s="2"/>
      <c r="V135" s="9">
        <v>396</v>
      </c>
      <c r="W135" s="2" t="s">
        <v>295</v>
      </c>
      <c r="X135" s="2"/>
      <c r="Y135" s="2"/>
      <c r="Z135" s="18">
        <v>8.9</v>
      </c>
      <c r="AA135" s="18">
        <v>3.2</v>
      </c>
      <c r="AB135" s="2"/>
      <c r="AC135" s="2"/>
      <c r="AD135" s="2"/>
      <c r="AE135" s="2"/>
      <c r="AF135" s="2"/>
      <c r="AG135" s="2"/>
      <c r="AH135" s="9">
        <v>1</v>
      </c>
      <c r="AI135" s="2"/>
      <c r="AJ135" s="2"/>
      <c r="AK135" s="2"/>
      <c r="AL135" s="18">
        <v>18.63</v>
      </c>
      <c r="AM135" s="18">
        <v>8.8699999999999992</v>
      </c>
      <c r="AN135" s="2"/>
      <c r="AO135" s="2"/>
      <c r="AP135" s="2"/>
      <c r="AQ135" s="2"/>
      <c r="AR135" s="2"/>
      <c r="AS135" s="2"/>
      <c r="AT135" s="2"/>
      <c r="AU135" s="2"/>
      <c r="AV135" s="2" t="s">
        <v>236</v>
      </c>
      <c r="AW135" s="9">
        <v>26.1</v>
      </c>
      <c r="AX135" s="9">
        <v>1</v>
      </c>
      <c r="AY135" s="9">
        <v>3</v>
      </c>
      <c r="AZ135" s="2" t="s">
        <v>296</v>
      </c>
      <c r="BA135" s="2" t="s">
        <v>132</v>
      </c>
      <c r="BB135" s="2" t="s">
        <v>133</v>
      </c>
      <c r="BC135" s="6" t="s">
        <v>297</v>
      </c>
      <c r="BD135" s="2" t="s">
        <v>599</v>
      </c>
      <c r="BE135" s="2">
        <v>0</v>
      </c>
    </row>
    <row r="136" spans="1:57" ht="29" x14ac:dyDescent="0.2">
      <c r="A136" s="7" t="s">
        <v>292</v>
      </c>
      <c r="B136" s="8" t="s">
        <v>127</v>
      </c>
      <c r="C136" s="9">
        <v>2017</v>
      </c>
      <c r="D136" s="2" t="s">
        <v>293</v>
      </c>
      <c r="E136" s="8" t="s">
        <v>112</v>
      </c>
      <c r="F136" s="2"/>
      <c r="G136" s="2" t="s">
        <v>113</v>
      </c>
      <c r="H136" s="2"/>
      <c r="I136" s="2" t="s">
        <v>314</v>
      </c>
      <c r="J136" s="10" t="s">
        <v>115</v>
      </c>
      <c r="K136" s="9">
        <v>436</v>
      </c>
      <c r="L136" s="9">
        <v>22.5</v>
      </c>
      <c r="M136" s="2"/>
      <c r="N136" s="2"/>
      <c r="O136" s="2"/>
      <c r="P136" s="2"/>
      <c r="Q136" s="11">
        <v>8</v>
      </c>
      <c r="R136" s="9">
        <v>1</v>
      </c>
      <c r="S136" s="9">
        <v>1000</v>
      </c>
      <c r="T136" s="2"/>
      <c r="U136" s="2"/>
      <c r="V136" s="9">
        <v>408</v>
      </c>
      <c r="W136" s="2" t="s">
        <v>295</v>
      </c>
      <c r="X136" s="2"/>
      <c r="Y136" s="2"/>
      <c r="Z136" s="18">
        <v>11</v>
      </c>
      <c r="AA136" s="18">
        <v>4.7</v>
      </c>
      <c r="AB136" s="2"/>
      <c r="AC136" s="2"/>
      <c r="AD136" s="2"/>
      <c r="AE136" s="2"/>
      <c r="AF136" s="2"/>
      <c r="AG136" s="2"/>
      <c r="AH136" s="9">
        <v>1</v>
      </c>
      <c r="AI136" s="2"/>
      <c r="AJ136" s="2"/>
      <c r="AK136" s="2"/>
      <c r="AL136" s="18">
        <v>21.24</v>
      </c>
      <c r="AM136" s="18">
        <v>9.42</v>
      </c>
      <c r="AN136" s="2"/>
      <c r="AO136" s="2"/>
      <c r="AP136" s="2"/>
      <c r="AQ136" s="2"/>
      <c r="AR136" s="2"/>
      <c r="AS136" s="2"/>
      <c r="AT136" s="2"/>
      <c r="AU136" s="2"/>
      <c r="AV136" s="2" t="s">
        <v>236</v>
      </c>
      <c r="AW136" s="9">
        <v>18.600000000000001</v>
      </c>
      <c r="AX136" s="9">
        <v>1</v>
      </c>
      <c r="AY136" s="9">
        <v>3</v>
      </c>
      <c r="AZ136" s="2" t="s">
        <v>296</v>
      </c>
      <c r="BA136" s="2" t="s">
        <v>132</v>
      </c>
      <c r="BB136" s="2" t="s">
        <v>133</v>
      </c>
      <c r="BC136" s="6" t="s">
        <v>297</v>
      </c>
      <c r="BD136" s="2" t="s">
        <v>599</v>
      </c>
      <c r="BE136" s="2">
        <v>0</v>
      </c>
    </row>
    <row r="137" spans="1:57" ht="29" x14ac:dyDescent="0.2">
      <c r="A137" s="7" t="s">
        <v>292</v>
      </c>
      <c r="B137" s="8" t="s">
        <v>127</v>
      </c>
      <c r="C137" s="9">
        <v>2017</v>
      </c>
      <c r="D137" s="2" t="s">
        <v>293</v>
      </c>
      <c r="E137" s="8" t="s">
        <v>112</v>
      </c>
      <c r="F137" s="2"/>
      <c r="G137" s="2" t="s">
        <v>113</v>
      </c>
      <c r="H137" s="2"/>
      <c r="I137" s="2" t="s">
        <v>315</v>
      </c>
      <c r="J137" s="10" t="s">
        <v>115</v>
      </c>
      <c r="K137" s="9">
        <v>436</v>
      </c>
      <c r="L137" s="9">
        <v>22.5</v>
      </c>
      <c r="M137" s="2"/>
      <c r="N137" s="2"/>
      <c r="O137" s="2"/>
      <c r="P137" s="2"/>
      <c r="Q137" s="11">
        <v>8</v>
      </c>
      <c r="R137" s="9">
        <v>1</v>
      </c>
      <c r="S137" s="9">
        <v>1000</v>
      </c>
      <c r="T137" s="2"/>
      <c r="U137" s="2"/>
      <c r="V137" s="9">
        <v>432</v>
      </c>
      <c r="W137" s="2" t="s">
        <v>295</v>
      </c>
      <c r="X137" s="2"/>
      <c r="Y137" s="2"/>
      <c r="Z137" s="19">
        <v>11.8</v>
      </c>
      <c r="AA137" s="19">
        <v>7.4</v>
      </c>
      <c r="AB137" s="2"/>
      <c r="AC137" s="2"/>
      <c r="AD137" s="2"/>
      <c r="AE137" s="2"/>
      <c r="AF137" s="2"/>
      <c r="AG137" s="2"/>
      <c r="AH137" s="9">
        <v>0.9</v>
      </c>
      <c r="AI137" s="2"/>
      <c r="AJ137" s="2"/>
      <c r="AK137" s="2"/>
      <c r="AL137" s="18">
        <v>21.14</v>
      </c>
      <c r="AM137" s="18">
        <v>13.24</v>
      </c>
      <c r="AN137" s="2"/>
      <c r="AO137" s="2"/>
      <c r="AP137" s="2"/>
      <c r="AQ137" s="2"/>
      <c r="AR137" s="2"/>
      <c r="AS137" s="2"/>
      <c r="AT137" s="2"/>
      <c r="AU137" s="2"/>
      <c r="AV137" s="2" t="s">
        <v>236</v>
      </c>
      <c r="AW137" s="9">
        <v>20.8</v>
      </c>
      <c r="AX137" s="9">
        <v>1</v>
      </c>
      <c r="AY137" s="9">
        <v>3</v>
      </c>
      <c r="AZ137" s="2" t="s">
        <v>296</v>
      </c>
      <c r="BA137" s="2" t="s">
        <v>132</v>
      </c>
      <c r="BB137" s="2" t="s">
        <v>133</v>
      </c>
      <c r="BC137" s="6" t="s">
        <v>297</v>
      </c>
      <c r="BD137" s="2" t="s">
        <v>599</v>
      </c>
      <c r="BE137" s="2">
        <v>0</v>
      </c>
    </row>
    <row r="138" spans="1:57" ht="29" x14ac:dyDescent="0.2">
      <c r="A138" s="7" t="s">
        <v>292</v>
      </c>
      <c r="B138" s="8" t="s">
        <v>127</v>
      </c>
      <c r="C138" s="9">
        <v>2017</v>
      </c>
      <c r="D138" s="2" t="s">
        <v>293</v>
      </c>
      <c r="E138" s="8" t="s">
        <v>112</v>
      </c>
      <c r="F138" s="2"/>
      <c r="G138" s="2" t="s">
        <v>113</v>
      </c>
      <c r="H138" s="2"/>
      <c r="I138" s="2" t="s">
        <v>307</v>
      </c>
      <c r="J138" s="10" t="s">
        <v>306</v>
      </c>
      <c r="K138" s="9">
        <v>436</v>
      </c>
      <c r="L138" s="9">
        <v>22.5</v>
      </c>
      <c r="M138" s="2"/>
      <c r="N138" s="2"/>
      <c r="O138" s="2"/>
      <c r="P138" s="2"/>
      <c r="Q138" s="11">
        <v>8</v>
      </c>
      <c r="R138" s="9">
        <v>1</v>
      </c>
      <c r="S138" s="9">
        <v>1000</v>
      </c>
      <c r="T138" s="2"/>
      <c r="U138" s="2"/>
      <c r="V138" s="9">
        <v>168</v>
      </c>
      <c r="W138" s="2" t="s">
        <v>295</v>
      </c>
      <c r="X138" s="2"/>
      <c r="Y138" s="2"/>
      <c r="Z138" s="18">
        <v>11.6</v>
      </c>
      <c r="AA138" s="18">
        <v>6</v>
      </c>
      <c r="AB138" s="2"/>
      <c r="AC138" s="2"/>
      <c r="AD138" s="2"/>
      <c r="AE138" s="2"/>
      <c r="AF138" s="2"/>
      <c r="AG138" s="2"/>
      <c r="AH138" s="9">
        <v>0.8</v>
      </c>
      <c r="AI138" s="2"/>
      <c r="AJ138" s="2"/>
      <c r="AK138" s="2"/>
      <c r="AL138" s="18">
        <v>27.5</v>
      </c>
      <c r="AM138" s="18">
        <v>14.28</v>
      </c>
      <c r="AN138" s="2"/>
      <c r="AO138" s="2"/>
      <c r="AP138" s="2"/>
      <c r="AQ138" s="2"/>
      <c r="AR138" s="2"/>
      <c r="AS138" s="2"/>
      <c r="AT138" s="2"/>
      <c r="AU138" s="2"/>
      <c r="AV138" s="2" t="s">
        <v>236</v>
      </c>
      <c r="AW138" s="9">
        <v>26.3</v>
      </c>
      <c r="AX138" s="9">
        <v>1</v>
      </c>
      <c r="AY138" s="9">
        <v>3</v>
      </c>
      <c r="AZ138" s="2" t="s">
        <v>296</v>
      </c>
      <c r="BA138" s="2" t="s">
        <v>132</v>
      </c>
      <c r="BB138" s="2" t="s">
        <v>133</v>
      </c>
      <c r="BC138" s="6" t="s">
        <v>297</v>
      </c>
      <c r="BD138" s="2" t="s">
        <v>599</v>
      </c>
      <c r="BE138" s="2">
        <v>0</v>
      </c>
    </row>
    <row r="139" spans="1:57" ht="29" x14ac:dyDescent="0.2">
      <c r="A139" s="7" t="s">
        <v>292</v>
      </c>
      <c r="B139" s="8" t="s">
        <v>127</v>
      </c>
      <c r="C139" s="9">
        <v>2017</v>
      </c>
      <c r="D139" s="2" t="s">
        <v>293</v>
      </c>
      <c r="E139" s="8" t="s">
        <v>112</v>
      </c>
      <c r="F139" s="2"/>
      <c r="G139" s="2" t="s">
        <v>113</v>
      </c>
      <c r="H139" s="2"/>
      <c r="I139" s="2" t="s">
        <v>308</v>
      </c>
      <c r="J139" s="10" t="s">
        <v>306</v>
      </c>
      <c r="K139" s="9">
        <v>436</v>
      </c>
      <c r="L139" s="9">
        <v>22.5</v>
      </c>
      <c r="M139" s="2"/>
      <c r="N139" s="2"/>
      <c r="O139" s="2"/>
      <c r="P139" s="2"/>
      <c r="Q139" s="11">
        <v>6</v>
      </c>
      <c r="R139" s="9">
        <v>1</v>
      </c>
      <c r="S139" s="9">
        <v>1000</v>
      </c>
      <c r="T139" s="2"/>
      <c r="U139" s="2"/>
      <c r="V139" s="9">
        <v>180</v>
      </c>
      <c r="W139" s="2" t="s">
        <v>295</v>
      </c>
      <c r="X139" s="2"/>
      <c r="Y139" s="2"/>
      <c r="Z139" s="18">
        <v>9.1</v>
      </c>
      <c r="AA139" s="18">
        <v>1.7</v>
      </c>
      <c r="AB139" s="2"/>
      <c r="AC139" s="2"/>
      <c r="AD139" s="2"/>
      <c r="AE139" s="2"/>
      <c r="AF139" s="2"/>
      <c r="AG139" s="2"/>
      <c r="AH139" s="9">
        <v>1</v>
      </c>
      <c r="AI139" s="2"/>
      <c r="AJ139" s="2"/>
      <c r="AK139" s="2"/>
      <c r="AL139" s="18">
        <v>25.56</v>
      </c>
      <c r="AM139" s="18">
        <v>5.29</v>
      </c>
      <c r="AN139" s="2"/>
      <c r="AO139" s="2"/>
      <c r="AP139" s="2"/>
      <c r="AQ139" s="2"/>
      <c r="AR139" s="2"/>
      <c r="AS139" s="2"/>
      <c r="AT139" s="2"/>
      <c r="AU139" s="2"/>
      <c r="AV139" s="2" t="s">
        <v>236</v>
      </c>
      <c r="AW139" s="9">
        <v>22.1</v>
      </c>
      <c r="AX139" s="9">
        <v>1</v>
      </c>
      <c r="AY139" s="9">
        <v>3</v>
      </c>
      <c r="AZ139" s="2" t="s">
        <v>296</v>
      </c>
      <c r="BA139" s="2" t="s">
        <v>132</v>
      </c>
      <c r="BB139" s="2" t="s">
        <v>133</v>
      </c>
      <c r="BC139" s="6" t="s">
        <v>297</v>
      </c>
      <c r="BD139" s="2" t="s">
        <v>599</v>
      </c>
      <c r="BE139" s="2">
        <v>0</v>
      </c>
    </row>
    <row r="140" spans="1:57" ht="29" x14ac:dyDescent="0.2">
      <c r="A140" s="7" t="s">
        <v>292</v>
      </c>
      <c r="B140" s="8" t="s">
        <v>127</v>
      </c>
      <c r="C140" s="9">
        <v>2017</v>
      </c>
      <c r="D140" s="2" t="s">
        <v>293</v>
      </c>
      <c r="E140" s="8" t="s">
        <v>112</v>
      </c>
      <c r="F140" s="2"/>
      <c r="G140" s="2" t="s">
        <v>113</v>
      </c>
      <c r="H140" s="2"/>
      <c r="I140" s="2" t="s">
        <v>309</v>
      </c>
      <c r="J140" s="10" t="s">
        <v>306</v>
      </c>
      <c r="K140" s="9">
        <v>436</v>
      </c>
      <c r="L140" s="9">
        <v>22.5</v>
      </c>
      <c r="M140" s="2"/>
      <c r="N140" s="2"/>
      <c r="O140" s="2"/>
      <c r="P140" s="2"/>
      <c r="Q140" s="11">
        <v>6</v>
      </c>
      <c r="R140" s="9">
        <v>1</v>
      </c>
      <c r="S140" s="9">
        <v>1000</v>
      </c>
      <c r="T140" s="2"/>
      <c r="U140" s="2"/>
      <c r="V140" s="9">
        <v>204</v>
      </c>
      <c r="W140" s="2" t="s">
        <v>295</v>
      </c>
      <c r="X140" s="2"/>
      <c r="Y140" s="2"/>
      <c r="Z140" s="18">
        <v>10.3</v>
      </c>
      <c r="AA140" s="18">
        <v>2.1</v>
      </c>
      <c r="AB140" s="2"/>
      <c r="AC140" s="2"/>
      <c r="AD140" s="2"/>
      <c r="AE140" s="2"/>
      <c r="AF140" s="2"/>
      <c r="AG140" s="2"/>
      <c r="AH140" s="9">
        <v>0.9</v>
      </c>
      <c r="AI140" s="2"/>
      <c r="AJ140" s="2"/>
      <c r="AK140" s="2"/>
      <c r="AL140" s="18">
        <v>26.59</v>
      </c>
      <c r="AM140" s="18">
        <v>9.17</v>
      </c>
      <c r="AN140" s="2"/>
      <c r="AO140" s="2"/>
      <c r="AP140" s="2"/>
      <c r="AQ140" s="2"/>
      <c r="AR140" s="2"/>
      <c r="AS140" s="2"/>
      <c r="AT140" s="2"/>
      <c r="AU140" s="2"/>
      <c r="AV140" s="2" t="s">
        <v>236</v>
      </c>
      <c r="AW140" s="9">
        <v>22.4</v>
      </c>
      <c r="AX140" s="9">
        <v>1</v>
      </c>
      <c r="AY140" s="9">
        <v>3</v>
      </c>
      <c r="AZ140" s="2" t="s">
        <v>296</v>
      </c>
      <c r="BA140" s="2" t="s">
        <v>132</v>
      </c>
      <c r="BB140" s="2" t="s">
        <v>133</v>
      </c>
      <c r="BC140" s="6" t="s">
        <v>297</v>
      </c>
      <c r="BD140" s="2" t="s">
        <v>599</v>
      </c>
      <c r="BE140" s="2">
        <v>0</v>
      </c>
    </row>
    <row r="141" spans="1:57" ht="29" x14ac:dyDescent="0.2">
      <c r="A141" s="7" t="s">
        <v>292</v>
      </c>
      <c r="B141" s="8" t="s">
        <v>127</v>
      </c>
      <c r="C141" s="9">
        <v>2017</v>
      </c>
      <c r="D141" s="2" t="s">
        <v>293</v>
      </c>
      <c r="E141" s="8" t="s">
        <v>112</v>
      </c>
      <c r="F141" s="2"/>
      <c r="G141" s="2" t="s">
        <v>113</v>
      </c>
      <c r="H141" s="2"/>
      <c r="I141" s="2" t="s">
        <v>310</v>
      </c>
      <c r="J141" s="10" t="s">
        <v>306</v>
      </c>
      <c r="K141" s="9">
        <v>436</v>
      </c>
      <c r="L141" s="9">
        <v>22.5</v>
      </c>
      <c r="M141" s="2"/>
      <c r="N141" s="2"/>
      <c r="O141" s="2"/>
      <c r="P141" s="2"/>
      <c r="Q141" s="11">
        <v>9</v>
      </c>
      <c r="R141" s="9">
        <v>1</v>
      </c>
      <c r="S141" s="9">
        <v>1000</v>
      </c>
      <c r="T141" s="2"/>
      <c r="U141" s="2"/>
      <c r="V141" s="9">
        <v>216</v>
      </c>
      <c r="W141" s="2" t="s">
        <v>295</v>
      </c>
      <c r="X141" s="2"/>
      <c r="Y141" s="2"/>
      <c r="Z141" s="18">
        <v>9.9</v>
      </c>
      <c r="AA141" s="18">
        <v>2.9</v>
      </c>
      <c r="AB141" s="2"/>
      <c r="AC141" s="2"/>
      <c r="AD141" s="2"/>
      <c r="AE141" s="2"/>
      <c r="AF141" s="2"/>
      <c r="AG141" s="2"/>
      <c r="AH141" s="9">
        <v>0.5</v>
      </c>
      <c r="AI141" s="2"/>
      <c r="AJ141" s="2"/>
      <c r="AK141" s="2"/>
      <c r="AL141" s="18">
        <v>16.25</v>
      </c>
      <c r="AM141" s="18">
        <v>6.08</v>
      </c>
      <c r="AN141" s="2"/>
      <c r="AO141" s="2"/>
      <c r="AP141" s="2"/>
      <c r="AQ141" s="2"/>
      <c r="AR141" s="2"/>
      <c r="AS141" s="2"/>
      <c r="AT141" s="2"/>
      <c r="AU141" s="2"/>
      <c r="AV141" s="2" t="s">
        <v>236</v>
      </c>
      <c r="AW141" s="9">
        <v>11.3</v>
      </c>
      <c r="AX141" s="9">
        <v>1</v>
      </c>
      <c r="AY141" s="9">
        <v>3</v>
      </c>
      <c r="AZ141" s="2" t="s">
        <v>296</v>
      </c>
      <c r="BA141" s="2" t="s">
        <v>132</v>
      </c>
      <c r="BB141" s="2" t="s">
        <v>133</v>
      </c>
      <c r="BC141" s="6" t="s">
        <v>297</v>
      </c>
      <c r="BD141" s="2" t="s">
        <v>599</v>
      </c>
      <c r="BE141" s="2">
        <v>0</v>
      </c>
    </row>
    <row r="142" spans="1:57" ht="29" x14ac:dyDescent="0.2">
      <c r="A142" s="7" t="s">
        <v>292</v>
      </c>
      <c r="B142" s="8" t="s">
        <v>127</v>
      </c>
      <c r="C142" s="9">
        <v>2017</v>
      </c>
      <c r="D142" s="2" t="s">
        <v>293</v>
      </c>
      <c r="E142" s="8" t="s">
        <v>112</v>
      </c>
      <c r="F142" s="2"/>
      <c r="G142" s="2" t="s">
        <v>113</v>
      </c>
      <c r="H142" s="2"/>
      <c r="I142" s="2" t="s">
        <v>311</v>
      </c>
      <c r="J142" s="10" t="s">
        <v>306</v>
      </c>
      <c r="K142" s="9">
        <v>436</v>
      </c>
      <c r="L142" s="9">
        <v>22.5</v>
      </c>
      <c r="M142" s="2"/>
      <c r="N142" s="2"/>
      <c r="O142" s="2"/>
      <c r="P142" s="2"/>
      <c r="Q142" s="11">
        <v>17</v>
      </c>
      <c r="R142" s="9">
        <v>1</v>
      </c>
      <c r="S142" s="9">
        <v>1000</v>
      </c>
      <c r="T142" s="2"/>
      <c r="U142" s="2"/>
      <c r="V142" s="9">
        <v>240</v>
      </c>
      <c r="W142" s="2" t="s">
        <v>295</v>
      </c>
      <c r="X142" s="2"/>
      <c r="Y142" s="2"/>
      <c r="Z142" s="18">
        <v>9</v>
      </c>
      <c r="AA142" s="18">
        <v>2.2000000000000002</v>
      </c>
      <c r="AB142" s="2"/>
      <c r="AC142" s="2"/>
      <c r="AD142" s="2"/>
      <c r="AE142" s="2"/>
      <c r="AF142" s="2"/>
      <c r="AG142" s="2"/>
      <c r="AH142" s="9">
        <v>0.7</v>
      </c>
      <c r="AI142" s="2"/>
      <c r="AJ142" s="2"/>
      <c r="AK142" s="2"/>
      <c r="AL142" s="18">
        <v>18.22</v>
      </c>
      <c r="AM142" s="18">
        <v>7.59</v>
      </c>
      <c r="AN142" s="2"/>
      <c r="AO142" s="2"/>
      <c r="AP142" s="2"/>
      <c r="AQ142" s="2"/>
      <c r="AR142" s="2"/>
      <c r="AS142" s="2"/>
      <c r="AT142" s="2"/>
      <c r="AU142" s="2"/>
      <c r="AV142" s="2" t="s">
        <v>236</v>
      </c>
      <c r="AW142" s="9">
        <v>18.7</v>
      </c>
      <c r="AX142" s="9">
        <v>1</v>
      </c>
      <c r="AY142" s="9">
        <v>3</v>
      </c>
      <c r="AZ142" s="2" t="s">
        <v>296</v>
      </c>
      <c r="BA142" s="2" t="s">
        <v>132</v>
      </c>
      <c r="BB142" s="2" t="s">
        <v>133</v>
      </c>
      <c r="BC142" s="6" t="s">
        <v>297</v>
      </c>
      <c r="BD142" s="2" t="s">
        <v>599</v>
      </c>
      <c r="BE142" s="2">
        <v>0</v>
      </c>
    </row>
    <row r="143" spans="1:57" ht="29" x14ac:dyDescent="0.2">
      <c r="A143" s="7" t="s">
        <v>292</v>
      </c>
      <c r="B143" s="8" t="s">
        <v>127</v>
      </c>
      <c r="C143" s="9">
        <v>2017</v>
      </c>
      <c r="D143" s="2" t="s">
        <v>293</v>
      </c>
      <c r="E143" s="8" t="s">
        <v>112</v>
      </c>
      <c r="F143" s="2"/>
      <c r="G143" s="2" t="s">
        <v>113</v>
      </c>
      <c r="H143" s="2"/>
      <c r="I143" s="2" t="s">
        <v>312</v>
      </c>
      <c r="J143" s="10" t="s">
        <v>306</v>
      </c>
      <c r="K143" s="9">
        <v>436</v>
      </c>
      <c r="L143" s="9">
        <v>22.5</v>
      </c>
      <c r="M143" s="2"/>
      <c r="N143" s="2"/>
      <c r="O143" s="2"/>
      <c r="P143" s="2"/>
      <c r="Q143" s="11">
        <v>16</v>
      </c>
      <c r="R143" s="9">
        <v>1</v>
      </c>
      <c r="S143" s="9">
        <v>1000</v>
      </c>
      <c r="T143" s="2"/>
      <c r="U143" s="2"/>
      <c r="V143" s="9">
        <v>384</v>
      </c>
      <c r="W143" s="2" t="s">
        <v>295</v>
      </c>
      <c r="X143" s="2"/>
      <c r="Y143" s="2"/>
      <c r="Z143" s="18">
        <v>11.7</v>
      </c>
      <c r="AA143" s="18">
        <v>6.6</v>
      </c>
      <c r="AB143" s="2"/>
      <c r="AC143" s="2"/>
      <c r="AD143" s="2"/>
      <c r="AE143" s="2"/>
      <c r="AF143" s="2"/>
      <c r="AG143" s="2"/>
      <c r="AH143" s="9">
        <v>0.8</v>
      </c>
      <c r="AI143" s="2"/>
      <c r="AJ143" s="2"/>
      <c r="AK143" s="2"/>
      <c r="AL143" s="18">
        <v>29</v>
      </c>
      <c r="AM143" s="18">
        <v>14.41</v>
      </c>
      <c r="AN143" s="2"/>
      <c r="AO143" s="2"/>
      <c r="AP143" s="2"/>
      <c r="AQ143" s="2"/>
      <c r="AR143" s="2"/>
      <c r="AS143" s="2"/>
      <c r="AT143" s="2"/>
      <c r="AU143" s="2"/>
      <c r="AV143" s="2" t="s">
        <v>236</v>
      </c>
      <c r="AW143" s="9">
        <v>9.9</v>
      </c>
      <c r="AX143" s="9">
        <v>1</v>
      </c>
      <c r="AY143" s="9">
        <v>3</v>
      </c>
      <c r="AZ143" s="2" t="s">
        <v>296</v>
      </c>
      <c r="BA143" s="2" t="s">
        <v>132</v>
      </c>
      <c r="BB143" s="2" t="s">
        <v>133</v>
      </c>
      <c r="BC143" s="6" t="s">
        <v>297</v>
      </c>
      <c r="BD143" s="2" t="s">
        <v>599</v>
      </c>
      <c r="BE143" s="2">
        <v>0</v>
      </c>
    </row>
    <row r="144" spans="1:57" ht="29" x14ac:dyDescent="0.2">
      <c r="A144" s="7" t="s">
        <v>292</v>
      </c>
      <c r="B144" s="8" t="s">
        <v>127</v>
      </c>
      <c r="C144" s="9">
        <v>2017</v>
      </c>
      <c r="D144" s="2" t="s">
        <v>293</v>
      </c>
      <c r="E144" s="8" t="s">
        <v>112</v>
      </c>
      <c r="F144" s="2"/>
      <c r="G144" s="2" t="s">
        <v>113</v>
      </c>
      <c r="H144" s="2"/>
      <c r="I144" s="2" t="s">
        <v>313</v>
      </c>
      <c r="J144" s="10" t="s">
        <v>306</v>
      </c>
      <c r="K144" s="9">
        <v>436</v>
      </c>
      <c r="L144" s="9">
        <v>22.5</v>
      </c>
      <c r="M144" s="2"/>
      <c r="N144" s="2"/>
      <c r="O144" s="2"/>
      <c r="P144" s="2"/>
      <c r="Q144" s="11">
        <v>16</v>
      </c>
      <c r="R144" s="9">
        <v>1</v>
      </c>
      <c r="S144" s="9">
        <v>1000</v>
      </c>
      <c r="T144" s="2"/>
      <c r="U144" s="2"/>
      <c r="V144" s="9">
        <v>396</v>
      </c>
      <c r="W144" s="2" t="s">
        <v>295</v>
      </c>
      <c r="X144" s="2"/>
      <c r="Y144" s="2"/>
      <c r="Z144" s="18">
        <v>8.4</v>
      </c>
      <c r="AA144" s="18">
        <v>2.4</v>
      </c>
      <c r="AB144" s="2"/>
      <c r="AC144" s="2"/>
      <c r="AD144" s="2"/>
      <c r="AE144" s="2"/>
      <c r="AF144" s="2"/>
      <c r="AG144" s="2"/>
      <c r="AH144" s="9">
        <v>1</v>
      </c>
      <c r="AI144" s="2"/>
      <c r="AJ144" s="2"/>
      <c r="AK144" s="2"/>
      <c r="AL144" s="18">
        <v>25.93</v>
      </c>
      <c r="AM144" s="18">
        <v>7.46</v>
      </c>
      <c r="AN144" s="2"/>
      <c r="AO144" s="2"/>
      <c r="AP144" s="2"/>
      <c r="AQ144" s="2"/>
      <c r="AR144" s="2"/>
      <c r="AS144" s="2"/>
      <c r="AT144" s="2"/>
      <c r="AU144" s="2"/>
      <c r="AV144" s="2" t="s">
        <v>236</v>
      </c>
      <c r="AW144" s="9">
        <v>26.4</v>
      </c>
      <c r="AX144" s="9">
        <v>1</v>
      </c>
      <c r="AY144" s="9">
        <v>3</v>
      </c>
      <c r="AZ144" s="2" t="s">
        <v>296</v>
      </c>
      <c r="BA144" s="2" t="s">
        <v>132</v>
      </c>
      <c r="BB144" s="2" t="s">
        <v>133</v>
      </c>
      <c r="BC144" s="6" t="s">
        <v>297</v>
      </c>
      <c r="BD144" s="2" t="s">
        <v>599</v>
      </c>
      <c r="BE144" s="2">
        <v>0</v>
      </c>
    </row>
    <row r="145" spans="1:57" ht="29" x14ac:dyDescent="0.2">
      <c r="A145" s="7" t="s">
        <v>292</v>
      </c>
      <c r="B145" s="8" t="s">
        <v>127</v>
      </c>
      <c r="C145" s="9">
        <v>2017</v>
      </c>
      <c r="D145" s="2" t="s">
        <v>293</v>
      </c>
      <c r="E145" s="8" t="s">
        <v>112</v>
      </c>
      <c r="F145" s="2"/>
      <c r="G145" s="2" t="s">
        <v>113</v>
      </c>
      <c r="H145" s="2"/>
      <c r="I145" s="2" t="s">
        <v>314</v>
      </c>
      <c r="J145" s="10" t="s">
        <v>306</v>
      </c>
      <c r="K145" s="9">
        <v>436</v>
      </c>
      <c r="L145" s="9">
        <v>22.5</v>
      </c>
      <c r="M145" s="2"/>
      <c r="N145" s="2"/>
      <c r="O145" s="2"/>
      <c r="P145" s="2"/>
      <c r="Q145" s="11">
        <v>8</v>
      </c>
      <c r="R145" s="9">
        <v>1</v>
      </c>
      <c r="S145" s="9">
        <v>1000</v>
      </c>
      <c r="T145" s="2"/>
      <c r="U145" s="2"/>
      <c r="V145" s="9">
        <v>408</v>
      </c>
      <c r="W145" s="2" t="s">
        <v>295</v>
      </c>
      <c r="X145" s="2"/>
      <c r="Y145" s="2"/>
      <c r="Z145" s="18">
        <v>10</v>
      </c>
      <c r="AA145" s="18">
        <v>6.3</v>
      </c>
      <c r="AB145" s="2"/>
      <c r="AC145" s="2"/>
      <c r="AD145" s="2"/>
      <c r="AE145" s="2"/>
      <c r="AF145" s="2"/>
      <c r="AG145" s="2"/>
      <c r="AH145" s="9">
        <v>1.1000000000000001</v>
      </c>
      <c r="AI145" s="2"/>
      <c r="AJ145" s="2"/>
      <c r="AK145" s="2"/>
      <c r="AL145" s="18">
        <v>28.08</v>
      </c>
      <c r="AM145" s="18">
        <v>4.5</v>
      </c>
      <c r="AN145" s="2"/>
      <c r="AO145" s="2"/>
      <c r="AP145" s="2"/>
      <c r="AQ145" s="2"/>
      <c r="AR145" s="2"/>
      <c r="AS145" s="2"/>
      <c r="AT145" s="2"/>
      <c r="AU145" s="2"/>
      <c r="AV145" s="2" t="s">
        <v>236</v>
      </c>
      <c r="AW145" s="9">
        <v>20.100000000000001</v>
      </c>
      <c r="AX145" s="9">
        <v>1</v>
      </c>
      <c r="AY145" s="9">
        <v>3</v>
      </c>
      <c r="AZ145" s="2" t="s">
        <v>296</v>
      </c>
      <c r="BA145" s="2" t="s">
        <v>132</v>
      </c>
      <c r="BB145" s="2" t="s">
        <v>133</v>
      </c>
      <c r="BC145" s="6" t="s">
        <v>297</v>
      </c>
      <c r="BD145" s="2" t="s">
        <v>599</v>
      </c>
      <c r="BE145" s="2">
        <v>0</v>
      </c>
    </row>
    <row r="146" spans="1:57" ht="29" x14ac:dyDescent="0.2">
      <c r="A146" s="7" t="s">
        <v>292</v>
      </c>
      <c r="B146" s="8" t="s">
        <v>127</v>
      </c>
      <c r="C146" s="9">
        <v>2017</v>
      </c>
      <c r="D146" s="2" t="s">
        <v>293</v>
      </c>
      <c r="E146" s="8" t="s">
        <v>112</v>
      </c>
      <c r="F146" s="2"/>
      <c r="G146" s="2" t="s">
        <v>113</v>
      </c>
      <c r="H146" s="2"/>
      <c r="I146" s="2" t="s">
        <v>315</v>
      </c>
      <c r="J146" s="10" t="s">
        <v>306</v>
      </c>
      <c r="K146" s="9">
        <v>436</v>
      </c>
      <c r="L146" s="9">
        <v>22.5</v>
      </c>
      <c r="M146" s="2"/>
      <c r="N146" s="2"/>
      <c r="O146" s="2"/>
      <c r="P146" s="2"/>
      <c r="Q146" s="11">
        <v>8</v>
      </c>
      <c r="R146" s="9">
        <v>1</v>
      </c>
      <c r="S146" s="9">
        <v>1000</v>
      </c>
      <c r="T146" s="2"/>
      <c r="U146" s="2"/>
      <c r="V146" s="9">
        <v>432</v>
      </c>
      <c r="W146" s="2" t="s">
        <v>295</v>
      </c>
      <c r="X146" s="2"/>
      <c r="Y146" s="2"/>
      <c r="Z146" s="18">
        <v>11</v>
      </c>
      <c r="AA146" s="18">
        <v>7.4</v>
      </c>
      <c r="AB146" s="2"/>
      <c r="AC146" s="2"/>
      <c r="AD146" s="2"/>
      <c r="AE146" s="2"/>
      <c r="AF146" s="2"/>
      <c r="AG146" s="2"/>
      <c r="AH146" s="9">
        <v>0.5</v>
      </c>
      <c r="AI146" s="2"/>
      <c r="AJ146" s="2"/>
      <c r="AK146" s="2"/>
      <c r="AL146" s="18">
        <v>17.600000000000001</v>
      </c>
      <c r="AM146" s="18">
        <v>12.43</v>
      </c>
      <c r="AN146" s="2"/>
      <c r="AO146" s="2"/>
      <c r="AP146" s="2"/>
      <c r="AQ146" s="2"/>
      <c r="AR146" s="2"/>
      <c r="AS146" s="2"/>
      <c r="AT146" s="2"/>
      <c r="AU146" s="2"/>
      <c r="AV146" s="2" t="s">
        <v>236</v>
      </c>
      <c r="AW146" s="9">
        <v>18.5</v>
      </c>
      <c r="AX146" s="9">
        <v>1</v>
      </c>
      <c r="AY146" s="9">
        <v>3</v>
      </c>
      <c r="AZ146" s="2" t="s">
        <v>296</v>
      </c>
      <c r="BA146" s="2" t="s">
        <v>132</v>
      </c>
      <c r="BB146" s="2" t="s">
        <v>133</v>
      </c>
      <c r="BC146" s="6" t="s">
        <v>297</v>
      </c>
      <c r="BD146" s="2" t="s">
        <v>599</v>
      </c>
      <c r="BE146" s="2">
        <v>0</v>
      </c>
    </row>
    <row r="147" spans="1:57" ht="18.75" customHeight="1" x14ac:dyDescent="0.15">
      <c r="A147" s="74" t="s">
        <v>316</v>
      </c>
      <c r="B147" s="2" t="s">
        <v>317</v>
      </c>
      <c r="C147" s="9">
        <v>2016</v>
      </c>
      <c r="D147" s="2" t="s">
        <v>318</v>
      </c>
      <c r="E147" s="2" t="s">
        <v>319</v>
      </c>
      <c r="F147" s="2"/>
      <c r="G147" s="2" t="s">
        <v>122</v>
      </c>
      <c r="H147" s="2"/>
      <c r="I147" s="2" t="s">
        <v>320</v>
      </c>
      <c r="J147" s="2" t="s">
        <v>179</v>
      </c>
      <c r="K147" s="9">
        <v>684</v>
      </c>
      <c r="L147" s="9">
        <v>13</v>
      </c>
      <c r="M147" s="9">
        <v>1600</v>
      </c>
      <c r="N147" s="2"/>
      <c r="O147" s="2"/>
      <c r="P147" s="9">
        <v>1265</v>
      </c>
      <c r="Q147" s="17"/>
      <c r="R147" s="2"/>
      <c r="S147" s="2"/>
      <c r="T147" s="2"/>
      <c r="U147" s="2"/>
      <c r="V147" s="2"/>
      <c r="W147" s="2"/>
      <c r="X147" s="2"/>
      <c r="Y147" s="2"/>
      <c r="Z147" s="2"/>
      <c r="AA147" s="2"/>
      <c r="AB147" s="2"/>
      <c r="AC147" s="2"/>
      <c r="AD147" s="2"/>
      <c r="AE147" s="2"/>
      <c r="AF147" s="2"/>
      <c r="AG147" s="2"/>
      <c r="AH147" s="9">
        <v>1.49</v>
      </c>
      <c r="AI147" s="2"/>
      <c r="AJ147" s="2"/>
      <c r="AK147" s="2"/>
      <c r="AL147" s="10">
        <f>(3*12.36)/100</f>
        <v>0.37079999999999996</v>
      </c>
      <c r="AM147" s="2"/>
      <c r="AN147" s="9">
        <f>AL147-AL151</f>
        <v>0.25259999999999994</v>
      </c>
      <c r="AO147" s="9">
        <f>(AN147/AL$151)*100</f>
        <v>213.70558375634511</v>
      </c>
      <c r="AP147" s="2"/>
      <c r="AQ147" s="2"/>
      <c r="AR147" s="2"/>
      <c r="AS147" s="2"/>
      <c r="AT147" s="2"/>
      <c r="AU147" s="2"/>
      <c r="AV147" s="2" t="s">
        <v>321</v>
      </c>
      <c r="AW147" s="2"/>
      <c r="AX147" s="2"/>
      <c r="AY147" s="2"/>
      <c r="AZ147" s="2"/>
      <c r="BA147" s="2" t="s">
        <v>322</v>
      </c>
      <c r="BB147" s="2" t="s">
        <v>224</v>
      </c>
      <c r="BC147" s="74" t="s">
        <v>323</v>
      </c>
      <c r="BD147" s="2"/>
      <c r="BE147" s="2">
        <v>1</v>
      </c>
    </row>
    <row r="148" spans="1:57" ht="22.5" hidden="1" customHeight="1" x14ac:dyDescent="0.15">
      <c r="A148" s="2" t="s">
        <v>316</v>
      </c>
      <c r="B148" s="2" t="s">
        <v>317</v>
      </c>
      <c r="C148" s="9">
        <v>2016</v>
      </c>
      <c r="D148" s="2" t="s">
        <v>318</v>
      </c>
      <c r="E148" s="2" t="s">
        <v>143</v>
      </c>
      <c r="F148" s="2"/>
      <c r="G148" s="2" t="s">
        <v>177</v>
      </c>
      <c r="H148" s="2"/>
      <c r="I148" s="2" t="s">
        <v>324</v>
      </c>
      <c r="J148" s="2" t="s">
        <v>179</v>
      </c>
      <c r="K148" s="9">
        <v>684</v>
      </c>
      <c r="L148" s="9">
        <v>13</v>
      </c>
      <c r="M148" s="9">
        <v>1600</v>
      </c>
      <c r="N148" s="2"/>
      <c r="O148" s="2"/>
      <c r="P148" s="9">
        <v>1265</v>
      </c>
      <c r="Q148" s="17"/>
      <c r="R148" s="2"/>
      <c r="S148" s="2"/>
      <c r="T148" s="2"/>
      <c r="U148" s="2"/>
      <c r="V148" s="2"/>
      <c r="W148" s="2"/>
      <c r="X148" s="2"/>
      <c r="Y148" s="2"/>
      <c r="Z148" s="2"/>
      <c r="AA148" s="2"/>
      <c r="AB148" s="2"/>
      <c r="AC148" s="2"/>
      <c r="AD148" s="2"/>
      <c r="AE148" s="2"/>
      <c r="AF148" s="2"/>
      <c r="AG148" s="2"/>
      <c r="AH148" s="9">
        <v>1.49</v>
      </c>
      <c r="AI148" s="2"/>
      <c r="AJ148" s="2"/>
      <c r="AK148" s="2"/>
      <c r="AL148" s="10">
        <f>(3*1.55)/100</f>
        <v>4.6500000000000007E-2</v>
      </c>
      <c r="AM148" s="2"/>
      <c r="AN148" s="9">
        <f>AL148-AL151</f>
        <v>-7.1699999999999986E-2</v>
      </c>
      <c r="AO148" s="9">
        <f>(AN148/AL$151)*100</f>
        <v>-60.659898477157348</v>
      </c>
      <c r="AP148" s="2"/>
      <c r="AQ148" s="2"/>
      <c r="AR148" s="2"/>
      <c r="AS148" s="2"/>
      <c r="AT148" s="2"/>
      <c r="AU148" s="2"/>
      <c r="AV148" s="2" t="s">
        <v>321</v>
      </c>
      <c r="AW148" s="2"/>
      <c r="AX148" s="2"/>
      <c r="AY148" s="2"/>
      <c r="AZ148" s="2"/>
      <c r="BA148" s="2" t="s">
        <v>322</v>
      </c>
      <c r="BB148" s="2" t="s">
        <v>224</v>
      </c>
      <c r="BC148" s="2" t="s">
        <v>323</v>
      </c>
      <c r="BD148" s="2"/>
      <c r="BE148" s="2">
        <v>0</v>
      </c>
    </row>
    <row r="149" spans="1:57" ht="13.5" hidden="1" customHeight="1" x14ac:dyDescent="0.15">
      <c r="A149" s="2" t="s">
        <v>316</v>
      </c>
      <c r="B149" s="2" t="s">
        <v>317</v>
      </c>
      <c r="C149" s="9">
        <v>2016</v>
      </c>
      <c r="D149" s="2" t="s">
        <v>318</v>
      </c>
      <c r="E149" s="2" t="s">
        <v>143</v>
      </c>
      <c r="F149" s="2" t="s">
        <v>143</v>
      </c>
      <c r="G149" s="2" t="s">
        <v>177</v>
      </c>
      <c r="H149" s="2" t="s">
        <v>325</v>
      </c>
      <c r="I149" s="2" t="s">
        <v>326</v>
      </c>
      <c r="J149" s="2" t="s">
        <v>179</v>
      </c>
      <c r="K149" s="9">
        <v>684</v>
      </c>
      <c r="L149" s="9">
        <v>13</v>
      </c>
      <c r="M149" s="9">
        <v>1600</v>
      </c>
      <c r="N149" s="2"/>
      <c r="O149" s="2"/>
      <c r="P149" s="9">
        <v>1265</v>
      </c>
      <c r="Q149" s="17"/>
      <c r="R149" s="2"/>
      <c r="S149" s="2"/>
      <c r="T149" s="2"/>
      <c r="U149" s="2"/>
      <c r="V149" s="2"/>
      <c r="W149" s="2"/>
      <c r="X149" s="2"/>
      <c r="Y149" s="2"/>
      <c r="Z149" s="2"/>
      <c r="AA149" s="2"/>
      <c r="AB149" s="2"/>
      <c r="AC149" s="2"/>
      <c r="AD149" s="2"/>
      <c r="AE149" s="2"/>
      <c r="AF149" s="2"/>
      <c r="AG149" s="2"/>
      <c r="AH149" s="9">
        <v>1.49</v>
      </c>
      <c r="AI149" s="2"/>
      <c r="AJ149" s="2"/>
      <c r="AK149" s="2"/>
      <c r="AL149" s="10">
        <f>(3*33.42)/100</f>
        <v>1.0026000000000002</v>
      </c>
      <c r="AM149" s="2"/>
      <c r="AN149" s="9">
        <f>AL149-AL151</f>
        <v>0.88440000000000019</v>
      </c>
      <c r="AO149" s="9">
        <f>(AN149/AL$151)*100</f>
        <v>748.22335025380721</v>
      </c>
      <c r="AP149" s="2"/>
      <c r="AQ149" s="2"/>
      <c r="AR149" s="2"/>
      <c r="AS149" s="2"/>
      <c r="AT149" s="2"/>
      <c r="AU149" s="2"/>
      <c r="AV149" s="2" t="s">
        <v>321</v>
      </c>
      <c r="AW149" s="2"/>
      <c r="AX149" s="2"/>
      <c r="AY149" s="2"/>
      <c r="AZ149" s="2"/>
      <c r="BA149" s="2" t="s">
        <v>322</v>
      </c>
      <c r="BB149" s="2" t="s">
        <v>224</v>
      </c>
      <c r="BC149" s="2" t="s">
        <v>323</v>
      </c>
      <c r="BD149" s="2"/>
      <c r="BE149" s="2">
        <v>1</v>
      </c>
    </row>
    <row r="150" spans="1:57" ht="21.75" hidden="1" customHeight="1" x14ac:dyDescent="0.15">
      <c r="A150" s="2" t="s">
        <v>316</v>
      </c>
      <c r="B150" s="2" t="s">
        <v>317</v>
      </c>
      <c r="C150" s="9">
        <v>2016</v>
      </c>
      <c r="D150" s="2" t="s">
        <v>318</v>
      </c>
      <c r="E150" s="2" t="s">
        <v>327</v>
      </c>
      <c r="F150" s="2"/>
      <c r="G150" s="2" t="s">
        <v>136</v>
      </c>
      <c r="H150" s="2"/>
      <c r="I150" s="2" t="s">
        <v>328</v>
      </c>
      <c r="J150" s="2" t="s">
        <v>179</v>
      </c>
      <c r="K150" s="9">
        <v>684</v>
      </c>
      <c r="L150" s="9">
        <v>13</v>
      </c>
      <c r="M150" s="9">
        <v>1600</v>
      </c>
      <c r="N150" s="2"/>
      <c r="O150" s="2"/>
      <c r="P150" s="9">
        <v>1265</v>
      </c>
      <c r="Q150" s="17"/>
      <c r="R150" s="2"/>
      <c r="S150" s="2"/>
      <c r="T150" s="2"/>
      <c r="U150" s="2"/>
      <c r="V150" s="2"/>
      <c r="W150" s="2"/>
      <c r="X150" s="2"/>
      <c r="Y150" s="2"/>
      <c r="Z150" s="2"/>
      <c r="AA150" s="2"/>
      <c r="AB150" s="2"/>
      <c r="AC150" s="2"/>
      <c r="AD150" s="2"/>
      <c r="AE150" s="2"/>
      <c r="AF150" s="2"/>
      <c r="AG150" s="2"/>
      <c r="AH150" s="9">
        <v>1.49</v>
      </c>
      <c r="AI150" s="2"/>
      <c r="AJ150" s="2"/>
      <c r="AK150" s="2"/>
      <c r="AL150" s="10">
        <f>(-3.64*3)/100</f>
        <v>-0.10920000000000001</v>
      </c>
      <c r="AM150" s="2"/>
      <c r="AN150" s="9">
        <f>AL150-AL151</f>
        <v>-0.22739999999999999</v>
      </c>
      <c r="AO150" s="9">
        <f>(AN150/AL$151)*100</f>
        <v>-192.38578680203045</v>
      </c>
      <c r="AP150" s="2"/>
      <c r="AQ150" s="2"/>
      <c r="AR150" s="2"/>
      <c r="AS150" s="2"/>
      <c r="AT150" s="2"/>
      <c r="AU150" s="2"/>
      <c r="AV150" s="2" t="s">
        <v>321</v>
      </c>
      <c r="AW150" s="2"/>
      <c r="AX150" s="2"/>
      <c r="AY150" s="2"/>
      <c r="AZ150" s="2"/>
      <c r="BA150" s="2" t="s">
        <v>322</v>
      </c>
      <c r="BB150" s="2" t="s">
        <v>224</v>
      </c>
      <c r="BC150" s="2" t="s">
        <v>323</v>
      </c>
      <c r="BD150" s="2"/>
      <c r="BE150" s="2">
        <v>1</v>
      </c>
    </row>
    <row r="151" spans="1:57" ht="16.5" customHeight="1" x14ac:dyDescent="0.15">
      <c r="A151" s="74" t="s">
        <v>316</v>
      </c>
      <c r="B151" s="2" t="s">
        <v>317</v>
      </c>
      <c r="C151" s="9">
        <v>2016</v>
      </c>
      <c r="D151" s="2" t="s">
        <v>318</v>
      </c>
      <c r="E151" s="2" t="s">
        <v>319</v>
      </c>
      <c r="F151" s="2"/>
      <c r="G151" s="2" t="s">
        <v>113</v>
      </c>
      <c r="H151" s="2"/>
      <c r="I151" s="2" t="s">
        <v>329</v>
      </c>
      <c r="J151" s="2" t="s">
        <v>179</v>
      </c>
      <c r="K151" s="9">
        <v>684</v>
      </c>
      <c r="L151" s="9">
        <v>13</v>
      </c>
      <c r="M151" s="9">
        <v>1600</v>
      </c>
      <c r="N151" s="2"/>
      <c r="O151" s="2"/>
      <c r="P151" s="9">
        <v>1265</v>
      </c>
      <c r="Q151" s="17"/>
      <c r="R151" s="2"/>
      <c r="S151" s="2"/>
      <c r="T151" s="2"/>
      <c r="U151" s="2"/>
      <c r="V151" s="2"/>
      <c r="W151" s="2"/>
      <c r="X151" s="2"/>
      <c r="Y151" s="2"/>
      <c r="Z151" s="2"/>
      <c r="AA151" s="2"/>
      <c r="AB151" s="2"/>
      <c r="AC151" s="2"/>
      <c r="AD151" s="2"/>
      <c r="AE151" s="2"/>
      <c r="AF151" s="2"/>
      <c r="AG151" s="2"/>
      <c r="AH151" s="9">
        <v>1.49</v>
      </c>
      <c r="AI151" s="2"/>
      <c r="AJ151" s="2"/>
      <c r="AK151" s="2"/>
      <c r="AL151" s="10">
        <f>(3.94*3)/100</f>
        <v>0.1182</v>
      </c>
      <c r="AM151" s="2"/>
      <c r="AN151" s="2"/>
      <c r="AO151" s="2"/>
      <c r="AP151" s="2"/>
      <c r="AQ151" s="2"/>
      <c r="AR151" s="2"/>
      <c r="AS151" s="2"/>
      <c r="AT151" s="2"/>
      <c r="AU151" s="2"/>
      <c r="AV151" s="2" t="s">
        <v>321</v>
      </c>
      <c r="AW151" s="2"/>
      <c r="AX151" s="2"/>
      <c r="AY151" s="2"/>
      <c r="AZ151" s="2"/>
      <c r="BA151" s="2" t="s">
        <v>322</v>
      </c>
      <c r="BB151" s="2" t="s">
        <v>224</v>
      </c>
      <c r="BC151" s="74" t="s">
        <v>323</v>
      </c>
      <c r="BD151" s="2"/>
      <c r="BE151" s="2">
        <v>0</v>
      </c>
    </row>
    <row r="152" spans="1:57" ht="15" hidden="1" customHeight="1" x14ac:dyDescent="0.15">
      <c r="A152" s="2" t="s">
        <v>330</v>
      </c>
      <c r="B152" s="2" t="s">
        <v>110</v>
      </c>
      <c r="C152" s="9">
        <v>2021</v>
      </c>
      <c r="D152" s="2" t="s">
        <v>331</v>
      </c>
      <c r="E152" s="8" t="s">
        <v>143</v>
      </c>
      <c r="F152" s="2"/>
      <c r="G152" s="2" t="s">
        <v>113</v>
      </c>
      <c r="H152" s="2"/>
      <c r="I152" s="2" t="s">
        <v>332</v>
      </c>
      <c r="J152" s="10" t="s">
        <v>147</v>
      </c>
      <c r="K152" s="2"/>
      <c r="L152" s="2"/>
      <c r="M152" s="2"/>
      <c r="N152" s="2"/>
      <c r="O152" s="2"/>
      <c r="P152" s="9">
        <v>1000</v>
      </c>
      <c r="Q152" s="11">
        <f>AVERAGE(10,17)</f>
        <v>13.5</v>
      </c>
      <c r="R152" s="9">
        <v>4</v>
      </c>
      <c r="S152" s="9">
        <v>225</v>
      </c>
      <c r="T152" s="2"/>
      <c r="U152" s="2"/>
      <c r="V152" s="2"/>
      <c r="W152" s="2"/>
      <c r="X152" s="2"/>
      <c r="Y152" s="2"/>
      <c r="Z152" s="2"/>
      <c r="AA152" s="2"/>
      <c r="AB152" s="2"/>
      <c r="AC152" s="2"/>
      <c r="AD152" s="2"/>
      <c r="AE152" s="2"/>
      <c r="AF152" s="2"/>
      <c r="AG152" s="2"/>
      <c r="AH152" s="2"/>
      <c r="AI152" s="2"/>
      <c r="AJ152" s="2"/>
      <c r="AK152" s="2"/>
      <c r="AL152" s="9">
        <v>40.049999999999997</v>
      </c>
      <c r="AM152" s="9">
        <v>1.28</v>
      </c>
      <c r="AN152" s="2"/>
      <c r="AO152" s="2"/>
      <c r="AP152" s="2"/>
      <c r="AQ152" s="2"/>
      <c r="AR152" s="2"/>
      <c r="AS152" s="2"/>
      <c r="AT152" s="2"/>
      <c r="AU152" s="2"/>
      <c r="AV152" s="2"/>
      <c r="AW152" s="2"/>
      <c r="AX152" s="2"/>
      <c r="AY152" s="2"/>
      <c r="AZ152" s="2"/>
      <c r="BA152" s="2"/>
      <c r="BB152" s="2" t="s">
        <v>253</v>
      </c>
      <c r="BC152" s="2"/>
      <c r="BD152" s="2"/>
      <c r="BE152" s="2">
        <v>0</v>
      </c>
    </row>
    <row r="153" spans="1:57" ht="19.5" hidden="1" customHeight="1" x14ac:dyDescent="0.15">
      <c r="A153" s="2" t="s">
        <v>330</v>
      </c>
      <c r="B153" s="2" t="s">
        <v>110</v>
      </c>
      <c r="C153" s="9">
        <v>2021</v>
      </c>
      <c r="D153" s="2" t="s">
        <v>331</v>
      </c>
      <c r="E153" s="8" t="s">
        <v>143</v>
      </c>
      <c r="F153" s="2"/>
      <c r="G153" s="23" t="s">
        <v>333</v>
      </c>
      <c r="H153" s="2"/>
      <c r="I153" s="2" t="s">
        <v>334</v>
      </c>
      <c r="J153" s="10" t="s">
        <v>147</v>
      </c>
      <c r="K153" s="2"/>
      <c r="L153" s="2"/>
      <c r="M153" s="2"/>
      <c r="N153" s="2"/>
      <c r="O153" s="2"/>
      <c r="P153" s="9">
        <v>1000</v>
      </c>
      <c r="Q153" s="11">
        <f>AVERAGE(10,17)</f>
        <v>13.5</v>
      </c>
      <c r="R153" s="9">
        <v>4</v>
      </c>
      <c r="S153" s="9">
        <v>225</v>
      </c>
      <c r="T153" s="2"/>
      <c r="U153" s="2"/>
      <c r="V153" s="2"/>
      <c r="W153" s="2"/>
      <c r="X153" s="2"/>
      <c r="Y153" s="2"/>
      <c r="Z153" s="2"/>
      <c r="AA153" s="2"/>
      <c r="AB153" s="2"/>
      <c r="AC153" s="2"/>
      <c r="AD153" s="2"/>
      <c r="AE153" s="2"/>
      <c r="AF153" s="2"/>
      <c r="AG153" s="2"/>
      <c r="AH153" s="2"/>
      <c r="AI153" s="2"/>
      <c r="AJ153" s="2"/>
      <c r="AK153" s="2"/>
      <c r="AL153" s="9">
        <v>44.68</v>
      </c>
      <c r="AM153" s="9">
        <v>3.77</v>
      </c>
      <c r="AN153" s="9">
        <f>AL153-AL152</f>
        <v>4.6300000000000026</v>
      </c>
      <c r="AO153" s="9">
        <f>(AN153/AL152)*100</f>
        <v>11.56054931335831</v>
      </c>
      <c r="AP153" s="2"/>
      <c r="AQ153" s="2"/>
      <c r="AR153" s="2"/>
      <c r="AS153" s="2"/>
      <c r="AT153" s="2"/>
      <c r="AU153" s="2"/>
      <c r="AV153" s="2"/>
      <c r="AW153" s="2"/>
      <c r="AX153" s="2"/>
      <c r="AY153" s="2"/>
      <c r="AZ153" s="2"/>
      <c r="BA153" s="2"/>
      <c r="BB153" s="2" t="s">
        <v>253</v>
      </c>
      <c r="BC153" s="2"/>
      <c r="BD153" s="2"/>
      <c r="BE153" s="2">
        <v>0</v>
      </c>
    </row>
    <row r="154" spans="1:57" ht="13" hidden="1" x14ac:dyDescent="0.15">
      <c r="A154" s="24" t="s">
        <v>335</v>
      </c>
      <c r="B154" s="24" t="s">
        <v>159</v>
      </c>
      <c r="C154" s="25">
        <v>2022</v>
      </c>
      <c r="D154" s="24" t="s">
        <v>336</v>
      </c>
      <c r="E154" s="24" t="s">
        <v>327</v>
      </c>
      <c r="F154" s="24"/>
      <c r="G154" s="24" t="s">
        <v>136</v>
      </c>
      <c r="H154" s="24"/>
      <c r="I154" s="24" t="s">
        <v>337</v>
      </c>
      <c r="J154" s="26" t="s">
        <v>273</v>
      </c>
      <c r="K154" s="25">
        <v>1380</v>
      </c>
      <c r="L154" s="25">
        <v>13.8</v>
      </c>
      <c r="M154" s="24"/>
      <c r="N154" s="24"/>
      <c r="O154" s="24"/>
      <c r="P154" s="25">
        <f>AVERAGE(1700,3000)</f>
        <v>2350</v>
      </c>
      <c r="Q154" s="27"/>
      <c r="R154" s="24"/>
      <c r="S154" s="24"/>
      <c r="T154" s="28">
        <v>37987</v>
      </c>
      <c r="U154" s="28">
        <v>43466</v>
      </c>
      <c r="V154" s="25">
        <v>180</v>
      </c>
      <c r="W154" s="24" t="s">
        <v>338</v>
      </c>
      <c r="X154" s="25">
        <v>114.52</v>
      </c>
      <c r="Y154" s="25">
        <v>3.069</v>
      </c>
      <c r="Z154" s="25">
        <v>123.95</v>
      </c>
      <c r="AA154" s="25">
        <v>3.3319999999999999</v>
      </c>
      <c r="AB154" s="24"/>
      <c r="AC154" s="24"/>
      <c r="AD154" s="24"/>
      <c r="AE154" s="24"/>
      <c r="AF154" s="24"/>
      <c r="AG154" s="24"/>
      <c r="AH154" s="24"/>
      <c r="AI154" s="24"/>
      <c r="AJ154" s="24"/>
      <c r="AK154" s="24"/>
      <c r="AL154" s="24"/>
      <c r="AM154" s="24"/>
      <c r="AN154" s="24"/>
      <c r="AO154" s="24"/>
      <c r="AP154" s="24"/>
      <c r="AQ154" s="25">
        <f>Z154-X154</f>
        <v>9.4300000000000068</v>
      </c>
      <c r="AR154" s="25">
        <f>(AQ154/X154)*100</f>
        <v>8.2343695424380083</v>
      </c>
      <c r="AS154" s="24"/>
      <c r="AT154" s="24"/>
      <c r="AU154" s="24" t="s">
        <v>250</v>
      </c>
      <c r="AV154" s="24" t="s">
        <v>339</v>
      </c>
      <c r="AW154" s="24"/>
      <c r="AX154" s="24"/>
      <c r="AY154" s="24"/>
      <c r="AZ154" s="24"/>
      <c r="BA154" s="24"/>
      <c r="BB154" s="24" t="s">
        <v>253</v>
      </c>
      <c r="BC154" s="24" t="s">
        <v>340</v>
      </c>
      <c r="BD154" s="24"/>
      <c r="BE154" s="24">
        <v>0</v>
      </c>
    </row>
    <row r="155" spans="1:57" ht="13" hidden="1" x14ac:dyDescent="0.15">
      <c r="A155" s="24" t="s">
        <v>335</v>
      </c>
      <c r="B155" s="24" t="s">
        <v>159</v>
      </c>
      <c r="C155" s="25">
        <v>2022</v>
      </c>
      <c r="D155" s="24" t="s">
        <v>336</v>
      </c>
      <c r="E155" s="24" t="s">
        <v>327</v>
      </c>
      <c r="F155" s="24"/>
      <c r="G155" s="24" t="s">
        <v>136</v>
      </c>
      <c r="H155" s="24"/>
      <c r="I155" s="24" t="s">
        <v>337</v>
      </c>
      <c r="J155" s="26" t="s">
        <v>341</v>
      </c>
      <c r="K155" s="25">
        <v>1380</v>
      </c>
      <c r="L155" s="25">
        <v>13.8</v>
      </c>
      <c r="M155" s="24"/>
      <c r="N155" s="24"/>
      <c r="O155" s="24"/>
      <c r="P155" s="25">
        <f>AVERAGE(1700,3000)</f>
        <v>2350</v>
      </c>
      <c r="Q155" s="27"/>
      <c r="R155" s="24"/>
      <c r="S155" s="24"/>
      <c r="T155" s="28">
        <v>37987</v>
      </c>
      <c r="U155" s="28">
        <v>43466</v>
      </c>
      <c r="V155" s="25">
        <v>180</v>
      </c>
      <c r="W155" s="24" t="s">
        <v>338</v>
      </c>
      <c r="X155" s="25">
        <v>94.76</v>
      </c>
      <c r="Y155" s="25">
        <v>2.7959999999999998</v>
      </c>
      <c r="Z155" s="25">
        <v>102.43</v>
      </c>
      <c r="AA155" s="25">
        <v>3.2210000000000001</v>
      </c>
      <c r="AB155" s="24"/>
      <c r="AC155" s="24"/>
      <c r="AD155" s="24"/>
      <c r="AE155" s="24"/>
      <c r="AF155" s="24"/>
      <c r="AG155" s="24"/>
      <c r="AH155" s="24"/>
      <c r="AI155" s="24"/>
      <c r="AJ155" s="24"/>
      <c r="AK155" s="24"/>
      <c r="AL155" s="24"/>
      <c r="AM155" s="24"/>
      <c r="AN155" s="24"/>
      <c r="AO155" s="24"/>
      <c r="AP155" s="24"/>
      <c r="AQ155" s="25">
        <f>Z155-X155</f>
        <v>7.6700000000000017</v>
      </c>
      <c r="AR155" s="25">
        <f>(AQ155/X155)*100</f>
        <v>8.0941325453777981</v>
      </c>
      <c r="AS155" s="24"/>
      <c r="AT155" s="24"/>
      <c r="AU155" s="24" t="s">
        <v>250</v>
      </c>
      <c r="AV155" s="24" t="s">
        <v>339</v>
      </c>
      <c r="AW155" s="24"/>
      <c r="AX155" s="24"/>
      <c r="AY155" s="24"/>
      <c r="AZ155" s="24"/>
      <c r="BA155" s="24"/>
      <c r="BB155" s="24" t="s">
        <v>253</v>
      </c>
      <c r="BC155" s="24" t="s">
        <v>340</v>
      </c>
      <c r="BD155" s="24"/>
      <c r="BE155" s="24">
        <v>0</v>
      </c>
    </row>
    <row r="156" spans="1:57" ht="14" hidden="1" x14ac:dyDescent="0.15">
      <c r="A156" s="2" t="s">
        <v>342</v>
      </c>
      <c r="B156" s="2" t="s">
        <v>110</v>
      </c>
      <c r="C156" s="9">
        <v>2015</v>
      </c>
      <c r="D156" s="2" t="s">
        <v>343</v>
      </c>
      <c r="E156" s="8" t="s">
        <v>143</v>
      </c>
      <c r="F156" s="2"/>
      <c r="G156" s="2" t="s">
        <v>177</v>
      </c>
      <c r="H156" s="2"/>
      <c r="I156" s="2" t="s">
        <v>344</v>
      </c>
      <c r="J156" s="2" t="s">
        <v>214</v>
      </c>
      <c r="K156" s="9">
        <v>550</v>
      </c>
      <c r="L156" s="2"/>
      <c r="M156" s="2"/>
      <c r="N156" s="9">
        <v>550</v>
      </c>
      <c r="O156" s="2"/>
      <c r="P156" s="9">
        <v>1800</v>
      </c>
      <c r="Q156" s="17"/>
      <c r="R156" s="2"/>
      <c r="S156" s="2"/>
      <c r="T156" s="2"/>
      <c r="U156" s="2"/>
      <c r="V156" s="2"/>
      <c r="W156" s="2"/>
      <c r="X156" s="2"/>
      <c r="Y156" s="2"/>
      <c r="Z156" s="9">
        <v>2.4</v>
      </c>
      <c r="AA156" s="9">
        <v>0.1</v>
      </c>
      <c r="AB156" s="2"/>
      <c r="AC156" s="2"/>
      <c r="AD156" s="9">
        <v>15</v>
      </c>
      <c r="AE156" s="9">
        <v>0.2</v>
      </c>
      <c r="AF156" s="9">
        <v>1</v>
      </c>
      <c r="AG156" s="2"/>
      <c r="AH156" s="9">
        <v>1</v>
      </c>
      <c r="AI156" s="2"/>
      <c r="AJ156" s="2"/>
      <c r="AK156" s="2"/>
      <c r="AL156" s="9">
        <f>10 * 0.1 * 1*Z156</f>
        <v>2.4</v>
      </c>
      <c r="AM156" s="2"/>
      <c r="AN156" s="9">
        <f>AL156-AL157</f>
        <v>0.29999999999999982</v>
      </c>
      <c r="AO156" s="9">
        <f>(AN156/AL$158)*100</f>
        <v>13.636363636363628</v>
      </c>
      <c r="AP156" s="2"/>
      <c r="AQ156" s="2"/>
      <c r="AR156" s="2"/>
      <c r="AS156" s="2"/>
      <c r="AT156" s="2"/>
      <c r="AU156" s="2" t="s">
        <v>192</v>
      </c>
      <c r="AV156" s="2" t="s">
        <v>345</v>
      </c>
      <c r="AW156" s="2"/>
      <c r="AX156" s="9">
        <v>3</v>
      </c>
      <c r="AY156" s="9">
        <v>3</v>
      </c>
      <c r="AZ156" s="2" t="s">
        <v>346</v>
      </c>
      <c r="BA156" s="2" t="s">
        <v>132</v>
      </c>
      <c r="BB156" s="2" t="s">
        <v>224</v>
      </c>
      <c r="BC156" s="2"/>
      <c r="BD156" s="2"/>
      <c r="BE156" s="2">
        <v>0</v>
      </c>
    </row>
    <row r="157" spans="1:57" ht="14" hidden="1" x14ac:dyDescent="0.15">
      <c r="A157" s="2" t="s">
        <v>342</v>
      </c>
      <c r="B157" s="2" t="s">
        <v>110</v>
      </c>
      <c r="C157" s="9">
        <v>2015</v>
      </c>
      <c r="D157" s="2" t="s">
        <v>343</v>
      </c>
      <c r="E157" s="8" t="s">
        <v>143</v>
      </c>
      <c r="F157" s="2"/>
      <c r="G157" s="2" t="s">
        <v>113</v>
      </c>
      <c r="H157" s="2"/>
      <c r="I157" s="2" t="s">
        <v>347</v>
      </c>
      <c r="J157" s="2" t="s">
        <v>214</v>
      </c>
      <c r="K157" s="9">
        <v>550</v>
      </c>
      <c r="L157" s="2"/>
      <c r="M157" s="2"/>
      <c r="N157" s="9">
        <v>550</v>
      </c>
      <c r="O157" s="2"/>
      <c r="P157" s="9">
        <v>1800</v>
      </c>
      <c r="Q157" s="17"/>
      <c r="R157" s="2"/>
      <c r="S157" s="2"/>
      <c r="T157" s="2"/>
      <c r="U157" s="2"/>
      <c r="V157" s="2"/>
      <c r="W157" s="2"/>
      <c r="X157" s="2"/>
      <c r="Y157" s="2"/>
      <c r="Z157" s="9">
        <v>2.1</v>
      </c>
      <c r="AA157" s="9">
        <v>0.1</v>
      </c>
      <c r="AB157" s="2"/>
      <c r="AC157" s="2"/>
      <c r="AD157" s="9">
        <v>15.6</v>
      </c>
      <c r="AE157" s="9">
        <v>0.3</v>
      </c>
      <c r="AF157" s="2"/>
      <c r="AG157" s="2"/>
      <c r="AH157" s="9">
        <v>1</v>
      </c>
      <c r="AI157" s="2"/>
      <c r="AJ157" s="2"/>
      <c r="AK157" s="2"/>
      <c r="AL157" s="9">
        <f>10 * 0.1 * 1*Z157</f>
        <v>2.1</v>
      </c>
      <c r="AM157" s="2"/>
      <c r="AN157" s="2"/>
      <c r="AO157" s="2"/>
      <c r="AP157" s="2"/>
      <c r="AQ157" s="2"/>
      <c r="AR157" s="2"/>
      <c r="AS157" s="2"/>
      <c r="AT157" s="2"/>
      <c r="AU157" s="2" t="s">
        <v>192</v>
      </c>
      <c r="AV157" s="2" t="s">
        <v>345</v>
      </c>
      <c r="AW157" s="2"/>
      <c r="AX157" s="9">
        <v>3</v>
      </c>
      <c r="AY157" s="9">
        <v>3</v>
      </c>
      <c r="AZ157" s="2" t="s">
        <v>346</v>
      </c>
      <c r="BA157" s="2" t="s">
        <v>132</v>
      </c>
      <c r="BB157" s="2" t="s">
        <v>224</v>
      </c>
      <c r="BC157" s="2"/>
      <c r="BD157" s="2"/>
      <c r="BE157" s="2">
        <v>0</v>
      </c>
    </row>
    <row r="158" spans="1:57" ht="14" hidden="1" x14ac:dyDescent="0.15">
      <c r="A158" s="2" t="s">
        <v>342</v>
      </c>
      <c r="B158" s="2" t="s">
        <v>110</v>
      </c>
      <c r="C158" s="9">
        <v>2015</v>
      </c>
      <c r="D158" s="2" t="s">
        <v>343</v>
      </c>
      <c r="E158" s="8" t="s">
        <v>143</v>
      </c>
      <c r="F158" s="8" t="s">
        <v>143</v>
      </c>
      <c r="G158" s="2" t="s">
        <v>177</v>
      </c>
      <c r="H158" s="2" t="s">
        <v>325</v>
      </c>
      <c r="I158" s="2" t="s">
        <v>348</v>
      </c>
      <c r="J158" s="2" t="s">
        <v>214</v>
      </c>
      <c r="K158" s="9">
        <v>550</v>
      </c>
      <c r="L158" s="2"/>
      <c r="M158" s="2"/>
      <c r="N158" s="9">
        <v>550</v>
      </c>
      <c r="O158" s="2"/>
      <c r="P158" s="9">
        <v>1800</v>
      </c>
      <c r="Q158" s="17"/>
      <c r="R158" s="2"/>
      <c r="S158" s="2"/>
      <c r="T158" s="2"/>
      <c r="U158" s="2"/>
      <c r="V158" s="2"/>
      <c r="W158" s="2"/>
      <c r="X158" s="2"/>
      <c r="Y158" s="2"/>
      <c r="Z158" s="9">
        <v>2.2000000000000002</v>
      </c>
      <c r="AA158" s="9">
        <v>0.2</v>
      </c>
      <c r="AB158" s="2"/>
      <c r="AC158" s="2"/>
      <c r="AD158" s="2"/>
      <c r="AE158" s="2"/>
      <c r="AF158" s="2"/>
      <c r="AG158" s="2"/>
      <c r="AH158" s="9">
        <v>1</v>
      </c>
      <c r="AI158" s="2"/>
      <c r="AJ158" s="2"/>
      <c r="AK158" s="2"/>
      <c r="AL158" s="9">
        <f>10 * 0.1 * 1*Z158</f>
        <v>2.2000000000000002</v>
      </c>
      <c r="AM158" s="2"/>
      <c r="AN158" s="9">
        <f>AL158-AL157</f>
        <v>0.10000000000000009</v>
      </c>
      <c r="AO158" s="9">
        <f>(AN158/AL$158)*100</f>
        <v>4.5454545454545494</v>
      </c>
      <c r="AP158" s="2"/>
      <c r="AQ158" s="2"/>
      <c r="AR158" s="2"/>
      <c r="AS158" s="2"/>
      <c r="AT158" s="2"/>
      <c r="AU158" s="2" t="s">
        <v>192</v>
      </c>
      <c r="AV158" s="2" t="s">
        <v>345</v>
      </c>
      <c r="AW158" s="2"/>
      <c r="AX158" s="9">
        <v>3</v>
      </c>
      <c r="AY158" s="9">
        <v>3</v>
      </c>
      <c r="AZ158" s="2" t="s">
        <v>346</v>
      </c>
      <c r="BA158" s="2" t="s">
        <v>132</v>
      </c>
      <c r="BB158" s="2" t="s">
        <v>224</v>
      </c>
      <c r="BC158" s="2"/>
      <c r="BD158" s="2"/>
      <c r="BE158" s="2">
        <v>0</v>
      </c>
    </row>
    <row r="159" spans="1:57" ht="14" hidden="1" x14ac:dyDescent="0.15">
      <c r="A159" s="2" t="s">
        <v>342</v>
      </c>
      <c r="B159" s="2" t="s">
        <v>110</v>
      </c>
      <c r="C159" s="9">
        <v>2015</v>
      </c>
      <c r="D159" s="2" t="s">
        <v>343</v>
      </c>
      <c r="E159" s="8" t="s">
        <v>143</v>
      </c>
      <c r="F159" s="2"/>
      <c r="G159" s="2" t="s">
        <v>325</v>
      </c>
      <c r="H159" s="2"/>
      <c r="I159" s="2" t="s">
        <v>349</v>
      </c>
      <c r="J159" s="2" t="s">
        <v>214</v>
      </c>
      <c r="K159" s="9">
        <v>550</v>
      </c>
      <c r="L159" s="2"/>
      <c r="M159" s="2"/>
      <c r="N159" s="9">
        <v>550</v>
      </c>
      <c r="O159" s="2"/>
      <c r="P159" s="9">
        <v>1800</v>
      </c>
      <c r="Q159" s="17"/>
      <c r="R159" s="2"/>
      <c r="S159" s="2"/>
      <c r="T159" s="2"/>
      <c r="U159" s="2"/>
      <c r="V159" s="2"/>
      <c r="W159" s="2"/>
      <c r="X159" s="2"/>
      <c r="Y159" s="2"/>
      <c r="Z159" s="9">
        <v>2.2000000000000002</v>
      </c>
      <c r="AA159" s="9">
        <v>0.2</v>
      </c>
      <c r="AB159" s="2"/>
      <c r="AC159" s="2"/>
      <c r="AD159" s="2"/>
      <c r="AE159" s="2"/>
      <c r="AF159" s="2"/>
      <c r="AG159" s="2"/>
      <c r="AH159" s="9">
        <v>1</v>
      </c>
      <c r="AI159" s="2"/>
      <c r="AJ159" s="2"/>
      <c r="AK159" s="2"/>
      <c r="AL159" s="9">
        <f>10 * 0.1 * 1*Z159</f>
        <v>2.2000000000000002</v>
      </c>
      <c r="AM159" s="2"/>
      <c r="AN159" s="9">
        <f>AL159-AL157</f>
        <v>0.10000000000000009</v>
      </c>
      <c r="AO159" s="9">
        <f>(AN159/AL$158)*100</f>
        <v>4.5454545454545494</v>
      </c>
      <c r="AP159" s="2"/>
      <c r="AQ159" s="2"/>
      <c r="AR159" s="2"/>
      <c r="AS159" s="2"/>
      <c r="AT159" s="2"/>
      <c r="AU159" s="2" t="s">
        <v>192</v>
      </c>
      <c r="AV159" s="2" t="s">
        <v>345</v>
      </c>
      <c r="AW159" s="2"/>
      <c r="AX159" s="9">
        <v>3</v>
      </c>
      <c r="AY159" s="9">
        <v>3</v>
      </c>
      <c r="AZ159" s="2" t="s">
        <v>346</v>
      </c>
      <c r="BA159" s="2" t="s">
        <v>132</v>
      </c>
      <c r="BB159" s="2" t="s">
        <v>224</v>
      </c>
      <c r="BC159" s="2"/>
      <c r="BD159" s="2"/>
      <c r="BE159" s="2">
        <v>0</v>
      </c>
    </row>
    <row r="160" spans="1:57" ht="13" x14ac:dyDescent="0.15">
      <c r="A160" s="74" t="s">
        <v>350</v>
      </c>
      <c r="B160" s="2" t="s">
        <v>110</v>
      </c>
      <c r="C160" s="9">
        <v>2018</v>
      </c>
      <c r="D160" s="2" t="s">
        <v>351</v>
      </c>
      <c r="E160" s="2" t="s">
        <v>319</v>
      </c>
      <c r="F160" s="2"/>
      <c r="G160" s="2" t="s">
        <v>113</v>
      </c>
      <c r="H160" s="2"/>
      <c r="I160" s="2" t="s">
        <v>352</v>
      </c>
      <c r="J160" s="2" t="s">
        <v>214</v>
      </c>
      <c r="K160" s="2"/>
      <c r="L160" s="2"/>
      <c r="M160" s="2"/>
      <c r="N160" s="2"/>
      <c r="O160" s="2"/>
      <c r="P160" s="9">
        <v>1560</v>
      </c>
      <c r="Q160" s="17"/>
      <c r="R160" s="2"/>
      <c r="S160" s="2"/>
      <c r="T160" s="2"/>
      <c r="U160" s="2"/>
      <c r="V160" s="2"/>
      <c r="W160" s="2"/>
      <c r="X160" s="2"/>
      <c r="Y160" s="2"/>
      <c r="Z160" s="9">
        <v>4.9000000000000004</v>
      </c>
      <c r="AA160" s="9">
        <v>0.69</v>
      </c>
      <c r="AB160" s="2"/>
      <c r="AC160" s="2"/>
      <c r="AD160" s="2"/>
      <c r="AE160" s="2"/>
      <c r="AF160" s="2"/>
      <c r="AG160" s="2"/>
      <c r="AH160" s="9">
        <v>1.5</v>
      </c>
      <c r="AI160" s="9">
        <v>0.04</v>
      </c>
      <c r="AJ160" s="2"/>
      <c r="AK160" s="2"/>
      <c r="AL160" s="9">
        <v>7.35</v>
      </c>
      <c r="AM160" s="2"/>
      <c r="AN160" s="2"/>
      <c r="AO160" s="2"/>
      <c r="AP160" s="2"/>
      <c r="AQ160" s="2"/>
      <c r="AR160" s="2"/>
      <c r="AS160" s="2"/>
      <c r="AT160" s="2"/>
      <c r="AU160" s="2"/>
      <c r="AV160" s="2"/>
      <c r="AW160" s="2"/>
      <c r="AX160" s="2"/>
      <c r="AY160" s="2"/>
      <c r="AZ160" s="2"/>
      <c r="BA160" s="2"/>
      <c r="BB160" s="2"/>
      <c r="BC160" s="74"/>
      <c r="BD160" s="2"/>
      <c r="BE160" s="2">
        <v>0</v>
      </c>
    </row>
    <row r="161" spans="1:57" ht="13" x14ac:dyDescent="0.15">
      <c r="A161" s="74" t="s">
        <v>350</v>
      </c>
      <c r="B161" s="2" t="s">
        <v>110</v>
      </c>
      <c r="C161" s="9">
        <v>2018</v>
      </c>
      <c r="D161" s="2" t="s">
        <v>351</v>
      </c>
      <c r="E161" s="2" t="s">
        <v>319</v>
      </c>
      <c r="F161" s="2"/>
      <c r="G161" s="2" t="s">
        <v>122</v>
      </c>
      <c r="H161" s="2"/>
      <c r="I161" s="2" t="s">
        <v>353</v>
      </c>
      <c r="J161" s="2" t="s">
        <v>214</v>
      </c>
      <c r="K161" s="2"/>
      <c r="L161" s="2"/>
      <c r="M161" s="2"/>
      <c r="N161" s="2"/>
      <c r="O161" s="2"/>
      <c r="P161" s="9">
        <v>1560</v>
      </c>
      <c r="Q161" s="17"/>
      <c r="R161" s="2"/>
      <c r="S161" s="2"/>
      <c r="T161" s="2"/>
      <c r="U161" s="2"/>
      <c r="V161" s="2"/>
      <c r="W161" s="2"/>
      <c r="X161" s="2"/>
      <c r="Y161" s="2"/>
      <c r="Z161" s="9">
        <v>6.6</v>
      </c>
      <c r="AA161" s="9">
        <v>0.87</v>
      </c>
      <c r="AB161" s="2"/>
      <c r="AC161" s="2"/>
      <c r="AD161" s="2"/>
      <c r="AE161" s="2"/>
      <c r="AF161" s="2"/>
      <c r="AG161" s="2"/>
      <c r="AH161" s="9">
        <v>1.4</v>
      </c>
      <c r="AI161" s="9">
        <v>0.06</v>
      </c>
      <c r="AJ161" s="2"/>
      <c r="AK161" s="2"/>
      <c r="AL161" s="9">
        <v>9.25</v>
      </c>
      <c r="AM161" s="2"/>
      <c r="AN161" s="9">
        <v>1.9</v>
      </c>
      <c r="AO161" s="9">
        <v>25.7</v>
      </c>
      <c r="AP161" s="2"/>
      <c r="AQ161" s="2"/>
      <c r="AR161" s="2"/>
      <c r="AS161" s="2"/>
      <c r="AT161" s="2"/>
      <c r="AU161" s="2"/>
      <c r="AV161" s="2"/>
      <c r="AW161" s="2"/>
      <c r="AX161" s="2"/>
      <c r="AY161" s="2"/>
      <c r="AZ161" s="2"/>
      <c r="BA161" s="2"/>
      <c r="BB161" s="2"/>
      <c r="BC161" s="74"/>
      <c r="BD161" s="2"/>
      <c r="BE161" s="2">
        <v>0</v>
      </c>
    </row>
    <row r="162" spans="1:57" ht="13" x14ac:dyDescent="0.15">
      <c r="A162" s="74" t="s">
        <v>350</v>
      </c>
      <c r="B162" s="2" t="s">
        <v>110</v>
      </c>
      <c r="C162" s="9">
        <v>2018</v>
      </c>
      <c r="D162" s="2" t="s">
        <v>351</v>
      </c>
      <c r="E162" s="2" t="s">
        <v>319</v>
      </c>
      <c r="F162" s="2"/>
      <c r="G162" s="2" t="s">
        <v>122</v>
      </c>
      <c r="H162" s="2"/>
      <c r="I162" s="2" t="s">
        <v>354</v>
      </c>
      <c r="J162" s="2" t="s">
        <v>214</v>
      </c>
      <c r="K162" s="2"/>
      <c r="L162" s="2"/>
      <c r="M162" s="2"/>
      <c r="N162" s="2"/>
      <c r="O162" s="2"/>
      <c r="P162" s="9">
        <v>1560</v>
      </c>
      <c r="Q162" s="17"/>
      <c r="R162" s="2"/>
      <c r="S162" s="2"/>
      <c r="T162" s="2"/>
      <c r="U162" s="2"/>
      <c r="V162" s="2"/>
      <c r="W162" s="2"/>
      <c r="X162" s="2"/>
      <c r="Y162" s="2"/>
      <c r="Z162" s="9">
        <v>6.2</v>
      </c>
      <c r="AA162" s="9">
        <v>0.78</v>
      </c>
      <c r="AB162" s="2"/>
      <c r="AC162" s="2"/>
      <c r="AD162" s="2"/>
      <c r="AE162" s="2"/>
      <c r="AF162" s="2"/>
      <c r="AG162" s="2"/>
      <c r="AH162" s="9">
        <v>1.4</v>
      </c>
      <c r="AI162" s="9">
        <v>0.05</v>
      </c>
      <c r="AJ162" s="2"/>
      <c r="AK162" s="2"/>
      <c r="AL162" s="9">
        <v>8.68</v>
      </c>
      <c r="AM162" s="2"/>
      <c r="AN162" s="9">
        <v>1.33</v>
      </c>
      <c r="AO162" s="9">
        <v>18.100000000000001</v>
      </c>
      <c r="AP162" s="2"/>
      <c r="AQ162" s="2"/>
      <c r="AR162" s="2"/>
      <c r="AS162" s="2"/>
      <c r="AT162" s="2"/>
      <c r="AU162" s="2"/>
      <c r="AV162" s="2"/>
      <c r="AW162" s="2"/>
      <c r="AX162" s="2"/>
      <c r="AY162" s="2"/>
      <c r="AZ162" s="2"/>
      <c r="BA162" s="2"/>
      <c r="BB162" s="2"/>
      <c r="BC162" s="74"/>
      <c r="BD162" s="2"/>
      <c r="BE162" s="2">
        <v>0</v>
      </c>
    </row>
    <row r="163" spans="1:57" ht="13" hidden="1" x14ac:dyDescent="0.15">
      <c r="A163" s="2" t="s">
        <v>355</v>
      </c>
      <c r="B163" s="2" t="s">
        <v>159</v>
      </c>
      <c r="C163" s="9">
        <v>2008</v>
      </c>
      <c r="D163" s="2" t="s">
        <v>356</v>
      </c>
      <c r="E163" s="2" t="s">
        <v>135</v>
      </c>
      <c r="F163" s="2"/>
      <c r="G163" s="2" t="s">
        <v>136</v>
      </c>
      <c r="H163" s="2"/>
      <c r="I163" s="2" t="s">
        <v>357</v>
      </c>
      <c r="J163" s="2" t="s">
        <v>358</v>
      </c>
      <c r="K163" s="2"/>
      <c r="L163" s="2"/>
      <c r="M163" s="2"/>
      <c r="N163" s="2"/>
      <c r="O163" s="2"/>
      <c r="P163" s="9">
        <v>518</v>
      </c>
      <c r="Q163" s="17"/>
      <c r="R163" s="2"/>
      <c r="S163" s="2"/>
      <c r="T163" s="2"/>
      <c r="U163" s="2"/>
      <c r="V163" s="2"/>
      <c r="W163" s="2"/>
      <c r="X163" s="2"/>
      <c r="Y163" s="2"/>
      <c r="Z163" s="9">
        <v>12.66</v>
      </c>
      <c r="AA163" s="2"/>
      <c r="AB163" s="2"/>
      <c r="AC163" s="2"/>
      <c r="AD163" s="2"/>
      <c r="AE163" s="2"/>
      <c r="AF163" s="2"/>
      <c r="AG163" s="2"/>
      <c r="AH163" s="2"/>
      <c r="AI163" s="2"/>
      <c r="AJ163" s="2"/>
      <c r="AK163" s="2"/>
      <c r="AL163" s="2"/>
      <c r="AM163" s="2"/>
      <c r="AN163" s="10">
        <f>Z163-Z168</f>
        <v>1.7300000000000004</v>
      </c>
      <c r="AO163" s="10">
        <f>100*(AN163/Z163)</f>
        <v>13.665086887835706</v>
      </c>
      <c r="AP163" s="2"/>
      <c r="AQ163" s="2"/>
      <c r="AR163" s="2"/>
      <c r="AS163" s="2"/>
      <c r="AT163" s="2"/>
      <c r="AU163" s="2"/>
      <c r="AV163" s="2"/>
      <c r="AW163" s="2"/>
      <c r="AX163" s="2"/>
      <c r="AY163" s="2"/>
      <c r="AZ163" s="2"/>
      <c r="BA163" s="2" t="s">
        <v>359</v>
      </c>
      <c r="BB163" s="2" t="s">
        <v>224</v>
      </c>
      <c r="BC163" s="2" t="s">
        <v>360</v>
      </c>
      <c r="BD163" s="2"/>
      <c r="BE163" s="2">
        <v>0</v>
      </c>
    </row>
    <row r="164" spans="1:57" ht="13" hidden="1" x14ac:dyDescent="0.15">
      <c r="A164" s="2" t="s">
        <v>355</v>
      </c>
      <c r="B164" s="2" t="s">
        <v>159</v>
      </c>
      <c r="C164" s="9">
        <v>2008</v>
      </c>
      <c r="D164" s="2" t="s">
        <v>356</v>
      </c>
      <c r="E164" s="2" t="s">
        <v>135</v>
      </c>
      <c r="F164" s="2"/>
      <c r="G164" s="2" t="s">
        <v>136</v>
      </c>
      <c r="H164" s="2"/>
      <c r="I164" s="2" t="s">
        <v>361</v>
      </c>
      <c r="J164" s="2" t="s">
        <v>358</v>
      </c>
      <c r="K164" s="2"/>
      <c r="L164" s="2"/>
      <c r="M164" s="2"/>
      <c r="N164" s="2"/>
      <c r="O164" s="2"/>
      <c r="P164" s="9">
        <v>518</v>
      </c>
      <c r="Q164" s="17"/>
      <c r="R164" s="2"/>
      <c r="S164" s="2"/>
      <c r="T164" s="2"/>
      <c r="U164" s="2"/>
      <c r="V164" s="2"/>
      <c r="W164" s="2"/>
      <c r="X164" s="2"/>
      <c r="Y164" s="2"/>
      <c r="Z164" s="9">
        <v>10.93</v>
      </c>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t="s">
        <v>359</v>
      </c>
      <c r="BB164" s="2" t="s">
        <v>224</v>
      </c>
      <c r="BC164" s="2" t="s">
        <v>360</v>
      </c>
      <c r="BD164" s="2"/>
      <c r="BE164" s="2">
        <v>0</v>
      </c>
    </row>
    <row r="165" spans="1:57" ht="13" hidden="1" x14ac:dyDescent="0.15">
      <c r="A165" s="2" t="s">
        <v>355</v>
      </c>
      <c r="B165" s="2" t="s">
        <v>159</v>
      </c>
      <c r="C165" s="9">
        <v>2008</v>
      </c>
      <c r="D165" s="2" t="s">
        <v>356</v>
      </c>
      <c r="E165" s="2" t="s">
        <v>135</v>
      </c>
      <c r="F165" s="2"/>
      <c r="G165" s="2" t="s">
        <v>113</v>
      </c>
      <c r="H165" s="2"/>
      <c r="I165" s="2" t="s">
        <v>362</v>
      </c>
      <c r="J165" s="2" t="s">
        <v>358</v>
      </c>
      <c r="K165" s="2"/>
      <c r="L165" s="2"/>
      <c r="M165" s="2"/>
      <c r="N165" s="2"/>
      <c r="O165" s="2"/>
      <c r="P165" s="9">
        <v>518</v>
      </c>
      <c r="Q165" s="17"/>
      <c r="R165" s="2"/>
      <c r="S165" s="2"/>
      <c r="T165" s="2"/>
      <c r="U165" s="2"/>
      <c r="V165" s="2"/>
      <c r="W165" s="2"/>
      <c r="X165" s="2"/>
      <c r="Y165" s="2"/>
      <c r="Z165" s="9">
        <v>12.76</v>
      </c>
      <c r="AA165" s="2"/>
      <c r="AB165" s="2"/>
      <c r="AC165" s="2"/>
      <c r="AD165" s="2"/>
      <c r="AE165" s="2"/>
      <c r="AF165" s="2"/>
      <c r="AG165" s="2"/>
      <c r="AH165" s="2"/>
      <c r="AI165" s="2"/>
      <c r="AJ165" s="2"/>
      <c r="AK165" s="2"/>
      <c r="AL165" s="2"/>
      <c r="AM165" s="2"/>
      <c r="AN165" s="10">
        <f>Z165-Z168</f>
        <v>1.83</v>
      </c>
      <c r="AO165" s="10">
        <f>100*(AN165/Z165)</f>
        <v>14.341692789968652</v>
      </c>
      <c r="AP165" s="2"/>
      <c r="AQ165" s="2"/>
      <c r="AR165" s="2"/>
      <c r="AS165" s="2"/>
      <c r="AT165" s="2"/>
      <c r="AU165" s="2"/>
      <c r="AV165" s="2"/>
      <c r="AW165" s="2"/>
      <c r="AX165" s="2"/>
      <c r="AY165" s="2"/>
      <c r="AZ165" s="2"/>
      <c r="BA165" s="2" t="s">
        <v>359</v>
      </c>
      <c r="BB165" s="2" t="s">
        <v>224</v>
      </c>
      <c r="BC165" s="2" t="s">
        <v>360</v>
      </c>
      <c r="BD165" s="2"/>
      <c r="BE165" s="2">
        <v>0</v>
      </c>
    </row>
    <row r="166" spans="1:57" ht="14" hidden="1" x14ac:dyDescent="0.15">
      <c r="A166" s="2" t="s">
        <v>355</v>
      </c>
      <c r="B166" s="2" t="s">
        <v>159</v>
      </c>
      <c r="C166" s="9">
        <v>2008</v>
      </c>
      <c r="D166" s="2" t="s">
        <v>356</v>
      </c>
      <c r="E166" s="2" t="s">
        <v>135</v>
      </c>
      <c r="F166" s="2"/>
      <c r="G166" s="8" t="s">
        <v>200</v>
      </c>
      <c r="H166" s="2"/>
      <c r="I166" s="2" t="s">
        <v>363</v>
      </c>
      <c r="J166" s="2" t="s">
        <v>358</v>
      </c>
      <c r="K166" s="2"/>
      <c r="L166" s="2"/>
      <c r="M166" s="2"/>
      <c r="N166" s="2"/>
      <c r="O166" s="2"/>
      <c r="P166" s="9">
        <v>518</v>
      </c>
      <c r="Q166" s="17"/>
      <c r="R166" s="2"/>
      <c r="S166" s="2"/>
      <c r="T166" s="2"/>
      <c r="U166" s="2"/>
      <c r="V166" s="2"/>
      <c r="W166" s="2"/>
      <c r="X166" s="2"/>
      <c r="Y166" s="2"/>
      <c r="Z166" s="9">
        <v>12.22</v>
      </c>
      <c r="AA166" s="2"/>
      <c r="AB166" s="2"/>
      <c r="AC166" s="2"/>
      <c r="AD166" s="2"/>
      <c r="AE166" s="2"/>
      <c r="AF166" s="2"/>
      <c r="AG166" s="2"/>
      <c r="AH166" s="2"/>
      <c r="AI166" s="2"/>
      <c r="AJ166" s="2"/>
      <c r="AK166" s="2"/>
      <c r="AL166" s="2"/>
      <c r="AM166" s="2"/>
      <c r="AN166" s="10">
        <f>Z166-Z168</f>
        <v>1.2900000000000009</v>
      </c>
      <c r="AO166" s="10">
        <f>100*(AN166/Z166)</f>
        <v>10.556464811783968</v>
      </c>
      <c r="AP166" s="2"/>
      <c r="AQ166" s="2"/>
      <c r="AR166" s="2"/>
      <c r="AS166" s="2"/>
      <c r="AT166" s="2"/>
      <c r="AU166" s="2"/>
      <c r="AV166" s="2"/>
      <c r="AW166" s="2"/>
      <c r="AX166" s="2"/>
      <c r="AY166" s="2"/>
      <c r="AZ166" s="2"/>
      <c r="BA166" s="2" t="s">
        <v>359</v>
      </c>
      <c r="BB166" s="2" t="s">
        <v>224</v>
      </c>
      <c r="BC166" s="2" t="s">
        <v>360</v>
      </c>
      <c r="BD166" s="2"/>
      <c r="BE166" s="2">
        <v>0</v>
      </c>
    </row>
    <row r="167" spans="1:57" ht="14" hidden="1" x14ac:dyDescent="0.15">
      <c r="A167" s="2" t="s">
        <v>355</v>
      </c>
      <c r="B167" s="2" t="s">
        <v>159</v>
      </c>
      <c r="C167" s="9">
        <v>2008</v>
      </c>
      <c r="D167" s="2" t="s">
        <v>356</v>
      </c>
      <c r="E167" s="2" t="s">
        <v>135</v>
      </c>
      <c r="F167" s="2"/>
      <c r="G167" s="8" t="s">
        <v>200</v>
      </c>
      <c r="H167" s="2"/>
      <c r="I167" s="2" t="s">
        <v>364</v>
      </c>
      <c r="J167" s="2" t="s">
        <v>358</v>
      </c>
      <c r="K167" s="2"/>
      <c r="L167" s="2"/>
      <c r="M167" s="2"/>
      <c r="N167" s="2"/>
      <c r="O167" s="2"/>
      <c r="P167" s="9">
        <v>518</v>
      </c>
      <c r="Q167" s="17"/>
      <c r="R167" s="2"/>
      <c r="S167" s="2"/>
      <c r="T167" s="2"/>
      <c r="U167" s="2"/>
      <c r="V167" s="2"/>
      <c r="W167" s="2"/>
      <c r="X167" s="2"/>
      <c r="Y167" s="2"/>
      <c r="Z167" s="9">
        <v>11.64</v>
      </c>
      <c r="AA167" s="2"/>
      <c r="AB167" s="2"/>
      <c r="AC167" s="2"/>
      <c r="AD167" s="2"/>
      <c r="AE167" s="2"/>
      <c r="AF167" s="2"/>
      <c r="AG167" s="2"/>
      <c r="AH167" s="2"/>
      <c r="AI167" s="2"/>
      <c r="AJ167" s="2"/>
      <c r="AK167" s="2"/>
      <c r="AL167" s="2"/>
      <c r="AM167" s="2"/>
      <c r="AN167" s="10">
        <f>Z167-Z168</f>
        <v>0.71000000000000085</v>
      </c>
      <c r="AO167" s="10">
        <f>100*(AN167/Z167)</f>
        <v>6.0996563573883229</v>
      </c>
      <c r="AP167" s="2"/>
      <c r="AQ167" s="2"/>
      <c r="AR167" s="2"/>
      <c r="AS167" s="2"/>
      <c r="AT167" s="2"/>
      <c r="AU167" s="2"/>
      <c r="AV167" s="2"/>
      <c r="AW167" s="2"/>
      <c r="AX167" s="2"/>
      <c r="AY167" s="2"/>
      <c r="AZ167" s="2"/>
      <c r="BA167" s="2" t="s">
        <v>359</v>
      </c>
      <c r="BB167" s="2" t="s">
        <v>224</v>
      </c>
      <c r="BC167" s="2" t="s">
        <v>360</v>
      </c>
      <c r="BD167" s="2"/>
      <c r="BE167" s="2">
        <v>0</v>
      </c>
    </row>
    <row r="168" spans="1:57" ht="14" hidden="1" x14ac:dyDescent="0.15">
      <c r="A168" s="2" t="s">
        <v>355</v>
      </c>
      <c r="B168" s="2" t="s">
        <v>159</v>
      </c>
      <c r="C168" s="9">
        <v>2008</v>
      </c>
      <c r="D168" s="2" t="s">
        <v>356</v>
      </c>
      <c r="E168" s="2" t="s">
        <v>135</v>
      </c>
      <c r="F168" s="2"/>
      <c r="G168" s="8" t="s">
        <v>200</v>
      </c>
      <c r="H168" s="2"/>
      <c r="I168" s="2" t="s">
        <v>365</v>
      </c>
      <c r="J168" s="2" t="s">
        <v>358</v>
      </c>
      <c r="K168" s="2"/>
      <c r="L168" s="2"/>
      <c r="M168" s="2"/>
      <c r="N168" s="2"/>
      <c r="O168" s="2"/>
      <c r="P168" s="9">
        <v>518</v>
      </c>
      <c r="Q168" s="17"/>
      <c r="R168" s="2"/>
      <c r="S168" s="2"/>
      <c r="T168" s="2"/>
      <c r="U168" s="2"/>
      <c r="V168" s="2"/>
      <c r="W168" s="2"/>
      <c r="X168" s="2"/>
      <c r="Y168" s="2"/>
      <c r="Z168" s="9">
        <v>10.93</v>
      </c>
      <c r="AA168" s="2"/>
      <c r="AB168" s="2"/>
      <c r="AC168" s="2"/>
      <c r="AD168" s="2"/>
      <c r="AE168" s="2"/>
      <c r="AF168" s="2"/>
      <c r="AG168" s="2"/>
      <c r="AH168" s="2"/>
      <c r="AI168" s="2"/>
      <c r="AJ168" s="2"/>
      <c r="AK168" s="2"/>
      <c r="AL168" s="2"/>
      <c r="AM168" s="2"/>
      <c r="AN168" s="10">
        <v>0</v>
      </c>
      <c r="AO168" s="10">
        <v>0</v>
      </c>
      <c r="AP168" s="2"/>
      <c r="AQ168" s="2"/>
      <c r="AR168" s="2"/>
      <c r="AS168" s="2"/>
      <c r="AT168" s="2"/>
      <c r="AU168" s="2"/>
      <c r="AV168" s="2"/>
      <c r="AW168" s="2"/>
      <c r="AX168" s="2"/>
      <c r="AY168" s="2"/>
      <c r="AZ168" s="2"/>
      <c r="BA168" s="2" t="s">
        <v>359</v>
      </c>
      <c r="BB168" s="2" t="s">
        <v>224</v>
      </c>
      <c r="BC168" s="2" t="s">
        <v>360</v>
      </c>
      <c r="BD168" s="2"/>
      <c r="BE168" s="2">
        <v>0</v>
      </c>
    </row>
    <row r="169" spans="1:57" ht="13" hidden="1" x14ac:dyDescent="0.15">
      <c r="A169" s="2" t="s">
        <v>366</v>
      </c>
      <c r="B169" s="2" t="s">
        <v>367</v>
      </c>
      <c r="C169" s="9">
        <v>2017</v>
      </c>
      <c r="D169" s="2" t="s">
        <v>368</v>
      </c>
      <c r="E169" s="2" t="s">
        <v>135</v>
      </c>
      <c r="F169" s="2"/>
      <c r="G169" s="2" t="s">
        <v>113</v>
      </c>
      <c r="H169" s="2"/>
      <c r="I169" s="2" t="s">
        <v>369</v>
      </c>
      <c r="J169" s="2" t="s">
        <v>179</v>
      </c>
      <c r="K169" s="9">
        <v>916</v>
      </c>
      <c r="L169" s="9">
        <v>28.5</v>
      </c>
      <c r="M169" s="2"/>
      <c r="N169" s="2"/>
      <c r="O169" s="2"/>
      <c r="P169" s="2"/>
      <c r="Q169" s="17"/>
      <c r="R169" s="2"/>
      <c r="S169" s="2"/>
      <c r="T169" s="2"/>
      <c r="U169" s="2"/>
      <c r="V169" s="2"/>
      <c r="W169" s="2"/>
      <c r="X169" s="2"/>
      <c r="Y169" s="2"/>
      <c r="Z169" s="2"/>
      <c r="AA169" s="2"/>
      <c r="AB169" s="2"/>
      <c r="AC169" s="2"/>
      <c r="AD169" s="9">
        <v>2.1</v>
      </c>
      <c r="AE169" s="9">
        <v>0.2</v>
      </c>
      <c r="AF169" s="2"/>
      <c r="AG169" s="2"/>
      <c r="AH169" s="2"/>
      <c r="AI169" s="2"/>
      <c r="AJ169" s="2"/>
      <c r="AK169" s="2"/>
      <c r="AL169" s="2"/>
      <c r="AM169" s="2"/>
      <c r="AN169" s="2"/>
      <c r="AO169" s="2"/>
      <c r="AP169" s="2"/>
      <c r="AQ169" s="2"/>
      <c r="AR169" s="2"/>
      <c r="AS169" s="10" t="s">
        <v>370</v>
      </c>
      <c r="AT169" s="2"/>
      <c r="AU169" s="2" t="s">
        <v>192</v>
      </c>
      <c r="AV169" s="2" t="s">
        <v>371</v>
      </c>
      <c r="AW169" s="9">
        <v>57</v>
      </c>
      <c r="AX169" s="9">
        <v>1</v>
      </c>
      <c r="AY169" s="9">
        <v>3</v>
      </c>
      <c r="AZ169" s="2"/>
      <c r="BA169" s="2" t="s">
        <v>132</v>
      </c>
      <c r="BB169" s="2" t="s">
        <v>224</v>
      </c>
      <c r="BC169" s="2"/>
      <c r="BD169" s="2"/>
      <c r="BE169" s="2">
        <v>0</v>
      </c>
    </row>
    <row r="170" spans="1:57" ht="13" x14ac:dyDescent="0.15">
      <c r="A170" s="74" t="s">
        <v>366</v>
      </c>
      <c r="B170" s="2" t="s">
        <v>367</v>
      </c>
      <c r="C170" s="9">
        <v>2017</v>
      </c>
      <c r="D170" s="2" t="s">
        <v>368</v>
      </c>
      <c r="E170" s="2" t="s">
        <v>112</v>
      </c>
      <c r="F170" s="2"/>
      <c r="G170" s="2" t="s">
        <v>122</v>
      </c>
      <c r="H170" s="2"/>
      <c r="I170" s="2" t="s">
        <v>372</v>
      </c>
      <c r="J170" s="2" t="s">
        <v>179</v>
      </c>
      <c r="K170" s="9">
        <v>916</v>
      </c>
      <c r="L170" s="9">
        <v>28.5</v>
      </c>
      <c r="M170" s="2"/>
      <c r="N170" s="2"/>
      <c r="O170" s="2"/>
      <c r="P170" s="2"/>
      <c r="Q170" s="17"/>
      <c r="R170" s="2"/>
      <c r="S170" s="2"/>
      <c r="T170" s="2"/>
      <c r="U170" s="2"/>
      <c r="V170" s="2"/>
      <c r="W170" s="2"/>
      <c r="X170" s="2"/>
      <c r="Y170" s="2"/>
      <c r="Z170" s="2"/>
      <c r="AA170" s="2"/>
      <c r="AB170" s="2"/>
      <c r="AC170" s="2"/>
      <c r="AD170" s="9">
        <v>1.9</v>
      </c>
      <c r="AE170" s="9">
        <v>0.1</v>
      </c>
      <c r="AF170" s="2"/>
      <c r="AG170" s="2"/>
      <c r="AH170" s="2"/>
      <c r="AI170" s="2"/>
      <c r="AJ170" s="2"/>
      <c r="AK170" s="2"/>
      <c r="AL170" s="2"/>
      <c r="AM170" s="2"/>
      <c r="AN170" s="2"/>
      <c r="AO170" s="2"/>
      <c r="AP170" s="2"/>
      <c r="AQ170" s="2"/>
      <c r="AR170" s="2"/>
      <c r="AS170" s="10">
        <v>-0.2</v>
      </c>
      <c r="AT170" s="10">
        <v>-10.5</v>
      </c>
      <c r="AU170" s="2" t="s">
        <v>192</v>
      </c>
      <c r="AV170" s="2" t="s">
        <v>371</v>
      </c>
      <c r="AW170" s="9">
        <v>57</v>
      </c>
      <c r="AX170" s="9">
        <v>1</v>
      </c>
      <c r="AY170" s="9">
        <v>3</v>
      </c>
      <c r="AZ170" s="2"/>
      <c r="BA170" s="2" t="s">
        <v>132</v>
      </c>
      <c r="BB170" s="2" t="s">
        <v>224</v>
      </c>
      <c r="BC170" s="74"/>
      <c r="BD170" s="2"/>
      <c r="BE170" s="2">
        <v>0</v>
      </c>
    </row>
    <row r="171" spans="1:57" ht="13" hidden="1" x14ac:dyDescent="0.15">
      <c r="A171" s="2" t="s">
        <v>366</v>
      </c>
      <c r="B171" s="2" t="s">
        <v>367</v>
      </c>
      <c r="C171" s="9">
        <v>2017</v>
      </c>
      <c r="D171" s="2" t="s">
        <v>368</v>
      </c>
      <c r="E171" s="2" t="s">
        <v>135</v>
      </c>
      <c r="F171" s="2"/>
      <c r="G171" s="2" t="s">
        <v>136</v>
      </c>
      <c r="H171" s="2"/>
      <c r="I171" s="2" t="s">
        <v>373</v>
      </c>
      <c r="J171" s="2" t="s">
        <v>179</v>
      </c>
      <c r="K171" s="9">
        <v>916</v>
      </c>
      <c r="L171" s="9">
        <v>28.5</v>
      </c>
      <c r="M171" s="2"/>
      <c r="N171" s="2"/>
      <c r="O171" s="2"/>
      <c r="P171" s="2"/>
      <c r="Q171" s="17"/>
      <c r="R171" s="2"/>
      <c r="S171" s="2"/>
      <c r="T171" s="2"/>
      <c r="U171" s="2"/>
      <c r="V171" s="2"/>
      <c r="W171" s="2"/>
      <c r="X171" s="2"/>
      <c r="Y171" s="2"/>
      <c r="Z171" s="2"/>
      <c r="AA171" s="2"/>
      <c r="AB171" s="2"/>
      <c r="AC171" s="2"/>
      <c r="AD171" s="9">
        <v>2</v>
      </c>
      <c r="AE171" s="9">
        <v>0.15</v>
      </c>
      <c r="AF171" s="2"/>
      <c r="AG171" s="2"/>
      <c r="AH171" s="2"/>
      <c r="AI171" s="2"/>
      <c r="AJ171" s="2"/>
      <c r="AK171" s="2"/>
      <c r="AL171" s="2"/>
      <c r="AM171" s="2"/>
      <c r="AN171" s="2"/>
      <c r="AO171" s="2"/>
      <c r="AP171" s="2"/>
      <c r="AQ171" s="2"/>
      <c r="AR171" s="2"/>
      <c r="AS171" s="10">
        <v>-0.1</v>
      </c>
      <c r="AT171" s="10">
        <v>-5</v>
      </c>
      <c r="AU171" s="2" t="s">
        <v>192</v>
      </c>
      <c r="AV171" s="2" t="s">
        <v>371</v>
      </c>
      <c r="AW171" s="9">
        <v>57</v>
      </c>
      <c r="AX171" s="9">
        <v>1</v>
      </c>
      <c r="AY171" s="9">
        <v>3</v>
      </c>
      <c r="AZ171" s="2"/>
      <c r="BA171" s="2" t="s">
        <v>132</v>
      </c>
      <c r="BB171" s="2" t="s">
        <v>224</v>
      </c>
      <c r="BC171" s="2"/>
      <c r="BD171" s="2"/>
      <c r="BE171" s="2">
        <v>0</v>
      </c>
    </row>
    <row r="172" spans="1:57" ht="13" hidden="1" x14ac:dyDescent="0.15">
      <c r="A172" s="2" t="s">
        <v>366</v>
      </c>
      <c r="B172" s="2" t="s">
        <v>367</v>
      </c>
      <c r="C172" s="9">
        <v>2017</v>
      </c>
      <c r="D172" s="2" t="s">
        <v>374</v>
      </c>
      <c r="E172" s="2" t="s">
        <v>327</v>
      </c>
      <c r="F172" s="2"/>
      <c r="G172" s="2" t="s">
        <v>113</v>
      </c>
      <c r="H172" s="2"/>
      <c r="I172" s="2" t="s">
        <v>375</v>
      </c>
      <c r="J172" s="2" t="s">
        <v>179</v>
      </c>
      <c r="K172" s="9">
        <v>837</v>
      </c>
      <c r="L172" s="9">
        <v>28.5</v>
      </c>
      <c r="M172" s="2"/>
      <c r="N172" s="2"/>
      <c r="O172" s="2"/>
      <c r="P172" s="2"/>
      <c r="Q172" s="17"/>
      <c r="R172" s="2"/>
      <c r="S172" s="2"/>
      <c r="T172" s="2"/>
      <c r="U172" s="2"/>
      <c r="V172" s="2"/>
      <c r="W172" s="2"/>
      <c r="X172" s="2"/>
      <c r="Y172" s="2"/>
      <c r="Z172" s="2"/>
      <c r="AA172" s="2"/>
      <c r="AB172" s="2"/>
      <c r="AC172" s="2"/>
      <c r="AD172" s="9">
        <v>1.9</v>
      </c>
      <c r="AE172" s="9">
        <v>0.05</v>
      </c>
      <c r="AF172" s="2"/>
      <c r="AG172" s="2"/>
      <c r="AH172" s="2"/>
      <c r="AI172" s="2"/>
      <c r="AJ172" s="2"/>
      <c r="AK172" s="2"/>
      <c r="AL172" s="2"/>
      <c r="AM172" s="2"/>
      <c r="AN172" s="2"/>
      <c r="AO172" s="2"/>
      <c r="AP172" s="2"/>
      <c r="AQ172" s="2"/>
      <c r="AR172" s="2"/>
      <c r="AS172" s="10" t="s">
        <v>370</v>
      </c>
      <c r="AT172" s="2"/>
      <c r="AU172" s="2" t="s">
        <v>192</v>
      </c>
      <c r="AV172" s="2" t="s">
        <v>371</v>
      </c>
      <c r="AW172" s="9">
        <v>29</v>
      </c>
      <c r="AX172" s="9">
        <v>1</v>
      </c>
      <c r="AY172" s="9">
        <v>3</v>
      </c>
      <c r="AZ172" s="2"/>
      <c r="BA172" s="2" t="s">
        <v>132</v>
      </c>
      <c r="BB172" s="2" t="s">
        <v>224</v>
      </c>
      <c r="BC172" s="2"/>
      <c r="BD172" s="2"/>
      <c r="BE172" s="2">
        <v>0</v>
      </c>
    </row>
    <row r="173" spans="1:57" ht="13" x14ac:dyDescent="0.15">
      <c r="A173" s="74" t="s">
        <v>366</v>
      </c>
      <c r="B173" s="2" t="s">
        <v>367</v>
      </c>
      <c r="C173" s="9">
        <v>2017</v>
      </c>
      <c r="D173" s="2" t="s">
        <v>374</v>
      </c>
      <c r="E173" s="2" t="s">
        <v>112</v>
      </c>
      <c r="F173" s="2"/>
      <c r="G173" s="2" t="s">
        <v>122</v>
      </c>
      <c r="H173" s="2"/>
      <c r="I173" s="2" t="s">
        <v>376</v>
      </c>
      <c r="J173" s="2" t="s">
        <v>179</v>
      </c>
      <c r="K173" s="9">
        <v>837</v>
      </c>
      <c r="L173" s="9">
        <v>28.5</v>
      </c>
      <c r="M173" s="2"/>
      <c r="N173" s="2"/>
      <c r="O173" s="2"/>
      <c r="P173" s="2"/>
      <c r="Q173" s="17"/>
      <c r="R173" s="2"/>
      <c r="S173" s="2"/>
      <c r="T173" s="2"/>
      <c r="U173" s="2"/>
      <c r="V173" s="2"/>
      <c r="W173" s="2"/>
      <c r="X173" s="2"/>
      <c r="Y173" s="2"/>
      <c r="Z173" s="2"/>
      <c r="AA173" s="2"/>
      <c r="AB173" s="2"/>
      <c r="AC173" s="2"/>
      <c r="AD173" s="9">
        <v>1.9</v>
      </c>
      <c r="AE173" s="9">
        <v>0.05</v>
      </c>
      <c r="AF173" s="2"/>
      <c r="AG173" s="2"/>
      <c r="AH173" s="2"/>
      <c r="AI173" s="2"/>
      <c r="AJ173" s="2"/>
      <c r="AK173" s="2"/>
      <c r="AL173" s="2"/>
      <c r="AM173" s="2"/>
      <c r="AN173" s="2"/>
      <c r="AO173" s="2"/>
      <c r="AP173" s="2"/>
      <c r="AQ173" s="2"/>
      <c r="AR173" s="2"/>
      <c r="AS173" s="10">
        <v>0</v>
      </c>
      <c r="AT173" s="10">
        <v>0</v>
      </c>
      <c r="AU173" s="2" t="s">
        <v>192</v>
      </c>
      <c r="AV173" s="2" t="s">
        <v>371</v>
      </c>
      <c r="AW173" s="9">
        <v>29</v>
      </c>
      <c r="AX173" s="9">
        <v>1</v>
      </c>
      <c r="AY173" s="9">
        <v>3</v>
      </c>
      <c r="AZ173" s="2"/>
      <c r="BA173" s="2" t="s">
        <v>132</v>
      </c>
      <c r="BB173" s="2" t="s">
        <v>224</v>
      </c>
      <c r="BC173" s="74"/>
      <c r="BD173" s="2"/>
      <c r="BE173" s="2">
        <v>0</v>
      </c>
    </row>
    <row r="174" spans="1:57" ht="13" hidden="1" x14ac:dyDescent="0.15">
      <c r="A174" s="2" t="s">
        <v>366</v>
      </c>
      <c r="B174" s="2" t="s">
        <v>367</v>
      </c>
      <c r="C174" s="9">
        <v>2017</v>
      </c>
      <c r="D174" s="2" t="s">
        <v>374</v>
      </c>
      <c r="E174" s="2" t="s">
        <v>135</v>
      </c>
      <c r="F174" s="2"/>
      <c r="G174" s="2" t="s">
        <v>136</v>
      </c>
      <c r="H174" s="2"/>
      <c r="I174" s="2" t="s">
        <v>377</v>
      </c>
      <c r="J174" s="2" t="s">
        <v>179</v>
      </c>
      <c r="K174" s="9">
        <v>837</v>
      </c>
      <c r="L174" s="9">
        <v>28.5</v>
      </c>
      <c r="M174" s="2"/>
      <c r="N174" s="2"/>
      <c r="O174" s="2"/>
      <c r="P174" s="2"/>
      <c r="Q174" s="17"/>
      <c r="R174" s="2"/>
      <c r="S174" s="2"/>
      <c r="T174" s="2"/>
      <c r="U174" s="2"/>
      <c r="V174" s="2"/>
      <c r="W174" s="2"/>
      <c r="X174" s="2"/>
      <c r="Y174" s="2"/>
      <c r="Z174" s="2"/>
      <c r="AA174" s="2"/>
      <c r="AB174" s="2"/>
      <c r="AC174" s="2"/>
      <c r="AD174" s="9">
        <v>2.2000000000000002</v>
      </c>
      <c r="AE174" s="9">
        <v>0.05</v>
      </c>
      <c r="AF174" s="2"/>
      <c r="AG174" s="2"/>
      <c r="AH174" s="2"/>
      <c r="AI174" s="2"/>
      <c r="AJ174" s="2"/>
      <c r="AK174" s="2"/>
      <c r="AL174" s="2"/>
      <c r="AM174" s="2"/>
      <c r="AN174" s="2"/>
      <c r="AO174" s="2"/>
      <c r="AP174" s="2"/>
      <c r="AQ174" s="2"/>
      <c r="AR174" s="2"/>
      <c r="AS174" s="10">
        <v>0.3</v>
      </c>
      <c r="AT174" s="10">
        <v>15.8</v>
      </c>
      <c r="AU174" s="2" t="s">
        <v>192</v>
      </c>
      <c r="AV174" s="2" t="s">
        <v>371</v>
      </c>
      <c r="AW174" s="9">
        <v>29</v>
      </c>
      <c r="AX174" s="9">
        <v>1</v>
      </c>
      <c r="AY174" s="9">
        <v>3</v>
      </c>
      <c r="AZ174" s="2"/>
      <c r="BA174" s="2" t="s">
        <v>132</v>
      </c>
      <c r="BB174" s="2" t="s">
        <v>224</v>
      </c>
      <c r="BC174" s="2"/>
      <c r="BD174" s="2"/>
      <c r="BE174" s="2">
        <v>0</v>
      </c>
    </row>
    <row r="175" spans="1:57" ht="13" hidden="1" x14ac:dyDescent="0.15">
      <c r="A175" s="2" t="s">
        <v>378</v>
      </c>
      <c r="B175" s="2" t="s">
        <v>159</v>
      </c>
      <c r="C175" s="9">
        <v>2003</v>
      </c>
      <c r="D175" s="2" t="s">
        <v>379</v>
      </c>
      <c r="E175" s="2" t="s">
        <v>327</v>
      </c>
      <c r="F175" s="2"/>
      <c r="G175" s="2" t="s">
        <v>200</v>
      </c>
      <c r="H175" s="2"/>
      <c r="I175" s="2" t="s">
        <v>380</v>
      </c>
      <c r="J175" s="2" t="s">
        <v>273</v>
      </c>
      <c r="K175" s="2"/>
      <c r="L175" s="2"/>
      <c r="M175" s="2"/>
      <c r="N175" s="2"/>
      <c r="O175" s="2"/>
      <c r="P175" s="9">
        <v>1652</v>
      </c>
      <c r="Q175" s="11">
        <v>6</v>
      </c>
      <c r="R175" s="9">
        <v>1</v>
      </c>
      <c r="S175" s="9">
        <v>100</v>
      </c>
      <c r="T175" s="15">
        <v>36617</v>
      </c>
      <c r="U175" s="29">
        <v>37226</v>
      </c>
      <c r="V175" s="9">
        <v>20</v>
      </c>
      <c r="W175" s="2" t="s">
        <v>381</v>
      </c>
      <c r="X175" s="2"/>
      <c r="Y175" s="2"/>
      <c r="Z175" s="9">
        <v>1.391</v>
      </c>
      <c r="AA175" s="2"/>
      <c r="AB175" s="2"/>
      <c r="AC175" s="2"/>
      <c r="AD175" s="2"/>
      <c r="AE175" s="2"/>
      <c r="AF175" s="2"/>
      <c r="AG175" s="2"/>
      <c r="AH175" s="9">
        <v>1.3069999999999999</v>
      </c>
      <c r="AI175" s="2"/>
      <c r="AJ175" s="2"/>
      <c r="AK175" s="2"/>
      <c r="AL175" s="9">
        <f>0.1 * AH175*Z175*50</f>
        <v>9.090185</v>
      </c>
      <c r="AM175" s="2"/>
      <c r="AN175" s="2"/>
      <c r="AO175" s="2"/>
      <c r="AP175" s="2"/>
      <c r="AQ175" s="2"/>
      <c r="AR175" s="2"/>
      <c r="AS175" s="2"/>
      <c r="AT175" s="2"/>
      <c r="AU175" s="2"/>
      <c r="AV175" s="2" t="s">
        <v>382</v>
      </c>
      <c r="AW175" s="9">
        <v>89</v>
      </c>
      <c r="AX175" s="2"/>
      <c r="AY175" s="2"/>
      <c r="AZ175" s="2"/>
      <c r="BA175" s="2"/>
      <c r="BB175" s="2" t="s">
        <v>224</v>
      </c>
      <c r="BC175" s="2"/>
      <c r="BD175" s="2"/>
      <c r="BE175" s="2">
        <v>0</v>
      </c>
    </row>
    <row r="176" spans="1:57" ht="13" hidden="1" x14ac:dyDescent="0.15">
      <c r="A176" s="2" t="s">
        <v>378</v>
      </c>
      <c r="B176" s="2" t="s">
        <v>159</v>
      </c>
      <c r="C176" s="9">
        <v>2003</v>
      </c>
      <c r="D176" s="2" t="s">
        <v>379</v>
      </c>
      <c r="E176" s="2" t="s">
        <v>327</v>
      </c>
      <c r="F176" s="2"/>
      <c r="G176" s="2" t="s">
        <v>136</v>
      </c>
      <c r="H176" s="2"/>
      <c r="I176" s="2" t="s">
        <v>383</v>
      </c>
      <c r="J176" s="2" t="s">
        <v>273</v>
      </c>
      <c r="K176" s="2"/>
      <c r="L176" s="2"/>
      <c r="M176" s="2"/>
      <c r="N176" s="2"/>
      <c r="O176" s="2"/>
      <c r="P176" s="9">
        <v>1652</v>
      </c>
      <c r="Q176" s="11">
        <v>6</v>
      </c>
      <c r="R176" s="9">
        <v>1</v>
      </c>
      <c r="S176" s="9">
        <v>100</v>
      </c>
      <c r="T176" s="15">
        <v>36618</v>
      </c>
      <c r="U176" s="29">
        <v>37227</v>
      </c>
      <c r="V176" s="9">
        <v>20</v>
      </c>
      <c r="W176" s="2" t="s">
        <v>381</v>
      </c>
      <c r="X176" s="2"/>
      <c r="Y176" s="2"/>
      <c r="Z176" s="9">
        <v>1.024</v>
      </c>
      <c r="AA176" s="2"/>
      <c r="AB176" s="2"/>
      <c r="AC176" s="2"/>
      <c r="AD176" s="2"/>
      <c r="AE176" s="2"/>
      <c r="AF176" s="2"/>
      <c r="AG176" s="2"/>
      <c r="AH176" s="9">
        <v>1.3069999999999999</v>
      </c>
      <c r="AI176" s="2"/>
      <c r="AJ176" s="2"/>
      <c r="AK176" s="2"/>
      <c r="AL176" s="9">
        <f>0.1 * AH176*Z176*50</f>
        <v>6.69184</v>
      </c>
      <c r="AM176" s="2"/>
      <c r="AN176" s="9">
        <f>AL176-AL175</f>
        <v>-2.3983449999999999</v>
      </c>
      <c r="AO176" s="9">
        <f>(AN176/AL175)*100</f>
        <v>-26.383896477354419</v>
      </c>
      <c r="AP176" s="2"/>
      <c r="AQ176" s="2"/>
      <c r="AR176" s="2"/>
      <c r="AS176" s="2"/>
      <c r="AT176" s="2"/>
      <c r="AU176" s="2"/>
      <c r="AV176" s="2" t="s">
        <v>382</v>
      </c>
      <c r="AW176" s="9">
        <v>89</v>
      </c>
      <c r="AX176" s="2"/>
      <c r="AY176" s="2"/>
      <c r="AZ176" s="2"/>
      <c r="BA176" s="2"/>
      <c r="BB176" s="2" t="s">
        <v>224</v>
      </c>
      <c r="BC176" s="2"/>
      <c r="BD176" s="2"/>
      <c r="BE176" s="2">
        <v>0</v>
      </c>
    </row>
    <row r="177" spans="1:57" ht="13" hidden="1" x14ac:dyDescent="0.15">
      <c r="A177" s="2" t="s">
        <v>378</v>
      </c>
      <c r="B177" s="2" t="s">
        <v>159</v>
      </c>
      <c r="C177" s="9">
        <v>2003</v>
      </c>
      <c r="D177" s="2" t="s">
        <v>379</v>
      </c>
      <c r="E177" s="2" t="s">
        <v>327</v>
      </c>
      <c r="F177" s="2"/>
      <c r="G177" s="2" t="s">
        <v>200</v>
      </c>
      <c r="H177" s="2"/>
      <c r="I177" s="2" t="s">
        <v>380</v>
      </c>
      <c r="J177" s="2" t="s">
        <v>384</v>
      </c>
      <c r="K177" s="2"/>
      <c r="L177" s="2"/>
      <c r="M177" s="2"/>
      <c r="N177" s="2"/>
      <c r="O177" s="2"/>
      <c r="P177" s="9">
        <v>1652</v>
      </c>
      <c r="Q177" s="11">
        <v>6</v>
      </c>
      <c r="R177" s="9">
        <v>1</v>
      </c>
      <c r="S177" s="9">
        <v>100</v>
      </c>
      <c r="T177" s="15">
        <v>36619</v>
      </c>
      <c r="U177" s="29">
        <v>37228</v>
      </c>
      <c r="V177" s="9">
        <v>20</v>
      </c>
      <c r="W177" s="2" t="s">
        <v>381</v>
      </c>
      <c r="X177" s="2"/>
      <c r="Y177" s="2"/>
      <c r="Z177" s="9">
        <v>0.94399999999999995</v>
      </c>
      <c r="AA177" s="2"/>
      <c r="AB177" s="2"/>
      <c r="AC177" s="2"/>
      <c r="AD177" s="2"/>
      <c r="AE177" s="2"/>
      <c r="AF177" s="2"/>
      <c r="AG177" s="2"/>
      <c r="AH177" s="9">
        <v>1.3069999999999999</v>
      </c>
      <c r="AI177" s="2"/>
      <c r="AJ177" s="2"/>
      <c r="AK177" s="2"/>
      <c r="AL177" s="9">
        <f>0.1 * AH177*Z177*50</f>
        <v>6.1690399999999999</v>
      </c>
      <c r="AM177" s="2"/>
      <c r="AN177" s="2"/>
      <c r="AO177" s="2"/>
      <c r="AP177" s="2"/>
      <c r="AQ177" s="2"/>
      <c r="AR177" s="2"/>
      <c r="AS177" s="2"/>
      <c r="AT177" s="2"/>
      <c r="AU177" s="2"/>
      <c r="AV177" s="2" t="s">
        <v>382</v>
      </c>
      <c r="AW177" s="9">
        <v>89</v>
      </c>
      <c r="AX177" s="2"/>
      <c r="AY177" s="2"/>
      <c r="AZ177" s="2"/>
      <c r="BA177" s="2"/>
      <c r="BB177" s="2" t="s">
        <v>224</v>
      </c>
      <c r="BC177" s="2"/>
      <c r="BD177" s="2"/>
      <c r="BE177" s="2">
        <v>0</v>
      </c>
    </row>
    <row r="178" spans="1:57" ht="13" hidden="1" x14ac:dyDescent="0.15">
      <c r="A178" s="2" t="s">
        <v>378</v>
      </c>
      <c r="B178" s="2" t="s">
        <v>159</v>
      </c>
      <c r="C178" s="9">
        <v>2003</v>
      </c>
      <c r="D178" s="2" t="s">
        <v>379</v>
      </c>
      <c r="E178" s="2" t="s">
        <v>327</v>
      </c>
      <c r="F178" s="2"/>
      <c r="G178" s="2" t="s">
        <v>136</v>
      </c>
      <c r="H178" s="2"/>
      <c r="I178" s="2" t="s">
        <v>383</v>
      </c>
      <c r="J178" s="2" t="s">
        <v>384</v>
      </c>
      <c r="K178" s="2"/>
      <c r="L178" s="2"/>
      <c r="M178" s="2"/>
      <c r="N178" s="2"/>
      <c r="O178" s="2"/>
      <c r="P178" s="9">
        <v>1652</v>
      </c>
      <c r="Q178" s="11">
        <v>6</v>
      </c>
      <c r="R178" s="9">
        <v>1</v>
      </c>
      <c r="S178" s="9">
        <v>100</v>
      </c>
      <c r="T178" s="15">
        <v>36620</v>
      </c>
      <c r="U178" s="29">
        <v>37229</v>
      </c>
      <c r="V178" s="9">
        <v>20</v>
      </c>
      <c r="W178" s="2" t="s">
        <v>381</v>
      </c>
      <c r="X178" s="2"/>
      <c r="Y178" s="2"/>
      <c r="Z178" s="9">
        <v>0.84599999999999997</v>
      </c>
      <c r="AA178" s="2"/>
      <c r="AB178" s="2"/>
      <c r="AC178" s="2"/>
      <c r="AD178" s="2"/>
      <c r="AE178" s="2"/>
      <c r="AF178" s="2"/>
      <c r="AG178" s="2"/>
      <c r="AH178" s="9">
        <v>1.3069999999999999</v>
      </c>
      <c r="AI178" s="2"/>
      <c r="AJ178" s="2"/>
      <c r="AK178" s="2"/>
      <c r="AL178" s="9">
        <f>0.1 * AH178*Z178*50</f>
        <v>5.5286100000000005</v>
      </c>
      <c r="AM178" s="2"/>
      <c r="AN178" s="9">
        <f>AL178-AL177</f>
        <v>-0.64042999999999939</v>
      </c>
      <c r="AO178" s="9">
        <f>(AN178/AL177)*100</f>
        <v>-10.38135593220338</v>
      </c>
      <c r="AP178" s="2"/>
      <c r="AQ178" s="2"/>
      <c r="AR178" s="2"/>
      <c r="AS178" s="2"/>
      <c r="AT178" s="2"/>
      <c r="AU178" s="2"/>
      <c r="AV178" s="2" t="s">
        <v>382</v>
      </c>
      <c r="AW178" s="9">
        <v>89</v>
      </c>
      <c r="AX178" s="2"/>
      <c r="AY178" s="2"/>
      <c r="AZ178" s="2"/>
      <c r="BA178" s="2"/>
      <c r="BB178" s="2" t="s">
        <v>224</v>
      </c>
      <c r="BC178" s="2"/>
      <c r="BD178" s="2"/>
      <c r="BE178" s="2">
        <v>0</v>
      </c>
    </row>
    <row r="179" spans="1:57" ht="14" hidden="1" x14ac:dyDescent="0.15">
      <c r="A179" s="2" t="s">
        <v>385</v>
      </c>
      <c r="B179" s="2" t="s">
        <v>159</v>
      </c>
      <c r="C179" s="9">
        <v>2015</v>
      </c>
      <c r="D179" s="2" t="s">
        <v>386</v>
      </c>
      <c r="E179" s="2" t="s">
        <v>143</v>
      </c>
      <c r="F179" s="2"/>
      <c r="G179" s="8" t="s">
        <v>238</v>
      </c>
      <c r="H179" s="2"/>
      <c r="I179" s="2" t="s">
        <v>238</v>
      </c>
      <c r="J179" s="10" t="s">
        <v>387</v>
      </c>
      <c r="K179" s="9">
        <v>370.2</v>
      </c>
      <c r="L179" s="9">
        <f>AVERAGE(7.9,20.9)</f>
        <v>14.399999999999999</v>
      </c>
      <c r="M179" s="2"/>
      <c r="N179" s="2"/>
      <c r="O179" s="2"/>
      <c r="P179" s="9">
        <v>1260</v>
      </c>
      <c r="Q179" s="11">
        <v>1</v>
      </c>
      <c r="R179" s="9">
        <v>3</v>
      </c>
      <c r="S179" s="9">
        <v>34000</v>
      </c>
      <c r="T179" s="2"/>
      <c r="U179" s="2"/>
      <c r="V179" s="2"/>
      <c r="W179" s="2"/>
      <c r="X179" s="2"/>
      <c r="Y179" s="2"/>
      <c r="Z179" s="2"/>
      <c r="AA179" s="2"/>
      <c r="AB179" s="2"/>
      <c r="AC179" s="2"/>
      <c r="AD179" s="2"/>
      <c r="AE179" s="2"/>
      <c r="AF179" s="2"/>
      <c r="AG179" s="2"/>
      <c r="AH179" s="2"/>
      <c r="AI179" s="2"/>
      <c r="AJ179" s="2"/>
      <c r="AK179" s="2"/>
      <c r="AL179" s="9">
        <v>0.62</v>
      </c>
      <c r="AM179" s="9">
        <v>0.02</v>
      </c>
      <c r="AN179" s="9">
        <f>AL179-AL180</f>
        <v>0.13</v>
      </c>
      <c r="AO179" s="9">
        <f>(AN179/AL179)*100</f>
        <v>20.967741935483872</v>
      </c>
      <c r="AP179" s="2"/>
      <c r="AQ179" s="2"/>
      <c r="AR179" s="2"/>
      <c r="AS179" s="2"/>
      <c r="AT179" s="2"/>
      <c r="AU179" s="2" t="s">
        <v>388</v>
      </c>
      <c r="AV179" s="2" t="s">
        <v>131</v>
      </c>
      <c r="AW179" s="2"/>
      <c r="AX179" s="9">
        <v>1</v>
      </c>
      <c r="AY179" s="9">
        <v>2</v>
      </c>
      <c r="AZ179" s="2" t="s">
        <v>389</v>
      </c>
      <c r="BA179" s="2"/>
      <c r="BB179" s="2" t="s">
        <v>253</v>
      </c>
      <c r="BC179" s="2"/>
      <c r="BD179" s="2"/>
      <c r="BE179" s="2">
        <v>0</v>
      </c>
    </row>
    <row r="180" spans="1:57" ht="13" hidden="1" x14ac:dyDescent="0.15">
      <c r="A180" s="2" t="s">
        <v>385</v>
      </c>
      <c r="B180" s="2" t="s">
        <v>159</v>
      </c>
      <c r="C180" s="9">
        <v>2015</v>
      </c>
      <c r="D180" s="2" t="s">
        <v>386</v>
      </c>
      <c r="E180" s="2" t="s">
        <v>143</v>
      </c>
      <c r="F180" s="2"/>
      <c r="G180" s="2" t="s">
        <v>113</v>
      </c>
      <c r="H180" s="2"/>
      <c r="I180" s="2" t="s">
        <v>390</v>
      </c>
      <c r="J180" s="10" t="s">
        <v>387</v>
      </c>
      <c r="K180" s="9">
        <v>370.2</v>
      </c>
      <c r="L180" s="9">
        <f>AVERAGE(7.9,20.9)</f>
        <v>14.399999999999999</v>
      </c>
      <c r="M180" s="2"/>
      <c r="N180" s="2"/>
      <c r="O180" s="2"/>
      <c r="P180" s="9">
        <v>1260</v>
      </c>
      <c r="Q180" s="11">
        <v>1</v>
      </c>
      <c r="R180" s="9">
        <v>3</v>
      </c>
      <c r="S180" s="9">
        <v>34000</v>
      </c>
      <c r="T180" s="2"/>
      <c r="U180" s="2"/>
      <c r="V180" s="2"/>
      <c r="W180" s="2"/>
      <c r="X180" s="2"/>
      <c r="Y180" s="2"/>
      <c r="Z180" s="2"/>
      <c r="AA180" s="2"/>
      <c r="AB180" s="2"/>
      <c r="AC180" s="2"/>
      <c r="AD180" s="2"/>
      <c r="AE180" s="2"/>
      <c r="AF180" s="2"/>
      <c r="AG180" s="2"/>
      <c r="AH180" s="2"/>
      <c r="AI180" s="2"/>
      <c r="AJ180" s="2"/>
      <c r="AK180" s="2"/>
      <c r="AL180" s="9">
        <v>0.49</v>
      </c>
      <c r="AM180" s="2"/>
      <c r="AN180" s="2"/>
      <c r="AO180" s="2"/>
      <c r="AP180" s="2"/>
      <c r="AQ180" s="2"/>
      <c r="AR180" s="2"/>
      <c r="AS180" s="2"/>
      <c r="AT180" s="2"/>
      <c r="AU180" s="2" t="s">
        <v>388</v>
      </c>
      <c r="AV180" s="2" t="s">
        <v>131</v>
      </c>
      <c r="AW180" s="2"/>
      <c r="AX180" s="9">
        <v>1</v>
      </c>
      <c r="AY180" s="9">
        <v>2</v>
      </c>
      <c r="AZ180" s="2" t="s">
        <v>389</v>
      </c>
      <c r="BA180" s="2"/>
      <c r="BB180" s="2" t="s">
        <v>253</v>
      </c>
      <c r="BC180" s="2"/>
      <c r="BD180" s="2"/>
      <c r="BE180" s="2">
        <v>0</v>
      </c>
    </row>
    <row r="181" spans="1:57" ht="28" hidden="1" x14ac:dyDescent="0.15">
      <c r="A181" s="7" t="s">
        <v>391</v>
      </c>
      <c r="B181" s="8" t="s">
        <v>127</v>
      </c>
      <c r="C181" s="9">
        <v>2015</v>
      </c>
      <c r="D181" s="2"/>
      <c r="E181" s="2" t="s">
        <v>143</v>
      </c>
      <c r="F181" s="2"/>
      <c r="G181" s="2" t="s">
        <v>113</v>
      </c>
      <c r="H181" s="2"/>
      <c r="I181" s="2" t="s">
        <v>392</v>
      </c>
      <c r="J181" s="10" t="s">
        <v>115</v>
      </c>
      <c r="K181" s="30">
        <v>550</v>
      </c>
      <c r="L181" s="9">
        <v>20</v>
      </c>
      <c r="M181" s="2"/>
      <c r="N181" s="2"/>
      <c r="O181" s="2"/>
      <c r="P181" s="9">
        <v>1550</v>
      </c>
      <c r="Q181" s="17"/>
      <c r="R181" s="2"/>
      <c r="S181" s="2"/>
      <c r="T181" s="2"/>
      <c r="U181" s="2"/>
      <c r="V181" s="2"/>
      <c r="W181" s="2"/>
      <c r="X181" s="2"/>
      <c r="Y181" s="2"/>
      <c r="Z181" s="2"/>
      <c r="AA181" s="2"/>
      <c r="AB181" s="2"/>
      <c r="AC181" s="2"/>
      <c r="AD181" s="2"/>
      <c r="AE181" s="2"/>
      <c r="AF181" s="2"/>
      <c r="AG181" s="2"/>
      <c r="AH181" s="2"/>
      <c r="AI181" s="2"/>
      <c r="AJ181" s="2"/>
      <c r="AK181" s="2"/>
      <c r="AL181" s="9">
        <v>29.5</v>
      </c>
      <c r="AM181" s="9">
        <v>2</v>
      </c>
      <c r="AN181" s="2"/>
      <c r="AO181" s="2"/>
      <c r="AP181" s="2"/>
      <c r="AQ181" s="2"/>
      <c r="AR181" s="2"/>
      <c r="AS181" s="2"/>
      <c r="AT181" s="2"/>
      <c r="AU181" s="2"/>
      <c r="AV181" s="2"/>
      <c r="AW181" s="9">
        <v>46</v>
      </c>
      <c r="AX181" s="2"/>
      <c r="AY181" s="2"/>
      <c r="AZ181" s="2"/>
      <c r="BA181" s="2"/>
      <c r="BB181" s="2"/>
      <c r="BC181" s="6"/>
      <c r="BD181" s="2"/>
      <c r="BE181" s="2">
        <v>0</v>
      </c>
    </row>
    <row r="182" spans="1:57" ht="28" hidden="1" x14ac:dyDescent="0.15">
      <c r="A182" s="7" t="s">
        <v>391</v>
      </c>
      <c r="B182" s="8" t="s">
        <v>127</v>
      </c>
      <c r="C182" s="9">
        <v>2015</v>
      </c>
      <c r="D182" s="2"/>
      <c r="E182" s="2" t="s">
        <v>143</v>
      </c>
      <c r="F182" s="2"/>
      <c r="G182" s="2" t="s">
        <v>238</v>
      </c>
      <c r="H182" s="2"/>
      <c r="I182" s="2" t="s">
        <v>393</v>
      </c>
      <c r="J182" s="10" t="s">
        <v>118</v>
      </c>
      <c r="K182" s="30">
        <v>550</v>
      </c>
      <c r="L182" s="9">
        <v>20</v>
      </c>
      <c r="M182" s="2"/>
      <c r="N182" s="2"/>
      <c r="O182" s="2"/>
      <c r="P182" s="9">
        <v>1550</v>
      </c>
      <c r="Q182" s="17"/>
      <c r="R182" s="2"/>
      <c r="S182" s="2"/>
      <c r="T182" s="2"/>
      <c r="U182" s="2"/>
      <c r="V182" s="2"/>
      <c r="W182" s="2"/>
      <c r="X182" s="2"/>
      <c r="Y182" s="2"/>
      <c r="Z182" s="2"/>
      <c r="AA182" s="2"/>
      <c r="AB182" s="2"/>
      <c r="AC182" s="2"/>
      <c r="AD182" s="2"/>
      <c r="AE182" s="2"/>
      <c r="AF182" s="2"/>
      <c r="AG182" s="2"/>
      <c r="AH182" s="2"/>
      <c r="AI182" s="2"/>
      <c r="AJ182" s="2"/>
      <c r="AK182" s="2"/>
      <c r="AL182" s="9">
        <v>55.6</v>
      </c>
      <c r="AM182" s="9">
        <v>2</v>
      </c>
      <c r="AN182" s="9">
        <f>AL182-AL181</f>
        <v>26.1</v>
      </c>
      <c r="AO182" s="9">
        <f>(AN182/AL181)*100</f>
        <v>88.47457627118645</v>
      </c>
      <c r="AP182" s="2"/>
      <c r="AQ182" s="2"/>
      <c r="AR182" s="2"/>
      <c r="AS182" s="2"/>
      <c r="AT182" s="2"/>
      <c r="AU182" s="2"/>
      <c r="AV182" s="2"/>
      <c r="AW182" s="9">
        <v>46</v>
      </c>
      <c r="AX182" s="2"/>
      <c r="AY182" s="2"/>
      <c r="AZ182" s="2"/>
      <c r="BA182" s="2"/>
      <c r="BB182" s="2"/>
      <c r="BC182" s="6"/>
      <c r="BD182" s="2"/>
      <c r="BE182" s="2">
        <v>0</v>
      </c>
    </row>
    <row r="183" spans="1:57" ht="28" hidden="1" x14ac:dyDescent="0.15">
      <c r="A183" s="7" t="s">
        <v>391</v>
      </c>
      <c r="B183" s="8" t="s">
        <v>127</v>
      </c>
      <c r="C183" s="9">
        <v>2015</v>
      </c>
      <c r="D183" s="2"/>
      <c r="E183" s="2" t="s">
        <v>143</v>
      </c>
      <c r="F183" s="2"/>
      <c r="G183" s="2" t="s">
        <v>113</v>
      </c>
      <c r="H183" s="2"/>
      <c r="I183" s="2" t="s">
        <v>394</v>
      </c>
      <c r="J183" s="10" t="s">
        <v>115</v>
      </c>
      <c r="K183" s="30">
        <v>550</v>
      </c>
      <c r="L183" s="9">
        <v>20</v>
      </c>
      <c r="M183" s="2"/>
      <c r="N183" s="2"/>
      <c r="O183" s="2"/>
      <c r="P183" s="9">
        <v>1550</v>
      </c>
      <c r="Q183" s="17"/>
      <c r="R183" s="2"/>
      <c r="S183" s="2"/>
      <c r="T183" s="2"/>
      <c r="U183" s="2"/>
      <c r="V183" s="2"/>
      <c r="W183" s="2"/>
      <c r="X183" s="2"/>
      <c r="Y183" s="2"/>
      <c r="Z183" s="2"/>
      <c r="AA183" s="2"/>
      <c r="AB183" s="2"/>
      <c r="AC183" s="2"/>
      <c r="AD183" s="2"/>
      <c r="AE183" s="2"/>
      <c r="AF183" s="2"/>
      <c r="AG183" s="2"/>
      <c r="AH183" s="2"/>
      <c r="AI183" s="2"/>
      <c r="AJ183" s="2"/>
      <c r="AK183" s="2"/>
      <c r="AL183" s="9">
        <v>24.9</v>
      </c>
      <c r="AM183" s="9">
        <v>2</v>
      </c>
      <c r="AN183" s="2"/>
      <c r="AO183" s="2"/>
      <c r="AP183" s="2"/>
      <c r="AQ183" s="2"/>
      <c r="AR183" s="2"/>
      <c r="AS183" s="2"/>
      <c r="AT183" s="2"/>
      <c r="AU183" s="2"/>
      <c r="AV183" s="2"/>
      <c r="AW183" s="9">
        <v>46</v>
      </c>
      <c r="AX183" s="2"/>
      <c r="AY183" s="2"/>
      <c r="AZ183" s="2"/>
      <c r="BA183" s="2"/>
      <c r="BB183" s="2"/>
      <c r="BC183" s="6"/>
      <c r="BD183" s="2"/>
      <c r="BE183" s="2">
        <v>0</v>
      </c>
    </row>
    <row r="184" spans="1:57" ht="28" hidden="1" x14ac:dyDescent="0.15">
      <c r="A184" s="7" t="s">
        <v>391</v>
      </c>
      <c r="B184" s="8" t="s">
        <v>127</v>
      </c>
      <c r="C184" s="9">
        <v>2015</v>
      </c>
      <c r="D184" s="2"/>
      <c r="E184" s="2" t="s">
        <v>143</v>
      </c>
      <c r="F184" s="2"/>
      <c r="G184" s="2" t="s">
        <v>238</v>
      </c>
      <c r="H184" s="2"/>
      <c r="I184" s="2" t="s">
        <v>393</v>
      </c>
      <c r="J184" s="10" t="s">
        <v>118</v>
      </c>
      <c r="K184" s="30">
        <v>550</v>
      </c>
      <c r="L184" s="9">
        <v>20</v>
      </c>
      <c r="M184" s="2"/>
      <c r="N184" s="2"/>
      <c r="O184" s="2"/>
      <c r="P184" s="9">
        <v>1550</v>
      </c>
      <c r="Q184" s="17"/>
      <c r="R184" s="2"/>
      <c r="S184" s="2"/>
      <c r="T184" s="2"/>
      <c r="U184" s="2"/>
      <c r="V184" s="2"/>
      <c r="W184" s="2"/>
      <c r="X184" s="2"/>
      <c r="Y184" s="2"/>
      <c r="Z184" s="2"/>
      <c r="AA184" s="2"/>
      <c r="AB184" s="2"/>
      <c r="AC184" s="2"/>
      <c r="AD184" s="2"/>
      <c r="AE184" s="2"/>
      <c r="AF184" s="2"/>
      <c r="AG184" s="2"/>
      <c r="AH184" s="2"/>
      <c r="AI184" s="2"/>
      <c r="AJ184" s="2"/>
      <c r="AK184" s="2"/>
      <c r="AL184" s="9">
        <v>25.4</v>
      </c>
      <c r="AM184" s="9">
        <v>2</v>
      </c>
      <c r="AN184" s="9">
        <f>AL184-AL183</f>
        <v>0.5</v>
      </c>
      <c r="AO184" s="9">
        <f>(AN184/AL183)*100</f>
        <v>2.0080321285140563</v>
      </c>
      <c r="AP184" s="2"/>
      <c r="AQ184" s="2"/>
      <c r="AR184" s="2"/>
      <c r="AS184" s="2"/>
      <c r="AT184" s="2"/>
      <c r="AU184" s="2"/>
      <c r="AV184" s="2"/>
      <c r="AW184" s="9">
        <v>46</v>
      </c>
      <c r="AX184" s="2"/>
      <c r="AY184" s="2"/>
      <c r="AZ184" s="2"/>
      <c r="BA184" s="2"/>
      <c r="BB184" s="2"/>
      <c r="BC184" s="6"/>
      <c r="BD184" s="2"/>
      <c r="BE184" s="2">
        <v>0</v>
      </c>
    </row>
    <row r="185" spans="1:57" ht="28" hidden="1" x14ac:dyDescent="0.15">
      <c r="A185" s="7" t="s">
        <v>391</v>
      </c>
      <c r="B185" s="8" t="s">
        <v>127</v>
      </c>
      <c r="C185" s="9">
        <v>2015</v>
      </c>
      <c r="D185" s="2"/>
      <c r="E185" s="2" t="s">
        <v>143</v>
      </c>
      <c r="F185" s="2"/>
      <c r="G185" s="2" t="s">
        <v>113</v>
      </c>
      <c r="H185" s="2"/>
      <c r="I185" s="2" t="s">
        <v>395</v>
      </c>
      <c r="J185" s="10" t="s">
        <v>115</v>
      </c>
      <c r="K185" s="30">
        <v>550</v>
      </c>
      <c r="L185" s="9">
        <v>20</v>
      </c>
      <c r="M185" s="2"/>
      <c r="N185" s="2"/>
      <c r="O185" s="2"/>
      <c r="P185" s="9">
        <v>1500</v>
      </c>
      <c r="Q185" s="17"/>
      <c r="R185" s="2"/>
      <c r="S185" s="2"/>
      <c r="T185" s="2"/>
      <c r="U185" s="2"/>
      <c r="V185" s="2"/>
      <c r="W185" s="2"/>
      <c r="X185" s="2"/>
      <c r="Y185" s="2"/>
      <c r="Z185" s="2"/>
      <c r="AA185" s="2"/>
      <c r="AB185" s="2"/>
      <c r="AC185" s="2"/>
      <c r="AD185" s="2"/>
      <c r="AE185" s="2"/>
      <c r="AF185" s="2"/>
      <c r="AG185" s="2"/>
      <c r="AH185" s="2"/>
      <c r="AI185" s="2"/>
      <c r="AJ185" s="2"/>
      <c r="AK185" s="2"/>
      <c r="AL185" s="9">
        <v>23.1</v>
      </c>
      <c r="AM185" s="9">
        <v>2</v>
      </c>
      <c r="AN185" s="2"/>
      <c r="AO185" s="2"/>
      <c r="AP185" s="2"/>
      <c r="AQ185" s="2"/>
      <c r="AR185" s="2"/>
      <c r="AS185" s="2"/>
      <c r="AT185" s="2"/>
      <c r="AU185" s="2"/>
      <c r="AV185" s="2"/>
      <c r="AW185" s="9">
        <v>67</v>
      </c>
      <c r="AX185" s="2"/>
      <c r="AY185" s="2"/>
      <c r="AZ185" s="2"/>
      <c r="BA185" s="2"/>
      <c r="BB185" s="2"/>
      <c r="BC185" s="6"/>
      <c r="BD185" s="2"/>
      <c r="BE185" s="2">
        <v>0</v>
      </c>
    </row>
    <row r="186" spans="1:57" ht="28" hidden="1" x14ac:dyDescent="0.15">
      <c r="A186" s="7" t="s">
        <v>391</v>
      </c>
      <c r="B186" s="8" t="s">
        <v>127</v>
      </c>
      <c r="C186" s="9">
        <v>2015</v>
      </c>
      <c r="D186" s="2"/>
      <c r="E186" s="2" t="s">
        <v>143</v>
      </c>
      <c r="F186" s="2"/>
      <c r="G186" s="2" t="s">
        <v>238</v>
      </c>
      <c r="H186" s="2"/>
      <c r="I186" s="2" t="s">
        <v>396</v>
      </c>
      <c r="J186" s="10" t="s">
        <v>118</v>
      </c>
      <c r="K186" s="30">
        <v>550</v>
      </c>
      <c r="L186" s="9">
        <v>20</v>
      </c>
      <c r="M186" s="2"/>
      <c r="N186" s="2"/>
      <c r="O186" s="2"/>
      <c r="P186" s="9">
        <v>1500</v>
      </c>
      <c r="Q186" s="17"/>
      <c r="R186" s="2"/>
      <c r="S186" s="2"/>
      <c r="T186" s="2"/>
      <c r="U186" s="2"/>
      <c r="V186" s="2"/>
      <c r="W186" s="2"/>
      <c r="X186" s="2"/>
      <c r="Y186" s="2"/>
      <c r="Z186" s="2"/>
      <c r="AA186" s="2"/>
      <c r="AB186" s="2"/>
      <c r="AC186" s="2"/>
      <c r="AD186" s="2"/>
      <c r="AE186" s="2"/>
      <c r="AF186" s="2"/>
      <c r="AG186" s="2"/>
      <c r="AH186" s="2"/>
      <c r="AI186" s="2"/>
      <c r="AJ186" s="2"/>
      <c r="AK186" s="2"/>
      <c r="AL186" s="9">
        <v>26.1</v>
      </c>
      <c r="AM186" s="9">
        <v>2</v>
      </c>
      <c r="AN186" s="9">
        <f>AL186-AL185</f>
        <v>3</v>
      </c>
      <c r="AO186" s="9">
        <f>(AN186/AL185)*100</f>
        <v>12.987012987012985</v>
      </c>
      <c r="AP186" s="2"/>
      <c r="AQ186" s="2"/>
      <c r="AR186" s="2"/>
      <c r="AS186" s="2"/>
      <c r="AT186" s="2"/>
      <c r="AU186" s="2"/>
      <c r="AV186" s="2"/>
      <c r="AW186" s="9">
        <v>67</v>
      </c>
      <c r="AX186" s="2"/>
      <c r="AY186" s="2"/>
      <c r="AZ186" s="2"/>
      <c r="BA186" s="2"/>
      <c r="BB186" s="2"/>
      <c r="BC186" s="6"/>
      <c r="BD186" s="2"/>
      <c r="BE186" s="2">
        <v>0</v>
      </c>
    </row>
    <row r="187" spans="1:57" ht="28" hidden="1" x14ac:dyDescent="0.15">
      <c r="A187" s="7" t="s">
        <v>391</v>
      </c>
      <c r="B187" s="8" t="s">
        <v>127</v>
      </c>
      <c r="C187" s="9">
        <v>2015</v>
      </c>
      <c r="D187" s="2"/>
      <c r="E187" s="2" t="s">
        <v>143</v>
      </c>
      <c r="F187" s="2"/>
      <c r="G187" s="2" t="s">
        <v>113</v>
      </c>
      <c r="H187" s="2"/>
      <c r="I187" s="2" t="s">
        <v>395</v>
      </c>
      <c r="J187" s="10" t="s">
        <v>115</v>
      </c>
      <c r="K187" s="30">
        <v>550</v>
      </c>
      <c r="L187" s="9">
        <v>20</v>
      </c>
      <c r="M187" s="2"/>
      <c r="N187" s="2"/>
      <c r="O187" s="2"/>
      <c r="P187" s="9">
        <v>1500</v>
      </c>
      <c r="Q187" s="17"/>
      <c r="R187" s="2"/>
      <c r="S187" s="2"/>
      <c r="T187" s="2"/>
      <c r="U187" s="2"/>
      <c r="V187" s="2"/>
      <c r="W187" s="2"/>
      <c r="X187" s="2"/>
      <c r="Y187" s="2"/>
      <c r="Z187" s="2"/>
      <c r="AA187" s="2"/>
      <c r="AB187" s="2"/>
      <c r="AC187" s="2"/>
      <c r="AD187" s="2"/>
      <c r="AE187" s="2"/>
      <c r="AF187" s="2"/>
      <c r="AG187" s="2"/>
      <c r="AH187" s="2"/>
      <c r="AI187" s="2"/>
      <c r="AJ187" s="2"/>
      <c r="AK187" s="2"/>
      <c r="AL187" s="9">
        <v>17.3</v>
      </c>
      <c r="AM187" s="9">
        <v>2</v>
      </c>
      <c r="AN187" s="2"/>
      <c r="AO187" s="2"/>
      <c r="AP187" s="2"/>
      <c r="AQ187" s="2"/>
      <c r="AR187" s="2"/>
      <c r="AS187" s="2"/>
      <c r="AT187" s="2"/>
      <c r="AU187" s="2"/>
      <c r="AV187" s="2"/>
      <c r="AW187" s="9">
        <v>67</v>
      </c>
      <c r="AX187" s="2"/>
      <c r="AY187" s="2"/>
      <c r="AZ187" s="2"/>
      <c r="BA187" s="2"/>
      <c r="BB187" s="2"/>
      <c r="BC187" s="6"/>
      <c r="BD187" s="2"/>
      <c r="BE187" s="2">
        <v>0</v>
      </c>
    </row>
    <row r="188" spans="1:57" ht="28" hidden="1" x14ac:dyDescent="0.15">
      <c r="A188" s="7" t="s">
        <v>391</v>
      </c>
      <c r="B188" s="8" t="s">
        <v>127</v>
      </c>
      <c r="C188" s="9">
        <v>2015</v>
      </c>
      <c r="D188" s="2"/>
      <c r="E188" s="2" t="s">
        <v>143</v>
      </c>
      <c r="F188" s="2"/>
      <c r="G188" s="2" t="s">
        <v>238</v>
      </c>
      <c r="H188" s="2"/>
      <c r="I188" s="2" t="s">
        <v>396</v>
      </c>
      <c r="J188" s="10" t="s">
        <v>118</v>
      </c>
      <c r="K188" s="30">
        <v>550</v>
      </c>
      <c r="L188" s="9">
        <v>20</v>
      </c>
      <c r="M188" s="2"/>
      <c r="N188" s="2"/>
      <c r="O188" s="2"/>
      <c r="P188" s="9">
        <v>1500</v>
      </c>
      <c r="Q188" s="17"/>
      <c r="R188" s="2"/>
      <c r="S188" s="2"/>
      <c r="T188" s="2"/>
      <c r="U188" s="2"/>
      <c r="V188" s="2"/>
      <c r="W188" s="2"/>
      <c r="X188" s="2"/>
      <c r="Y188" s="2"/>
      <c r="Z188" s="2"/>
      <c r="AA188" s="2"/>
      <c r="AB188" s="2"/>
      <c r="AC188" s="2"/>
      <c r="AD188" s="2"/>
      <c r="AE188" s="2"/>
      <c r="AF188" s="2"/>
      <c r="AG188" s="2"/>
      <c r="AH188" s="2"/>
      <c r="AI188" s="2"/>
      <c r="AJ188" s="2"/>
      <c r="AK188" s="2"/>
      <c r="AL188" s="9">
        <v>17.2</v>
      </c>
      <c r="AM188" s="9">
        <v>2</v>
      </c>
      <c r="AN188" s="9">
        <f>AL188-AL187</f>
        <v>-0.10000000000000142</v>
      </c>
      <c r="AO188" s="9">
        <f>(AN188/AL187)*100</f>
        <v>-0.57803468208093312</v>
      </c>
      <c r="AP188" s="2"/>
      <c r="AQ188" s="2"/>
      <c r="AR188" s="2"/>
      <c r="AS188" s="2"/>
      <c r="AT188" s="2"/>
      <c r="AU188" s="2"/>
      <c r="AV188" s="2"/>
      <c r="AW188" s="9">
        <v>67</v>
      </c>
      <c r="AX188" s="2"/>
      <c r="AY188" s="2"/>
      <c r="AZ188" s="2"/>
      <c r="BA188" s="2"/>
      <c r="BB188" s="2"/>
      <c r="BC188" s="6"/>
      <c r="BD188" s="2"/>
      <c r="BE188" s="2">
        <v>0</v>
      </c>
    </row>
    <row r="189" spans="1:57" ht="28" hidden="1" x14ac:dyDescent="0.15">
      <c r="A189" s="7" t="s">
        <v>391</v>
      </c>
      <c r="B189" s="8" t="s">
        <v>127</v>
      </c>
      <c r="C189" s="9">
        <v>2015</v>
      </c>
      <c r="D189" s="2"/>
      <c r="E189" s="2" t="s">
        <v>143</v>
      </c>
      <c r="F189" s="2"/>
      <c r="G189" s="2" t="s">
        <v>113</v>
      </c>
      <c r="H189" s="2"/>
      <c r="I189" s="2" t="s">
        <v>397</v>
      </c>
      <c r="J189" s="10" t="s">
        <v>115</v>
      </c>
      <c r="K189" s="30">
        <v>550</v>
      </c>
      <c r="L189" s="9">
        <v>20</v>
      </c>
      <c r="M189" s="2"/>
      <c r="N189" s="2"/>
      <c r="O189" s="2"/>
      <c r="P189" s="9">
        <v>1505</v>
      </c>
      <c r="Q189" s="17"/>
      <c r="R189" s="2"/>
      <c r="S189" s="2"/>
      <c r="T189" s="2"/>
      <c r="U189" s="2"/>
      <c r="V189" s="2"/>
      <c r="W189" s="2"/>
      <c r="X189" s="2"/>
      <c r="Y189" s="2"/>
      <c r="Z189" s="2"/>
      <c r="AA189" s="2"/>
      <c r="AB189" s="2"/>
      <c r="AC189" s="2"/>
      <c r="AD189" s="2"/>
      <c r="AE189" s="2"/>
      <c r="AF189" s="2"/>
      <c r="AG189" s="2"/>
      <c r="AH189" s="2"/>
      <c r="AI189" s="2"/>
      <c r="AJ189" s="2"/>
      <c r="AK189" s="2"/>
      <c r="AL189" s="9">
        <v>20.9</v>
      </c>
      <c r="AM189" s="9">
        <v>2</v>
      </c>
      <c r="AN189" s="2"/>
      <c r="AO189" s="2"/>
      <c r="AP189" s="2"/>
      <c r="AQ189" s="2"/>
      <c r="AR189" s="2"/>
      <c r="AS189" s="2"/>
      <c r="AT189" s="2"/>
      <c r="AU189" s="2"/>
      <c r="AV189" s="2"/>
      <c r="AW189" s="9">
        <v>65</v>
      </c>
      <c r="AX189" s="2"/>
      <c r="AY189" s="2"/>
      <c r="AZ189" s="2"/>
      <c r="BA189" s="2"/>
      <c r="BB189" s="2"/>
      <c r="BC189" s="6"/>
      <c r="BD189" s="2"/>
      <c r="BE189" s="2">
        <v>0</v>
      </c>
    </row>
    <row r="190" spans="1:57" ht="28" hidden="1" x14ac:dyDescent="0.15">
      <c r="A190" s="7" t="s">
        <v>391</v>
      </c>
      <c r="B190" s="8" t="s">
        <v>127</v>
      </c>
      <c r="C190" s="9">
        <v>2015</v>
      </c>
      <c r="D190" s="2"/>
      <c r="E190" s="2" t="s">
        <v>143</v>
      </c>
      <c r="F190" s="2"/>
      <c r="G190" s="2" t="s">
        <v>238</v>
      </c>
      <c r="H190" s="2"/>
      <c r="I190" s="2" t="s">
        <v>398</v>
      </c>
      <c r="J190" s="10" t="s">
        <v>118</v>
      </c>
      <c r="K190" s="30">
        <v>550</v>
      </c>
      <c r="L190" s="9">
        <v>20</v>
      </c>
      <c r="M190" s="2"/>
      <c r="N190" s="2"/>
      <c r="O190" s="2"/>
      <c r="P190" s="9">
        <v>1505</v>
      </c>
      <c r="Q190" s="17"/>
      <c r="R190" s="2"/>
      <c r="S190" s="2"/>
      <c r="T190" s="2"/>
      <c r="U190" s="2"/>
      <c r="V190" s="2"/>
      <c r="W190" s="2"/>
      <c r="X190" s="2"/>
      <c r="Y190" s="2"/>
      <c r="Z190" s="2"/>
      <c r="AA190" s="2"/>
      <c r="AB190" s="2"/>
      <c r="AC190" s="2"/>
      <c r="AD190" s="2"/>
      <c r="AE190" s="2"/>
      <c r="AF190" s="2"/>
      <c r="AG190" s="2"/>
      <c r="AH190" s="2"/>
      <c r="AI190" s="2"/>
      <c r="AJ190" s="2"/>
      <c r="AK190" s="2"/>
      <c r="AL190" s="9">
        <v>21.4</v>
      </c>
      <c r="AM190" s="9">
        <v>2</v>
      </c>
      <c r="AN190" s="9">
        <f>AL190-AL189</f>
        <v>0.5</v>
      </c>
      <c r="AO190" s="9">
        <f>(AN190/AL189)*100</f>
        <v>2.3923444976076556</v>
      </c>
      <c r="AP190" s="2"/>
      <c r="AQ190" s="2"/>
      <c r="AR190" s="2"/>
      <c r="AS190" s="2"/>
      <c r="AT190" s="2"/>
      <c r="AU190" s="2"/>
      <c r="AV190" s="2"/>
      <c r="AW190" s="9">
        <v>65</v>
      </c>
      <c r="AX190" s="2"/>
      <c r="AY190" s="2"/>
      <c r="AZ190" s="2"/>
      <c r="BA190" s="2"/>
      <c r="BB190" s="2"/>
      <c r="BC190" s="6"/>
      <c r="BD190" s="2"/>
      <c r="BE190" s="2">
        <v>0</v>
      </c>
    </row>
    <row r="191" spans="1:57" ht="28" hidden="1" x14ac:dyDescent="0.15">
      <c r="A191" s="7" t="s">
        <v>391</v>
      </c>
      <c r="B191" s="8" t="s">
        <v>127</v>
      </c>
      <c r="C191" s="9">
        <v>2015</v>
      </c>
      <c r="D191" s="2"/>
      <c r="E191" s="2" t="s">
        <v>143</v>
      </c>
      <c r="F191" s="2"/>
      <c r="G191" s="2" t="s">
        <v>113</v>
      </c>
      <c r="H191" s="2"/>
      <c r="I191" s="2" t="s">
        <v>397</v>
      </c>
      <c r="J191" s="10" t="s">
        <v>115</v>
      </c>
      <c r="K191" s="30">
        <v>550</v>
      </c>
      <c r="L191" s="9">
        <v>20</v>
      </c>
      <c r="M191" s="2"/>
      <c r="N191" s="2"/>
      <c r="O191" s="2"/>
      <c r="P191" s="9">
        <v>1505</v>
      </c>
      <c r="Q191" s="17"/>
      <c r="R191" s="2"/>
      <c r="S191" s="2"/>
      <c r="T191" s="2"/>
      <c r="U191" s="2"/>
      <c r="V191" s="2"/>
      <c r="W191" s="2"/>
      <c r="X191" s="2"/>
      <c r="Y191" s="2"/>
      <c r="Z191" s="2"/>
      <c r="AA191" s="2"/>
      <c r="AB191" s="2"/>
      <c r="AC191" s="2"/>
      <c r="AD191" s="2"/>
      <c r="AE191" s="2"/>
      <c r="AF191" s="2"/>
      <c r="AG191" s="2"/>
      <c r="AH191" s="2"/>
      <c r="AI191" s="2"/>
      <c r="AJ191" s="2"/>
      <c r="AK191" s="2"/>
      <c r="AL191" s="9">
        <v>14.1</v>
      </c>
      <c r="AM191" s="9">
        <v>2</v>
      </c>
      <c r="AN191" s="2"/>
      <c r="AO191" s="2"/>
      <c r="AP191" s="2"/>
      <c r="AQ191" s="2"/>
      <c r="AR191" s="2"/>
      <c r="AS191" s="2"/>
      <c r="AT191" s="2"/>
      <c r="AU191" s="2"/>
      <c r="AV191" s="2"/>
      <c r="AW191" s="9">
        <v>65</v>
      </c>
      <c r="AX191" s="2"/>
      <c r="AY191" s="2"/>
      <c r="AZ191" s="2"/>
      <c r="BA191" s="2"/>
      <c r="BB191" s="2"/>
      <c r="BC191" s="6"/>
      <c r="BD191" s="2"/>
      <c r="BE191" s="2">
        <v>0</v>
      </c>
    </row>
    <row r="192" spans="1:57" ht="28" hidden="1" x14ac:dyDescent="0.15">
      <c r="A192" s="7" t="s">
        <v>391</v>
      </c>
      <c r="B192" s="8" t="s">
        <v>127</v>
      </c>
      <c r="C192" s="9">
        <v>2015</v>
      </c>
      <c r="D192" s="2"/>
      <c r="E192" s="2" t="s">
        <v>143</v>
      </c>
      <c r="F192" s="2"/>
      <c r="G192" s="2" t="s">
        <v>238</v>
      </c>
      <c r="H192" s="2"/>
      <c r="I192" s="2" t="s">
        <v>398</v>
      </c>
      <c r="J192" s="10" t="s">
        <v>118</v>
      </c>
      <c r="K192" s="30">
        <v>550</v>
      </c>
      <c r="L192" s="9">
        <v>20</v>
      </c>
      <c r="M192" s="2"/>
      <c r="N192" s="2"/>
      <c r="O192" s="2"/>
      <c r="P192" s="9">
        <v>1505</v>
      </c>
      <c r="Q192" s="17"/>
      <c r="R192" s="2"/>
      <c r="S192" s="2"/>
      <c r="T192" s="2"/>
      <c r="U192" s="2"/>
      <c r="V192" s="2"/>
      <c r="W192" s="2"/>
      <c r="X192" s="2"/>
      <c r="Y192" s="2"/>
      <c r="Z192" s="2"/>
      <c r="AA192" s="2"/>
      <c r="AB192" s="2"/>
      <c r="AC192" s="2"/>
      <c r="AD192" s="2"/>
      <c r="AE192" s="2"/>
      <c r="AF192" s="2"/>
      <c r="AG192" s="2"/>
      <c r="AH192" s="2"/>
      <c r="AI192" s="2"/>
      <c r="AJ192" s="2"/>
      <c r="AK192" s="2"/>
      <c r="AL192" s="9">
        <v>17</v>
      </c>
      <c r="AM192" s="9">
        <v>2</v>
      </c>
      <c r="AN192" s="9">
        <f>AL192-AL191</f>
        <v>2.9000000000000004</v>
      </c>
      <c r="AO192" s="9">
        <f>(AN192/AL191)*100</f>
        <v>20.567375886524825</v>
      </c>
      <c r="AP192" s="2"/>
      <c r="AQ192" s="2"/>
      <c r="AR192" s="2"/>
      <c r="AS192" s="2"/>
      <c r="AT192" s="2"/>
      <c r="AU192" s="2"/>
      <c r="AV192" s="2"/>
      <c r="AW192" s="9">
        <v>65</v>
      </c>
      <c r="AX192" s="2"/>
      <c r="AY192" s="2"/>
      <c r="AZ192" s="2"/>
      <c r="BA192" s="2"/>
      <c r="BB192" s="2"/>
      <c r="BC192" s="6"/>
      <c r="BD192" s="2"/>
      <c r="BE192" s="2">
        <v>0</v>
      </c>
    </row>
    <row r="193" spans="1:57" ht="28" hidden="1" x14ac:dyDescent="0.15">
      <c r="A193" s="7" t="s">
        <v>391</v>
      </c>
      <c r="B193" s="8" t="s">
        <v>127</v>
      </c>
      <c r="C193" s="9">
        <v>2015</v>
      </c>
      <c r="D193" s="2"/>
      <c r="E193" s="2" t="s">
        <v>143</v>
      </c>
      <c r="F193" s="2"/>
      <c r="G193" s="2" t="s">
        <v>113</v>
      </c>
      <c r="H193" s="2"/>
      <c r="I193" s="2" t="s">
        <v>399</v>
      </c>
      <c r="J193" s="10" t="s">
        <v>115</v>
      </c>
      <c r="K193" s="30">
        <v>550</v>
      </c>
      <c r="L193" s="9">
        <v>20</v>
      </c>
      <c r="M193" s="2"/>
      <c r="N193" s="2"/>
      <c r="O193" s="2"/>
      <c r="P193" s="9">
        <v>1275</v>
      </c>
      <c r="Q193" s="17"/>
      <c r="R193" s="2"/>
      <c r="S193" s="2"/>
      <c r="T193" s="2"/>
      <c r="U193" s="2"/>
      <c r="V193" s="2"/>
      <c r="W193" s="2"/>
      <c r="X193" s="2"/>
      <c r="Y193" s="2"/>
      <c r="Z193" s="2"/>
      <c r="AA193" s="2"/>
      <c r="AB193" s="2"/>
      <c r="AC193" s="2"/>
      <c r="AD193" s="2"/>
      <c r="AE193" s="2"/>
      <c r="AF193" s="2"/>
      <c r="AG193" s="2"/>
      <c r="AH193" s="2"/>
      <c r="AI193" s="2"/>
      <c r="AJ193" s="2"/>
      <c r="AK193" s="2"/>
      <c r="AL193" s="9">
        <v>17.3</v>
      </c>
      <c r="AM193" s="9">
        <v>2</v>
      </c>
      <c r="AN193" s="2"/>
      <c r="AO193" s="2"/>
      <c r="AP193" s="2"/>
      <c r="AQ193" s="2"/>
      <c r="AR193" s="2"/>
      <c r="AS193" s="2"/>
      <c r="AT193" s="2"/>
      <c r="AU193" s="2"/>
      <c r="AV193" s="2"/>
      <c r="AW193" s="9">
        <v>64</v>
      </c>
      <c r="AX193" s="2"/>
      <c r="AY193" s="2"/>
      <c r="AZ193" s="2"/>
      <c r="BA193" s="2"/>
      <c r="BB193" s="2"/>
      <c r="BC193" s="6"/>
      <c r="BD193" s="2"/>
      <c r="BE193" s="2">
        <v>0</v>
      </c>
    </row>
    <row r="194" spans="1:57" ht="28" hidden="1" x14ac:dyDescent="0.15">
      <c r="A194" s="7" t="s">
        <v>391</v>
      </c>
      <c r="B194" s="8" t="s">
        <v>127</v>
      </c>
      <c r="C194" s="9">
        <v>2015</v>
      </c>
      <c r="D194" s="2"/>
      <c r="E194" s="2" t="s">
        <v>143</v>
      </c>
      <c r="F194" s="2"/>
      <c r="G194" s="2" t="s">
        <v>238</v>
      </c>
      <c r="H194" s="2"/>
      <c r="I194" s="2" t="s">
        <v>400</v>
      </c>
      <c r="J194" s="10" t="s">
        <v>118</v>
      </c>
      <c r="K194" s="30">
        <v>550</v>
      </c>
      <c r="L194" s="9">
        <v>20</v>
      </c>
      <c r="M194" s="2"/>
      <c r="N194" s="2"/>
      <c r="O194" s="2"/>
      <c r="P194" s="9">
        <v>1275</v>
      </c>
      <c r="Q194" s="17"/>
      <c r="R194" s="2"/>
      <c r="S194" s="2"/>
      <c r="T194" s="2"/>
      <c r="U194" s="2"/>
      <c r="V194" s="2"/>
      <c r="W194" s="2"/>
      <c r="X194" s="2"/>
      <c r="Y194" s="2"/>
      <c r="Z194" s="2"/>
      <c r="AA194" s="2"/>
      <c r="AB194" s="2"/>
      <c r="AC194" s="2"/>
      <c r="AD194" s="2"/>
      <c r="AE194" s="2"/>
      <c r="AF194" s="2"/>
      <c r="AG194" s="2"/>
      <c r="AH194" s="2"/>
      <c r="AI194" s="2"/>
      <c r="AJ194" s="2"/>
      <c r="AK194" s="2"/>
      <c r="AL194" s="9">
        <v>19.600000000000001</v>
      </c>
      <c r="AM194" s="9">
        <v>2</v>
      </c>
      <c r="AN194" s="9">
        <f>AL194-AL193</f>
        <v>2.3000000000000007</v>
      </c>
      <c r="AO194" s="9">
        <f>(AN194/AL193)*100</f>
        <v>13.294797687861276</v>
      </c>
      <c r="AP194" s="2"/>
      <c r="AQ194" s="2"/>
      <c r="AR194" s="2"/>
      <c r="AS194" s="2"/>
      <c r="AT194" s="2"/>
      <c r="AU194" s="2"/>
      <c r="AV194" s="2"/>
      <c r="AW194" s="9">
        <v>64</v>
      </c>
      <c r="AX194" s="2"/>
      <c r="AY194" s="2"/>
      <c r="AZ194" s="2"/>
      <c r="BA194" s="2"/>
      <c r="BB194" s="2"/>
      <c r="BC194" s="6"/>
      <c r="BD194" s="2"/>
      <c r="BE194" s="2">
        <v>0</v>
      </c>
    </row>
    <row r="195" spans="1:57" ht="28" hidden="1" x14ac:dyDescent="0.15">
      <c r="A195" s="7" t="s">
        <v>391</v>
      </c>
      <c r="B195" s="8" t="s">
        <v>127</v>
      </c>
      <c r="C195" s="9">
        <v>2015</v>
      </c>
      <c r="D195" s="2"/>
      <c r="E195" s="2" t="s">
        <v>143</v>
      </c>
      <c r="F195" s="2"/>
      <c r="G195" s="2" t="s">
        <v>113</v>
      </c>
      <c r="H195" s="2"/>
      <c r="I195" s="2" t="s">
        <v>399</v>
      </c>
      <c r="J195" s="10" t="s">
        <v>115</v>
      </c>
      <c r="K195" s="30">
        <v>550</v>
      </c>
      <c r="L195" s="9">
        <v>20</v>
      </c>
      <c r="M195" s="2"/>
      <c r="N195" s="2"/>
      <c r="O195" s="2"/>
      <c r="P195" s="9">
        <v>1275</v>
      </c>
      <c r="Q195" s="17"/>
      <c r="R195" s="2"/>
      <c r="S195" s="2"/>
      <c r="T195" s="2"/>
      <c r="U195" s="2"/>
      <c r="V195" s="2"/>
      <c r="W195" s="2"/>
      <c r="X195" s="2"/>
      <c r="Y195" s="2"/>
      <c r="Z195" s="2"/>
      <c r="AA195" s="2"/>
      <c r="AB195" s="2"/>
      <c r="AC195" s="2"/>
      <c r="AD195" s="2"/>
      <c r="AE195" s="2"/>
      <c r="AF195" s="2"/>
      <c r="AG195" s="2"/>
      <c r="AH195" s="2"/>
      <c r="AI195" s="2"/>
      <c r="AJ195" s="2"/>
      <c r="AK195" s="2"/>
      <c r="AL195" s="9">
        <v>12.5</v>
      </c>
      <c r="AM195" s="9">
        <v>2</v>
      </c>
      <c r="AN195" s="2"/>
      <c r="AO195" s="2"/>
      <c r="AP195" s="2"/>
      <c r="AQ195" s="2"/>
      <c r="AR195" s="2"/>
      <c r="AS195" s="2"/>
      <c r="AT195" s="2"/>
      <c r="AU195" s="2"/>
      <c r="AV195" s="2"/>
      <c r="AW195" s="9">
        <v>64</v>
      </c>
      <c r="AX195" s="2"/>
      <c r="AY195" s="2"/>
      <c r="AZ195" s="2"/>
      <c r="BA195" s="2"/>
      <c r="BB195" s="2"/>
      <c r="BC195" s="6"/>
      <c r="BD195" s="2"/>
      <c r="BE195" s="2">
        <v>0</v>
      </c>
    </row>
    <row r="196" spans="1:57" ht="28" hidden="1" x14ac:dyDescent="0.15">
      <c r="A196" s="7" t="s">
        <v>391</v>
      </c>
      <c r="B196" s="8" t="s">
        <v>127</v>
      </c>
      <c r="C196" s="9">
        <v>2015</v>
      </c>
      <c r="D196" s="2"/>
      <c r="E196" s="2" t="s">
        <v>143</v>
      </c>
      <c r="F196" s="2"/>
      <c r="G196" s="2" t="s">
        <v>238</v>
      </c>
      <c r="H196" s="2"/>
      <c r="I196" s="2" t="s">
        <v>400</v>
      </c>
      <c r="J196" s="10" t="s">
        <v>118</v>
      </c>
      <c r="K196" s="30">
        <v>550</v>
      </c>
      <c r="L196" s="9">
        <v>20</v>
      </c>
      <c r="M196" s="2"/>
      <c r="N196" s="2"/>
      <c r="O196" s="2"/>
      <c r="P196" s="9">
        <v>1275</v>
      </c>
      <c r="Q196" s="17"/>
      <c r="R196" s="2"/>
      <c r="S196" s="2"/>
      <c r="T196" s="2"/>
      <c r="U196" s="2"/>
      <c r="V196" s="2"/>
      <c r="W196" s="2"/>
      <c r="X196" s="2"/>
      <c r="Y196" s="2"/>
      <c r="Z196" s="2"/>
      <c r="AA196" s="2"/>
      <c r="AB196" s="2"/>
      <c r="AC196" s="2"/>
      <c r="AD196" s="2"/>
      <c r="AE196" s="2"/>
      <c r="AF196" s="2"/>
      <c r="AG196" s="2"/>
      <c r="AH196" s="2"/>
      <c r="AI196" s="2"/>
      <c r="AJ196" s="2"/>
      <c r="AK196" s="2"/>
      <c r="AL196" s="9">
        <v>11.1</v>
      </c>
      <c r="AM196" s="9">
        <v>2</v>
      </c>
      <c r="AN196" s="9">
        <f>AL196-AL195</f>
        <v>-1.4000000000000004</v>
      </c>
      <c r="AO196" s="9">
        <f>(AN196/AL195)*100</f>
        <v>-11.200000000000003</v>
      </c>
      <c r="AP196" s="2"/>
      <c r="AQ196" s="2"/>
      <c r="AR196" s="2"/>
      <c r="AS196" s="2"/>
      <c r="AT196" s="2"/>
      <c r="AU196" s="2"/>
      <c r="AV196" s="2"/>
      <c r="AW196" s="9">
        <v>64</v>
      </c>
      <c r="AX196" s="2"/>
      <c r="AY196" s="2"/>
      <c r="AZ196" s="2"/>
      <c r="BA196" s="2"/>
      <c r="BB196" s="2"/>
      <c r="BC196" s="6"/>
      <c r="BD196" s="2"/>
      <c r="BE196" s="2">
        <v>0</v>
      </c>
    </row>
    <row r="197" spans="1:57" ht="13" hidden="1" x14ac:dyDescent="0.15">
      <c r="A197" s="2" t="s">
        <v>401</v>
      </c>
      <c r="B197" s="2" t="s">
        <v>159</v>
      </c>
      <c r="C197" s="9">
        <v>2022</v>
      </c>
      <c r="D197" s="2" t="s">
        <v>402</v>
      </c>
      <c r="E197" s="2" t="s">
        <v>135</v>
      </c>
      <c r="F197" s="2"/>
      <c r="G197" s="2" t="s">
        <v>136</v>
      </c>
      <c r="H197" s="2"/>
      <c r="I197" s="2" t="s">
        <v>403</v>
      </c>
      <c r="J197" s="2" t="s">
        <v>358</v>
      </c>
      <c r="K197" s="9">
        <v>700</v>
      </c>
      <c r="L197" s="2"/>
      <c r="M197" s="2"/>
      <c r="N197" s="2"/>
      <c r="O197" s="2"/>
      <c r="P197" s="9">
        <v>577</v>
      </c>
      <c r="Q197" s="11">
        <v>12</v>
      </c>
      <c r="R197" s="9">
        <v>4</v>
      </c>
      <c r="S197" s="9">
        <v>100</v>
      </c>
      <c r="T197" s="9">
        <v>1954</v>
      </c>
      <c r="U197" s="9">
        <v>2021</v>
      </c>
      <c r="V197" s="9">
        <v>804</v>
      </c>
      <c r="W197" s="2" t="s">
        <v>404</v>
      </c>
      <c r="X197" s="2"/>
      <c r="Y197" s="2"/>
      <c r="Z197" s="2"/>
      <c r="AA197" s="2"/>
      <c r="AB197" s="2"/>
      <c r="AC197" s="2"/>
      <c r="AD197" s="2"/>
      <c r="AE197" s="2"/>
      <c r="AF197" s="2"/>
      <c r="AG197" s="2"/>
      <c r="AH197" s="9">
        <v>1.58</v>
      </c>
      <c r="AI197" s="9">
        <v>0.03</v>
      </c>
      <c r="AJ197" s="2"/>
      <c r="AK197" s="2"/>
      <c r="AL197" s="9">
        <v>15</v>
      </c>
      <c r="AM197" s="9">
        <v>2</v>
      </c>
      <c r="AN197" s="10">
        <f>AL197-AL201</f>
        <v>-2</v>
      </c>
      <c r="AO197" s="31">
        <f>(AN197/AL201)*100</f>
        <v>-11.76470588235294</v>
      </c>
      <c r="AP197" s="2"/>
      <c r="AQ197" s="2"/>
      <c r="AR197" s="2"/>
      <c r="AS197" s="2"/>
      <c r="AT197" s="2"/>
      <c r="AU197" s="2" t="s">
        <v>192</v>
      </c>
      <c r="AV197" s="2"/>
      <c r="AW197" s="9">
        <v>90.1</v>
      </c>
      <c r="AX197" s="2"/>
      <c r="AY197" s="2"/>
      <c r="AZ197" s="2"/>
      <c r="BA197" s="2" t="s">
        <v>132</v>
      </c>
      <c r="BB197" s="2" t="s">
        <v>224</v>
      </c>
      <c r="BC197" s="2"/>
      <c r="BD197" s="2"/>
      <c r="BE197" s="2">
        <v>0</v>
      </c>
    </row>
    <row r="198" spans="1:57" ht="13" hidden="1" x14ac:dyDescent="0.15">
      <c r="A198" s="2" t="s">
        <v>401</v>
      </c>
      <c r="B198" s="2" t="s">
        <v>159</v>
      </c>
      <c r="C198" s="9">
        <v>2022</v>
      </c>
      <c r="D198" s="2" t="s">
        <v>402</v>
      </c>
      <c r="E198" s="2" t="s">
        <v>135</v>
      </c>
      <c r="F198" s="2"/>
      <c r="G198" s="2" t="s">
        <v>136</v>
      </c>
      <c r="H198" s="2"/>
      <c r="I198" s="2" t="s">
        <v>403</v>
      </c>
      <c r="J198" s="2" t="s">
        <v>405</v>
      </c>
      <c r="K198" s="9">
        <v>700</v>
      </c>
      <c r="L198" s="2"/>
      <c r="M198" s="2"/>
      <c r="N198" s="2"/>
      <c r="O198" s="2"/>
      <c r="P198" s="9">
        <v>577</v>
      </c>
      <c r="Q198" s="11">
        <v>12</v>
      </c>
      <c r="R198" s="9">
        <v>4</v>
      </c>
      <c r="S198" s="9">
        <v>100</v>
      </c>
      <c r="T198" s="9">
        <v>1954</v>
      </c>
      <c r="U198" s="9">
        <v>2021</v>
      </c>
      <c r="V198" s="9">
        <v>804</v>
      </c>
      <c r="W198" s="2" t="s">
        <v>404</v>
      </c>
      <c r="X198" s="2"/>
      <c r="Y198" s="2"/>
      <c r="Z198" s="2"/>
      <c r="AA198" s="2"/>
      <c r="AB198" s="2"/>
      <c r="AC198" s="2"/>
      <c r="AD198" s="2"/>
      <c r="AE198" s="2"/>
      <c r="AF198" s="2"/>
      <c r="AG198" s="2"/>
      <c r="AH198" s="9">
        <v>1.58</v>
      </c>
      <c r="AI198" s="9">
        <v>0.03</v>
      </c>
      <c r="AJ198" s="2"/>
      <c r="AK198" s="2"/>
      <c r="AL198" s="9">
        <v>6</v>
      </c>
      <c r="AM198" s="9">
        <v>1</v>
      </c>
      <c r="AN198" s="10">
        <f>AL198-AL202</f>
        <v>-1</v>
      </c>
      <c r="AO198" s="31">
        <f>(AN198/AL202)*100</f>
        <v>-14.285714285714285</v>
      </c>
      <c r="AP198" s="2"/>
      <c r="AQ198" s="2"/>
      <c r="AR198" s="2"/>
      <c r="AS198" s="2"/>
      <c r="AT198" s="2"/>
      <c r="AU198" s="2" t="s">
        <v>192</v>
      </c>
      <c r="AV198" s="2"/>
      <c r="AW198" s="9">
        <v>90.1</v>
      </c>
      <c r="AX198" s="2"/>
      <c r="AY198" s="2"/>
      <c r="AZ198" s="2"/>
      <c r="BA198" s="2" t="s">
        <v>132</v>
      </c>
      <c r="BB198" s="2" t="s">
        <v>224</v>
      </c>
      <c r="BC198" s="2"/>
      <c r="BD198" s="2"/>
      <c r="BE198" s="2">
        <v>0</v>
      </c>
    </row>
    <row r="199" spans="1:57" ht="13" hidden="1" x14ac:dyDescent="0.15">
      <c r="A199" s="2" t="s">
        <v>401</v>
      </c>
      <c r="B199" s="2" t="s">
        <v>159</v>
      </c>
      <c r="C199" s="9">
        <v>2022</v>
      </c>
      <c r="D199" s="2" t="s">
        <v>402</v>
      </c>
      <c r="E199" s="2" t="s">
        <v>135</v>
      </c>
      <c r="F199" s="2"/>
      <c r="G199" s="2" t="s">
        <v>136</v>
      </c>
      <c r="H199" s="2"/>
      <c r="I199" s="2" t="s">
        <v>403</v>
      </c>
      <c r="J199" s="2" t="s">
        <v>406</v>
      </c>
      <c r="K199" s="9">
        <v>700</v>
      </c>
      <c r="L199" s="2"/>
      <c r="M199" s="2"/>
      <c r="N199" s="2"/>
      <c r="O199" s="2"/>
      <c r="P199" s="9">
        <v>577</v>
      </c>
      <c r="Q199" s="11">
        <v>12</v>
      </c>
      <c r="R199" s="9">
        <v>4</v>
      </c>
      <c r="S199" s="9">
        <v>100</v>
      </c>
      <c r="T199" s="9">
        <v>1954</v>
      </c>
      <c r="U199" s="9">
        <v>2021</v>
      </c>
      <c r="V199" s="9">
        <v>804</v>
      </c>
      <c r="W199" s="2" t="s">
        <v>404</v>
      </c>
      <c r="X199" s="2"/>
      <c r="Y199" s="2"/>
      <c r="Z199" s="2"/>
      <c r="AA199" s="2"/>
      <c r="AB199" s="2"/>
      <c r="AC199" s="2"/>
      <c r="AD199" s="2"/>
      <c r="AE199" s="2"/>
      <c r="AF199" s="2"/>
      <c r="AG199" s="2"/>
      <c r="AH199" s="9">
        <v>1.58</v>
      </c>
      <c r="AI199" s="9">
        <v>0.03</v>
      </c>
      <c r="AJ199" s="2"/>
      <c r="AK199" s="2"/>
      <c r="AL199" s="9">
        <v>5</v>
      </c>
      <c r="AM199" s="9">
        <v>1</v>
      </c>
      <c r="AN199" s="10">
        <f>AL199-AL203</f>
        <v>-1</v>
      </c>
      <c r="AO199" s="31">
        <f>(AN199/AL203)*100</f>
        <v>-16.666666666666664</v>
      </c>
      <c r="AP199" s="2"/>
      <c r="AQ199" s="2"/>
      <c r="AR199" s="2"/>
      <c r="AS199" s="2"/>
      <c r="AT199" s="2"/>
      <c r="AU199" s="2" t="s">
        <v>192</v>
      </c>
      <c r="AV199" s="2"/>
      <c r="AW199" s="9">
        <v>90.1</v>
      </c>
      <c r="AX199" s="2"/>
      <c r="AY199" s="2"/>
      <c r="AZ199" s="2"/>
      <c r="BA199" s="2" t="s">
        <v>132</v>
      </c>
      <c r="BB199" s="2" t="s">
        <v>224</v>
      </c>
      <c r="BC199" s="2" t="s">
        <v>407</v>
      </c>
      <c r="BD199" s="2"/>
      <c r="BE199" s="2">
        <v>0</v>
      </c>
    </row>
    <row r="200" spans="1:57" ht="13" hidden="1" x14ac:dyDescent="0.15">
      <c r="A200" s="2" t="s">
        <v>401</v>
      </c>
      <c r="B200" s="2" t="s">
        <v>159</v>
      </c>
      <c r="C200" s="9">
        <v>2022</v>
      </c>
      <c r="D200" s="2" t="s">
        <v>402</v>
      </c>
      <c r="E200" s="2" t="s">
        <v>135</v>
      </c>
      <c r="F200" s="2"/>
      <c r="G200" s="2" t="s">
        <v>136</v>
      </c>
      <c r="H200" s="2"/>
      <c r="I200" s="2" t="s">
        <v>403</v>
      </c>
      <c r="J200" s="2" t="s">
        <v>408</v>
      </c>
      <c r="K200" s="9">
        <v>700</v>
      </c>
      <c r="L200" s="2"/>
      <c r="M200" s="2"/>
      <c r="N200" s="2"/>
      <c r="O200" s="2"/>
      <c r="P200" s="9">
        <v>577</v>
      </c>
      <c r="Q200" s="11">
        <v>12</v>
      </c>
      <c r="R200" s="9">
        <v>4</v>
      </c>
      <c r="S200" s="9">
        <v>100</v>
      </c>
      <c r="T200" s="9">
        <v>1954</v>
      </c>
      <c r="U200" s="9">
        <v>2021</v>
      </c>
      <c r="V200" s="9">
        <v>804</v>
      </c>
      <c r="W200" s="2" t="s">
        <v>404</v>
      </c>
      <c r="X200" s="2"/>
      <c r="Y200" s="2"/>
      <c r="Z200" s="2"/>
      <c r="AA200" s="2"/>
      <c r="AB200" s="2"/>
      <c r="AC200" s="2"/>
      <c r="AD200" s="2"/>
      <c r="AE200" s="2"/>
      <c r="AF200" s="2"/>
      <c r="AG200" s="2"/>
      <c r="AH200" s="9">
        <v>1.58</v>
      </c>
      <c r="AI200" s="9">
        <v>0.03</v>
      </c>
      <c r="AJ200" s="2"/>
      <c r="AK200" s="2"/>
      <c r="AL200" s="9">
        <v>4</v>
      </c>
      <c r="AM200" s="9">
        <v>1</v>
      </c>
      <c r="AN200" s="10">
        <f>AL200-AL204</f>
        <v>-1</v>
      </c>
      <c r="AO200" s="31">
        <f>(AN200/AL204)*100</f>
        <v>-20</v>
      </c>
      <c r="AP200" s="2"/>
      <c r="AQ200" s="2"/>
      <c r="AR200" s="2"/>
      <c r="AS200" s="2"/>
      <c r="AT200" s="2"/>
      <c r="AU200" s="2" t="s">
        <v>192</v>
      </c>
      <c r="AV200" s="2"/>
      <c r="AW200" s="9">
        <v>90.1</v>
      </c>
      <c r="AX200" s="2"/>
      <c r="AY200" s="2"/>
      <c r="AZ200" s="2"/>
      <c r="BA200" s="2" t="s">
        <v>132</v>
      </c>
      <c r="BB200" s="2" t="s">
        <v>224</v>
      </c>
      <c r="BC200" s="2" t="s">
        <v>407</v>
      </c>
      <c r="BD200" s="2"/>
      <c r="BE200" s="2">
        <v>0</v>
      </c>
    </row>
    <row r="201" spans="1:57" ht="13" hidden="1" x14ac:dyDescent="0.15">
      <c r="A201" s="2" t="s">
        <v>401</v>
      </c>
      <c r="B201" s="2" t="s">
        <v>159</v>
      </c>
      <c r="C201" s="9">
        <v>2022</v>
      </c>
      <c r="D201" s="2" t="s">
        <v>402</v>
      </c>
      <c r="E201" s="2" t="s">
        <v>135</v>
      </c>
      <c r="F201" s="2"/>
      <c r="G201" s="2" t="s">
        <v>113</v>
      </c>
      <c r="H201" s="2"/>
      <c r="I201" s="2" t="s">
        <v>409</v>
      </c>
      <c r="J201" s="2" t="s">
        <v>358</v>
      </c>
      <c r="K201" s="9">
        <v>700</v>
      </c>
      <c r="L201" s="2"/>
      <c r="M201" s="2"/>
      <c r="N201" s="2"/>
      <c r="O201" s="2"/>
      <c r="P201" s="9">
        <v>577</v>
      </c>
      <c r="Q201" s="11">
        <v>12</v>
      </c>
      <c r="R201" s="9">
        <v>4</v>
      </c>
      <c r="S201" s="9">
        <v>100</v>
      </c>
      <c r="T201" s="9">
        <v>1954</v>
      </c>
      <c r="U201" s="9">
        <v>2021</v>
      </c>
      <c r="V201" s="9">
        <v>804</v>
      </c>
      <c r="W201" s="2" t="s">
        <v>404</v>
      </c>
      <c r="X201" s="2"/>
      <c r="Y201" s="2"/>
      <c r="Z201" s="2"/>
      <c r="AA201" s="2"/>
      <c r="AB201" s="2"/>
      <c r="AC201" s="2"/>
      <c r="AD201" s="2"/>
      <c r="AE201" s="2"/>
      <c r="AF201" s="2"/>
      <c r="AG201" s="2"/>
      <c r="AH201" s="9">
        <v>1.57</v>
      </c>
      <c r="AI201" s="9">
        <v>0.01</v>
      </c>
      <c r="AJ201" s="2"/>
      <c r="AK201" s="2"/>
      <c r="AL201" s="9">
        <v>17</v>
      </c>
      <c r="AM201" s="9">
        <v>3</v>
      </c>
      <c r="AN201" s="2"/>
      <c r="AO201" s="2"/>
      <c r="AP201" s="2"/>
      <c r="AQ201" s="2"/>
      <c r="AR201" s="2"/>
      <c r="AS201" s="2"/>
      <c r="AT201" s="2"/>
      <c r="AU201" s="2" t="s">
        <v>192</v>
      </c>
      <c r="AV201" s="2"/>
      <c r="AW201" s="9">
        <v>90</v>
      </c>
      <c r="AX201" s="2"/>
      <c r="AY201" s="2"/>
      <c r="AZ201" s="2"/>
      <c r="BA201" s="2" t="s">
        <v>132</v>
      </c>
      <c r="BB201" s="2" t="s">
        <v>224</v>
      </c>
      <c r="BC201" s="2" t="s">
        <v>407</v>
      </c>
      <c r="BD201" s="2"/>
      <c r="BE201" s="2">
        <v>0</v>
      </c>
    </row>
    <row r="202" spans="1:57" ht="13" hidden="1" x14ac:dyDescent="0.15">
      <c r="A202" s="2" t="s">
        <v>401</v>
      </c>
      <c r="B202" s="2" t="s">
        <v>159</v>
      </c>
      <c r="C202" s="9">
        <v>2022</v>
      </c>
      <c r="D202" s="2" t="s">
        <v>402</v>
      </c>
      <c r="E202" s="2" t="s">
        <v>135</v>
      </c>
      <c r="F202" s="2"/>
      <c r="G202" s="2" t="s">
        <v>113</v>
      </c>
      <c r="H202" s="2"/>
      <c r="I202" s="2" t="s">
        <v>409</v>
      </c>
      <c r="J202" s="2" t="s">
        <v>405</v>
      </c>
      <c r="K202" s="9">
        <v>700</v>
      </c>
      <c r="L202" s="2"/>
      <c r="M202" s="2"/>
      <c r="N202" s="2"/>
      <c r="O202" s="2"/>
      <c r="P202" s="9">
        <v>577</v>
      </c>
      <c r="Q202" s="11">
        <v>12</v>
      </c>
      <c r="R202" s="9">
        <v>4</v>
      </c>
      <c r="S202" s="9">
        <v>100</v>
      </c>
      <c r="T202" s="9">
        <v>1954</v>
      </c>
      <c r="U202" s="9">
        <v>2021</v>
      </c>
      <c r="V202" s="9">
        <v>804</v>
      </c>
      <c r="W202" s="2" t="s">
        <v>404</v>
      </c>
      <c r="X202" s="2"/>
      <c r="Y202" s="2"/>
      <c r="Z202" s="2"/>
      <c r="AA202" s="2"/>
      <c r="AB202" s="2"/>
      <c r="AC202" s="2"/>
      <c r="AD202" s="2"/>
      <c r="AE202" s="2"/>
      <c r="AF202" s="2"/>
      <c r="AG202" s="2"/>
      <c r="AH202" s="9">
        <v>1.57</v>
      </c>
      <c r="AI202" s="9">
        <v>0.01</v>
      </c>
      <c r="AJ202" s="2"/>
      <c r="AK202" s="2"/>
      <c r="AL202" s="9">
        <v>7</v>
      </c>
      <c r="AM202" s="9">
        <v>2</v>
      </c>
      <c r="AN202" s="2"/>
      <c r="AO202" s="2"/>
      <c r="AP202" s="2"/>
      <c r="AQ202" s="2"/>
      <c r="AR202" s="2"/>
      <c r="AS202" s="2"/>
      <c r="AT202" s="2"/>
      <c r="AU202" s="2" t="s">
        <v>192</v>
      </c>
      <c r="AV202" s="2"/>
      <c r="AW202" s="9">
        <v>90</v>
      </c>
      <c r="AX202" s="2"/>
      <c r="AY202" s="2"/>
      <c r="AZ202" s="2"/>
      <c r="BA202" s="2" t="s">
        <v>132</v>
      </c>
      <c r="BB202" s="2" t="s">
        <v>224</v>
      </c>
      <c r="BC202" s="2" t="s">
        <v>407</v>
      </c>
      <c r="BD202" s="2"/>
      <c r="BE202" s="2">
        <v>0</v>
      </c>
    </row>
    <row r="203" spans="1:57" ht="13" hidden="1" x14ac:dyDescent="0.15">
      <c r="A203" s="2" t="s">
        <v>401</v>
      </c>
      <c r="B203" s="2" t="s">
        <v>159</v>
      </c>
      <c r="C203" s="9">
        <v>2022</v>
      </c>
      <c r="D203" s="2" t="s">
        <v>402</v>
      </c>
      <c r="E203" s="2" t="s">
        <v>135</v>
      </c>
      <c r="F203" s="2"/>
      <c r="G203" s="2" t="s">
        <v>113</v>
      </c>
      <c r="H203" s="2"/>
      <c r="I203" s="2" t="s">
        <v>409</v>
      </c>
      <c r="J203" s="2" t="s">
        <v>406</v>
      </c>
      <c r="K203" s="9">
        <v>700</v>
      </c>
      <c r="L203" s="2"/>
      <c r="M203" s="2"/>
      <c r="N203" s="2"/>
      <c r="O203" s="2"/>
      <c r="P203" s="9">
        <v>577</v>
      </c>
      <c r="Q203" s="11">
        <v>12</v>
      </c>
      <c r="R203" s="9">
        <v>4</v>
      </c>
      <c r="S203" s="9">
        <v>100</v>
      </c>
      <c r="T203" s="9">
        <v>1954</v>
      </c>
      <c r="U203" s="9">
        <v>2021</v>
      </c>
      <c r="V203" s="9">
        <v>804</v>
      </c>
      <c r="W203" s="2" t="s">
        <v>404</v>
      </c>
      <c r="X203" s="2"/>
      <c r="Y203" s="2"/>
      <c r="Z203" s="2"/>
      <c r="AA203" s="2"/>
      <c r="AB203" s="2"/>
      <c r="AC203" s="2"/>
      <c r="AD203" s="2"/>
      <c r="AE203" s="2"/>
      <c r="AF203" s="2"/>
      <c r="AG203" s="2"/>
      <c r="AH203" s="9">
        <v>1.57</v>
      </c>
      <c r="AI203" s="9">
        <v>0.01</v>
      </c>
      <c r="AJ203" s="2"/>
      <c r="AK203" s="2"/>
      <c r="AL203" s="9">
        <v>6</v>
      </c>
      <c r="AM203" s="9">
        <v>2</v>
      </c>
      <c r="AN203" s="2"/>
      <c r="AO203" s="2"/>
      <c r="AP203" s="2"/>
      <c r="AQ203" s="2"/>
      <c r="AR203" s="2"/>
      <c r="AS203" s="2"/>
      <c r="AT203" s="2"/>
      <c r="AU203" s="2" t="s">
        <v>192</v>
      </c>
      <c r="AV203" s="2"/>
      <c r="AW203" s="9">
        <v>90</v>
      </c>
      <c r="AX203" s="2"/>
      <c r="AY203" s="2"/>
      <c r="AZ203" s="2"/>
      <c r="BA203" s="2" t="s">
        <v>132</v>
      </c>
      <c r="BB203" s="2" t="s">
        <v>224</v>
      </c>
      <c r="BC203" s="2" t="s">
        <v>407</v>
      </c>
      <c r="BD203" s="2"/>
      <c r="BE203" s="2">
        <v>0</v>
      </c>
    </row>
    <row r="204" spans="1:57" ht="13" hidden="1" x14ac:dyDescent="0.15">
      <c r="A204" s="2" t="s">
        <v>401</v>
      </c>
      <c r="B204" s="2" t="s">
        <v>159</v>
      </c>
      <c r="C204" s="9">
        <v>2022</v>
      </c>
      <c r="D204" s="2" t="s">
        <v>402</v>
      </c>
      <c r="E204" s="2" t="s">
        <v>135</v>
      </c>
      <c r="F204" s="2"/>
      <c r="G204" s="2" t="s">
        <v>113</v>
      </c>
      <c r="H204" s="2"/>
      <c r="I204" s="2" t="s">
        <v>409</v>
      </c>
      <c r="J204" s="2" t="s">
        <v>408</v>
      </c>
      <c r="K204" s="9">
        <v>700</v>
      </c>
      <c r="L204" s="2"/>
      <c r="M204" s="2"/>
      <c r="N204" s="2"/>
      <c r="O204" s="2"/>
      <c r="P204" s="9">
        <v>577</v>
      </c>
      <c r="Q204" s="11">
        <v>12</v>
      </c>
      <c r="R204" s="9">
        <v>4</v>
      </c>
      <c r="S204" s="9">
        <v>100</v>
      </c>
      <c r="T204" s="9">
        <v>1954</v>
      </c>
      <c r="U204" s="9">
        <v>2021</v>
      </c>
      <c r="V204" s="9">
        <v>804</v>
      </c>
      <c r="W204" s="2" t="s">
        <v>404</v>
      </c>
      <c r="X204" s="2"/>
      <c r="Y204" s="2"/>
      <c r="Z204" s="2"/>
      <c r="AA204" s="2"/>
      <c r="AB204" s="2"/>
      <c r="AC204" s="2"/>
      <c r="AD204" s="2"/>
      <c r="AE204" s="2"/>
      <c r="AF204" s="2"/>
      <c r="AG204" s="2"/>
      <c r="AH204" s="9">
        <v>1.57</v>
      </c>
      <c r="AI204" s="9">
        <v>0.01</v>
      </c>
      <c r="AJ204" s="2"/>
      <c r="AK204" s="2"/>
      <c r="AL204" s="9">
        <v>5</v>
      </c>
      <c r="AM204" s="9">
        <v>2</v>
      </c>
      <c r="AN204" s="2"/>
      <c r="AO204" s="2"/>
      <c r="AP204" s="2"/>
      <c r="AQ204" s="2"/>
      <c r="AR204" s="2"/>
      <c r="AS204" s="2"/>
      <c r="AT204" s="2"/>
      <c r="AU204" s="2" t="s">
        <v>192</v>
      </c>
      <c r="AV204" s="2"/>
      <c r="AW204" s="9">
        <v>90</v>
      </c>
      <c r="AX204" s="2"/>
      <c r="AY204" s="2"/>
      <c r="AZ204" s="2"/>
      <c r="BA204" s="2" t="s">
        <v>132</v>
      </c>
      <c r="BB204" s="2" t="s">
        <v>224</v>
      </c>
      <c r="BC204" s="2" t="s">
        <v>407</v>
      </c>
      <c r="BD204" s="2"/>
      <c r="BE204" s="2">
        <v>0</v>
      </c>
    </row>
    <row r="205" spans="1:57" ht="14" hidden="1" x14ac:dyDescent="0.15">
      <c r="A205" s="2" t="s">
        <v>401</v>
      </c>
      <c r="B205" s="2" t="s">
        <v>159</v>
      </c>
      <c r="C205" s="9">
        <v>2022</v>
      </c>
      <c r="D205" s="2" t="s">
        <v>402</v>
      </c>
      <c r="E205" s="2" t="s">
        <v>135</v>
      </c>
      <c r="F205" s="2"/>
      <c r="G205" s="8" t="s">
        <v>200</v>
      </c>
      <c r="H205" s="2"/>
      <c r="I205" s="2" t="s">
        <v>410</v>
      </c>
      <c r="J205" s="2" t="s">
        <v>358</v>
      </c>
      <c r="K205" s="9">
        <v>700</v>
      </c>
      <c r="L205" s="2"/>
      <c r="M205" s="2"/>
      <c r="N205" s="2"/>
      <c r="O205" s="2"/>
      <c r="P205" s="9">
        <v>577</v>
      </c>
      <c r="Q205" s="11">
        <v>12</v>
      </c>
      <c r="R205" s="9">
        <v>4</v>
      </c>
      <c r="S205" s="9">
        <v>100</v>
      </c>
      <c r="T205" s="9">
        <v>1954</v>
      </c>
      <c r="U205" s="9">
        <v>2021</v>
      </c>
      <c r="V205" s="9">
        <v>804</v>
      </c>
      <c r="W205" s="2" t="s">
        <v>404</v>
      </c>
      <c r="X205" s="2"/>
      <c r="Y205" s="2"/>
      <c r="Z205" s="2"/>
      <c r="AA205" s="2"/>
      <c r="AB205" s="2"/>
      <c r="AC205" s="2"/>
      <c r="AD205" s="2"/>
      <c r="AE205" s="2"/>
      <c r="AF205" s="2"/>
      <c r="AG205" s="2"/>
      <c r="AH205" s="9">
        <v>1.57</v>
      </c>
      <c r="AI205" s="9">
        <v>0.02</v>
      </c>
      <c r="AJ205" s="2"/>
      <c r="AK205" s="2"/>
      <c r="AL205" s="9">
        <v>19</v>
      </c>
      <c r="AM205" s="9">
        <v>1</v>
      </c>
      <c r="AN205" s="10">
        <f>AL205-AL201</f>
        <v>2</v>
      </c>
      <c r="AO205" s="9">
        <f>(AN205/AL201)*100</f>
        <v>11.76470588235294</v>
      </c>
      <c r="AP205" s="2"/>
      <c r="AQ205" s="2"/>
      <c r="AR205" s="2"/>
      <c r="AS205" s="2"/>
      <c r="AT205" s="2"/>
      <c r="AU205" s="2" t="s">
        <v>192</v>
      </c>
      <c r="AV205" s="2"/>
      <c r="AW205" s="9">
        <v>89.4</v>
      </c>
      <c r="AX205" s="2"/>
      <c r="AY205" s="2"/>
      <c r="AZ205" s="2"/>
      <c r="BA205" s="2" t="s">
        <v>132</v>
      </c>
      <c r="BB205" s="2" t="s">
        <v>224</v>
      </c>
      <c r="BC205" s="2" t="s">
        <v>407</v>
      </c>
      <c r="BD205" s="2"/>
      <c r="BE205" s="2">
        <v>0</v>
      </c>
    </row>
    <row r="206" spans="1:57" ht="14" hidden="1" x14ac:dyDescent="0.15">
      <c r="A206" s="2" t="s">
        <v>401</v>
      </c>
      <c r="B206" s="2" t="s">
        <v>159</v>
      </c>
      <c r="C206" s="9">
        <v>2022</v>
      </c>
      <c r="D206" s="2" t="s">
        <v>402</v>
      </c>
      <c r="E206" s="2" t="s">
        <v>135</v>
      </c>
      <c r="F206" s="2"/>
      <c r="G206" s="8" t="s">
        <v>200</v>
      </c>
      <c r="H206" s="2"/>
      <c r="I206" s="2" t="s">
        <v>410</v>
      </c>
      <c r="J206" s="2" t="s">
        <v>405</v>
      </c>
      <c r="K206" s="9">
        <v>700</v>
      </c>
      <c r="L206" s="2"/>
      <c r="M206" s="2"/>
      <c r="N206" s="2"/>
      <c r="O206" s="2"/>
      <c r="P206" s="9">
        <v>577</v>
      </c>
      <c r="Q206" s="11">
        <v>12</v>
      </c>
      <c r="R206" s="9">
        <v>4</v>
      </c>
      <c r="S206" s="9">
        <v>100</v>
      </c>
      <c r="T206" s="9">
        <v>1954</v>
      </c>
      <c r="U206" s="9">
        <v>2021</v>
      </c>
      <c r="V206" s="9">
        <v>804</v>
      </c>
      <c r="W206" s="2" t="s">
        <v>404</v>
      </c>
      <c r="X206" s="2"/>
      <c r="Y206" s="2"/>
      <c r="Z206" s="2"/>
      <c r="AA206" s="2"/>
      <c r="AB206" s="2"/>
      <c r="AC206" s="2"/>
      <c r="AD206" s="2"/>
      <c r="AE206" s="2"/>
      <c r="AF206" s="2"/>
      <c r="AG206" s="2"/>
      <c r="AH206" s="9">
        <v>1.57</v>
      </c>
      <c r="AI206" s="9">
        <v>0.02</v>
      </c>
      <c r="AJ206" s="2"/>
      <c r="AK206" s="2"/>
      <c r="AL206" s="9">
        <v>6</v>
      </c>
      <c r="AM206" s="9">
        <v>1</v>
      </c>
      <c r="AN206" s="10">
        <f>AL206-AL202</f>
        <v>-1</v>
      </c>
      <c r="AO206" s="9">
        <f>(AN206/AL202)*100</f>
        <v>-14.285714285714285</v>
      </c>
      <c r="AP206" s="2"/>
      <c r="AQ206" s="2"/>
      <c r="AR206" s="2"/>
      <c r="AS206" s="2"/>
      <c r="AT206" s="2"/>
      <c r="AU206" s="2" t="s">
        <v>192</v>
      </c>
      <c r="AV206" s="2"/>
      <c r="AW206" s="9">
        <v>89.4</v>
      </c>
      <c r="AX206" s="2"/>
      <c r="AY206" s="2"/>
      <c r="AZ206" s="2"/>
      <c r="BA206" s="2" t="s">
        <v>132</v>
      </c>
      <c r="BB206" s="2" t="s">
        <v>224</v>
      </c>
      <c r="BC206" s="2" t="s">
        <v>407</v>
      </c>
      <c r="BD206" s="2"/>
      <c r="BE206" s="2">
        <v>0</v>
      </c>
    </row>
    <row r="207" spans="1:57" ht="14" hidden="1" x14ac:dyDescent="0.15">
      <c r="A207" s="2" t="s">
        <v>401</v>
      </c>
      <c r="B207" s="2" t="s">
        <v>159</v>
      </c>
      <c r="C207" s="9">
        <v>2022</v>
      </c>
      <c r="D207" s="2" t="s">
        <v>402</v>
      </c>
      <c r="E207" s="2" t="s">
        <v>135</v>
      </c>
      <c r="F207" s="2"/>
      <c r="G207" s="8" t="s">
        <v>200</v>
      </c>
      <c r="H207" s="2"/>
      <c r="I207" s="2" t="s">
        <v>410</v>
      </c>
      <c r="J207" s="2" t="s">
        <v>406</v>
      </c>
      <c r="K207" s="9">
        <v>700</v>
      </c>
      <c r="L207" s="2"/>
      <c r="M207" s="2"/>
      <c r="N207" s="2"/>
      <c r="O207" s="2"/>
      <c r="P207" s="9">
        <v>577</v>
      </c>
      <c r="Q207" s="11">
        <v>12</v>
      </c>
      <c r="R207" s="9">
        <v>4</v>
      </c>
      <c r="S207" s="9">
        <v>100</v>
      </c>
      <c r="T207" s="9">
        <v>1954</v>
      </c>
      <c r="U207" s="9">
        <v>2021</v>
      </c>
      <c r="V207" s="9">
        <v>804</v>
      </c>
      <c r="W207" s="2" t="s">
        <v>404</v>
      </c>
      <c r="X207" s="2"/>
      <c r="Y207" s="2"/>
      <c r="Z207" s="2"/>
      <c r="AA207" s="2"/>
      <c r="AB207" s="2"/>
      <c r="AC207" s="2"/>
      <c r="AD207" s="2"/>
      <c r="AE207" s="2"/>
      <c r="AF207" s="2"/>
      <c r="AG207" s="2"/>
      <c r="AH207" s="9">
        <v>1.57</v>
      </c>
      <c r="AI207" s="9">
        <v>0.02</v>
      </c>
      <c r="AJ207" s="2"/>
      <c r="AK207" s="2"/>
      <c r="AL207" s="9">
        <v>5</v>
      </c>
      <c r="AM207" s="9">
        <v>1</v>
      </c>
      <c r="AN207" s="10">
        <f>AL207-AL203</f>
        <v>-1</v>
      </c>
      <c r="AO207" s="9">
        <f>(AN207/AL203)*100</f>
        <v>-16.666666666666664</v>
      </c>
      <c r="AP207" s="2"/>
      <c r="AQ207" s="2"/>
      <c r="AR207" s="2"/>
      <c r="AS207" s="2"/>
      <c r="AT207" s="2"/>
      <c r="AU207" s="2" t="s">
        <v>192</v>
      </c>
      <c r="AV207" s="2"/>
      <c r="AW207" s="9">
        <v>89.4</v>
      </c>
      <c r="AX207" s="2"/>
      <c r="AY207" s="2"/>
      <c r="AZ207" s="2"/>
      <c r="BA207" s="2" t="s">
        <v>132</v>
      </c>
      <c r="BB207" s="2" t="s">
        <v>224</v>
      </c>
      <c r="BC207" s="2" t="s">
        <v>407</v>
      </c>
      <c r="BD207" s="2"/>
      <c r="BE207" s="2">
        <v>0</v>
      </c>
    </row>
    <row r="208" spans="1:57" ht="14" hidden="1" x14ac:dyDescent="0.15">
      <c r="A208" s="2" t="s">
        <v>401</v>
      </c>
      <c r="B208" s="2" t="s">
        <v>159</v>
      </c>
      <c r="C208" s="9">
        <v>2022</v>
      </c>
      <c r="D208" s="2" t="s">
        <v>402</v>
      </c>
      <c r="E208" s="2" t="s">
        <v>135</v>
      </c>
      <c r="F208" s="2"/>
      <c r="G208" s="8" t="s">
        <v>200</v>
      </c>
      <c r="H208" s="2"/>
      <c r="I208" s="2" t="s">
        <v>410</v>
      </c>
      <c r="J208" s="2" t="s">
        <v>408</v>
      </c>
      <c r="K208" s="9">
        <v>700</v>
      </c>
      <c r="L208" s="2"/>
      <c r="M208" s="2"/>
      <c r="N208" s="2"/>
      <c r="O208" s="2"/>
      <c r="P208" s="9">
        <v>577</v>
      </c>
      <c r="Q208" s="11">
        <v>12</v>
      </c>
      <c r="R208" s="9">
        <v>4</v>
      </c>
      <c r="S208" s="9">
        <v>100</v>
      </c>
      <c r="T208" s="9">
        <v>1954</v>
      </c>
      <c r="U208" s="9">
        <v>2021</v>
      </c>
      <c r="V208" s="9">
        <v>804</v>
      </c>
      <c r="W208" s="2" t="s">
        <v>404</v>
      </c>
      <c r="X208" s="2"/>
      <c r="Y208" s="2"/>
      <c r="Z208" s="2"/>
      <c r="AA208" s="2"/>
      <c r="AB208" s="2"/>
      <c r="AC208" s="2"/>
      <c r="AD208" s="2"/>
      <c r="AE208" s="2"/>
      <c r="AF208" s="2"/>
      <c r="AG208" s="2"/>
      <c r="AH208" s="9">
        <v>1.57</v>
      </c>
      <c r="AI208" s="9">
        <v>0.02</v>
      </c>
      <c r="AJ208" s="2"/>
      <c r="AK208" s="2"/>
      <c r="AL208" s="9">
        <v>4</v>
      </c>
      <c r="AM208" s="9">
        <v>1</v>
      </c>
      <c r="AN208" s="10">
        <f>AL208-AL204</f>
        <v>-1</v>
      </c>
      <c r="AO208" s="9">
        <f>(AN208/AL204)*100</f>
        <v>-20</v>
      </c>
      <c r="AP208" s="2"/>
      <c r="AQ208" s="2"/>
      <c r="AR208" s="2"/>
      <c r="AS208" s="2"/>
      <c r="AT208" s="2"/>
      <c r="AU208" s="2" t="s">
        <v>192</v>
      </c>
      <c r="AV208" s="2"/>
      <c r="AW208" s="9">
        <v>89.4</v>
      </c>
      <c r="AX208" s="2"/>
      <c r="AY208" s="2"/>
      <c r="AZ208" s="2"/>
      <c r="BA208" s="2" t="s">
        <v>132</v>
      </c>
      <c r="BB208" s="2" t="s">
        <v>224</v>
      </c>
      <c r="BC208" s="2" t="s">
        <v>407</v>
      </c>
      <c r="BD208" s="2"/>
      <c r="BE208" s="2">
        <v>0</v>
      </c>
    </row>
    <row r="209" spans="1:57" ht="42" x14ac:dyDescent="0.15">
      <c r="A209" s="32" t="s">
        <v>411</v>
      </c>
      <c r="B209" s="33" t="s">
        <v>110</v>
      </c>
      <c r="C209" s="34">
        <v>2020</v>
      </c>
      <c r="D209" s="21" t="s">
        <v>222</v>
      </c>
      <c r="E209" s="21" t="s">
        <v>319</v>
      </c>
      <c r="F209" s="21"/>
      <c r="G209" s="2" t="s">
        <v>113</v>
      </c>
      <c r="H209" s="21"/>
      <c r="I209" s="21" t="s">
        <v>412</v>
      </c>
      <c r="J209" s="35" t="s">
        <v>214</v>
      </c>
      <c r="K209" s="34">
        <v>500</v>
      </c>
      <c r="L209" s="21"/>
      <c r="M209" s="21"/>
      <c r="N209" s="21"/>
      <c r="O209" s="21"/>
      <c r="P209" s="34">
        <v>1800</v>
      </c>
      <c r="Q209" s="36"/>
      <c r="R209" s="21"/>
      <c r="S209" s="21"/>
      <c r="T209" s="21"/>
      <c r="U209" s="21"/>
      <c r="V209" s="21"/>
      <c r="W209" s="21"/>
      <c r="X209" s="21"/>
      <c r="Y209" s="21"/>
      <c r="Z209" s="21"/>
      <c r="AA209" s="21"/>
      <c r="AB209" s="21"/>
      <c r="AC209" s="21"/>
      <c r="AD209" s="21"/>
      <c r="AE209" s="21"/>
      <c r="AF209" s="21"/>
      <c r="AG209" s="21"/>
      <c r="AH209" s="21"/>
      <c r="AI209" s="21"/>
      <c r="AJ209" s="21"/>
      <c r="AK209" s="21"/>
      <c r="AL209" s="34">
        <v>18.66</v>
      </c>
      <c r="AM209" s="34">
        <v>2.82</v>
      </c>
      <c r="AN209" s="21"/>
      <c r="AO209" s="21"/>
      <c r="AP209" s="21"/>
      <c r="AQ209" s="21"/>
      <c r="AR209" s="21"/>
      <c r="AS209" s="21"/>
      <c r="AT209" s="21"/>
      <c r="AU209" s="21"/>
      <c r="AV209" s="21"/>
      <c r="AW209" s="21"/>
      <c r="AX209" s="21"/>
      <c r="AY209" s="21"/>
      <c r="AZ209" s="21"/>
      <c r="BA209" s="21"/>
      <c r="BB209" s="21"/>
      <c r="BC209" s="37"/>
      <c r="BD209" s="21"/>
      <c r="BE209" s="2">
        <v>0</v>
      </c>
    </row>
    <row r="210" spans="1:57" ht="42" x14ac:dyDescent="0.15">
      <c r="A210" s="32" t="s">
        <v>411</v>
      </c>
      <c r="B210" s="33" t="s">
        <v>110</v>
      </c>
      <c r="C210" s="34">
        <v>2020</v>
      </c>
      <c r="D210" s="21" t="s">
        <v>222</v>
      </c>
      <c r="E210" s="21" t="s">
        <v>319</v>
      </c>
      <c r="F210" s="21"/>
      <c r="G210" s="2" t="s">
        <v>113</v>
      </c>
      <c r="H210" s="21"/>
      <c r="I210" s="21" t="s">
        <v>412</v>
      </c>
      <c r="J210" s="38">
        <v>45950</v>
      </c>
      <c r="K210" s="34">
        <v>500</v>
      </c>
      <c r="L210" s="21"/>
      <c r="M210" s="21"/>
      <c r="N210" s="21"/>
      <c r="O210" s="21"/>
      <c r="P210" s="34">
        <v>1800</v>
      </c>
      <c r="Q210" s="36"/>
      <c r="R210" s="21"/>
      <c r="S210" s="21"/>
      <c r="T210" s="21"/>
      <c r="U210" s="21"/>
      <c r="V210" s="21"/>
      <c r="W210" s="21"/>
      <c r="X210" s="21"/>
      <c r="Y210" s="21"/>
      <c r="Z210" s="21"/>
      <c r="AA210" s="21"/>
      <c r="AB210" s="21"/>
      <c r="AC210" s="21"/>
      <c r="AD210" s="21"/>
      <c r="AE210" s="21"/>
      <c r="AF210" s="21"/>
      <c r="AG210" s="21"/>
      <c r="AH210" s="21"/>
      <c r="AI210" s="21"/>
      <c r="AJ210" s="21"/>
      <c r="AK210" s="21"/>
      <c r="AL210" s="34">
        <v>14.95</v>
      </c>
      <c r="AM210" s="34">
        <v>2</v>
      </c>
      <c r="AN210" s="21"/>
      <c r="AO210" s="21"/>
      <c r="AP210" s="21"/>
      <c r="AQ210" s="21"/>
      <c r="AR210" s="21"/>
      <c r="AS210" s="21"/>
      <c r="AT210" s="21"/>
      <c r="AU210" s="21"/>
      <c r="AV210" s="21"/>
      <c r="AW210" s="21"/>
      <c r="AX210" s="21"/>
      <c r="AY210" s="21"/>
      <c r="AZ210" s="21"/>
      <c r="BA210" s="21"/>
      <c r="BB210" s="21"/>
      <c r="BC210" s="37"/>
      <c r="BD210" s="21"/>
      <c r="BE210" s="2">
        <v>0</v>
      </c>
    </row>
    <row r="211" spans="1:57" ht="42" x14ac:dyDescent="0.15">
      <c r="A211" s="32" t="s">
        <v>411</v>
      </c>
      <c r="B211" s="33" t="s">
        <v>110</v>
      </c>
      <c r="C211" s="34">
        <v>2020</v>
      </c>
      <c r="D211" s="21" t="s">
        <v>222</v>
      </c>
      <c r="E211" s="21" t="s">
        <v>319</v>
      </c>
      <c r="F211" s="21"/>
      <c r="G211" s="2" t="s">
        <v>113</v>
      </c>
      <c r="H211" s="21"/>
      <c r="I211" s="21" t="s">
        <v>412</v>
      </c>
      <c r="J211" s="35" t="s">
        <v>225</v>
      </c>
      <c r="K211" s="34">
        <v>500</v>
      </c>
      <c r="L211" s="21"/>
      <c r="M211" s="21"/>
      <c r="N211" s="21"/>
      <c r="O211" s="21"/>
      <c r="P211" s="34">
        <v>1800</v>
      </c>
      <c r="Q211" s="36"/>
      <c r="R211" s="21"/>
      <c r="S211" s="21"/>
      <c r="T211" s="21"/>
      <c r="U211" s="21"/>
      <c r="V211" s="21"/>
      <c r="W211" s="21"/>
      <c r="X211" s="21"/>
      <c r="Y211" s="21"/>
      <c r="Z211" s="21"/>
      <c r="AA211" s="21"/>
      <c r="AB211" s="21"/>
      <c r="AC211" s="21"/>
      <c r="AD211" s="21"/>
      <c r="AE211" s="21"/>
      <c r="AF211" s="21"/>
      <c r="AG211" s="21"/>
      <c r="AH211" s="21"/>
      <c r="AI211" s="21"/>
      <c r="AJ211" s="21"/>
      <c r="AK211" s="21"/>
      <c r="AL211" s="34">
        <v>11.97</v>
      </c>
      <c r="AM211" s="34">
        <v>2.41</v>
      </c>
      <c r="AN211" s="21"/>
      <c r="AO211" s="21"/>
      <c r="AP211" s="21"/>
      <c r="AQ211" s="21"/>
      <c r="AR211" s="21"/>
      <c r="AS211" s="21"/>
      <c r="AT211" s="21"/>
      <c r="AU211" s="21"/>
      <c r="AV211" s="21"/>
      <c r="AW211" s="21"/>
      <c r="AX211" s="21"/>
      <c r="AY211" s="21"/>
      <c r="AZ211" s="21"/>
      <c r="BA211" s="21"/>
      <c r="BB211" s="21"/>
      <c r="BC211" s="37"/>
      <c r="BD211" s="21"/>
      <c r="BE211" s="2">
        <v>0</v>
      </c>
    </row>
    <row r="212" spans="1:57" ht="42" x14ac:dyDescent="0.15">
      <c r="A212" s="32" t="s">
        <v>411</v>
      </c>
      <c r="B212" s="33" t="s">
        <v>110</v>
      </c>
      <c r="C212" s="34">
        <v>2020</v>
      </c>
      <c r="D212" s="21" t="s">
        <v>222</v>
      </c>
      <c r="E212" s="21" t="s">
        <v>319</v>
      </c>
      <c r="F212" s="21"/>
      <c r="G212" s="21" t="s">
        <v>413</v>
      </c>
      <c r="H212" s="21"/>
      <c r="I212" s="21" t="s">
        <v>414</v>
      </c>
      <c r="J212" s="35" t="s">
        <v>214</v>
      </c>
      <c r="K212" s="34">
        <v>500</v>
      </c>
      <c r="L212" s="21"/>
      <c r="M212" s="21"/>
      <c r="N212" s="21"/>
      <c r="O212" s="21"/>
      <c r="P212" s="34">
        <v>1800</v>
      </c>
      <c r="Q212" s="36"/>
      <c r="R212" s="21"/>
      <c r="S212" s="21"/>
      <c r="T212" s="21"/>
      <c r="U212" s="21"/>
      <c r="V212" s="21"/>
      <c r="W212" s="21"/>
      <c r="X212" s="21"/>
      <c r="Y212" s="21"/>
      <c r="Z212" s="21"/>
      <c r="AA212" s="21"/>
      <c r="AB212" s="21"/>
      <c r="AC212" s="21"/>
      <c r="AD212" s="21"/>
      <c r="AE212" s="21"/>
      <c r="AF212" s="21"/>
      <c r="AG212" s="21"/>
      <c r="AH212" s="21"/>
      <c r="AI212" s="21"/>
      <c r="AJ212" s="21"/>
      <c r="AK212" s="21"/>
      <c r="AL212" s="34">
        <v>20.9</v>
      </c>
      <c r="AM212" s="34">
        <v>1.83</v>
      </c>
      <c r="AN212" s="34">
        <f>AL212-AL209</f>
        <v>2.2399999999999984</v>
      </c>
      <c r="AO212" s="34">
        <f>(AN212/AL209)*100</f>
        <v>12.004287245444793</v>
      </c>
      <c r="AP212" s="21"/>
      <c r="AQ212" s="21"/>
      <c r="AR212" s="21"/>
      <c r="AS212" s="21"/>
      <c r="AT212" s="21"/>
      <c r="AU212" s="21"/>
      <c r="AV212" s="21"/>
      <c r="AW212" s="21"/>
      <c r="AX212" s="21"/>
      <c r="AY212" s="21"/>
      <c r="AZ212" s="21"/>
      <c r="BA212" s="21"/>
      <c r="BB212" s="21"/>
      <c r="BC212" s="37"/>
      <c r="BD212" s="21"/>
      <c r="BE212" s="2">
        <v>0</v>
      </c>
    </row>
    <row r="213" spans="1:57" ht="42" x14ac:dyDescent="0.15">
      <c r="A213" s="32" t="s">
        <v>411</v>
      </c>
      <c r="B213" s="33" t="s">
        <v>110</v>
      </c>
      <c r="C213" s="34">
        <v>2020</v>
      </c>
      <c r="D213" s="21" t="s">
        <v>222</v>
      </c>
      <c r="E213" s="21" t="s">
        <v>319</v>
      </c>
      <c r="F213" s="21"/>
      <c r="G213" s="21" t="s">
        <v>413</v>
      </c>
      <c r="H213" s="21"/>
      <c r="I213" s="21" t="s">
        <v>414</v>
      </c>
      <c r="J213" s="38">
        <v>45950</v>
      </c>
      <c r="K213" s="34">
        <v>500</v>
      </c>
      <c r="L213" s="21"/>
      <c r="M213" s="21"/>
      <c r="N213" s="21"/>
      <c r="O213" s="21"/>
      <c r="P213" s="34">
        <v>1800</v>
      </c>
      <c r="Q213" s="36"/>
      <c r="R213" s="21"/>
      <c r="S213" s="21"/>
      <c r="T213" s="21"/>
      <c r="U213" s="21"/>
      <c r="V213" s="21"/>
      <c r="W213" s="21"/>
      <c r="X213" s="21"/>
      <c r="Y213" s="21"/>
      <c r="Z213" s="21"/>
      <c r="AA213" s="21"/>
      <c r="AB213" s="21"/>
      <c r="AC213" s="21"/>
      <c r="AD213" s="21"/>
      <c r="AE213" s="21"/>
      <c r="AF213" s="21"/>
      <c r="AG213" s="21"/>
      <c r="AH213" s="21"/>
      <c r="AI213" s="21"/>
      <c r="AJ213" s="21"/>
      <c r="AK213" s="21"/>
      <c r="AL213" s="34">
        <v>18.850000000000001</v>
      </c>
      <c r="AM213" s="34">
        <v>0.51</v>
      </c>
      <c r="AN213" s="34">
        <f>AL213-AL210</f>
        <v>3.9000000000000021</v>
      </c>
      <c r="AO213" s="34">
        <f>(AN213/AL210)*100</f>
        <v>26.086956521739147</v>
      </c>
      <c r="AP213" s="21"/>
      <c r="AQ213" s="21"/>
      <c r="AR213" s="21"/>
      <c r="AS213" s="21"/>
      <c r="AT213" s="21"/>
      <c r="AU213" s="21"/>
      <c r="AV213" s="21"/>
      <c r="AW213" s="21"/>
      <c r="AX213" s="21"/>
      <c r="AY213" s="21"/>
      <c r="AZ213" s="21"/>
      <c r="BA213" s="21"/>
      <c r="BB213" s="21"/>
      <c r="BC213" s="37"/>
      <c r="BD213" s="21"/>
      <c r="BE213" s="2">
        <v>0</v>
      </c>
    </row>
    <row r="214" spans="1:57" ht="42" x14ac:dyDescent="0.15">
      <c r="A214" s="32" t="s">
        <v>411</v>
      </c>
      <c r="B214" s="33" t="s">
        <v>110</v>
      </c>
      <c r="C214" s="34">
        <v>2020</v>
      </c>
      <c r="D214" s="21" t="s">
        <v>222</v>
      </c>
      <c r="E214" s="21" t="s">
        <v>319</v>
      </c>
      <c r="F214" s="21"/>
      <c r="G214" s="21" t="s">
        <v>413</v>
      </c>
      <c r="H214" s="21"/>
      <c r="I214" s="21" t="s">
        <v>414</v>
      </c>
      <c r="J214" s="35" t="s">
        <v>225</v>
      </c>
      <c r="K214" s="34">
        <v>500</v>
      </c>
      <c r="L214" s="21"/>
      <c r="M214" s="21"/>
      <c r="N214" s="21"/>
      <c r="O214" s="21"/>
      <c r="P214" s="34">
        <v>1800</v>
      </c>
      <c r="Q214" s="36"/>
      <c r="R214" s="21"/>
      <c r="S214" s="21"/>
      <c r="T214" s="21"/>
      <c r="U214" s="21"/>
      <c r="V214" s="21"/>
      <c r="W214" s="21"/>
      <c r="X214" s="21"/>
      <c r="Y214" s="21"/>
      <c r="Z214" s="21"/>
      <c r="AA214" s="21"/>
      <c r="AB214" s="21"/>
      <c r="AC214" s="21"/>
      <c r="AD214" s="21"/>
      <c r="AE214" s="21"/>
      <c r="AF214" s="21"/>
      <c r="AG214" s="21"/>
      <c r="AH214" s="21"/>
      <c r="AI214" s="21"/>
      <c r="AJ214" s="21"/>
      <c r="AK214" s="21"/>
      <c r="AL214" s="34">
        <v>13.67</v>
      </c>
      <c r="AM214" s="34">
        <v>2.11</v>
      </c>
      <c r="AN214" s="34">
        <f>AL214-AL211</f>
        <v>1.6999999999999993</v>
      </c>
      <c r="AO214" s="34">
        <f>(AN214/AL211)*100</f>
        <v>14.202172096908933</v>
      </c>
      <c r="AP214" s="21"/>
      <c r="AQ214" s="21"/>
      <c r="AR214" s="21"/>
      <c r="AS214" s="21"/>
      <c r="AT214" s="21"/>
      <c r="AU214" s="21"/>
      <c r="AV214" s="21"/>
      <c r="AW214" s="21"/>
      <c r="AX214" s="21"/>
      <c r="AY214" s="21"/>
      <c r="AZ214" s="21"/>
      <c r="BA214" s="21"/>
      <c r="BB214" s="21"/>
      <c r="BC214" s="37"/>
      <c r="BD214" s="21"/>
      <c r="BE214" s="2">
        <v>0</v>
      </c>
    </row>
    <row r="215" spans="1:57" ht="42" hidden="1" x14ac:dyDescent="0.15">
      <c r="A215" s="32" t="s">
        <v>411</v>
      </c>
      <c r="B215" s="33" t="s">
        <v>110</v>
      </c>
      <c r="C215" s="34">
        <v>2020</v>
      </c>
      <c r="D215" s="21" t="s">
        <v>222</v>
      </c>
      <c r="E215" s="21" t="s">
        <v>143</v>
      </c>
      <c r="F215" s="21"/>
      <c r="G215" s="21" t="s">
        <v>238</v>
      </c>
      <c r="H215" s="21"/>
      <c r="I215" s="21" t="s">
        <v>415</v>
      </c>
      <c r="J215" s="35" t="s">
        <v>214</v>
      </c>
      <c r="K215" s="34">
        <v>500</v>
      </c>
      <c r="L215" s="21"/>
      <c r="M215" s="21"/>
      <c r="N215" s="21"/>
      <c r="O215" s="21"/>
      <c r="P215" s="34">
        <v>1800</v>
      </c>
      <c r="Q215" s="36"/>
      <c r="R215" s="21"/>
      <c r="S215" s="21"/>
      <c r="T215" s="21"/>
      <c r="U215" s="21"/>
      <c r="V215" s="21"/>
      <c r="W215" s="21"/>
      <c r="X215" s="21"/>
      <c r="Y215" s="21"/>
      <c r="Z215" s="21"/>
      <c r="AA215" s="21"/>
      <c r="AB215" s="21"/>
      <c r="AC215" s="21"/>
      <c r="AD215" s="21"/>
      <c r="AE215" s="21"/>
      <c r="AF215" s="21"/>
      <c r="AG215" s="21"/>
      <c r="AH215" s="21"/>
      <c r="AI215" s="21"/>
      <c r="AJ215" s="21"/>
      <c r="AK215" s="21"/>
      <c r="AL215" s="34">
        <v>20.95</v>
      </c>
      <c r="AM215" s="34">
        <v>1.43</v>
      </c>
      <c r="AN215" s="34">
        <f>AL215-AL209</f>
        <v>2.2899999999999991</v>
      </c>
      <c r="AO215" s="34">
        <f>(AN215/AL209)*100</f>
        <v>12.272240085744905</v>
      </c>
      <c r="AP215" s="21"/>
      <c r="AQ215" s="21"/>
      <c r="AR215" s="21"/>
      <c r="AS215" s="21"/>
      <c r="AT215" s="21"/>
      <c r="AU215" s="21"/>
      <c r="AV215" s="21"/>
      <c r="AW215" s="21"/>
      <c r="AX215" s="21"/>
      <c r="AY215" s="21"/>
      <c r="AZ215" s="21"/>
      <c r="BA215" s="21"/>
      <c r="BB215" s="21"/>
      <c r="BC215" s="37"/>
      <c r="BD215" s="21"/>
      <c r="BE215" s="2">
        <v>0</v>
      </c>
    </row>
    <row r="216" spans="1:57" ht="42" hidden="1" x14ac:dyDescent="0.15">
      <c r="A216" s="32" t="s">
        <v>411</v>
      </c>
      <c r="B216" s="33" t="s">
        <v>110</v>
      </c>
      <c r="C216" s="34">
        <v>2020</v>
      </c>
      <c r="D216" s="21" t="s">
        <v>222</v>
      </c>
      <c r="E216" s="21" t="s">
        <v>143</v>
      </c>
      <c r="F216" s="21"/>
      <c r="G216" s="21" t="s">
        <v>238</v>
      </c>
      <c r="H216" s="21"/>
      <c r="I216" s="21" t="s">
        <v>415</v>
      </c>
      <c r="J216" s="38">
        <v>45950</v>
      </c>
      <c r="K216" s="34">
        <v>500</v>
      </c>
      <c r="L216" s="21"/>
      <c r="M216" s="21"/>
      <c r="N216" s="21"/>
      <c r="O216" s="21"/>
      <c r="P216" s="34">
        <v>1800</v>
      </c>
      <c r="Q216" s="36"/>
      <c r="R216" s="21"/>
      <c r="S216" s="21"/>
      <c r="T216" s="21"/>
      <c r="U216" s="21"/>
      <c r="V216" s="21"/>
      <c r="W216" s="21"/>
      <c r="X216" s="21"/>
      <c r="Y216" s="21"/>
      <c r="Z216" s="21"/>
      <c r="AA216" s="21"/>
      <c r="AB216" s="21"/>
      <c r="AC216" s="21"/>
      <c r="AD216" s="21"/>
      <c r="AE216" s="21"/>
      <c r="AF216" s="21"/>
      <c r="AG216" s="21"/>
      <c r="AH216" s="21"/>
      <c r="AI216" s="21"/>
      <c r="AJ216" s="21"/>
      <c r="AK216" s="21"/>
      <c r="AL216" s="34">
        <v>19.420000000000002</v>
      </c>
      <c r="AM216" s="34">
        <v>1.65</v>
      </c>
      <c r="AN216" s="34">
        <f>AL216-AL210</f>
        <v>4.4700000000000024</v>
      </c>
      <c r="AO216" s="34">
        <f>(AN216/AL210)*100</f>
        <v>29.899665551839483</v>
      </c>
      <c r="AP216" s="21"/>
      <c r="AQ216" s="21"/>
      <c r="AR216" s="21"/>
      <c r="AS216" s="21"/>
      <c r="AT216" s="21"/>
      <c r="AU216" s="21"/>
      <c r="AV216" s="21"/>
      <c r="AW216" s="21"/>
      <c r="AX216" s="21"/>
      <c r="AY216" s="21"/>
      <c r="AZ216" s="21"/>
      <c r="BA216" s="21"/>
      <c r="BB216" s="21"/>
      <c r="BC216" s="37"/>
      <c r="BD216" s="21"/>
      <c r="BE216" s="2">
        <v>0</v>
      </c>
    </row>
    <row r="217" spans="1:57" ht="42" hidden="1" x14ac:dyDescent="0.15">
      <c r="A217" s="32" t="s">
        <v>411</v>
      </c>
      <c r="B217" s="33" t="s">
        <v>110</v>
      </c>
      <c r="C217" s="34">
        <v>2020</v>
      </c>
      <c r="D217" s="21" t="s">
        <v>222</v>
      </c>
      <c r="E217" s="21" t="s">
        <v>143</v>
      </c>
      <c r="F217" s="21"/>
      <c r="G217" s="21" t="s">
        <v>238</v>
      </c>
      <c r="H217" s="21"/>
      <c r="I217" s="21" t="s">
        <v>415</v>
      </c>
      <c r="J217" s="35" t="s">
        <v>225</v>
      </c>
      <c r="K217" s="34">
        <v>500</v>
      </c>
      <c r="L217" s="21"/>
      <c r="M217" s="21"/>
      <c r="N217" s="21"/>
      <c r="O217" s="21"/>
      <c r="P217" s="34">
        <v>1800</v>
      </c>
      <c r="Q217" s="36"/>
      <c r="R217" s="21"/>
      <c r="S217" s="21"/>
      <c r="T217" s="21"/>
      <c r="U217" s="21"/>
      <c r="V217" s="21"/>
      <c r="W217" s="21"/>
      <c r="X217" s="21"/>
      <c r="Y217" s="21"/>
      <c r="Z217" s="21"/>
      <c r="AA217" s="21"/>
      <c r="AB217" s="21"/>
      <c r="AC217" s="21"/>
      <c r="AD217" s="21"/>
      <c r="AE217" s="21"/>
      <c r="AF217" s="21"/>
      <c r="AG217" s="21"/>
      <c r="AH217" s="21"/>
      <c r="AI217" s="21"/>
      <c r="AJ217" s="21"/>
      <c r="AK217" s="21"/>
      <c r="AL217" s="34">
        <v>15.93</v>
      </c>
      <c r="AM217" s="34">
        <v>4.7300000000000004</v>
      </c>
      <c r="AN217" s="34">
        <f>AL217-AL211</f>
        <v>3.9599999999999991</v>
      </c>
      <c r="AO217" s="34">
        <f>(AN217/AL211)*100</f>
        <v>33.082706766917283</v>
      </c>
      <c r="AP217" s="21"/>
      <c r="AQ217" s="21"/>
      <c r="AR217" s="21"/>
      <c r="AS217" s="21"/>
      <c r="AT217" s="21"/>
      <c r="AU217" s="21"/>
      <c r="AV217" s="21"/>
      <c r="AW217" s="21"/>
      <c r="AX217" s="21"/>
      <c r="AY217" s="21"/>
      <c r="AZ217" s="21"/>
      <c r="BA217" s="21"/>
      <c r="BB217" s="21"/>
      <c r="BC217" s="37"/>
      <c r="BD217" s="21"/>
      <c r="BE217" s="2">
        <v>0</v>
      </c>
    </row>
    <row r="218" spans="1:57" ht="13" x14ac:dyDescent="0.15">
      <c r="A218" s="39" t="s">
        <v>416</v>
      </c>
      <c r="B218" s="2" t="s">
        <v>159</v>
      </c>
      <c r="C218" s="9">
        <v>2022</v>
      </c>
      <c r="D218" s="2" t="s">
        <v>417</v>
      </c>
      <c r="E218" s="2" t="s">
        <v>112</v>
      </c>
      <c r="F218" s="2"/>
      <c r="G218" s="2" t="s">
        <v>122</v>
      </c>
      <c r="H218" s="2"/>
      <c r="I218" s="2" t="s">
        <v>418</v>
      </c>
      <c r="J218" s="2" t="s">
        <v>179</v>
      </c>
      <c r="K218" s="9">
        <v>745</v>
      </c>
      <c r="L218" s="9">
        <v>13</v>
      </c>
      <c r="M218" s="2"/>
      <c r="N218" s="2"/>
      <c r="O218" s="2"/>
      <c r="P218" s="9">
        <v>1305</v>
      </c>
      <c r="Q218" s="11">
        <v>3</v>
      </c>
      <c r="R218" s="9">
        <v>9</v>
      </c>
      <c r="S218" s="2"/>
      <c r="T218" s="2" t="s">
        <v>419</v>
      </c>
      <c r="U218" s="2" t="s">
        <v>420</v>
      </c>
      <c r="V218" s="9">
        <v>36</v>
      </c>
      <c r="W218" s="2" t="s">
        <v>421</v>
      </c>
      <c r="X218" s="2"/>
      <c r="Y218" s="2"/>
      <c r="Z218" s="2"/>
      <c r="AA218" s="2"/>
      <c r="AB218" s="2"/>
      <c r="AC218" s="2"/>
      <c r="AD218" s="2"/>
      <c r="AE218" s="2"/>
      <c r="AF218" s="9">
        <v>1.6</v>
      </c>
      <c r="AG218" s="9">
        <v>0.02</v>
      </c>
      <c r="AH218" s="9">
        <v>1.48</v>
      </c>
      <c r="AI218" s="9">
        <v>0.3</v>
      </c>
      <c r="AJ218" s="9">
        <v>5</v>
      </c>
      <c r="AK218" s="9">
        <v>0.4</v>
      </c>
      <c r="AL218" s="9">
        <v>7.5</v>
      </c>
      <c r="AM218" s="9">
        <v>1</v>
      </c>
      <c r="AN218" s="9">
        <v>2.5</v>
      </c>
      <c r="AO218" s="9">
        <v>50</v>
      </c>
      <c r="AP218" s="2"/>
      <c r="AQ218" s="2"/>
      <c r="AR218" s="2"/>
      <c r="AS218" s="2"/>
      <c r="AT218" s="2"/>
      <c r="AU218" s="2"/>
      <c r="AV218" s="2" t="s">
        <v>288</v>
      </c>
      <c r="AW218" s="9">
        <v>64</v>
      </c>
      <c r="AX218" s="2"/>
      <c r="AY218" s="2"/>
      <c r="AZ218" s="2" t="s">
        <v>252</v>
      </c>
      <c r="BA218" s="2" t="s">
        <v>132</v>
      </c>
      <c r="BB218" s="2" t="s">
        <v>422</v>
      </c>
      <c r="BC218" s="6"/>
      <c r="BD218" s="2"/>
      <c r="BE218" s="2">
        <v>0</v>
      </c>
    </row>
    <row r="219" spans="1:57" ht="13" hidden="1" x14ac:dyDescent="0.15">
      <c r="A219" s="39" t="s">
        <v>416</v>
      </c>
      <c r="B219" s="2" t="s">
        <v>159</v>
      </c>
      <c r="C219" s="9">
        <v>2022</v>
      </c>
      <c r="D219" s="2" t="s">
        <v>417</v>
      </c>
      <c r="E219" s="2" t="s">
        <v>143</v>
      </c>
      <c r="F219" s="2" t="s">
        <v>143</v>
      </c>
      <c r="G219" s="2" t="s">
        <v>177</v>
      </c>
      <c r="H219" s="2" t="s">
        <v>325</v>
      </c>
      <c r="I219" s="2" t="s">
        <v>423</v>
      </c>
      <c r="J219" s="2" t="s">
        <v>179</v>
      </c>
      <c r="K219" s="9">
        <v>745</v>
      </c>
      <c r="L219" s="9">
        <v>13</v>
      </c>
      <c r="M219" s="2"/>
      <c r="N219" s="2"/>
      <c r="O219" s="2"/>
      <c r="P219" s="9">
        <v>1305</v>
      </c>
      <c r="Q219" s="11">
        <v>3</v>
      </c>
      <c r="R219" s="9">
        <v>9</v>
      </c>
      <c r="S219" s="2"/>
      <c r="T219" s="2" t="s">
        <v>419</v>
      </c>
      <c r="U219" s="2" t="s">
        <v>420</v>
      </c>
      <c r="V219" s="9">
        <v>36</v>
      </c>
      <c r="W219" s="2" t="s">
        <v>421</v>
      </c>
      <c r="X219" s="2"/>
      <c r="Y219" s="2"/>
      <c r="Z219" s="2"/>
      <c r="AA219" s="2"/>
      <c r="AB219" s="2"/>
      <c r="AC219" s="2"/>
      <c r="AD219" s="2"/>
      <c r="AE219" s="2"/>
      <c r="AF219" s="9">
        <v>1.55</v>
      </c>
      <c r="AG219" s="9">
        <v>0.03</v>
      </c>
      <c r="AH219" s="9">
        <v>1.5</v>
      </c>
      <c r="AI219" s="9">
        <v>0.02</v>
      </c>
      <c r="AJ219" s="9">
        <v>4.5999999999999996</v>
      </c>
      <c r="AK219" s="9">
        <v>0.3</v>
      </c>
      <c r="AL219" s="9">
        <v>7.4</v>
      </c>
      <c r="AM219" s="9">
        <v>0.4</v>
      </c>
      <c r="AN219" s="9">
        <v>2.8</v>
      </c>
      <c r="AO219" s="9">
        <v>60.87</v>
      </c>
      <c r="AP219" s="2"/>
      <c r="AQ219" s="2"/>
      <c r="AR219" s="2"/>
      <c r="AS219" s="2"/>
      <c r="AT219" s="2"/>
      <c r="AU219" s="2"/>
      <c r="AV219" s="2" t="s">
        <v>288</v>
      </c>
      <c r="AW219" s="9">
        <v>64</v>
      </c>
      <c r="AX219" s="2"/>
      <c r="AY219" s="2"/>
      <c r="AZ219" s="2" t="s">
        <v>252</v>
      </c>
      <c r="BA219" s="2" t="s">
        <v>132</v>
      </c>
      <c r="BB219" s="2" t="s">
        <v>422</v>
      </c>
      <c r="BC219" s="6"/>
      <c r="BD219" s="2"/>
      <c r="BE219" s="2">
        <v>0</v>
      </c>
    </row>
    <row r="220" spans="1:57" ht="13" hidden="1" x14ac:dyDescent="0.15">
      <c r="A220" s="39" t="s">
        <v>416</v>
      </c>
      <c r="B220" s="2" t="s">
        <v>159</v>
      </c>
      <c r="C220" s="9">
        <v>2022</v>
      </c>
      <c r="D220" s="2" t="s">
        <v>417</v>
      </c>
      <c r="E220" s="2" t="s">
        <v>135</v>
      </c>
      <c r="F220" s="2"/>
      <c r="G220" s="2" t="s">
        <v>136</v>
      </c>
      <c r="H220" s="2"/>
      <c r="I220" s="2" t="s">
        <v>424</v>
      </c>
      <c r="J220" s="2" t="s">
        <v>179</v>
      </c>
      <c r="K220" s="9">
        <v>745</v>
      </c>
      <c r="L220" s="9">
        <v>13</v>
      </c>
      <c r="M220" s="2"/>
      <c r="N220" s="2"/>
      <c r="O220" s="2"/>
      <c r="P220" s="9">
        <v>1305</v>
      </c>
      <c r="Q220" s="11">
        <v>3</v>
      </c>
      <c r="R220" s="9">
        <v>9</v>
      </c>
      <c r="S220" s="2"/>
      <c r="T220" s="2" t="s">
        <v>419</v>
      </c>
      <c r="U220" s="2" t="s">
        <v>420</v>
      </c>
      <c r="V220" s="9">
        <v>36</v>
      </c>
      <c r="W220" s="2" t="s">
        <v>421</v>
      </c>
      <c r="X220" s="2"/>
      <c r="Y220" s="2"/>
      <c r="Z220" s="2"/>
      <c r="AA220" s="2"/>
      <c r="AB220" s="2"/>
      <c r="AC220" s="2"/>
      <c r="AD220" s="2"/>
      <c r="AE220" s="2"/>
      <c r="AF220" s="9">
        <v>1.6</v>
      </c>
      <c r="AG220" s="9">
        <v>0.02</v>
      </c>
      <c r="AH220" s="9">
        <v>1.58</v>
      </c>
      <c r="AI220" s="9">
        <v>0.02</v>
      </c>
      <c r="AJ220" s="9">
        <v>4.4000000000000004</v>
      </c>
      <c r="AK220" s="9">
        <v>0.3</v>
      </c>
      <c r="AL220" s="9">
        <v>4.3</v>
      </c>
      <c r="AM220" s="9">
        <v>0.2</v>
      </c>
      <c r="AN220" s="9">
        <v>-0.1</v>
      </c>
      <c r="AO220" s="9">
        <v>-2.27</v>
      </c>
      <c r="AP220" s="2"/>
      <c r="AQ220" s="2"/>
      <c r="AR220" s="2"/>
      <c r="AS220" s="2"/>
      <c r="AT220" s="2"/>
      <c r="AU220" s="2"/>
      <c r="AV220" s="2" t="s">
        <v>288</v>
      </c>
      <c r="AW220" s="9">
        <v>64</v>
      </c>
      <c r="AX220" s="2"/>
      <c r="AY220" s="2"/>
      <c r="AZ220" s="2" t="s">
        <v>252</v>
      </c>
      <c r="BA220" s="2" t="s">
        <v>132</v>
      </c>
      <c r="BB220" s="2" t="s">
        <v>422</v>
      </c>
      <c r="BC220" s="6"/>
      <c r="BD220" s="2"/>
      <c r="BE220" s="2">
        <v>0</v>
      </c>
    </row>
    <row r="221" spans="1:57" ht="13" x14ac:dyDescent="0.15">
      <c r="A221" s="39" t="s">
        <v>416</v>
      </c>
      <c r="B221" s="2" t="s">
        <v>159</v>
      </c>
      <c r="C221" s="9">
        <v>2022</v>
      </c>
      <c r="D221" s="2" t="s">
        <v>417</v>
      </c>
      <c r="E221" s="2" t="s">
        <v>112</v>
      </c>
      <c r="F221" s="2"/>
      <c r="G221" s="2" t="s">
        <v>113</v>
      </c>
      <c r="H221" s="2"/>
      <c r="I221" s="2" t="s">
        <v>425</v>
      </c>
      <c r="J221" s="2" t="s">
        <v>179</v>
      </c>
      <c r="K221" s="9">
        <v>745</v>
      </c>
      <c r="L221" s="9">
        <v>13</v>
      </c>
      <c r="M221" s="2"/>
      <c r="N221" s="2"/>
      <c r="O221" s="2"/>
      <c r="P221" s="9">
        <v>1305</v>
      </c>
      <c r="Q221" s="11">
        <v>3</v>
      </c>
      <c r="R221" s="9">
        <v>9</v>
      </c>
      <c r="S221" s="2"/>
      <c r="T221" s="2" t="s">
        <v>419</v>
      </c>
      <c r="U221" s="2" t="s">
        <v>420</v>
      </c>
      <c r="V221" s="9">
        <v>36</v>
      </c>
      <c r="W221" s="2" t="s">
        <v>421</v>
      </c>
      <c r="X221" s="2"/>
      <c r="Y221" s="2"/>
      <c r="Z221" s="2"/>
      <c r="AA221" s="2"/>
      <c r="AB221" s="2"/>
      <c r="AC221" s="2"/>
      <c r="AD221" s="2"/>
      <c r="AE221" s="2"/>
      <c r="AF221" s="9">
        <v>1.59</v>
      </c>
      <c r="AG221" s="9">
        <v>0.01</v>
      </c>
      <c r="AH221" s="9">
        <v>1.6</v>
      </c>
      <c r="AI221" s="9">
        <v>0.04</v>
      </c>
      <c r="AJ221" s="9">
        <v>5</v>
      </c>
      <c r="AK221" s="9">
        <v>0.4</v>
      </c>
      <c r="AL221" s="9">
        <v>5</v>
      </c>
      <c r="AM221" s="9">
        <v>0.3</v>
      </c>
      <c r="AN221" s="2"/>
      <c r="AO221" s="2"/>
      <c r="AP221" s="2"/>
      <c r="AQ221" s="2"/>
      <c r="AR221" s="2"/>
      <c r="AS221" s="2"/>
      <c r="AT221" s="2"/>
      <c r="AU221" s="2"/>
      <c r="AV221" s="2" t="s">
        <v>288</v>
      </c>
      <c r="AW221" s="9">
        <v>64</v>
      </c>
      <c r="AX221" s="2"/>
      <c r="AY221" s="2"/>
      <c r="AZ221" s="2" t="s">
        <v>252</v>
      </c>
      <c r="BA221" s="2" t="s">
        <v>132</v>
      </c>
      <c r="BB221" s="2" t="s">
        <v>422</v>
      </c>
      <c r="BC221" s="6"/>
      <c r="BD221" s="2"/>
      <c r="BE221" s="2">
        <v>0</v>
      </c>
    </row>
    <row r="222" spans="1:57" ht="28" hidden="1" x14ac:dyDescent="0.15">
      <c r="A222" s="40" t="s">
        <v>426</v>
      </c>
      <c r="B222" s="41" t="s">
        <v>211</v>
      </c>
      <c r="C222" s="25">
        <v>2022</v>
      </c>
      <c r="D222" s="24" t="s">
        <v>427</v>
      </c>
      <c r="E222" s="24" t="s">
        <v>143</v>
      </c>
      <c r="F222" s="24"/>
      <c r="G222" s="24" t="s">
        <v>113</v>
      </c>
      <c r="H222" s="24"/>
      <c r="I222" s="24" t="s">
        <v>428</v>
      </c>
      <c r="J222" s="26" t="s">
        <v>358</v>
      </c>
      <c r="K222" s="25">
        <v>500</v>
      </c>
      <c r="L222" s="25">
        <v>19</v>
      </c>
      <c r="M222" s="24"/>
      <c r="N222" s="24"/>
      <c r="O222" s="24"/>
      <c r="P222" s="25">
        <v>1429</v>
      </c>
      <c r="Q222" s="42">
        <v>3</v>
      </c>
      <c r="R222" s="24"/>
      <c r="S222" s="25">
        <f>50*20</f>
        <v>1000</v>
      </c>
      <c r="T222" s="25">
        <v>2000</v>
      </c>
      <c r="U222" s="25">
        <v>2017</v>
      </c>
      <c r="V222" s="25">
        <f>(U222-T222)*12</f>
        <v>204</v>
      </c>
      <c r="W222" s="24" t="s">
        <v>429</v>
      </c>
      <c r="X222" s="24"/>
      <c r="Y222" s="24"/>
      <c r="Z222" s="25">
        <v>6.9</v>
      </c>
      <c r="AA222" s="24"/>
      <c r="AB222" s="24"/>
      <c r="AC222" s="24"/>
      <c r="AD222" s="24"/>
      <c r="AE222" s="24"/>
      <c r="AF222" s="24"/>
      <c r="AG222" s="24"/>
      <c r="AH222" s="25">
        <v>1.1599999999999999</v>
      </c>
      <c r="AI222" s="24"/>
      <c r="AJ222" s="24"/>
      <c r="AK222" s="24"/>
      <c r="AL222" s="25">
        <v>14.09</v>
      </c>
      <c r="AM222" s="24"/>
      <c r="AN222" s="24"/>
      <c r="AO222" s="24"/>
      <c r="AP222" s="24"/>
      <c r="AQ222" s="24"/>
      <c r="AR222" s="24"/>
      <c r="AS222" s="24"/>
      <c r="AT222" s="24"/>
      <c r="AU222" s="24" t="s">
        <v>235</v>
      </c>
      <c r="AV222" s="24" t="s">
        <v>430</v>
      </c>
      <c r="AW222" s="25">
        <v>80.36</v>
      </c>
      <c r="AX222" s="24"/>
      <c r="AY222" s="24"/>
      <c r="AZ222" s="24"/>
      <c r="BA222" s="24" t="s">
        <v>132</v>
      </c>
      <c r="BB222" s="24" t="s">
        <v>133</v>
      </c>
      <c r="BC222" s="43" t="s">
        <v>431</v>
      </c>
      <c r="BD222" s="24"/>
      <c r="BE222" s="2">
        <v>0</v>
      </c>
    </row>
    <row r="223" spans="1:57" ht="28" hidden="1" x14ac:dyDescent="0.15">
      <c r="A223" s="40" t="s">
        <v>426</v>
      </c>
      <c r="B223" s="41" t="s">
        <v>211</v>
      </c>
      <c r="C223" s="25">
        <v>2022</v>
      </c>
      <c r="D223" s="24" t="s">
        <v>427</v>
      </c>
      <c r="E223" s="24" t="s">
        <v>143</v>
      </c>
      <c r="F223" s="24"/>
      <c r="G223" s="44" t="s">
        <v>333</v>
      </c>
      <c r="H223" s="24"/>
      <c r="I223" s="24" t="s">
        <v>432</v>
      </c>
      <c r="J223" s="26" t="s">
        <v>358</v>
      </c>
      <c r="K223" s="25">
        <v>500</v>
      </c>
      <c r="L223" s="25">
        <v>19</v>
      </c>
      <c r="M223" s="24"/>
      <c r="N223" s="24"/>
      <c r="O223" s="24"/>
      <c r="P223" s="25">
        <v>1429</v>
      </c>
      <c r="Q223" s="42">
        <v>3</v>
      </c>
      <c r="R223" s="24"/>
      <c r="S223" s="25">
        <f>50*20</f>
        <v>1000</v>
      </c>
      <c r="T223" s="25">
        <v>2008</v>
      </c>
      <c r="U223" s="25">
        <v>2017</v>
      </c>
      <c r="V223" s="25">
        <f>(U223-T223)*12</f>
        <v>108</v>
      </c>
      <c r="W223" s="24" t="s">
        <v>429</v>
      </c>
      <c r="X223" s="24"/>
      <c r="Y223" s="24"/>
      <c r="Z223" s="25">
        <v>6</v>
      </c>
      <c r="AA223" s="24"/>
      <c r="AB223" s="24"/>
      <c r="AC223" s="24"/>
      <c r="AD223" s="24"/>
      <c r="AE223" s="24"/>
      <c r="AF223" s="24"/>
      <c r="AG223" s="24"/>
      <c r="AH223" s="25">
        <v>1.1299999999999999</v>
      </c>
      <c r="AI223" s="24"/>
      <c r="AJ223" s="24"/>
      <c r="AK223" s="24"/>
      <c r="AL223" s="25">
        <v>10.17</v>
      </c>
      <c r="AM223" s="24"/>
      <c r="AN223" s="25">
        <f>AL223-AL$222</f>
        <v>-3.92</v>
      </c>
      <c r="AO223" s="25">
        <f>(AN223/AL$222)*100</f>
        <v>-27.821149751596881</v>
      </c>
      <c r="AP223" s="24"/>
      <c r="AQ223" s="25"/>
      <c r="AR223" s="25"/>
      <c r="AS223" s="24"/>
      <c r="AT223" s="24"/>
      <c r="AU223" s="24" t="s">
        <v>235</v>
      </c>
      <c r="AV223" s="24" t="s">
        <v>430</v>
      </c>
      <c r="AW223" s="25">
        <v>80.36</v>
      </c>
      <c r="AX223" s="24"/>
      <c r="AY223" s="24"/>
      <c r="AZ223" s="24"/>
      <c r="BA223" s="24" t="s">
        <v>132</v>
      </c>
      <c r="BB223" s="24" t="s">
        <v>133</v>
      </c>
      <c r="BC223" s="43" t="s">
        <v>431</v>
      </c>
      <c r="BD223" s="24"/>
      <c r="BE223" s="2">
        <v>0</v>
      </c>
    </row>
    <row r="224" spans="1:57" ht="28" hidden="1" x14ac:dyDescent="0.15">
      <c r="A224" s="40" t="s">
        <v>426</v>
      </c>
      <c r="B224" s="41" t="s">
        <v>211</v>
      </c>
      <c r="C224" s="25">
        <v>2022</v>
      </c>
      <c r="D224" s="24" t="s">
        <v>427</v>
      </c>
      <c r="E224" s="24" t="s">
        <v>143</v>
      </c>
      <c r="F224" s="24"/>
      <c r="G224" s="44" t="s">
        <v>333</v>
      </c>
      <c r="H224" s="24"/>
      <c r="I224" s="24" t="s">
        <v>433</v>
      </c>
      <c r="J224" s="26" t="s">
        <v>358</v>
      </c>
      <c r="K224" s="25">
        <v>500</v>
      </c>
      <c r="L224" s="25">
        <v>19</v>
      </c>
      <c r="M224" s="24"/>
      <c r="N224" s="24"/>
      <c r="O224" s="24"/>
      <c r="P224" s="25">
        <v>1429</v>
      </c>
      <c r="Q224" s="42">
        <v>3</v>
      </c>
      <c r="R224" s="24"/>
      <c r="S224" s="25">
        <f>50*20</f>
        <v>1000</v>
      </c>
      <c r="T224" s="25">
        <v>2005</v>
      </c>
      <c r="U224" s="25">
        <v>2017</v>
      </c>
      <c r="V224" s="25">
        <f>(U224-T224)*12</f>
        <v>144</v>
      </c>
      <c r="W224" s="24" t="s">
        <v>429</v>
      </c>
      <c r="X224" s="24"/>
      <c r="Y224" s="24"/>
      <c r="Z224" s="25">
        <v>7.7</v>
      </c>
      <c r="AA224" s="24"/>
      <c r="AB224" s="24"/>
      <c r="AC224" s="24"/>
      <c r="AD224" s="24"/>
      <c r="AE224" s="24"/>
      <c r="AF224" s="24"/>
      <c r="AG224" s="24"/>
      <c r="AH224" s="25">
        <v>1.26</v>
      </c>
      <c r="AI224" s="24"/>
      <c r="AJ224" s="24"/>
      <c r="AK224" s="24"/>
      <c r="AL224" s="25">
        <v>9.64</v>
      </c>
      <c r="AM224" s="24"/>
      <c r="AN224" s="25">
        <f>AL224-AL$222</f>
        <v>-4.4499999999999993</v>
      </c>
      <c r="AO224" s="25">
        <f>(AN224/AL$222)*100</f>
        <v>-31.582682753726044</v>
      </c>
      <c r="AP224" s="24"/>
      <c r="AQ224" s="25"/>
      <c r="AR224" s="25"/>
      <c r="AS224" s="24"/>
      <c r="AT224" s="24"/>
      <c r="AU224" s="24" t="s">
        <v>235</v>
      </c>
      <c r="AV224" s="24" t="s">
        <v>430</v>
      </c>
      <c r="AW224" s="25">
        <v>80.36</v>
      </c>
      <c r="AX224" s="24"/>
      <c r="AY224" s="24"/>
      <c r="AZ224" s="24"/>
      <c r="BA224" s="24" t="s">
        <v>132</v>
      </c>
      <c r="BB224" s="24" t="s">
        <v>133</v>
      </c>
      <c r="BC224" s="43" t="s">
        <v>431</v>
      </c>
      <c r="BD224" s="24"/>
      <c r="BE224" s="2">
        <v>0</v>
      </c>
    </row>
    <row r="225" spans="1:57" ht="28" hidden="1" x14ac:dyDescent="0.15">
      <c r="A225" s="40" t="s">
        <v>426</v>
      </c>
      <c r="B225" s="41" t="s">
        <v>211</v>
      </c>
      <c r="C225" s="25">
        <v>2022</v>
      </c>
      <c r="D225" s="24" t="s">
        <v>427</v>
      </c>
      <c r="E225" s="24" t="s">
        <v>143</v>
      </c>
      <c r="F225" s="24"/>
      <c r="G225" s="24" t="s">
        <v>113</v>
      </c>
      <c r="H225" s="24"/>
      <c r="I225" s="24" t="s">
        <v>428</v>
      </c>
      <c r="J225" s="26" t="s">
        <v>434</v>
      </c>
      <c r="K225" s="25">
        <v>500</v>
      </c>
      <c r="L225" s="25">
        <v>19</v>
      </c>
      <c r="M225" s="24"/>
      <c r="N225" s="24"/>
      <c r="O225" s="24"/>
      <c r="P225" s="25">
        <v>1429</v>
      </c>
      <c r="Q225" s="42">
        <v>3</v>
      </c>
      <c r="R225" s="24"/>
      <c r="S225" s="25">
        <f>50*20</f>
        <v>1000</v>
      </c>
      <c r="T225" s="25">
        <v>2000</v>
      </c>
      <c r="U225" s="25">
        <v>2017</v>
      </c>
      <c r="V225" s="25">
        <f>(U225-T225)*12</f>
        <v>204</v>
      </c>
      <c r="W225" s="24" t="s">
        <v>429</v>
      </c>
      <c r="X225" s="24"/>
      <c r="Y225" s="24"/>
      <c r="Z225" s="25">
        <v>5.8</v>
      </c>
      <c r="AA225" s="24"/>
      <c r="AB225" s="24"/>
      <c r="AC225" s="24"/>
      <c r="AD225" s="24"/>
      <c r="AE225" s="24"/>
      <c r="AF225" s="24"/>
      <c r="AG225" s="24"/>
      <c r="AH225" s="25">
        <v>1.18</v>
      </c>
      <c r="AI225" s="24"/>
      <c r="AJ225" s="24"/>
      <c r="AK225" s="24"/>
      <c r="AL225" s="25">
        <v>11</v>
      </c>
      <c r="AM225" s="24"/>
      <c r="AN225" s="24"/>
      <c r="AO225" s="24"/>
      <c r="AP225" s="24"/>
      <c r="AQ225" s="24"/>
      <c r="AR225" s="24"/>
      <c r="AS225" s="24"/>
      <c r="AT225" s="24"/>
      <c r="AU225" s="24" t="s">
        <v>235</v>
      </c>
      <c r="AV225" s="24" t="s">
        <v>430</v>
      </c>
      <c r="AW225" s="25">
        <v>80.36</v>
      </c>
      <c r="AX225" s="24"/>
      <c r="AY225" s="24"/>
      <c r="AZ225" s="24"/>
      <c r="BA225" s="24" t="s">
        <v>132</v>
      </c>
      <c r="BB225" s="24" t="s">
        <v>133</v>
      </c>
      <c r="BC225" s="43" t="s">
        <v>431</v>
      </c>
      <c r="BD225" s="24"/>
      <c r="BE225" s="2">
        <v>0</v>
      </c>
    </row>
    <row r="226" spans="1:57" ht="28" hidden="1" x14ac:dyDescent="0.15">
      <c r="A226" s="40" t="s">
        <v>426</v>
      </c>
      <c r="B226" s="41" t="s">
        <v>211</v>
      </c>
      <c r="C226" s="25">
        <v>2022</v>
      </c>
      <c r="D226" s="24" t="s">
        <v>427</v>
      </c>
      <c r="E226" s="24" t="s">
        <v>143</v>
      </c>
      <c r="F226" s="24"/>
      <c r="G226" s="44" t="s">
        <v>333</v>
      </c>
      <c r="H226" s="24"/>
      <c r="I226" s="24" t="s">
        <v>432</v>
      </c>
      <c r="J226" s="26" t="s">
        <v>434</v>
      </c>
      <c r="K226" s="25">
        <v>500</v>
      </c>
      <c r="L226" s="25">
        <v>19</v>
      </c>
      <c r="M226" s="24"/>
      <c r="N226" s="24"/>
      <c r="O226" s="24"/>
      <c r="P226" s="25">
        <v>1429</v>
      </c>
      <c r="Q226" s="42">
        <v>3</v>
      </c>
      <c r="R226" s="24"/>
      <c r="S226" s="25">
        <f>50*20</f>
        <v>1000</v>
      </c>
      <c r="T226" s="25">
        <v>2008</v>
      </c>
      <c r="U226" s="25">
        <v>2017</v>
      </c>
      <c r="V226" s="25">
        <f>(U226-T226)*12</f>
        <v>108</v>
      </c>
      <c r="W226" s="24" t="s">
        <v>429</v>
      </c>
      <c r="X226" s="24"/>
      <c r="Y226" s="24"/>
      <c r="Z226" s="25">
        <v>3.6</v>
      </c>
      <c r="AA226" s="24"/>
      <c r="AB226" s="24"/>
      <c r="AC226" s="24"/>
      <c r="AD226" s="24"/>
      <c r="AE226" s="24"/>
      <c r="AF226" s="24"/>
      <c r="AG226" s="24"/>
      <c r="AH226" s="25">
        <v>1.1399999999999999</v>
      </c>
      <c r="AI226" s="24"/>
      <c r="AJ226" s="24"/>
      <c r="AK226" s="24"/>
      <c r="AL226" s="25">
        <v>6.16</v>
      </c>
      <c r="AM226" s="24"/>
      <c r="AN226" s="25">
        <f>AL226-AL$225</f>
        <v>-4.84</v>
      </c>
      <c r="AO226" s="25">
        <f>(AN226/AL$225)*100</f>
        <v>-44</v>
      </c>
      <c r="AP226" s="24"/>
      <c r="AQ226" s="25"/>
      <c r="AR226" s="25"/>
      <c r="AS226" s="24"/>
      <c r="AT226" s="24"/>
      <c r="AU226" s="24" t="s">
        <v>235</v>
      </c>
      <c r="AV226" s="24" t="s">
        <v>430</v>
      </c>
      <c r="AW226" s="25">
        <v>80.36</v>
      </c>
      <c r="AX226" s="24"/>
      <c r="AY226" s="24"/>
      <c r="AZ226" s="24"/>
      <c r="BA226" s="24" t="s">
        <v>132</v>
      </c>
      <c r="BB226" s="24" t="s">
        <v>133</v>
      </c>
      <c r="BC226" s="43" t="s">
        <v>431</v>
      </c>
      <c r="BD226" s="24"/>
      <c r="BE226" s="2">
        <v>0</v>
      </c>
    </row>
    <row r="227" spans="1:57" ht="28" hidden="1" x14ac:dyDescent="0.15">
      <c r="A227" s="40" t="s">
        <v>426</v>
      </c>
      <c r="B227" s="41" t="s">
        <v>211</v>
      </c>
      <c r="C227" s="25">
        <v>2022</v>
      </c>
      <c r="D227" s="24" t="s">
        <v>427</v>
      </c>
      <c r="E227" s="24" t="s">
        <v>143</v>
      </c>
      <c r="F227" s="24"/>
      <c r="G227" s="44" t="s">
        <v>333</v>
      </c>
      <c r="H227" s="24"/>
      <c r="I227" s="24" t="s">
        <v>433</v>
      </c>
      <c r="J227" s="26" t="s">
        <v>434</v>
      </c>
      <c r="K227" s="25">
        <v>500</v>
      </c>
      <c r="L227" s="25">
        <v>19</v>
      </c>
      <c r="M227" s="24"/>
      <c r="N227" s="24"/>
      <c r="O227" s="24"/>
      <c r="P227" s="25">
        <v>1429</v>
      </c>
      <c r="Q227" s="42">
        <v>3</v>
      </c>
      <c r="R227" s="24"/>
      <c r="S227" s="25">
        <f>50*20</f>
        <v>1000</v>
      </c>
      <c r="T227" s="25">
        <v>2005</v>
      </c>
      <c r="U227" s="25">
        <v>2017</v>
      </c>
      <c r="V227" s="25">
        <f>(U227-T227)*12</f>
        <v>144</v>
      </c>
      <c r="W227" s="24" t="s">
        <v>429</v>
      </c>
      <c r="X227" s="24"/>
      <c r="Y227" s="24"/>
      <c r="Z227" s="25">
        <v>5.6</v>
      </c>
      <c r="AA227" s="24"/>
      <c r="AB227" s="24"/>
      <c r="AC227" s="24"/>
      <c r="AD227" s="24"/>
      <c r="AE227" s="24"/>
      <c r="AF227" s="24"/>
      <c r="AG227" s="24"/>
      <c r="AH227" s="25">
        <v>1.28</v>
      </c>
      <c r="AI227" s="24"/>
      <c r="AJ227" s="24"/>
      <c r="AK227" s="24"/>
      <c r="AL227" s="25">
        <v>8.64</v>
      </c>
      <c r="AM227" s="24"/>
      <c r="AN227" s="25">
        <f>AL227-AL$225</f>
        <v>-2.3599999999999994</v>
      </c>
      <c r="AO227" s="25">
        <f>(AN227/AL$225)*100</f>
        <v>-21.45454545454545</v>
      </c>
      <c r="AP227" s="24"/>
      <c r="AQ227" s="25"/>
      <c r="AR227" s="25"/>
      <c r="AS227" s="24"/>
      <c r="AT227" s="24"/>
      <c r="AU227" s="24" t="s">
        <v>235</v>
      </c>
      <c r="AV227" s="24" t="s">
        <v>430</v>
      </c>
      <c r="AW227" s="25">
        <v>80.36</v>
      </c>
      <c r="AX227" s="24"/>
      <c r="AY227" s="24"/>
      <c r="AZ227" s="24"/>
      <c r="BA227" s="24" t="s">
        <v>132</v>
      </c>
      <c r="BB227" s="24" t="s">
        <v>133</v>
      </c>
      <c r="BC227" s="43" t="s">
        <v>431</v>
      </c>
      <c r="BD227" s="24"/>
      <c r="BE227" s="2">
        <v>0</v>
      </c>
    </row>
    <row r="228" spans="1:57" ht="28" hidden="1" x14ac:dyDescent="0.15">
      <c r="A228" s="40" t="s">
        <v>426</v>
      </c>
      <c r="B228" s="41" t="s">
        <v>211</v>
      </c>
      <c r="C228" s="25">
        <v>2022</v>
      </c>
      <c r="D228" s="24" t="s">
        <v>427</v>
      </c>
      <c r="E228" s="24" t="s">
        <v>143</v>
      </c>
      <c r="F228" s="24"/>
      <c r="G228" s="24" t="s">
        <v>113</v>
      </c>
      <c r="H228" s="24"/>
      <c r="I228" s="24" t="s">
        <v>428</v>
      </c>
      <c r="J228" s="26" t="s">
        <v>435</v>
      </c>
      <c r="K228" s="25">
        <v>500</v>
      </c>
      <c r="L228" s="25">
        <v>19</v>
      </c>
      <c r="M228" s="24"/>
      <c r="N228" s="24"/>
      <c r="O228" s="24"/>
      <c r="P228" s="25">
        <v>1429</v>
      </c>
      <c r="Q228" s="42">
        <v>3</v>
      </c>
      <c r="R228" s="24"/>
      <c r="S228" s="25">
        <f>50*20</f>
        <v>1000</v>
      </c>
      <c r="T228" s="25">
        <v>2000</v>
      </c>
      <c r="U228" s="25">
        <v>2017</v>
      </c>
      <c r="V228" s="25">
        <f>(U228-T228)*12</f>
        <v>204</v>
      </c>
      <c r="W228" s="24" t="s">
        <v>429</v>
      </c>
      <c r="X228" s="24"/>
      <c r="Y228" s="24"/>
      <c r="Z228" s="25">
        <v>5</v>
      </c>
      <c r="AA228" s="24"/>
      <c r="AB228" s="24"/>
      <c r="AC228" s="24"/>
      <c r="AD228" s="24"/>
      <c r="AE228" s="24"/>
      <c r="AF228" s="24"/>
      <c r="AG228" s="24"/>
      <c r="AH228" s="25">
        <v>1.21</v>
      </c>
      <c r="AI228" s="24"/>
      <c r="AJ228" s="24"/>
      <c r="AK228" s="24"/>
      <c r="AL228" s="25">
        <v>9.59</v>
      </c>
      <c r="AM228" s="24"/>
      <c r="AN228" s="24"/>
      <c r="AO228" s="25"/>
      <c r="AP228" s="24"/>
      <c r="AQ228" s="24"/>
      <c r="AR228" s="24"/>
      <c r="AS228" s="24"/>
      <c r="AT228" s="24"/>
      <c r="AU228" s="24" t="s">
        <v>235</v>
      </c>
      <c r="AV228" s="24" t="s">
        <v>430</v>
      </c>
      <c r="AW228" s="25">
        <v>80.36</v>
      </c>
      <c r="AX228" s="24"/>
      <c r="AY228" s="24"/>
      <c r="AZ228" s="24"/>
      <c r="BA228" s="24" t="s">
        <v>132</v>
      </c>
      <c r="BB228" s="24" t="s">
        <v>133</v>
      </c>
      <c r="BC228" s="43" t="s">
        <v>431</v>
      </c>
      <c r="BD228" s="24"/>
      <c r="BE228" s="2">
        <v>0</v>
      </c>
    </row>
    <row r="229" spans="1:57" ht="28" hidden="1" x14ac:dyDescent="0.15">
      <c r="A229" s="40" t="s">
        <v>426</v>
      </c>
      <c r="B229" s="41" t="s">
        <v>211</v>
      </c>
      <c r="C229" s="25">
        <v>2022</v>
      </c>
      <c r="D229" s="24" t="s">
        <v>427</v>
      </c>
      <c r="E229" s="24" t="s">
        <v>143</v>
      </c>
      <c r="F229" s="24"/>
      <c r="G229" s="44" t="s">
        <v>333</v>
      </c>
      <c r="H229" s="24"/>
      <c r="I229" s="24" t="s">
        <v>432</v>
      </c>
      <c r="J229" s="26" t="s">
        <v>435</v>
      </c>
      <c r="K229" s="25">
        <v>500</v>
      </c>
      <c r="L229" s="25">
        <v>19</v>
      </c>
      <c r="M229" s="24"/>
      <c r="N229" s="24"/>
      <c r="O229" s="24"/>
      <c r="P229" s="25">
        <v>1429</v>
      </c>
      <c r="Q229" s="42">
        <v>3</v>
      </c>
      <c r="R229" s="24"/>
      <c r="S229" s="25">
        <f>50*20</f>
        <v>1000</v>
      </c>
      <c r="T229" s="25">
        <v>2008</v>
      </c>
      <c r="U229" s="25">
        <v>2017</v>
      </c>
      <c r="V229" s="25">
        <f>(U229-T229)*12</f>
        <v>108</v>
      </c>
      <c r="W229" s="24" t="s">
        <v>429</v>
      </c>
      <c r="X229" s="24"/>
      <c r="Y229" s="24"/>
      <c r="Z229" s="25">
        <v>3.4</v>
      </c>
      <c r="AA229" s="24"/>
      <c r="AB229" s="24"/>
      <c r="AC229" s="24"/>
      <c r="AD229" s="24"/>
      <c r="AE229" s="24"/>
      <c r="AF229" s="24"/>
      <c r="AG229" s="24"/>
      <c r="AH229" s="25">
        <v>1.17</v>
      </c>
      <c r="AI229" s="24"/>
      <c r="AJ229" s="24"/>
      <c r="AK229" s="24"/>
      <c r="AL229" s="25">
        <v>5.97</v>
      </c>
      <c r="AM229" s="24"/>
      <c r="AN229" s="25">
        <f>AL229-AL$228</f>
        <v>-3.62</v>
      </c>
      <c r="AO229" s="25">
        <f>(AN229/AL$228)*100</f>
        <v>-37.747653806047971</v>
      </c>
      <c r="AP229" s="24"/>
      <c r="AQ229" s="25"/>
      <c r="AR229" s="25"/>
      <c r="AS229" s="24"/>
      <c r="AT229" s="24"/>
      <c r="AU229" s="24" t="s">
        <v>235</v>
      </c>
      <c r="AV229" s="24" t="s">
        <v>430</v>
      </c>
      <c r="AW229" s="25">
        <v>80.36</v>
      </c>
      <c r="AX229" s="24"/>
      <c r="AY229" s="24"/>
      <c r="AZ229" s="24"/>
      <c r="BA229" s="24" t="s">
        <v>132</v>
      </c>
      <c r="BB229" s="24" t="s">
        <v>133</v>
      </c>
      <c r="BC229" s="43" t="s">
        <v>431</v>
      </c>
      <c r="BD229" s="24"/>
      <c r="BE229" s="2">
        <v>0</v>
      </c>
    </row>
    <row r="230" spans="1:57" ht="28" hidden="1" x14ac:dyDescent="0.15">
      <c r="A230" s="40" t="s">
        <v>426</v>
      </c>
      <c r="B230" s="41" t="s">
        <v>211</v>
      </c>
      <c r="C230" s="25">
        <v>2022</v>
      </c>
      <c r="D230" s="24" t="s">
        <v>427</v>
      </c>
      <c r="E230" s="24" t="s">
        <v>143</v>
      </c>
      <c r="F230" s="24"/>
      <c r="G230" s="44" t="s">
        <v>333</v>
      </c>
      <c r="H230" s="24"/>
      <c r="I230" s="24" t="s">
        <v>433</v>
      </c>
      <c r="J230" s="26" t="s">
        <v>435</v>
      </c>
      <c r="K230" s="25">
        <v>500</v>
      </c>
      <c r="L230" s="25">
        <v>19</v>
      </c>
      <c r="M230" s="24"/>
      <c r="N230" s="24"/>
      <c r="O230" s="24"/>
      <c r="P230" s="25">
        <v>1429</v>
      </c>
      <c r="Q230" s="42">
        <v>3</v>
      </c>
      <c r="R230" s="24"/>
      <c r="S230" s="25">
        <f>50*20</f>
        <v>1000</v>
      </c>
      <c r="T230" s="25">
        <v>2005</v>
      </c>
      <c r="U230" s="25">
        <v>2017</v>
      </c>
      <c r="V230" s="25">
        <f>(U230-T230)*12</f>
        <v>144</v>
      </c>
      <c r="W230" s="24" t="s">
        <v>429</v>
      </c>
      <c r="X230" s="24"/>
      <c r="Y230" s="24"/>
      <c r="Z230" s="25">
        <v>5.2</v>
      </c>
      <c r="AA230" s="24"/>
      <c r="AB230" s="24"/>
      <c r="AC230" s="24"/>
      <c r="AD230" s="24"/>
      <c r="AE230" s="24"/>
      <c r="AF230" s="24"/>
      <c r="AG230" s="24"/>
      <c r="AH230" s="25">
        <v>1.32</v>
      </c>
      <c r="AI230" s="24"/>
      <c r="AJ230" s="24"/>
      <c r="AK230" s="24"/>
      <c r="AL230" s="25">
        <v>9.11</v>
      </c>
      <c r="AM230" s="24"/>
      <c r="AN230" s="25">
        <f>AL230-AL$228</f>
        <v>-0.48000000000000043</v>
      </c>
      <c r="AO230" s="25">
        <f>(AN230/AL$228)*100</f>
        <v>-5.0052137643378565</v>
      </c>
      <c r="AP230" s="24"/>
      <c r="AQ230" s="25"/>
      <c r="AR230" s="25"/>
      <c r="AS230" s="24"/>
      <c r="AT230" s="24"/>
      <c r="AU230" s="24" t="s">
        <v>235</v>
      </c>
      <c r="AV230" s="24" t="s">
        <v>430</v>
      </c>
      <c r="AW230" s="25">
        <v>80.36</v>
      </c>
      <c r="AX230" s="24"/>
      <c r="AY230" s="24"/>
      <c r="AZ230" s="24"/>
      <c r="BA230" s="24" t="s">
        <v>132</v>
      </c>
      <c r="BB230" s="24" t="s">
        <v>133</v>
      </c>
      <c r="BC230" s="43" t="s">
        <v>431</v>
      </c>
      <c r="BD230" s="24"/>
      <c r="BE230" s="2">
        <v>0</v>
      </c>
    </row>
    <row r="231" spans="1:57" ht="14" hidden="1" x14ac:dyDescent="0.15">
      <c r="A231" s="24" t="s">
        <v>436</v>
      </c>
      <c r="B231" s="24" t="s">
        <v>159</v>
      </c>
      <c r="C231" s="25">
        <v>2018</v>
      </c>
      <c r="D231" s="24"/>
      <c r="E231" s="41" t="s">
        <v>143</v>
      </c>
      <c r="F231" s="24"/>
      <c r="G231" s="24" t="s">
        <v>113</v>
      </c>
      <c r="H231" s="24"/>
      <c r="I231" s="24" t="s">
        <v>437</v>
      </c>
      <c r="J231" s="26" t="s">
        <v>179</v>
      </c>
      <c r="K231" s="25">
        <v>700</v>
      </c>
      <c r="L231" s="25">
        <v>13.8</v>
      </c>
      <c r="M231" s="24"/>
      <c r="N231" s="24"/>
      <c r="O231" s="24"/>
      <c r="P231" s="25">
        <f>AVERAGE(1661,1828)</f>
        <v>1744.5</v>
      </c>
      <c r="Q231" s="42">
        <v>3</v>
      </c>
      <c r="R231" s="25">
        <v>4</v>
      </c>
      <c r="S231" s="24"/>
      <c r="T231" s="24"/>
      <c r="U231" s="24"/>
      <c r="V231" s="24"/>
      <c r="W231" s="24"/>
      <c r="X231" s="25">
        <v>9.5</v>
      </c>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t="s">
        <v>250</v>
      </c>
      <c r="AV231" s="24"/>
      <c r="AW231" s="24"/>
      <c r="AX231" s="24"/>
      <c r="AY231" s="24"/>
      <c r="AZ231" s="24"/>
      <c r="BA231" s="24"/>
      <c r="BB231" s="24" t="s">
        <v>253</v>
      </c>
      <c r="BC231" s="24"/>
      <c r="BD231" s="24" t="s">
        <v>438</v>
      </c>
      <c r="BE231" s="2">
        <v>0</v>
      </c>
    </row>
    <row r="232" spans="1:57" ht="14" hidden="1" x14ac:dyDescent="0.15">
      <c r="A232" s="24" t="s">
        <v>436</v>
      </c>
      <c r="B232" s="24" t="s">
        <v>159</v>
      </c>
      <c r="C232" s="25">
        <v>2018</v>
      </c>
      <c r="D232" s="24"/>
      <c r="E232" s="41" t="s">
        <v>143</v>
      </c>
      <c r="F232" s="24"/>
      <c r="G232" s="41" t="s">
        <v>439</v>
      </c>
      <c r="H232" s="24"/>
      <c r="I232" s="24" t="s">
        <v>440</v>
      </c>
      <c r="J232" s="26" t="s">
        <v>179</v>
      </c>
      <c r="K232" s="25">
        <v>700</v>
      </c>
      <c r="L232" s="25">
        <v>13.8</v>
      </c>
      <c r="M232" s="24"/>
      <c r="N232" s="24"/>
      <c r="O232" s="24"/>
      <c r="P232" s="25">
        <f>AVERAGE(1661,1828)</f>
        <v>1744.5</v>
      </c>
      <c r="Q232" s="42">
        <v>3</v>
      </c>
      <c r="R232" s="25">
        <v>4</v>
      </c>
      <c r="S232" s="24"/>
      <c r="T232" s="24"/>
      <c r="U232" s="24"/>
      <c r="V232" s="24"/>
      <c r="W232" s="24"/>
      <c r="X232" s="25">
        <v>10.5</v>
      </c>
      <c r="Y232" s="24"/>
      <c r="Z232" s="24"/>
      <c r="AA232" s="24"/>
      <c r="AB232" s="24"/>
      <c r="AC232" s="24"/>
      <c r="AD232" s="24"/>
      <c r="AE232" s="24"/>
      <c r="AF232" s="24"/>
      <c r="AG232" s="24"/>
      <c r="AH232" s="24"/>
      <c r="AI232" s="24"/>
      <c r="AJ232" s="24"/>
      <c r="AK232" s="24"/>
      <c r="AL232" s="24"/>
      <c r="AM232" s="24"/>
      <c r="AN232" s="24"/>
      <c r="AO232" s="24"/>
      <c r="AP232" s="24"/>
      <c r="AQ232" s="25">
        <f>X232-X$231</f>
        <v>1</v>
      </c>
      <c r="AR232" s="25">
        <f>(AQ232/X$231)*100</f>
        <v>10.526315789473683</v>
      </c>
      <c r="AS232" s="24"/>
      <c r="AT232" s="24"/>
      <c r="AU232" s="24" t="s">
        <v>250</v>
      </c>
      <c r="AV232" s="24"/>
      <c r="AW232" s="24"/>
      <c r="AX232" s="24"/>
      <c r="AY232" s="24"/>
      <c r="AZ232" s="24"/>
      <c r="BA232" s="24"/>
      <c r="BB232" s="24" t="s">
        <v>253</v>
      </c>
      <c r="BC232" s="24"/>
      <c r="BD232" s="24" t="s">
        <v>438</v>
      </c>
      <c r="BE232" s="2">
        <v>0</v>
      </c>
    </row>
    <row r="233" spans="1:57" ht="14" hidden="1" x14ac:dyDescent="0.15">
      <c r="A233" s="24" t="s">
        <v>436</v>
      </c>
      <c r="B233" s="24" t="s">
        <v>159</v>
      </c>
      <c r="C233" s="25">
        <v>2018</v>
      </c>
      <c r="D233" s="24"/>
      <c r="E233" s="41" t="s">
        <v>143</v>
      </c>
      <c r="F233" s="24"/>
      <c r="G233" s="41" t="s">
        <v>439</v>
      </c>
      <c r="H233" s="24"/>
      <c r="I233" s="24" t="s">
        <v>441</v>
      </c>
      <c r="J233" s="26" t="s">
        <v>179</v>
      </c>
      <c r="K233" s="25">
        <v>700</v>
      </c>
      <c r="L233" s="25">
        <v>13.8</v>
      </c>
      <c r="M233" s="24"/>
      <c r="N233" s="24"/>
      <c r="O233" s="24"/>
      <c r="P233" s="25">
        <f>AVERAGE(1661,1828)</f>
        <v>1744.5</v>
      </c>
      <c r="Q233" s="42">
        <v>2</v>
      </c>
      <c r="R233" s="25">
        <v>4</v>
      </c>
      <c r="S233" s="24"/>
      <c r="T233" s="24"/>
      <c r="U233" s="24"/>
      <c r="V233" s="24"/>
      <c r="W233" s="24"/>
      <c r="X233" s="25">
        <v>16.5</v>
      </c>
      <c r="Y233" s="24"/>
      <c r="Z233" s="24"/>
      <c r="AA233" s="24"/>
      <c r="AB233" s="24"/>
      <c r="AC233" s="24"/>
      <c r="AD233" s="24"/>
      <c r="AE233" s="24"/>
      <c r="AF233" s="24"/>
      <c r="AG233" s="24"/>
      <c r="AH233" s="24"/>
      <c r="AI233" s="24"/>
      <c r="AJ233" s="24"/>
      <c r="AK233" s="24"/>
      <c r="AL233" s="24"/>
      <c r="AM233" s="24"/>
      <c r="AN233" s="24"/>
      <c r="AO233" s="24"/>
      <c r="AP233" s="24"/>
      <c r="AQ233" s="25">
        <f>X233-X$231</f>
        <v>7</v>
      </c>
      <c r="AR233" s="25">
        <f>(AQ233/X$231)*100</f>
        <v>73.68421052631578</v>
      </c>
      <c r="AS233" s="24"/>
      <c r="AT233" s="24"/>
      <c r="AU233" s="24" t="s">
        <v>250</v>
      </c>
      <c r="AV233" s="24"/>
      <c r="AW233" s="24"/>
      <c r="AX233" s="24"/>
      <c r="AY233" s="24"/>
      <c r="AZ233" s="24"/>
      <c r="BA233" s="24"/>
      <c r="BB233" s="24" t="s">
        <v>253</v>
      </c>
      <c r="BC233" s="24"/>
      <c r="BD233" s="24" t="s">
        <v>438</v>
      </c>
      <c r="BE233" s="2">
        <v>0</v>
      </c>
    </row>
    <row r="234" spans="1:57" ht="14" hidden="1" x14ac:dyDescent="0.15">
      <c r="A234" s="24" t="s">
        <v>436</v>
      </c>
      <c r="B234" s="24" t="s">
        <v>159</v>
      </c>
      <c r="C234" s="25">
        <v>2018</v>
      </c>
      <c r="D234" s="24"/>
      <c r="E234" s="41" t="s">
        <v>143</v>
      </c>
      <c r="F234" s="24"/>
      <c r="G234" s="41" t="s">
        <v>439</v>
      </c>
      <c r="H234" s="24"/>
      <c r="I234" s="24" t="s">
        <v>442</v>
      </c>
      <c r="J234" s="26" t="s">
        <v>179</v>
      </c>
      <c r="K234" s="25">
        <v>700</v>
      </c>
      <c r="L234" s="25">
        <v>13.8</v>
      </c>
      <c r="M234" s="24"/>
      <c r="N234" s="24"/>
      <c r="O234" s="24"/>
      <c r="P234" s="25">
        <f>AVERAGE(1661,1828)</f>
        <v>1744.5</v>
      </c>
      <c r="Q234" s="42">
        <v>2</v>
      </c>
      <c r="R234" s="25">
        <v>4</v>
      </c>
      <c r="S234" s="24"/>
      <c r="T234" s="24"/>
      <c r="U234" s="24"/>
      <c r="V234" s="24"/>
      <c r="W234" s="24"/>
      <c r="X234" s="25">
        <v>20.9</v>
      </c>
      <c r="Y234" s="24"/>
      <c r="Z234" s="24"/>
      <c r="AA234" s="24"/>
      <c r="AB234" s="24"/>
      <c r="AC234" s="24"/>
      <c r="AD234" s="24"/>
      <c r="AE234" s="24"/>
      <c r="AF234" s="24"/>
      <c r="AG234" s="24"/>
      <c r="AH234" s="24"/>
      <c r="AI234" s="24"/>
      <c r="AJ234" s="24"/>
      <c r="AK234" s="24"/>
      <c r="AL234" s="24"/>
      <c r="AM234" s="24"/>
      <c r="AN234" s="24"/>
      <c r="AO234" s="24"/>
      <c r="AP234" s="24"/>
      <c r="AQ234" s="25">
        <f>X234-X$231</f>
        <v>11.399999999999999</v>
      </c>
      <c r="AR234" s="25">
        <f>(AQ234/X$231)*100</f>
        <v>120</v>
      </c>
      <c r="AS234" s="24"/>
      <c r="AT234" s="24"/>
      <c r="AU234" s="24" t="s">
        <v>250</v>
      </c>
      <c r="AV234" s="24"/>
      <c r="AW234" s="24"/>
      <c r="AX234" s="24"/>
      <c r="AY234" s="24"/>
      <c r="AZ234" s="24"/>
      <c r="BA234" s="24"/>
      <c r="BB234" s="24" t="s">
        <v>253</v>
      </c>
      <c r="BC234" s="24"/>
      <c r="BD234" s="24" t="s">
        <v>438</v>
      </c>
      <c r="BE234" s="2">
        <v>0</v>
      </c>
    </row>
    <row r="235" spans="1:57" ht="14" hidden="1" x14ac:dyDescent="0.15">
      <c r="A235" s="24" t="s">
        <v>436</v>
      </c>
      <c r="B235" s="24" t="s">
        <v>159</v>
      </c>
      <c r="C235" s="25">
        <v>2018</v>
      </c>
      <c r="D235" s="24"/>
      <c r="E235" s="41" t="s">
        <v>143</v>
      </c>
      <c r="F235" s="24"/>
      <c r="G235" s="41" t="s">
        <v>439</v>
      </c>
      <c r="H235" s="24"/>
      <c r="I235" s="24" t="s">
        <v>443</v>
      </c>
      <c r="J235" s="26" t="s">
        <v>179</v>
      </c>
      <c r="K235" s="25">
        <v>700</v>
      </c>
      <c r="L235" s="25">
        <v>13.8</v>
      </c>
      <c r="M235" s="24"/>
      <c r="N235" s="24"/>
      <c r="O235" s="24"/>
      <c r="P235" s="25">
        <f>AVERAGE(1661,1828)</f>
        <v>1744.5</v>
      </c>
      <c r="Q235" s="42">
        <v>2</v>
      </c>
      <c r="R235" s="25">
        <v>4</v>
      </c>
      <c r="S235" s="24"/>
      <c r="T235" s="24"/>
      <c r="U235" s="24"/>
      <c r="V235" s="24"/>
      <c r="W235" s="24"/>
      <c r="X235" s="25">
        <v>19</v>
      </c>
      <c r="Y235" s="24"/>
      <c r="Z235" s="24"/>
      <c r="AA235" s="24"/>
      <c r="AB235" s="24"/>
      <c r="AC235" s="24"/>
      <c r="AD235" s="24"/>
      <c r="AE235" s="24"/>
      <c r="AF235" s="24"/>
      <c r="AG235" s="24"/>
      <c r="AH235" s="24"/>
      <c r="AI235" s="24"/>
      <c r="AJ235" s="24"/>
      <c r="AK235" s="24"/>
      <c r="AL235" s="24"/>
      <c r="AM235" s="24"/>
      <c r="AN235" s="24"/>
      <c r="AO235" s="24"/>
      <c r="AP235" s="24"/>
      <c r="AQ235" s="25">
        <f>X235-X$231</f>
        <v>9.5</v>
      </c>
      <c r="AR235" s="25">
        <f>(AQ235/X$231)*100</f>
        <v>100</v>
      </c>
      <c r="AS235" s="24"/>
      <c r="AT235" s="24"/>
      <c r="AU235" s="24" t="s">
        <v>250</v>
      </c>
      <c r="AV235" s="24"/>
      <c r="AW235" s="24"/>
      <c r="AX235" s="24"/>
      <c r="AY235" s="24"/>
      <c r="AZ235" s="24"/>
      <c r="BA235" s="24"/>
      <c r="BB235" s="24" t="s">
        <v>253</v>
      </c>
      <c r="BC235" s="24"/>
      <c r="BD235" s="24" t="s">
        <v>438</v>
      </c>
      <c r="BE235" s="2">
        <v>0</v>
      </c>
    </row>
    <row r="236" spans="1:57" ht="14" hidden="1" x14ac:dyDescent="0.15">
      <c r="A236" s="24" t="s">
        <v>436</v>
      </c>
      <c r="B236" s="24" t="s">
        <v>159</v>
      </c>
      <c r="C236" s="25">
        <v>2018</v>
      </c>
      <c r="D236" s="24"/>
      <c r="E236" s="41" t="s">
        <v>143</v>
      </c>
      <c r="F236" s="24"/>
      <c r="G236" s="41" t="s">
        <v>439</v>
      </c>
      <c r="H236" s="24"/>
      <c r="I236" s="24" t="s">
        <v>444</v>
      </c>
      <c r="J236" s="26" t="s">
        <v>179</v>
      </c>
      <c r="K236" s="25">
        <v>700</v>
      </c>
      <c r="L236" s="25">
        <v>13.8</v>
      </c>
      <c r="M236" s="24"/>
      <c r="N236" s="24"/>
      <c r="O236" s="24"/>
      <c r="P236" s="25">
        <f>AVERAGE(1661,1828)</f>
        <v>1744.5</v>
      </c>
      <c r="Q236" s="42">
        <v>3</v>
      </c>
      <c r="R236" s="25">
        <v>4</v>
      </c>
      <c r="S236" s="24"/>
      <c r="T236" s="24"/>
      <c r="U236" s="24"/>
      <c r="V236" s="24"/>
      <c r="W236" s="24"/>
      <c r="X236" s="25">
        <v>25.9</v>
      </c>
      <c r="Y236" s="24"/>
      <c r="Z236" s="24"/>
      <c r="AA236" s="24"/>
      <c r="AB236" s="24"/>
      <c r="AC236" s="24"/>
      <c r="AD236" s="24"/>
      <c r="AE236" s="24"/>
      <c r="AF236" s="24"/>
      <c r="AG236" s="24"/>
      <c r="AH236" s="24"/>
      <c r="AI236" s="24"/>
      <c r="AJ236" s="24"/>
      <c r="AK236" s="24"/>
      <c r="AL236" s="24"/>
      <c r="AM236" s="24"/>
      <c r="AN236" s="24"/>
      <c r="AO236" s="24"/>
      <c r="AP236" s="24"/>
      <c r="AQ236" s="25">
        <f>X236-X$231</f>
        <v>16.399999999999999</v>
      </c>
      <c r="AR236" s="25">
        <f>(AQ236/X$231)*100</f>
        <v>172.63157894736841</v>
      </c>
      <c r="AS236" s="24"/>
      <c r="AT236" s="24"/>
      <c r="AU236" s="24" t="s">
        <v>250</v>
      </c>
      <c r="AV236" s="24"/>
      <c r="AW236" s="24"/>
      <c r="AX236" s="24"/>
      <c r="AY236" s="24"/>
      <c r="AZ236" s="24"/>
      <c r="BA236" s="24"/>
      <c r="BB236" s="24" t="s">
        <v>253</v>
      </c>
      <c r="BC236" s="24"/>
      <c r="BD236" s="24" t="s">
        <v>438</v>
      </c>
      <c r="BE236" s="2">
        <v>0</v>
      </c>
    </row>
    <row r="237" spans="1:57" ht="14" hidden="1" x14ac:dyDescent="0.15">
      <c r="A237" s="24" t="s">
        <v>436</v>
      </c>
      <c r="B237" s="24" t="s">
        <v>159</v>
      </c>
      <c r="C237" s="25">
        <v>2018</v>
      </c>
      <c r="D237" s="24"/>
      <c r="E237" s="41" t="s">
        <v>143</v>
      </c>
      <c r="F237" s="24"/>
      <c r="G237" s="41" t="s">
        <v>439</v>
      </c>
      <c r="H237" s="24"/>
      <c r="I237" s="24" t="s">
        <v>445</v>
      </c>
      <c r="J237" s="26" t="s">
        <v>179</v>
      </c>
      <c r="K237" s="25">
        <v>700</v>
      </c>
      <c r="L237" s="25">
        <v>13.8</v>
      </c>
      <c r="M237" s="24"/>
      <c r="N237" s="24"/>
      <c r="O237" s="24"/>
      <c r="P237" s="25">
        <f>AVERAGE(1661,1828)</f>
        <v>1744.5</v>
      </c>
      <c r="Q237" s="42">
        <v>1</v>
      </c>
      <c r="R237" s="25">
        <v>4</v>
      </c>
      <c r="S237" s="24"/>
      <c r="T237" s="24"/>
      <c r="U237" s="24"/>
      <c r="V237" s="24"/>
      <c r="W237" s="24"/>
      <c r="X237" s="25">
        <v>22.8</v>
      </c>
      <c r="Y237" s="24"/>
      <c r="Z237" s="24"/>
      <c r="AA237" s="24"/>
      <c r="AB237" s="24"/>
      <c r="AC237" s="24"/>
      <c r="AD237" s="24"/>
      <c r="AE237" s="24"/>
      <c r="AF237" s="24"/>
      <c r="AG237" s="24"/>
      <c r="AH237" s="24"/>
      <c r="AI237" s="24"/>
      <c r="AJ237" s="24"/>
      <c r="AK237" s="24"/>
      <c r="AL237" s="24"/>
      <c r="AM237" s="24"/>
      <c r="AN237" s="24"/>
      <c r="AO237" s="24"/>
      <c r="AP237" s="24"/>
      <c r="AQ237" s="25">
        <f>X237-X$231</f>
        <v>13.3</v>
      </c>
      <c r="AR237" s="25">
        <f>(AQ237/X$231)*100</f>
        <v>140</v>
      </c>
      <c r="AS237" s="24"/>
      <c r="AT237" s="24"/>
      <c r="AU237" s="24" t="s">
        <v>250</v>
      </c>
      <c r="AV237" s="24"/>
      <c r="AW237" s="24"/>
      <c r="AX237" s="24"/>
      <c r="AY237" s="24"/>
      <c r="AZ237" s="24"/>
      <c r="BA237" s="24"/>
      <c r="BB237" s="24" t="s">
        <v>253</v>
      </c>
      <c r="BC237" s="24"/>
      <c r="BD237" s="24" t="s">
        <v>438</v>
      </c>
      <c r="BE237" s="2">
        <v>0</v>
      </c>
    </row>
    <row r="238" spans="1:57" ht="14" hidden="1" x14ac:dyDescent="0.15">
      <c r="A238" s="24" t="s">
        <v>436</v>
      </c>
      <c r="B238" s="24" t="s">
        <v>159</v>
      </c>
      <c r="C238" s="25">
        <v>2018</v>
      </c>
      <c r="D238" s="24"/>
      <c r="E238" s="41" t="s">
        <v>143</v>
      </c>
      <c r="F238" s="24"/>
      <c r="G238" s="41" t="s">
        <v>439</v>
      </c>
      <c r="H238" s="24"/>
      <c r="I238" s="24" t="s">
        <v>446</v>
      </c>
      <c r="J238" s="26" t="s">
        <v>179</v>
      </c>
      <c r="K238" s="25">
        <v>700</v>
      </c>
      <c r="L238" s="25">
        <v>13.8</v>
      </c>
      <c r="M238" s="24"/>
      <c r="N238" s="24"/>
      <c r="O238" s="24"/>
      <c r="P238" s="25">
        <f>AVERAGE(1661,1828)</f>
        <v>1744.5</v>
      </c>
      <c r="Q238" s="42">
        <v>2</v>
      </c>
      <c r="R238" s="25">
        <v>4</v>
      </c>
      <c r="S238" s="24"/>
      <c r="T238" s="24"/>
      <c r="U238" s="24"/>
      <c r="V238" s="24"/>
      <c r="W238" s="24"/>
      <c r="X238" s="25">
        <v>21.2</v>
      </c>
      <c r="Y238" s="24"/>
      <c r="Z238" s="24"/>
      <c r="AA238" s="24"/>
      <c r="AB238" s="24"/>
      <c r="AC238" s="24"/>
      <c r="AD238" s="24"/>
      <c r="AE238" s="24"/>
      <c r="AF238" s="24"/>
      <c r="AG238" s="24"/>
      <c r="AH238" s="24"/>
      <c r="AI238" s="24"/>
      <c r="AJ238" s="24"/>
      <c r="AK238" s="24"/>
      <c r="AL238" s="24"/>
      <c r="AM238" s="24"/>
      <c r="AN238" s="24"/>
      <c r="AO238" s="24"/>
      <c r="AP238" s="24"/>
      <c r="AQ238" s="25">
        <f>X238-X$231</f>
        <v>11.7</v>
      </c>
      <c r="AR238" s="25">
        <f>(AQ238/X$231)*100</f>
        <v>123.15789473684208</v>
      </c>
      <c r="AS238" s="24"/>
      <c r="AT238" s="24"/>
      <c r="AU238" s="24" t="s">
        <v>250</v>
      </c>
      <c r="AV238" s="24"/>
      <c r="AW238" s="24"/>
      <c r="AX238" s="24"/>
      <c r="AY238" s="24"/>
      <c r="AZ238" s="24"/>
      <c r="BA238" s="24"/>
      <c r="BB238" s="24" t="s">
        <v>253</v>
      </c>
      <c r="BC238" s="24"/>
      <c r="BD238" s="24" t="s">
        <v>438</v>
      </c>
      <c r="BE238" s="2">
        <v>0</v>
      </c>
    </row>
    <row r="239" spans="1:57" ht="14" hidden="1" x14ac:dyDescent="0.15">
      <c r="A239" s="24" t="s">
        <v>436</v>
      </c>
      <c r="B239" s="24" t="s">
        <v>159</v>
      </c>
      <c r="C239" s="25">
        <v>2018</v>
      </c>
      <c r="D239" s="24"/>
      <c r="E239" s="41" t="s">
        <v>143</v>
      </c>
      <c r="F239" s="24"/>
      <c r="G239" s="24" t="s">
        <v>113</v>
      </c>
      <c r="H239" s="24"/>
      <c r="I239" s="24" t="s">
        <v>447</v>
      </c>
      <c r="J239" s="26" t="s">
        <v>179</v>
      </c>
      <c r="K239" s="25">
        <v>575</v>
      </c>
      <c r="L239" s="25">
        <v>16.600000000000001</v>
      </c>
      <c r="M239" s="24"/>
      <c r="N239" s="24"/>
      <c r="O239" s="24"/>
      <c r="P239" s="25">
        <f>AVERAGE(1346,1453)</f>
        <v>1399.5</v>
      </c>
      <c r="Q239" s="42">
        <v>2</v>
      </c>
      <c r="R239" s="25">
        <v>4</v>
      </c>
      <c r="S239" s="24"/>
      <c r="T239" s="24"/>
      <c r="U239" s="24"/>
      <c r="V239" s="24"/>
      <c r="W239" s="24"/>
      <c r="X239" s="25">
        <v>3.3</v>
      </c>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t="s">
        <v>250</v>
      </c>
      <c r="AV239" s="24"/>
      <c r="AW239" s="24"/>
      <c r="AX239" s="24"/>
      <c r="AY239" s="24"/>
      <c r="AZ239" s="24"/>
      <c r="BA239" s="24"/>
      <c r="BB239" s="24" t="s">
        <v>253</v>
      </c>
      <c r="BC239" s="24"/>
      <c r="BD239" s="24" t="s">
        <v>438</v>
      </c>
      <c r="BE239" s="2">
        <v>0</v>
      </c>
    </row>
    <row r="240" spans="1:57" ht="14" hidden="1" x14ac:dyDescent="0.15">
      <c r="A240" s="24" t="s">
        <v>436</v>
      </c>
      <c r="B240" s="24" t="s">
        <v>159</v>
      </c>
      <c r="C240" s="25">
        <v>2018</v>
      </c>
      <c r="D240" s="24"/>
      <c r="E240" s="41" t="s">
        <v>143</v>
      </c>
      <c r="F240" s="24"/>
      <c r="G240" s="41" t="s">
        <v>439</v>
      </c>
      <c r="H240" s="24"/>
      <c r="I240" s="24" t="s">
        <v>448</v>
      </c>
      <c r="J240" s="26" t="s">
        <v>179</v>
      </c>
      <c r="K240" s="25">
        <v>575</v>
      </c>
      <c r="L240" s="25">
        <v>16.600000000000001</v>
      </c>
      <c r="M240" s="24"/>
      <c r="N240" s="24"/>
      <c r="O240" s="24"/>
      <c r="P240" s="25">
        <f>AVERAGE(1346,1453)</f>
        <v>1399.5</v>
      </c>
      <c r="Q240" s="42">
        <v>1</v>
      </c>
      <c r="R240" s="25">
        <v>4</v>
      </c>
      <c r="S240" s="24"/>
      <c r="T240" s="24"/>
      <c r="U240" s="24"/>
      <c r="V240" s="24"/>
      <c r="W240" s="24"/>
      <c r="X240" s="25">
        <v>8</v>
      </c>
      <c r="Y240" s="24"/>
      <c r="Z240" s="24"/>
      <c r="AA240" s="24"/>
      <c r="AB240" s="24"/>
      <c r="AC240" s="24"/>
      <c r="AD240" s="24"/>
      <c r="AE240" s="24"/>
      <c r="AF240" s="24"/>
      <c r="AG240" s="24"/>
      <c r="AH240" s="24"/>
      <c r="AI240" s="24"/>
      <c r="AJ240" s="24"/>
      <c r="AK240" s="24"/>
      <c r="AL240" s="24"/>
      <c r="AM240" s="24"/>
      <c r="AN240" s="24"/>
      <c r="AO240" s="24"/>
      <c r="AP240" s="24"/>
      <c r="AQ240" s="25">
        <f>X240-X$239</f>
        <v>4.7</v>
      </c>
      <c r="AR240" s="25">
        <f>(AQ240/X$239)*100</f>
        <v>142.42424242424244</v>
      </c>
      <c r="AS240" s="24"/>
      <c r="AT240" s="24"/>
      <c r="AU240" s="24" t="s">
        <v>250</v>
      </c>
      <c r="AV240" s="24"/>
      <c r="AW240" s="24"/>
      <c r="AX240" s="24"/>
      <c r="AY240" s="24"/>
      <c r="AZ240" s="24"/>
      <c r="BA240" s="24"/>
      <c r="BB240" s="24" t="s">
        <v>253</v>
      </c>
      <c r="BC240" s="24"/>
      <c r="BD240" s="24" t="s">
        <v>438</v>
      </c>
      <c r="BE240" s="2">
        <v>0</v>
      </c>
    </row>
    <row r="241" spans="1:57" ht="14" hidden="1" x14ac:dyDescent="0.15">
      <c r="A241" s="24" t="s">
        <v>436</v>
      </c>
      <c r="B241" s="24" t="s">
        <v>159</v>
      </c>
      <c r="C241" s="25">
        <v>2018</v>
      </c>
      <c r="D241" s="24"/>
      <c r="E241" s="41" t="s">
        <v>143</v>
      </c>
      <c r="F241" s="24"/>
      <c r="G241" s="41" t="s">
        <v>439</v>
      </c>
      <c r="H241" s="24"/>
      <c r="I241" s="24" t="s">
        <v>449</v>
      </c>
      <c r="J241" s="26" t="s">
        <v>179</v>
      </c>
      <c r="K241" s="25">
        <v>575</v>
      </c>
      <c r="L241" s="25">
        <v>16.600000000000001</v>
      </c>
      <c r="M241" s="24"/>
      <c r="N241" s="24"/>
      <c r="O241" s="24"/>
      <c r="P241" s="25">
        <f>AVERAGE(1346,1453)</f>
        <v>1399.5</v>
      </c>
      <c r="Q241" s="42">
        <v>3</v>
      </c>
      <c r="R241" s="25">
        <v>4</v>
      </c>
      <c r="S241" s="24"/>
      <c r="T241" s="24"/>
      <c r="U241" s="24"/>
      <c r="V241" s="24"/>
      <c r="W241" s="24"/>
      <c r="X241" s="25">
        <v>10.199999999999999</v>
      </c>
      <c r="Y241" s="24"/>
      <c r="Z241" s="24"/>
      <c r="AA241" s="24"/>
      <c r="AB241" s="24"/>
      <c r="AC241" s="24"/>
      <c r="AD241" s="24"/>
      <c r="AE241" s="24"/>
      <c r="AF241" s="24"/>
      <c r="AG241" s="24"/>
      <c r="AH241" s="24"/>
      <c r="AI241" s="24"/>
      <c r="AJ241" s="24"/>
      <c r="AK241" s="24"/>
      <c r="AL241" s="24"/>
      <c r="AM241" s="24"/>
      <c r="AN241" s="24"/>
      <c r="AO241" s="24"/>
      <c r="AP241" s="24"/>
      <c r="AQ241" s="25">
        <f>X241-X$239</f>
        <v>6.8999999999999995</v>
      </c>
      <c r="AR241" s="25">
        <f>(AQ241/X$239)*100</f>
        <v>209.09090909090909</v>
      </c>
      <c r="AS241" s="24"/>
      <c r="AT241" s="24"/>
      <c r="AU241" s="24" t="s">
        <v>250</v>
      </c>
      <c r="AV241" s="24"/>
      <c r="AW241" s="24"/>
      <c r="AX241" s="24"/>
      <c r="AY241" s="24"/>
      <c r="AZ241" s="24"/>
      <c r="BA241" s="24"/>
      <c r="BB241" s="24" t="s">
        <v>253</v>
      </c>
      <c r="BC241" s="24"/>
      <c r="BD241" s="24" t="s">
        <v>438</v>
      </c>
      <c r="BE241" s="2">
        <v>0</v>
      </c>
    </row>
    <row r="242" spans="1:57" ht="14" hidden="1" x14ac:dyDescent="0.15">
      <c r="A242" s="24" t="s">
        <v>436</v>
      </c>
      <c r="B242" s="24" t="s">
        <v>159</v>
      </c>
      <c r="C242" s="25">
        <v>2018</v>
      </c>
      <c r="D242" s="24"/>
      <c r="E242" s="41" t="s">
        <v>143</v>
      </c>
      <c r="F242" s="24"/>
      <c r="G242" s="41" t="s">
        <v>439</v>
      </c>
      <c r="H242" s="24"/>
      <c r="I242" s="24" t="s">
        <v>450</v>
      </c>
      <c r="J242" s="26" t="s">
        <v>179</v>
      </c>
      <c r="K242" s="25">
        <v>575</v>
      </c>
      <c r="L242" s="25">
        <v>16.600000000000001</v>
      </c>
      <c r="M242" s="24"/>
      <c r="N242" s="24"/>
      <c r="O242" s="24"/>
      <c r="P242" s="25">
        <f>AVERAGE(1346,1453)</f>
        <v>1399.5</v>
      </c>
      <c r="Q242" s="42">
        <v>3</v>
      </c>
      <c r="R242" s="25">
        <v>4</v>
      </c>
      <c r="S242" s="24"/>
      <c r="T242" s="24"/>
      <c r="U242" s="24"/>
      <c r="V242" s="24"/>
      <c r="W242" s="24"/>
      <c r="X242" s="25">
        <v>10.4</v>
      </c>
      <c r="Y242" s="24"/>
      <c r="Z242" s="24"/>
      <c r="AA242" s="24"/>
      <c r="AB242" s="24"/>
      <c r="AC242" s="24"/>
      <c r="AD242" s="24"/>
      <c r="AE242" s="24"/>
      <c r="AF242" s="24"/>
      <c r="AG242" s="24"/>
      <c r="AH242" s="24"/>
      <c r="AI242" s="24"/>
      <c r="AJ242" s="24"/>
      <c r="AK242" s="24"/>
      <c r="AL242" s="24"/>
      <c r="AM242" s="24"/>
      <c r="AN242" s="24"/>
      <c r="AO242" s="24"/>
      <c r="AP242" s="24"/>
      <c r="AQ242" s="25">
        <f>X242-X$239</f>
        <v>7.1000000000000005</v>
      </c>
      <c r="AR242" s="25">
        <f>(AQ242/X$239)*100</f>
        <v>215.15151515151518</v>
      </c>
      <c r="AS242" s="24"/>
      <c r="AT242" s="24"/>
      <c r="AU242" s="24" t="s">
        <v>250</v>
      </c>
      <c r="AV242" s="24"/>
      <c r="AW242" s="24"/>
      <c r="AX242" s="24"/>
      <c r="AY242" s="24"/>
      <c r="AZ242" s="24"/>
      <c r="BA242" s="24"/>
      <c r="BB242" s="24" t="s">
        <v>253</v>
      </c>
      <c r="BC242" s="24"/>
      <c r="BD242" s="24" t="s">
        <v>438</v>
      </c>
      <c r="BE242" s="2">
        <v>0</v>
      </c>
    </row>
    <row r="243" spans="1:57" ht="14" hidden="1" x14ac:dyDescent="0.15">
      <c r="A243" s="24" t="s">
        <v>436</v>
      </c>
      <c r="B243" s="24" t="s">
        <v>159</v>
      </c>
      <c r="C243" s="25">
        <v>2018</v>
      </c>
      <c r="D243" s="24"/>
      <c r="E243" s="41" t="s">
        <v>143</v>
      </c>
      <c r="F243" s="24"/>
      <c r="G243" s="41" t="s">
        <v>439</v>
      </c>
      <c r="H243" s="24"/>
      <c r="I243" s="24" t="s">
        <v>451</v>
      </c>
      <c r="J243" s="26" t="s">
        <v>179</v>
      </c>
      <c r="K243" s="25">
        <v>575</v>
      </c>
      <c r="L243" s="25">
        <v>16.600000000000001</v>
      </c>
      <c r="M243" s="24"/>
      <c r="N243" s="24"/>
      <c r="O243" s="24"/>
      <c r="P243" s="25">
        <f>AVERAGE(1346,1453)</f>
        <v>1399.5</v>
      </c>
      <c r="Q243" s="42">
        <v>2</v>
      </c>
      <c r="R243" s="25">
        <v>4</v>
      </c>
      <c r="S243" s="24"/>
      <c r="T243" s="24"/>
      <c r="U243" s="24"/>
      <c r="V243" s="24"/>
      <c r="W243" s="24"/>
      <c r="X243" s="25">
        <v>10.9</v>
      </c>
      <c r="Y243" s="24"/>
      <c r="Z243" s="24"/>
      <c r="AA243" s="24"/>
      <c r="AB243" s="24"/>
      <c r="AC243" s="24"/>
      <c r="AD243" s="24"/>
      <c r="AE243" s="24"/>
      <c r="AF243" s="24"/>
      <c r="AG243" s="24"/>
      <c r="AH243" s="24"/>
      <c r="AI243" s="24"/>
      <c r="AJ243" s="24"/>
      <c r="AK243" s="24"/>
      <c r="AL243" s="24"/>
      <c r="AM243" s="24"/>
      <c r="AN243" s="24"/>
      <c r="AO243" s="24"/>
      <c r="AP243" s="24"/>
      <c r="AQ243" s="25">
        <f>X243-X$239</f>
        <v>7.6000000000000005</v>
      </c>
      <c r="AR243" s="25">
        <f>(AQ243/X$239)*100</f>
        <v>230.30303030303031</v>
      </c>
      <c r="AS243" s="24"/>
      <c r="AT243" s="24"/>
      <c r="AU243" s="24" t="s">
        <v>250</v>
      </c>
      <c r="AV243" s="24"/>
      <c r="AW243" s="24"/>
      <c r="AX243" s="24"/>
      <c r="AY243" s="24"/>
      <c r="AZ243" s="24"/>
      <c r="BA243" s="24"/>
      <c r="BB243" s="24" t="s">
        <v>253</v>
      </c>
      <c r="BC243" s="24"/>
      <c r="BD243" s="24" t="s">
        <v>438</v>
      </c>
      <c r="BE243" s="2">
        <v>0</v>
      </c>
    </row>
    <row r="244" spans="1:57" ht="14" hidden="1" x14ac:dyDescent="0.15">
      <c r="A244" s="24" t="s">
        <v>436</v>
      </c>
      <c r="B244" s="24" t="s">
        <v>159</v>
      </c>
      <c r="C244" s="25">
        <v>2018</v>
      </c>
      <c r="D244" s="24"/>
      <c r="E244" s="41" t="s">
        <v>143</v>
      </c>
      <c r="F244" s="24"/>
      <c r="G244" s="41" t="s">
        <v>439</v>
      </c>
      <c r="H244" s="24"/>
      <c r="I244" s="24" t="s">
        <v>452</v>
      </c>
      <c r="J244" s="26" t="s">
        <v>179</v>
      </c>
      <c r="K244" s="25">
        <v>575</v>
      </c>
      <c r="L244" s="25">
        <v>16.600000000000001</v>
      </c>
      <c r="M244" s="24"/>
      <c r="N244" s="24"/>
      <c r="O244" s="24"/>
      <c r="P244" s="25">
        <f>AVERAGE(1346,1453)</f>
        <v>1399.5</v>
      </c>
      <c r="Q244" s="42">
        <v>4</v>
      </c>
      <c r="R244" s="25">
        <v>4</v>
      </c>
      <c r="S244" s="24"/>
      <c r="T244" s="24"/>
      <c r="U244" s="24"/>
      <c r="V244" s="24"/>
      <c r="W244" s="24"/>
      <c r="X244" s="25">
        <v>11</v>
      </c>
      <c r="Y244" s="24"/>
      <c r="Z244" s="24"/>
      <c r="AA244" s="24"/>
      <c r="AB244" s="24"/>
      <c r="AC244" s="24"/>
      <c r="AD244" s="24"/>
      <c r="AE244" s="24"/>
      <c r="AF244" s="24"/>
      <c r="AG244" s="24"/>
      <c r="AH244" s="24"/>
      <c r="AI244" s="24"/>
      <c r="AJ244" s="24"/>
      <c r="AK244" s="24"/>
      <c r="AL244" s="24"/>
      <c r="AM244" s="24"/>
      <c r="AN244" s="24"/>
      <c r="AO244" s="24"/>
      <c r="AP244" s="24"/>
      <c r="AQ244" s="25">
        <f>X244-X$239</f>
        <v>7.7</v>
      </c>
      <c r="AR244" s="25">
        <f>(AQ244/X$239)*100</f>
        <v>233.33333333333334</v>
      </c>
      <c r="AS244" s="24"/>
      <c r="AT244" s="24"/>
      <c r="AU244" s="24" t="s">
        <v>250</v>
      </c>
      <c r="AV244" s="24"/>
      <c r="AW244" s="24"/>
      <c r="AX244" s="24"/>
      <c r="AY244" s="24"/>
      <c r="AZ244" s="24"/>
      <c r="BA244" s="24"/>
      <c r="BB244" s="24" t="s">
        <v>253</v>
      </c>
      <c r="BC244" s="24"/>
      <c r="BD244" s="24" t="s">
        <v>438</v>
      </c>
      <c r="BE244" s="2">
        <v>0</v>
      </c>
    </row>
    <row r="245" spans="1:57" ht="14" hidden="1" x14ac:dyDescent="0.15">
      <c r="A245" s="24" t="s">
        <v>436</v>
      </c>
      <c r="B245" s="24" t="s">
        <v>159</v>
      </c>
      <c r="C245" s="25">
        <v>2018</v>
      </c>
      <c r="D245" s="24"/>
      <c r="E245" s="41" t="s">
        <v>143</v>
      </c>
      <c r="F245" s="24"/>
      <c r="G245" s="41" t="s">
        <v>439</v>
      </c>
      <c r="H245" s="24"/>
      <c r="I245" s="24" t="s">
        <v>453</v>
      </c>
      <c r="J245" s="26" t="s">
        <v>179</v>
      </c>
      <c r="K245" s="25">
        <v>575</v>
      </c>
      <c r="L245" s="25">
        <v>16.600000000000001</v>
      </c>
      <c r="M245" s="24"/>
      <c r="N245" s="24"/>
      <c r="O245" s="24"/>
      <c r="P245" s="25">
        <f>AVERAGE(1346,1453)</f>
        <v>1399.5</v>
      </c>
      <c r="Q245" s="42">
        <v>3</v>
      </c>
      <c r="R245" s="25">
        <v>4</v>
      </c>
      <c r="S245" s="24"/>
      <c r="T245" s="24"/>
      <c r="U245" s="24"/>
      <c r="V245" s="24"/>
      <c r="W245" s="24"/>
      <c r="X245" s="25">
        <v>10.199999999999999</v>
      </c>
      <c r="Y245" s="24"/>
      <c r="Z245" s="24"/>
      <c r="AA245" s="24"/>
      <c r="AB245" s="24"/>
      <c r="AC245" s="24"/>
      <c r="AD245" s="24"/>
      <c r="AE245" s="24"/>
      <c r="AF245" s="24"/>
      <c r="AG245" s="24"/>
      <c r="AH245" s="24"/>
      <c r="AI245" s="24"/>
      <c r="AJ245" s="24"/>
      <c r="AK245" s="24"/>
      <c r="AL245" s="24"/>
      <c r="AM245" s="24"/>
      <c r="AN245" s="24"/>
      <c r="AO245" s="24"/>
      <c r="AP245" s="24"/>
      <c r="AQ245" s="25">
        <f>X245-X$239</f>
        <v>6.8999999999999995</v>
      </c>
      <c r="AR245" s="25">
        <f>(AQ245/X$239)*100</f>
        <v>209.09090909090909</v>
      </c>
      <c r="AS245" s="24"/>
      <c r="AT245" s="24"/>
      <c r="AU245" s="24" t="s">
        <v>250</v>
      </c>
      <c r="AV245" s="24"/>
      <c r="AW245" s="24"/>
      <c r="AX245" s="24"/>
      <c r="AY245" s="24"/>
      <c r="AZ245" s="24"/>
      <c r="BA245" s="24"/>
      <c r="BB245" s="24" t="s">
        <v>253</v>
      </c>
      <c r="BC245" s="24"/>
      <c r="BD245" s="24" t="s">
        <v>438</v>
      </c>
      <c r="BE245" s="2">
        <v>0</v>
      </c>
    </row>
    <row r="246" spans="1:57" ht="14" hidden="1" x14ac:dyDescent="0.15">
      <c r="A246" s="24" t="s">
        <v>436</v>
      </c>
      <c r="B246" s="24" t="s">
        <v>159</v>
      </c>
      <c r="C246" s="25">
        <v>2018</v>
      </c>
      <c r="D246" s="24"/>
      <c r="E246" s="41" t="s">
        <v>143</v>
      </c>
      <c r="F246" s="24"/>
      <c r="G246" s="24" t="s">
        <v>113</v>
      </c>
      <c r="H246" s="24"/>
      <c r="I246" s="24" t="s">
        <v>454</v>
      </c>
      <c r="J246" s="26" t="s">
        <v>179</v>
      </c>
      <c r="K246" s="25">
        <v>648</v>
      </c>
      <c r="L246" s="25">
        <v>16</v>
      </c>
      <c r="M246" s="24"/>
      <c r="N246" s="24"/>
      <c r="O246" s="24"/>
      <c r="P246" s="25">
        <f>AVERAGE(1503,1627)</f>
        <v>1565</v>
      </c>
      <c r="Q246" s="42">
        <v>2</v>
      </c>
      <c r="R246" s="25">
        <v>4</v>
      </c>
      <c r="S246" s="24"/>
      <c r="T246" s="24"/>
      <c r="U246" s="24"/>
      <c r="V246" s="24"/>
      <c r="W246" s="24"/>
      <c r="X246" s="25">
        <v>5</v>
      </c>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t="s">
        <v>250</v>
      </c>
      <c r="AV246" s="24"/>
      <c r="AW246" s="24"/>
      <c r="AX246" s="24"/>
      <c r="AY246" s="24"/>
      <c r="AZ246" s="24"/>
      <c r="BA246" s="24"/>
      <c r="BB246" s="24" t="s">
        <v>253</v>
      </c>
      <c r="BC246" s="24"/>
      <c r="BD246" s="24" t="s">
        <v>438</v>
      </c>
      <c r="BE246" s="2">
        <v>0</v>
      </c>
    </row>
    <row r="247" spans="1:57" ht="14" hidden="1" x14ac:dyDescent="0.15">
      <c r="A247" s="24" t="s">
        <v>436</v>
      </c>
      <c r="B247" s="24" t="s">
        <v>159</v>
      </c>
      <c r="C247" s="25">
        <v>2018</v>
      </c>
      <c r="D247" s="24"/>
      <c r="E247" s="41" t="s">
        <v>143</v>
      </c>
      <c r="F247" s="24"/>
      <c r="G247" s="41" t="s">
        <v>439</v>
      </c>
      <c r="H247" s="24"/>
      <c r="I247" s="24" t="s">
        <v>455</v>
      </c>
      <c r="J247" s="26" t="s">
        <v>179</v>
      </c>
      <c r="K247" s="25">
        <v>648</v>
      </c>
      <c r="L247" s="25">
        <v>16</v>
      </c>
      <c r="M247" s="24"/>
      <c r="N247" s="24"/>
      <c r="O247" s="24"/>
      <c r="P247" s="25">
        <f>AVERAGE(1503,1627)</f>
        <v>1565</v>
      </c>
      <c r="Q247" s="42">
        <v>4</v>
      </c>
      <c r="R247" s="25">
        <v>4</v>
      </c>
      <c r="S247" s="24"/>
      <c r="T247" s="24"/>
      <c r="U247" s="24"/>
      <c r="V247" s="24"/>
      <c r="W247" s="24"/>
      <c r="X247" s="25">
        <v>7.6</v>
      </c>
      <c r="Y247" s="24"/>
      <c r="Z247" s="24"/>
      <c r="AA247" s="24"/>
      <c r="AB247" s="24"/>
      <c r="AC247" s="24"/>
      <c r="AD247" s="24"/>
      <c r="AE247" s="24"/>
      <c r="AF247" s="24"/>
      <c r="AG247" s="24"/>
      <c r="AH247" s="24"/>
      <c r="AI247" s="24"/>
      <c r="AJ247" s="24"/>
      <c r="AK247" s="24"/>
      <c r="AL247" s="24"/>
      <c r="AM247" s="24"/>
      <c r="AN247" s="24"/>
      <c r="AO247" s="24"/>
      <c r="AP247" s="24"/>
      <c r="AQ247" s="25">
        <f>X247-X$246</f>
        <v>2.5999999999999996</v>
      </c>
      <c r="AR247" s="25">
        <f>(AQ247/X$246)*100</f>
        <v>51.999999999999993</v>
      </c>
      <c r="AS247" s="24"/>
      <c r="AT247" s="24"/>
      <c r="AU247" s="24" t="s">
        <v>250</v>
      </c>
      <c r="AV247" s="24"/>
      <c r="AW247" s="24"/>
      <c r="AX247" s="24"/>
      <c r="AY247" s="24"/>
      <c r="AZ247" s="24"/>
      <c r="BA247" s="24"/>
      <c r="BB247" s="24" t="s">
        <v>253</v>
      </c>
      <c r="BC247" s="24"/>
      <c r="BD247" s="24" t="s">
        <v>438</v>
      </c>
      <c r="BE247" s="2">
        <v>0</v>
      </c>
    </row>
    <row r="248" spans="1:57" ht="14" hidden="1" x14ac:dyDescent="0.15">
      <c r="A248" s="24" t="s">
        <v>436</v>
      </c>
      <c r="B248" s="24" t="s">
        <v>159</v>
      </c>
      <c r="C248" s="25">
        <v>2018</v>
      </c>
      <c r="D248" s="24"/>
      <c r="E248" s="41" t="s">
        <v>143</v>
      </c>
      <c r="F248" s="24"/>
      <c r="G248" s="41" t="s">
        <v>439</v>
      </c>
      <c r="H248" s="24"/>
      <c r="I248" s="24" t="s">
        <v>456</v>
      </c>
      <c r="J248" s="26" t="s">
        <v>179</v>
      </c>
      <c r="K248" s="25">
        <v>648</v>
      </c>
      <c r="L248" s="25">
        <v>16</v>
      </c>
      <c r="M248" s="24"/>
      <c r="N248" s="24"/>
      <c r="O248" s="24"/>
      <c r="P248" s="25">
        <f>AVERAGE(1503,1627)</f>
        <v>1565</v>
      </c>
      <c r="Q248" s="42">
        <v>4</v>
      </c>
      <c r="R248" s="25">
        <v>4</v>
      </c>
      <c r="S248" s="24"/>
      <c r="T248" s="24"/>
      <c r="U248" s="24"/>
      <c r="V248" s="24"/>
      <c r="W248" s="24"/>
      <c r="X248" s="25">
        <v>7.6</v>
      </c>
      <c r="Y248" s="24"/>
      <c r="Z248" s="24"/>
      <c r="AA248" s="24"/>
      <c r="AB248" s="24"/>
      <c r="AC248" s="24"/>
      <c r="AD248" s="24"/>
      <c r="AE248" s="24"/>
      <c r="AF248" s="24"/>
      <c r="AG248" s="24"/>
      <c r="AH248" s="24"/>
      <c r="AI248" s="24"/>
      <c r="AJ248" s="24"/>
      <c r="AK248" s="24"/>
      <c r="AL248" s="24"/>
      <c r="AM248" s="24"/>
      <c r="AN248" s="24"/>
      <c r="AO248" s="24"/>
      <c r="AP248" s="24"/>
      <c r="AQ248" s="25">
        <f>X248-X$246</f>
        <v>2.5999999999999996</v>
      </c>
      <c r="AR248" s="25">
        <f>(AQ248/X$246)*100</f>
        <v>51.999999999999993</v>
      </c>
      <c r="AS248" s="24"/>
      <c r="AT248" s="24"/>
      <c r="AU248" s="24" t="s">
        <v>250</v>
      </c>
      <c r="AV248" s="24"/>
      <c r="AW248" s="24"/>
      <c r="AX248" s="24"/>
      <c r="AY248" s="24"/>
      <c r="AZ248" s="24"/>
      <c r="BA248" s="24"/>
      <c r="BB248" s="24" t="s">
        <v>253</v>
      </c>
      <c r="BC248" s="24"/>
      <c r="BD248" s="24" t="s">
        <v>438</v>
      </c>
      <c r="BE248" s="2">
        <v>0</v>
      </c>
    </row>
    <row r="249" spans="1:57" ht="14" hidden="1" x14ac:dyDescent="0.15">
      <c r="A249" s="24" t="s">
        <v>436</v>
      </c>
      <c r="B249" s="24" t="s">
        <v>159</v>
      </c>
      <c r="C249" s="25">
        <v>2018</v>
      </c>
      <c r="D249" s="24"/>
      <c r="E249" s="41" t="s">
        <v>143</v>
      </c>
      <c r="F249" s="24"/>
      <c r="G249" s="41" t="s">
        <v>439</v>
      </c>
      <c r="H249" s="24"/>
      <c r="I249" s="24" t="s">
        <v>457</v>
      </c>
      <c r="J249" s="26" t="s">
        <v>179</v>
      </c>
      <c r="K249" s="25">
        <v>648</v>
      </c>
      <c r="L249" s="25">
        <v>16</v>
      </c>
      <c r="M249" s="24"/>
      <c r="N249" s="24"/>
      <c r="O249" s="24"/>
      <c r="P249" s="25">
        <f>AVERAGE(1503,1627)</f>
        <v>1565</v>
      </c>
      <c r="Q249" s="42">
        <v>2</v>
      </c>
      <c r="R249" s="25">
        <v>4</v>
      </c>
      <c r="S249" s="24"/>
      <c r="T249" s="24"/>
      <c r="U249" s="24"/>
      <c r="V249" s="24"/>
      <c r="W249" s="24"/>
      <c r="X249" s="25">
        <v>8.6</v>
      </c>
      <c r="Y249" s="24"/>
      <c r="Z249" s="24"/>
      <c r="AA249" s="24"/>
      <c r="AB249" s="24"/>
      <c r="AC249" s="24"/>
      <c r="AD249" s="24"/>
      <c r="AE249" s="24"/>
      <c r="AF249" s="24"/>
      <c r="AG249" s="24"/>
      <c r="AH249" s="24"/>
      <c r="AI249" s="24"/>
      <c r="AJ249" s="24"/>
      <c r="AK249" s="24"/>
      <c r="AL249" s="24"/>
      <c r="AM249" s="24"/>
      <c r="AN249" s="24"/>
      <c r="AO249" s="24"/>
      <c r="AP249" s="24"/>
      <c r="AQ249" s="25">
        <f>X249-X$246</f>
        <v>3.5999999999999996</v>
      </c>
      <c r="AR249" s="25">
        <f>(AQ249/X$246)*100</f>
        <v>72</v>
      </c>
      <c r="AS249" s="24"/>
      <c r="AT249" s="24"/>
      <c r="AU249" s="24" t="s">
        <v>250</v>
      </c>
      <c r="AV249" s="24"/>
      <c r="AW249" s="24"/>
      <c r="AX249" s="24"/>
      <c r="AY249" s="24"/>
      <c r="AZ249" s="24"/>
      <c r="BA249" s="24"/>
      <c r="BB249" s="24" t="s">
        <v>253</v>
      </c>
      <c r="BC249" s="24"/>
      <c r="BD249" s="24" t="s">
        <v>438</v>
      </c>
      <c r="BE249" s="2">
        <v>0</v>
      </c>
    </row>
    <row r="250" spans="1:57" ht="14" hidden="1" x14ac:dyDescent="0.15">
      <c r="A250" s="24" t="s">
        <v>436</v>
      </c>
      <c r="B250" s="24" t="s">
        <v>159</v>
      </c>
      <c r="C250" s="25">
        <v>2018</v>
      </c>
      <c r="D250" s="24"/>
      <c r="E250" s="41" t="s">
        <v>143</v>
      </c>
      <c r="F250" s="24"/>
      <c r="G250" s="41" t="s">
        <v>439</v>
      </c>
      <c r="H250" s="24"/>
      <c r="I250" s="24" t="s">
        <v>458</v>
      </c>
      <c r="J250" s="26" t="s">
        <v>179</v>
      </c>
      <c r="K250" s="25">
        <v>648</v>
      </c>
      <c r="L250" s="25">
        <v>16</v>
      </c>
      <c r="M250" s="24"/>
      <c r="N250" s="24"/>
      <c r="O250" s="24"/>
      <c r="P250" s="25">
        <f>AVERAGE(1503,1627)</f>
        <v>1565</v>
      </c>
      <c r="Q250" s="42">
        <v>3</v>
      </c>
      <c r="R250" s="25">
        <v>4</v>
      </c>
      <c r="S250" s="24"/>
      <c r="T250" s="24"/>
      <c r="U250" s="24"/>
      <c r="V250" s="24"/>
      <c r="W250" s="24"/>
      <c r="X250" s="25">
        <v>12.4</v>
      </c>
      <c r="Y250" s="24"/>
      <c r="Z250" s="24"/>
      <c r="AA250" s="24"/>
      <c r="AB250" s="24"/>
      <c r="AC250" s="24"/>
      <c r="AD250" s="24"/>
      <c r="AE250" s="24"/>
      <c r="AF250" s="24"/>
      <c r="AG250" s="24"/>
      <c r="AH250" s="24"/>
      <c r="AI250" s="24"/>
      <c r="AJ250" s="24"/>
      <c r="AK250" s="24"/>
      <c r="AL250" s="24"/>
      <c r="AM250" s="24"/>
      <c r="AN250" s="24"/>
      <c r="AO250" s="24"/>
      <c r="AP250" s="24"/>
      <c r="AQ250" s="25">
        <f>X250-X$246</f>
        <v>7.4</v>
      </c>
      <c r="AR250" s="25">
        <f>(AQ250/X$246)*100</f>
        <v>148</v>
      </c>
      <c r="AS250" s="24"/>
      <c r="AT250" s="24"/>
      <c r="AU250" s="24" t="s">
        <v>250</v>
      </c>
      <c r="AV250" s="24"/>
      <c r="AW250" s="24"/>
      <c r="AX250" s="24"/>
      <c r="AY250" s="24"/>
      <c r="AZ250" s="24"/>
      <c r="BA250" s="24"/>
      <c r="BB250" s="24" t="s">
        <v>253</v>
      </c>
      <c r="BC250" s="24"/>
      <c r="BD250" s="24" t="s">
        <v>438</v>
      </c>
      <c r="BE250" s="2">
        <v>0</v>
      </c>
    </row>
    <row r="251" spans="1:57" ht="14" hidden="1" x14ac:dyDescent="0.15">
      <c r="A251" s="24" t="s">
        <v>436</v>
      </c>
      <c r="B251" s="24" t="s">
        <v>159</v>
      </c>
      <c r="C251" s="25">
        <v>2018</v>
      </c>
      <c r="D251" s="24"/>
      <c r="E251" s="41" t="s">
        <v>143</v>
      </c>
      <c r="F251" s="24"/>
      <c r="G251" s="41" t="s">
        <v>439</v>
      </c>
      <c r="H251" s="24"/>
      <c r="I251" s="24" t="s">
        <v>459</v>
      </c>
      <c r="J251" s="26" t="s">
        <v>179</v>
      </c>
      <c r="K251" s="25">
        <v>648</v>
      </c>
      <c r="L251" s="25">
        <v>16</v>
      </c>
      <c r="M251" s="24"/>
      <c r="N251" s="24"/>
      <c r="O251" s="24"/>
      <c r="P251" s="25">
        <f>AVERAGE(1503,1627)</f>
        <v>1565</v>
      </c>
      <c r="Q251" s="42">
        <v>4</v>
      </c>
      <c r="R251" s="25">
        <v>4</v>
      </c>
      <c r="S251" s="24"/>
      <c r="T251" s="24"/>
      <c r="U251" s="24"/>
      <c r="V251" s="24"/>
      <c r="W251" s="24"/>
      <c r="X251" s="25">
        <v>14.5</v>
      </c>
      <c r="Y251" s="24"/>
      <c r="Z251" s="24"/>
      <c r="AA251" s="24"/>
      <c r="AB251" s="24"/>
      <c r="AC251" s="24"/>
      <c r="AD251" s="24"/>
      <c r="AE251" s="24"/>
      <c r="AF251" s="24"/>
      <c r="AG251" s="24"/>
      <c r="AH251" s="24"/>
      <c r="AI251" s="24"/>
      <c r="AJ251" s="24"/>
      <c r="AK251" s="24"/>
      <c r="AL251" s="24"/>
      <c r="AM251" s="24"/>
      <c r="AN251" s="24"/>
      <c r="AO251" s="24"/>
      <c r="AP251" s="24"/>
      <c r="AQ251" s="25">
        <f>X251-X$246</f>
        <v>9.5</v>
      </c>
      <c r="AR251" s="25">
        <f>(AQ251/X$246)*100</f>
        <v>190</v>
      </c>
      <c r="AS251" s="24"/>
      <c r="AT251" s="24"/>
      <c r="AU251" s="24" t="s">
        <v>250</v>
      </c>
      <c r="AV251" s="24"/>
      <c r="AW251" s="24"/>
      <c r="AX251" s="24"/>
      <c r="AY251" s="24"/>
      <c r="AZ251" s="24"/>
      <c r="BA251" s="24"/>
      <c r="BB251" s="24" t="s">
        <v>253</v>
      </c>
      <c r="BC251" s="24"/>
      <c r="BD251" s="24" t="s">
        <v>438</v>
      </c>
      <c r="BE251" s="2">
        <v>0</v>
      </c>
    </row>
    <row r="252" spans="1:57" ht="14" hidden="1" x14ac:dyDescent="0.15">
      <c r="A252" s="24" t="s">
        <v>436</v>
      </c>
      <c r="B252" s="24" t="s">
        <v>159</v>
      </c>
      <c r="C252" s="25">
        <v>2018</v>
      </c>
      <c r="D252" s="24"/>
      <c r="E252" s="41" t="s">
        <v>143</v>
      </c>
      <c r="F252" s="24"/>
      <c r="G252" s="41" t="s">
        <v>439</v>
      </c>
      <c r="H252" s="24"/>
      <c r="I252" s="24" t="s">
        <v>460</v>
      </c>
      <c r="J252" s="26" t="s">
        <v>179</v>
      </c>
      <c r="K252" s="25">
        <v>648</v>
      </c>
      <c r="L252" s="25">
        <v>16</v>
      </c>
      <c r="M252" s="24"/>
      <c r="N252" s="24"/>
      <c r="O252" s="24"/>
      <c r="P252" s="25">
        <f>AVERAGE(1503,1627)</f>
        <v>1565</v>
      </c>
      <c r="Q252" s="42">
        <v>2</v>
      </c>
      <c r="R252" s="25">
        <v>4</v>
      </c>
      <c r="S252" s="24"/>
      <c r="T252" s="24"/>
      <c r="U252" s="24"/>
      <c r="V252" s="24"/>
      <c r="W252" s="24"/>
      <c r="X252" s="25">
        <v>12.7</v>
      </c>
      <c r="Y252" s="24"/>
      <c r="Z252" s="24"/>
      <c r="AA252" s="24"/>
      <c r="AB252" s="24"/>
      <c r="AC252" s="24"/>
      <c r="AD252" s="24"/>
      <c r="AE252" s="24"/>
      <c r="AF252" s="24"/>
      <c r="AG252" s="24"/>
      <c r="AH252" s="24"/>
      <c r="AI252" s="24"/>
      <c r="AJ252" s="24"/>
      <c r="AK252" s="24"/>
      <c r="AL252" s="24"/>
      <c r="AM252" s="24"/>
      <c r="AN252" s="24"/>
      <c r="AO252" s="24"/>
      <c r="AP252" s="24"/>
      <c r="AQ252" s="25">
        <f>X252-X$246</f>
        <v>7.6999999999999993</v>
      </c>
      <c r="AR252" s="25">
        <f>(AQ252/X$246)*100</f>
        <v>153.99999999999997</v>
      </c>
      <c r="AS252" s="24"/>
      <c r="AT252" s="24"/>
      <c r="AU252" s="24" t="s">
        <v>250</v>
      </c>
      <c r="AV252" s="24"/>
      <c r="AW252" s="24"/>
      <c r="AX252" s="24"/>
      <c r="AY252" s="24"/>
      <c r="AZ252" s="24"/>
      <c r="BA252" s="24"/>
      <c r="BB252" s="24" t="s">
        <v>253</v>
      </c>
      <c r="BC252" s="24"/>
      <c r="BD252" s="24" t="s">
        <v>438</v>
      </c>
      <c r="BE252" s="2">
        <v>0</v>
      </c>
    </row>
    <row r="253" spans="1:57" ht="14" hidden="1" x14ac:dyDescent="0.15">
      <c r="A253" s="24" t="s">
        <v>436</v>
      </c>
      <c r="B253" s="24" t="s">
        <v>159</v>
      </c>
      <c r="C253" s="25">
        <v>2018</v>
      </c>
      <c r="D253" s="24"/>
      <c r="E253" s="41" t="s">
        <v>143</v>
      </c>
      <c r="F253" s="24"/>
      <c r="G253" s="41" t="s">
        <v>439</v>
      </c>
      <c r="H253" s="24"/>
      <c r="I253" s="24" t="s">
        <v>461</v>
      </c>
      <c r="J253" s="26" t="s">
        <v>179</v>
      </c>
      <c r="K253" s="25">
        <v>648</v>
      </c>
      <c r="L253" s="25">
        <v>16</v>
      </c>
      <c r="M253" s="24"/>
      <c r="N253" s="24"/>
      <c r="O253" s="24"/>
      <c r="P253" s="25">
        <f>AVERAGE(1503,1627)</f>
        <v>1565</v>
      </c>
      <c r="Q253" s="42">
        <v>1</v>
      </c>
      <c r="R253" s="25">
        <v>4</v>
      </c>
      <c r="S253" s="24"/>
      <c r="T253" s="24"/>
      <c r="U253" s="24"/>
      <c r="V253" s="24"/>
      <c r="W253" s="24"/>
      <c r="X253" s="25">
        <v>15</v>
      </c>
      <c r="Y253" s="24"/>
      <c r="Z253" s="24"/>
      <c r="AA253" s="24"/>
      <c r="AB253" s="24"/>
      <c r="AC253" s="24"/>
      <c r="AD253" s="24"/>
      <c r="AE253" s="24"/>
      <c r="AF253" s="24"/>
      <c r="AG253" s="24"/>
      <c r="AH253" s="24"/>
      <c r="AI253" s="24"/>
      <c r="AJ253" s="24"/>
      <c r="AK253" s="24"/>
      <c r="AL253" s="24"/>
      <c r="AM253" s="24"/>
      <c r="AN253" s="24"/>
      <c r="AO253" s="24"/>
      <c r="AP253" s="24"/>
      <c r="AQ253" s="25">
        <f>X253-X$246</f>
        <v>10</v>
      </c>
      <c r="AR253" s="25">
        <f>(AQ253/X$246)*100</f>
        <v>200</v>
      </c>
      <c r="AS253" s="24"/>
      <c r="AT253" s="24"/>
      <c r="AU253" s="24" t="s">
        <v>250</v>
      </c>
      <c r="AV253" s="24"/>
      <c r="AW253" s="24"/>
      <c r="AX253" s="24"/>
      <c r="AY253" s="24"/>
      <c r="AZ253" s="24"/>
      <c r="BA253" s="24"/>
      <c r="BB253" s="24" t="s">
        <v>253</v>
      </c>
      <c r="BC253" s="24"/>
      <c r="BD253" s="24" t="s">
        <v>438</v>
      </c>
      <c r="BE253" s="2">
        <v>0</v>
      </c>
    </row>
    <row r="254" spans="1:57" ht="42" x14ac:dyDescent="0.15">
      <c r="A254" s="32" t="s">
        <v>462</v>
      </c>
      <c r="B254" s="33" t="s">
        <v>463</v>
      </c>
      <c r="C254" s="34">
        <v>2021</v>
      </c>
      <c r="D254" s="21" t="s">
        <v>464</v>
      </c>
      <c r="E254" s="21" t="s">
        <v>112</v>
      </c>
      <c r="F254" s="21"/>
      <c r="G254" s="33" t="s">
        <v>122</v>
      </c>
      <c r="H254" s="21"/>
      <c r="I254" s="21" t="s">
        <v>465</v>
      </c>
      <c r="J254" s="35" t="s">
        <v>115</v>
      </c>
      <c r="K254" s="34">
        <v>837</v>
      </c>
      <c r="L254" s="34">
        <f>AVERAGE(32,40)</f>
        <v>36</v>
      </c>
      <c r="M254" s="21"/>
      <c r="N254" s="21"/>
      <c r="O254" s="21"/>
      <c r="P254" s="21"/>
      <c r="Q254" s="45">
        <v>5</v>
      </c>
      <c r="R254" s="34">
        <v>72</v>
      </c>
      <c r="S254" s="34">
        <v>2500</v>
      </c>
      <c r="T254" s="46">
        <v>33615</v>
      </c>
      <c r="U254" s="46">
        <v>40555</v>
      </c>
      <c r="V254" s="34">
        <f>19*12</f>
        <v>228</v>
      </c>
      <c r="W254" s="21"/>
      <c r="X254" s="21"/>
      <c r="Y254" s="21"/>
      <c r="Z254" s="34">
        <v>10.96</v>
      </c>
      <c r="AA254" s="21"/>
      <c r="AB254" s="21"/>
      <c r="AC254" s="21"/>
      <c r="AD254" s="21"/>
      <c r="AE254" s="21"/>
      <c r="AF254" s="21"/>
      <c r="AG254" s="21"/>
      <c r="AH254" s="21"/>
      <c r="AI254" s="21"/>
      <c r="AJ254" s="21"/>
      <c r="AK254" s="21"/>
      <c r="AL254" s="21"/>
      <c r="AM254" s="21"/>
      <c r="AN254" s="21"/>
      <c r="AO254" s="21"/>
      <c r="AP254" s="21"/>
      <c r="AQ254" s="34">
        <f>Z254-Z255</f>
        <v>1.0000000000001563E-2</v>
      </c>
      <c r="AR254" s="34">
        <f>(AQ254/Z255)*100</f>
        <v>9.1324200913256298E-2</v>
      </c>
      <c r="AS254" s="21"/>
      <c r="AT254" s="21"/>
      <c r="AU254" s="21"/>
      <c r="AV254" s="21"/>
      <c r="AW254" s="34">
        <f>100-57.5</f>
        <v>42.5</v>
      </c>
      <c r="AX254" s="21"/>
      <c r="AY254" s="21"/>
      <c r="AZ254" s="21"/>
      <c r="BA254" s="21"/>
      <c r="BB254" s="21" t="s">
        <v>422</v>
      </c>
      <c r="BC254" s="37"/>
      <c r="BD254" s="21"/>
      <c r="BE254" s="2">
        <v>0</v>
      </c>
    </row>
    <row r="255" spans="1:57" ht="42" x14ac:dyDescent="0.15">
      <c r="A255" s="47" t="s">
        <v>462</v>
      </c>
      <c r="B255" s="48" t="s">
        <v>463</v>
      </c>
      <c r="C255" s="49">
        <v>2021</v>
      </c>
      <c r="D255" s="50" t="s">
        <v>464</v>
      </c>
      <c r="E255" s="50" t="s">
        <v>112</v>
      </c>
      <c r="F255" s="50"/>
      <c r="G255" s="50" t="s">
        <v>113</v>
      </c>
      <c r="H255" s="50"/>
      <c r="I255" s="50" t="s">
        <v>466</v>
      </c>
      <c r="J255" s="51" t="s">
        <v>115</v>
      </c>
      <c r="K255" s="49">
        <v>837</v>
      </c>
      <c r="L255" s="49">
        <f>AVERAGE(32,40)</f>
        <v>36</v>
      </c>
      <c r="M255" s="50"/>
      <c r="N255" s="50"/>
      <c r="O255" s="50"/>
      <c r="P255" s="50"/>
      <c r="Q255" s="52">
        <v>5</v>
      </c>
      <c r="R255" s="49">
        <v>72</v>
      </c>
      <c r="S255" s="49">
        <v>2500</v>
      </c>
      <c r="T255" s="53">
        <v>33615</v>
      </c>
      <c r="U255" s="53">
        <v>40555</v>
      </c>
      <c r="V255" s="49">
        <f>19*12</f>
        <v>228</v>
      </c>
      <c r="W255" s="50"/>
      <c r="X255" s="50"/>
      <c r="Y255" s="50"/>
      <c r="Z255" s="49">
        <v>10.95</v>
      </c>
      <c r="AA255" s="50"/>
      <c r="AB255" s="50"/>
      <c r="AC255" s="50"/>
      <c r="AD255" s="50"/>
      <c r="AE255" s="50"/>
      <c r="AF255" s="50"/>
      <c r="AG255" s="50"/>
      <c r="AH255" s="50"/>
      <c r="AI255" s="50"/>
      <c r="AJ255" s="50"/>
      <c r="AK255" s="50"/>
      <c r="AL255" s="50"/>
      <c r="AM255" s="50"/>
      <c r="AN255" s="50"/>
      <c r="AO255" s="50"/>
      <c r="AP255" s="50"/>
      <c r="AQ255" s="50"/>
      <c r="AR255" s="50"/>
      <c r="AS255" s="50"/>
      <c r="AT255" s="50"/>
      <c r="AU255" s="50"/>
      <c r="AV255" s="50"/>
      <c r="AW255" s="49">
        <f>100-57.5</f>
        <v>42.5</v>
      </c>
      <c r="AX255" s="50"/>
      <c r="AY255" s="50"/>
      <c r="AZ255" s="50"/>
      <c r="BA255" s="50"/>
      <c r="BB255" s="50" t="s">
        <v>422</v>
      </c>
      <c r="BC255" s="54"/>
      <c r="BD255" s="50"/>
      <c r="BE255" s="2">
        <v>0</v>
      </c>
    </row>
    <row r="256" spans="1:57" ht="42" hidden="1" x14ac:dyDescent="0.15">
      <c r="A256" s="32" t="s">
        <v>462</v>
      </c>
      <c r="B256" s="33" t="s">
        <v>463</v>
      </c>
      <c r="C256" s="34">
        <v>2021</v>
      </c>
      <c r="D256" s="21" t="s">
        <v>464</v>
      </c>
      <c r="E256" s="21" t="s">
        <v>135</v>
      </c>
      <c r="F256" s="21"/>
      <c r="G256" s="8" t="s">
        <v>200</v>
      </c>
      <c r="H256" s="21"/>
      <c r="I256" s="21" t="s">
        <v>467</v>
      </c>
      <c r="J256" s="35" t="s">
        <v>115</v>
      </c>
      <c r="K256" s="34">
        <v>837</v>
      </c>
      <c r="L256" s="34">
        <f>AVERAGE(32,40)</f>
        <v>36</v>
      </c>
      <c r="M256" s="21"/>
      <c r="N256" s="21"/>
      <c r="O256" s="21"/>
      <c r="P256" s="21"/>
      <c r="Q256" s="45">
        <v>5</v>
      </c>
      <c r="R256" s="34">
        <v>72</v>
      </c>
      <c r="S256" s="34">
        <v>2500</v>
      </c>
      <c r="T256" s="46">
        <v>33615</v>
      </c>
      <c r="U256" s="46">
        <v>40555</v>
      </c>
      <c r="V256" s="34">
        <f>19*12</f>
        <v>228</v>
      </c>
      <c r="W256" s="21"/>
      <c r="X256" s="21"/>
      <c r="Y256" s="21"/>
      <c r="Z256" s="34">
        <v>11</v>
      </c>
      <c r="AA256" s="21"/>
      <c r="AB256" s="21"/>
      <c r="AC256" s="21"/>
      <c r="AD256" s="21"/>
      <c r="AE256" s="21"/>
      <c r="AF256" s="21"/>
      <c r="AG256" s="21"/>
      <c r="AH256" s="21"/>
      <c r="AI256" s="21"/>
      <c r="AJ256" s="21"/>
      <c r="AK256" s="21"/>
      <c r="AL256" s="21"/>
      <c r="AM256" s="21"/>
      <c r="AN256" s="21"/>
      <c r="AO256" s="21"/>
      <c r="AP256" s="21"/>
      <c r="AQ256" s="34">
        <f>Z256-Z257</f>
        <v>-0.92999999999999972</v>
      </c>
      <c r="AR256" s="34">
        <f>(AQ256/Z256)*100</f>
        <v>-8.4545454545454515</v>
      </c>
      <c r="AS256" s="21"/>
      <c r="AT256" s="21"/>
      <c r="AU256" s="21"/>
      <c r="AV256" s="21"/>
      <c r="AW256" s="34">
        <f>100-57.5</f>
        <v>42.5</v>
      </c>
      <c r="AX256" s="21"/>
      <c r="AY256" s="21"/>
      <c r="AZ256" s="21"/>
      <c r="BA256" s="21"/>
      <c r="BB256" s="21" t="s">
        <v>422</v>
      </c>
      <c r="BC256" s="37"/>
      <c r="BD256" s="21"/>
      <c r="BE256" s="2">
        <v>0</v>
      </c>
    </row>
    <row r="257" spans="1:57" ht="42" hidden="1" x14ac:dyDescent="0.15">
      <c r="A257" s="47" t="s">
        <v>462</v>
      </c>
      <c r="B257" s="48" t="s">
        <v>463</v>
      </c>
      <c r="C257" s="49">
        <v>2021</v>
      </c>
      <c r="D257" s="50" t="s">
        <v>464</v>
      </c>
      <c r="E257" s="50" t="s">
        <v>135</v>
      </c>
      <c r="F257" s="50"/>
      <c r="G257" s="50" t="s">
        <v>113</v>
      </c>
      <c r="H257" s="50"/>
      <c r="I257" s="50" t="s">
        <v>468</v>
      </c>
      <c r="J257" s="51" t="s">
        <v>115</v>
      </c>
      <c r="K257" s="49">
        <v>837</v>
      </c>
      <c r="L257" s="49">
        <f>AVERAGE(32,40)</f>
        <v>36</v>
      </c>
      <c r="M257" s="50"/>
      <c r="N257" s="50"/>
      <c r="O257" s="50"/>
      <c r="P257" s="50"/>
      <c r="Q257" s="52">
        <v>5</v>
      </c>
      <c r="R257" s="49">
        <v>72</v>
      </c>
      <c r="S257" s="49">
        <v>2500</v>
      </c>
      <c r="T257" s="53">
        <v>33615</v>
      </c>
      <c r="U257" s="53">
        <v>40555</v>
      </c>
      <c r="V257" s="49">
        <f>19*12</f>
        <v>228</v>
      </c>
      <c r="W257" s="50"/>
      <c r="X257" s="50"/>
      <c r="Y257" s="50"/>
      <c r="Z257" s="49">
        <v>11.93</v>
      </c>
      <c r="AA257" s="50"/>
      <c r="AB257" s="50"/>
      <c r="AC257" s="50"/>
      <c r="AD257" s="50"/>
      <c r="AE257" s="50"/>
      <c r="AF257" s="50"/>
      <c r="AG257" s="50"/>
      <c r="AH257" s="50"/>
      <c r="AI257" s="50"/>
      <c r="AJ257" s="50"/>
      <c r="AK257" s="50"/>
      <c r="AL257" s="50"/>
      <c r="AM257" s="50"/>
      <c r="AN257" s="50"/>
      <c r="AO257" s="50"/>
      <c r="AP257" s="50"/>
      <c r="AQ257" s="50"/>
      <c r="AR257" s="50"/>
      <c r="AS257" s="50"/>
      <c r="AT257" s="50"/>
      <c r="AU257" s="50"/>
      <c r="AV257" s="50"/>
      <c r="AW257" s="49">
        <f>100-57.5</f>
        <v>42.5</v>
      </c>
      <c r="AX257" s="50"/>
      <c r="AY257" s="50"/>
      <c r="AZ257" s="50"/>
      <c r="BA257" s="50"/>
      <c r="BB257" s="50" t="s">
        <v>422</v>
      </c>
      <c r="BC257" s="54"/>
      <c r="BD257" s="50"/>
      <c r="BE257" s="2">
        <v>0</v>
      </c>
    </row>
    <row r="258" spans="1:57" ht="42" x14ac:dyDescent="0.15">
      <c r="A258" s="32" t="s">
        <v>462</v>
      </c>
      <c r="B258" s="33" t="s">
        <v>463</v>
      </c>
      <c r="C258" s="34">
        <v>2021</v>
      </c>
      <c r="D258" s="21" t="s">
        <v>464</v>
      </c>
      <c r="E258" s="21" t="s">
        <v>112</v>
      </c>
      <c r="F258" s="21" t="s">
        <v>135</v>
      </c>
      <c r="G258" s="33" t="s">
        <v>122</v>
      </c>
      <c r="H258" s="8" t="s">
        <v>200</v>
      </c>
      <c r="I258" s="21" t="s">
        <v>469</v>
      </c>
      <c r="J258" s="35" t="s">
        <v>115</v>
      </c>
      <c r="K258" s="34">
        <v>837</v>
      </c>
      <c r="L258" s="34">
        <f>AVERAGE(32,40)</f>
        <v>36</v>
      </c>
      <c r="M258" s="21"/>
      <c r="N258" s="21"/>
      <c r="O258" s="21"/>
      <c r="P258" s="21"/>
      <c r="Q258" s="45">
        <v>5</v>
      </c>
      <c r="R258" s="34">
        <v>72</v>
      </c>
      <c r="S258" s="34">
        <v>2500</v>
      </c>
      <c r="T258" s="46">
        <v>33615</v>
      </c>
      <c r="U258" s="46">
        <v>40555</v>
      </c>
      <c r="V258" s="34">
        <f>19*12</f>
        <v>228</v>
      </c>
      <c r="W258" s="21"/>
      <c r="X258" s="21"/>
      <c r="Y258" s="21"/>
      <c r="Z258" s="34">
        <v>10.55</v>
      </c>
      <c r="AA258" s="21"/>
      <c r="AB258" s="21"/>
      <c r="AC258" s="21"/>
      <c r="AD258" s="21"/>
      <c r="AE258" s="21"/>
      <c r="AF258" s="21"/>
      <c r="AG258" s="21"/>
      <c r="AH258" s="21"/>
      <c r="AI258" s="21"/>
      <c r="AJ258" s="34">
        <v>29</v>
      </c>
      <c r="AK258" s="21"/>
      <c r="AL258" s="21"/>
      <c r="AM258" s="21"/>
      <c r="AN258" s="34">
        <f>AJ258-AJ260</f>
        <v>3</v>
      </c>
      <c r="AO258" s="34">
        <f>(AN258/AJ260)*100</f>
        <v>11.538461538461538</v>
      </c>
      <c r="AP258" s="21"/>
      <c r="AQ258" s="34">
        <f>Z258-Z260</f>
        <v>-0.89999999999999858</v>
      </c>
      <c r="AR258" s="34">
        <f>(AQ258/Z260)*100</f>
        <v>-7.8602620087336126</v>
      </c>
      <c r="AS258" s="21"/>
      <c r="AT258" s="21"/>
      <c r="AU258" s="21"/>
      <c r="AV258" s="21"/>
      <c r="AW258" s="34">
        <f>100-57.5</f>
        <v>42.5</v>
      </c>
      <c r="AX258" s="21"/>
      <c r="AY258" s="21"/>
      <c r="AZ258" s="21"/>
      <c r="BA258" s="21"/>
      <c r="BB258" s="21" t="s">
        <v>422</v>
      </c>
      <c r="BC258" s="37"/>
      <c r="BD258" s="21"/>
      <c r="BE258" s="2">
        <v>0</v>
      </c>
    </row>
    <row r="259" spans="1:57" ht="42" x14ac:dyDescent="0.15">
      <c r="A259" s="32" t="s">
        <v>462</v>
      </c>
      <c r="B259" s="33" t="s">
        <v>463</v>
      </c>
      <c r="C259" s="34">
        <v>2021</v>
      </c>
      <c r="D259" s="21" t="s">
        <v>464</v>
      </c>
      <c r="E259" s="21" t="s">
        <v>112</v>
      </c>
      <c r="F259" s="21" t="s">
        <v>135</v>
      </c>
      <c r="G259" s="33" t="s">
        <v>122</v>
      </c>
      <c r="H259" s="21"/>
      <c r="I259" s="21" t="s">
        <v>470</v>
      </c>
      <c r="J259" s="35" t="s">
        <v>115</v>
      </c>
      <c r="K259" s="34">
        <v>837</v>
      </c>
      <c r="L259" s="34">
        <f>AVERAGE(32,40)</f>
        <v>36</v>
      </c>
      <c r="M259" s="21"/>
      <c r="N259" s="21"/>
      <c r="O259" s="21"/>
      <c r="P259" s="21"/>
      <c r="Q259" s="45">
        <v>5</v>
      </c>
      <c r="R259" s="34">
        <v>72</v>
      </c>
      <c r="S259" s="34">
        <v>2500</v>
      </c>
      <c r="T259" s="46">
        <v>33615</v>
      </c>
      <c r="U259" s="46">
        <v>40555</v>
      </c>
      <c r="V259" s="34">
        <f>19*12</f>
        <v>228</v>
      </c>
      <c r="W259" s="21"/>
      <c r="X259" s="21"/>
      <c r="Y259" s="21"/>
      <c r="Z259" s="34">
        <v>11.02</v>
      </c>
      <c r="AA259" s="21"/>
      <c r="AB259" s="21"/>
      <c r="AC259" s="21"/>
      <c r="AD259" s="21"/>
      <c r="AE259" s="21"/>
      <c r="AF259" s="21"/>
      <c r="AG259" s="21"/>
      <c r="AH259" s="21"/>
      <c r="AI259" s="21"/>
      <c r="AJ259" s="34">
        <v>25</v>
      </c>
      <c r="AK259" s="21"/>
      <c r="AL259" s="21"/>
      <c r="AM259" s="21"/>
      <c r="AN259" s="34">
        <f>AJ259-AJ261</f>
        <v>1</v>
      </c>
      <c r="AO259" s="34">
        <f>(AN259/AJ261)*100</f>
        <v>4.1666666666666661</v>
      </c>
      <c r="AP259" s="21"/>
      <c r="AQ259" s="34">
        <f>Z259-Z261</f>
        <v>0.16999999999999993</v>
      </c>
      <c r="AR259" s="34">
        <f>(AQ259/Z261)*100</f>
        <v>1.5668202764976953</v>
      </c>
      <c r="AS259" s="21"/>
      <c r="AT259" s="21"/>
      <c r="AU259" s="21"/>
      <c r="AV259" s="21"/>
      <c r="AW259" s="34">
        <f>100-57.5</f>
        <v>42.5</v>
      </c>
      <c r="AX259" s="21"/>
      <c r="AY259" s="21"/>
      <c r="AZ259" s="21"/>
      <c r="BA259" s="21"/>
      <c r="BB259" s="21" t="s">
        <v>422</v>
      </c>
      <c r="BC259" s="37"/>
      <c r="BD259" s="21"/>
      <c r="BE259" s="2">
        <v>0</v>
      </c>
    </row>
    <row r="260" spans="1:57" ht="42" x14ac:dyDescent="0.15">
      <c r="A260" s="47" t="s">
        <v>462</v>
      </c>
      <c r="B260" s="48" t="s">
        <v>463</v>
      </c>
      <c r="C260" s="49">
        <v>2021</v>
      </c>
      <c r="D260" s="50" t="s">
        <v>464</v>
      </c>
      <c r="E260" s="50" t="s">
        <v>112</v>
      </c>
      <c r="F260" s="50" t="s">
        <v>135</v>
      </c>
      <c r="G260" s="50" t="s">
        <v>113</v>
      </c>
      <c r="H260" s="8" t="s">
        <v>200</v>
      </c>
      <c r="I260" s="50" t="s">
        <v>471</v>
      </c>
      <c r="J260" s="51" t="s">
        <v>115</v>
      </c>
      <c r="K260" s="49">
        <v>837</v>
      </c>
      <c r="L260" s="49">
        <f>AVERAGE(32,40)</f>
        <v>36</v>
      </c>
      <c r="M260" s="50"/>
      <c r="N260" s="50"/>
      <c r="O260" s="50"/>
      <c r="P260" s="50"/>
      <c r="Q260" s="52">
        <v>5</v>
      </c>
      <c r="R260" s="49">
        <v>72</v>
      </c>
      <c r="S260" s="49">
        <v>2500</v>
      </c>
      <c r="T260" s="53">
        <v>33615</v>
      </c>
      <c r="U260" s="53">
        <v>40555</v>
      </c>
      <c r="V260" s="49">
        <f>19*12</f>
        <v>228</v>
      </c>
      <c r="W260" s="50"/>
      <c r="X260" s="50"/>
      <c r="Y260" s="50"/>
      <c r="Z260" s="49">
        <v>11.45</v>
      </c>
      <c r="AA260" s="50"/>
      <c r="AB260" s="50"/>
      <c r="AC260" s="50"/>
      <c r="AD260" s="50"/>
      <c r="AE260" s="50"/>
      <c r="AF260" s="50"/>
      <c r="AG260" s="50"/>
      <c r="AH260" s="50"/>
      <c r="AI260" s="50"/>
      <c r="AJ260" s="49">
        <v>26</v>
      </c>
      <c r="AK260" s="50"/>
      <c r="AL260" s="50"/>
      <c r="AM260" s="50"/>
      <c r="AN260" s="50"/>
      <c r="AO260" s="50"/>
      <c r="AP260" s="50"/>
      <c r="AQ260" s="50"/>
      <c r="AR260" s="50"/>
      <c r="AS260" s="50"/>
      <c r="AT260" s="50"/>
      <c r="AU260" s="50"/>
      <c r="AV260" s="50"/>
      <c r="AW260" s="49">
        <f>100-57.5</f>
        <v>42.5</v>
      </c>
      <c r="AX260" s="50"/>
      <c r="AY260" s="50"/>
      <c r="AZ260" s="50"/>
      <c r="BA260" s="50"/>
      <c r="BB260" s="50" t="s">
        <v>422</v>
      </c>
      <c r="BC260" s="54"/>
      <c r="BD260" s="50"/>
      <c r="BE260" s="2">
        <v>0</v>
      </c>
    </row>
    <row r="261" spans="1:57" ht="42" x14ac:dyDescent="0.15">
      <c r="A261" s="47" t="s">
        <v>462</v>
      </c>
      <c r="B261" s="48" t="s">
        <v>463</v>
      </c>
      <c r="C261" s="49">
        <v>2021</v>
      </c>
      <c r="D261" s="50" t="s">
        <v>464</v>
      </c>
      <c r="E261" s="50" t="s">
        <v>112</v>
      </c>
      <c r="F261" s="50" t="s">
        <v>135</v>
      </c>
      <c r="G261" s="50" t="s">
        <v>113</v>
      </c>
      <c r="H261" s="50"/>
      <c r="I261" s="50" t="s">
        <v>472</v>
      </c>
      <c r="J261" s="51" t="s">
        <v>115</v>
      </c>
      <c r="K261" s="49">
        <v>837</v>
      </c>
      <c r="L261" s="49">
        <f>AVERAGE(32,40)</f>
        <v>36</v>
      </c>
      <c r="M261" s="50"/>
      <c r="N261" s="50"/>
      <c r="O261" s="50"/>
      <c r="P261" s="50"/>
      <c r="Q261" s="52">
        <v>5</v>
      </c>
      <c r="R261" s="49">
        <v>72</v>
      </c>
      <c r="S261" s="49">
        <v>2500</v>
      </c>
      <c r="T261" s="53">
        <v>33615</v>
      </c>
      <c r="U261" s="53">
        <v>40555</v>
      </c>
      <c r="V261" s="49">
        <f>19*12</f>
        <v>228</v>
      </c>
      <c r="W261" s="50"/>
      <c r="X261" s="50"/>
      <c r="Y261" s="50"/>
      <c r="Z261" s="49">
        <v>10.85</v>
      </c>
      <c r="AA261" s="50"/>
      <c r="AB261" s="50"/>
      <c r="AC261" s="50"/>
      <c r="AD261" s="50"/>
      <c r="AE261" s="50"/>
      <c r="AF261" s="50"/>
      <c r="AG261" s="50"/>
      <c r="AH261" s="50"/>
      <c r="AI261" s="50"/>
      <c r="AJ261" s="49">
        <v>24</v>
      </c>
      <c r="AK261" s="50"/>
      <c r="AL261" s="50"/>
      <c r="AM261" s="50"/>
      <c r="AN261" s="50"/>
      <c r="AO261" s="50"/>
      <c r="AP261" s="50"/>
      <c r="AQ261" s="50"/>
      <c r="AR261" s="50"/>
      <c r="AS261" s="50"/>
      <c r="AT261" s="50"/>
      <c r="AU261" s="50"/>
      <c r="AV261" s="50"/>
      <c r="AW261" s="49">
        <f>100-57.5</f>
        <v>42.5</v>
      </c>
      <c r="AX261" s="50"/>
      <c r="AY261" s="50"/>
      <c r="AZ261" s="50"/>
      <c r="BA261" s="50"/>
      <c r="BB261" s="50" t="s">
        <v>422</v>
      </c>
      <c r="BC261" s="54"/>
      <c r="BD261" s="50"/>
      <c r="BE261" s="2">
        <v>0</v>
      </c>
    </row>
    <row r="262" spans="1:57" ht="42" x14ac:dyDescent="0.15">
      <c r="A262" s="32" t="s">
        <v>462</v>
      </c>
      <c r="B262" s="33" t="s">
        <v>463</v>
      </c>
      <c r="C262" s="34">
        <v>2021</v>
      </c>
      <c r="D262" s="21" t="s">
        <v>464</v>
      </c>
      <c r="E262" s="21" t="s">
        <v>112</v>
      </c>
      <c r="F262" s="21"/>
      <c r="G262" s="33" t="s">
        <v>122</v>
      </c>
      <c r="H262" s="21"/>
      <c r="I262" s="21" t="s">
        <v>465</v>
      </c>
      <c r="J262" s="35" t="s">
        <v>306</v>
      </c>
      <c r="K262" s="34">
        <v>837</v>
      </c>
      <c r="L262" s="34">
        <f>AVERAGE(32,40)</f>
        <v>36</v>
      </c>
      <c r="M262" s="21"/>
      <c r="N262" s="21"/>
      <c r="O262" s="21"/>
      <c r="P262" s="21"/>
      <c r="Q262" s="45">
        <v>5</v>
      </c>
      <c r="R262" s="34">
        <v>72</v>
      </c>
      <c r="S262" s="34">
        <v>2500</v>
      </c>
      <c r="T262" s="46">
        <v>33615</v>
      </c>
      <c r="U262" s="46">
        <v>40555</v>
      </c>
      <c r="V262" s="34">
        <f>19*12</f>
        <v>228</v>
      </c>
      <c r="W262" s="21"/>
      <c r="X262" s="21"/>
      <c r="Y262" s="21"/>
      <c r="Z262" s="34">
        <v>6.9</v>
      </c>
      <c r="AA262" s="21"/>
      <c r="AB262" s="21"/>
      <c r="AC262" s="21"/>
      <c r="AD262" s="21"/>
      <c r="AE262" s="21"/>
      <c r="AF262" s="21"/>
      <c r="AG262" s="21"/>
      <c r="AH262" s="21"/>
      <c r="AI262" s="21"/>
      <c r="AJ262" s="21"/>
      <c r="AK262" s="21"/>
      <c r="AL262" s="21"/>
      <c r="AM262" s="21"/>
      <c r="AN262" s="21"/>
      <c r="AO262" s="21"/>
      <c r="AP262" s="21"/>
      <c r="AQ262" s="34">
        <f>Z262-Z263</f>
        <v>0.55000000000000071</v>
      </c>
      <c r="AR262" s="34">
        <f>(AQ262/Z263)*100</f>
        <v>8.6614173228346569</v>
      </c>
      <c r="AS262" s="21"/>
      <c r="AT262" s="21"/>
      <c r="AU262" s="21"/>
      <c r="AV262" s="21"/>
      <c r="AW262" s="34">
        <f>100-57.5</f>
        <v>42.5</v>
      </c>
      <c r="AX262" s="21"/>
      <c r="AY262" s="21"/>
      <c r="AZ262" s="21"/>
      <c r="BA262" s="21"/>
      <c r="BB262" s="21" t="s">
        <v>422</v>
      </c>
      <c r="BC262" s="37"/>
      <c r="BD262" s="21"/>
      <c r="BE262" s="2">
        <v>0</v>
      </c>
    </row>
    <row r="263" spans="1:57" ht="42" x14ac:dyDescent="0.15">
      <c r="A263" s="47" t="s">
        <v>462</v>
      </c>
      <c r="B263" s="48" t="s">
        <v>463</v>
      </c>
      <c r="C263" s="49">
        <v>2021</v>
      </c>
      <c r="D263" s="50" t="s">
        <v>464</v>
      </c>
      <c r="E263" s="50" t="s">
        <v>112</v>
      </c>
      <c r="F263" s="50"/>
      <c r="G263" s="50" t="s">
        <v>113</v>
      </c>
      <c r="H263" s="50"/>
      <c r="I263" s="50" t="s">
        <v>466</v>
      </c>
      <c r="J263" s="51" t="s">
        <v>306</v>
      </c>
      <c r="K263" s="49">
        <v>837</v>
      </c>
      <c r="L263" s="49">
        <f>AVERAGE(32,40)</f>
        <v>36</v>
      </c>
      <c r="M263" s="50"/>
      <c r="N263" s="50"/>
      <c r="O263" s="50"/>
      <c r="P263" s="50"/>
      <c r="Q263" s="52">
        <v>5</v>
      </c>
      <c r="R263" s="49">
        <v>72</v>
      </c>
      <c r="S263" s="49">
        <v>2500</v>
      </c>
      <c r="T263" s="53">
        <v>33615</v>
      </c>
      <c r="U263" s="53">
        <v>40555</v>
      </c>
      <c r="V263" s="49">
        <f>19*12</f>
        <v>228</v>
      </c>
      <c r="W263" s="50"/>
      <c r="X263" s="50"/>
      <c r="Y263" s="50"/>
      <c r="Z263" s="49">
        <v>6.35</v>
      </c>
      <c r="AA263" s="50"/>
      <c r="AB263" s="50"/>
      <c r="AC263" s="50"/>
      <c r="AD263" s="50"/>
      <c r="AE263" s="50"/>
      <c r="AF263" s="50"/>
      <c r="AG263" s="50"/>
      <c r="AH263" s="50"/>
      <c r="AI263" s="50"/>
      <c r="AJ263" s="50"/>
      <c r="AK263" s="50"/>
      <c r="AL263" s="50"/>
      <c r="AM263" s="50"/>
      <c r="AN263" s="50"/>
      <c r="AO263" s="50"/>
      <c r="AP263" s="50"/>
      <c r="AQ263" s="50"/>
      <c r="AR263" s="50"/>
      <c r="AS263" s="50"/>
      <c r="AT263" s="50"/>
      <c r="AU263" s="50"/>
      <c r="AV263" s="50"/>
      <c r="AW263" s="49">
        <f>100-57.5</f>
        <v>42.5</v>
      </c>
      <c r="AX263" s="50"/>
      <c r="AY263" s="50"/>
      <c r="AZ263" s="50"/>
      <c r="BA263" s="50"/>
      <c r="BB263" s="50" t="s">
        <v>422</v>
      </c>
      <c r="BC263" s="54"/>
      <c r="BD263" s="50"/>
      <c r="BE263" s="2">
        <v>0</v>
      </c>
    </row>
    <row r="264" spans="1:57" ht="42" hidden="1" x14ac:dyDescent="0.15">
      <c r="A264" s="32" t="s">
        <v>462</v>
      </c>
      <c r="B264" s="33" t="s">
        <v>463</v>
      </c>
      <c r="C264" s="34">
        <v>2021</v>
      </c>
      <c r="D264" s="21" t="s">
        <v>464</v>
      </c>
      <c r="E264" s="21" t="s">
        <v>135</v>
      </c>
      <c r="F264" s="21"/>
      <c r="G264" s="8" t="s">
        <v>200</v>
      </c>
      <c r="H264" s="21"/>
      <c r="I264" s="21" t="s">
        <v>467</v>
      </c>
      <c r="J264" s="35" t="s">
        <v>306</v>
      </c>
      <c r="K264" s="34">
        <v>837</v>
      </c>
      <c r="L264" s="34">
        <f>AVERAGE(32,40)</f>
        <v>36</v>
      </c>
      <c r="M264" s="21"/>
      <c r="N264" s="21"/>
      <c r="O264" s="21"/>
      <c r="P264" s="21"/>
      <c r="Q264" s="45">
        <v>5</v>
      </c>
      <c r="R264" s="34">
        <v>72</v>
      </c>
      <c r="S264" s="34">
        <v>2500</v>
      </c>
      <c r="T264" s="46">
        <v>33615</v>
      </c>
      <c r="U264" s="46">
        <v>40555</v>
      </c>
      <c r="V264" s="34">
        <f>19*12</f>
        <v>228</v>
      </c>
      <c r="W264" s="21"/>
      <c r="X264" s="21"/>
      <c r="Y264" s="21"/>
      <c r="Z264" s="34">
        <v>6.34</v>
      </c>
      <c r="AA264" s="21"/>
      <c r="AB264" s="21"/>
      <c r="AC264" s="21"/>
      <c r="AD264" s="21"/>
      <c r="AE264" s="21"/>
      <c r="AF264" s="21"/>
      <c r="AG264" s="21"/>
      <c r="AH264" s="21"/>
      <c r="AI264" s="21"/>
      <c r="AJ264" s="21"/>
      <c r="AK264" s="21"/>
      <c r="AL264" s="21"/>
      <c r="AM264" s="21"/>
      <c r="AN264" s="21"/>
      <c r="AO264" s="21"/>
      <c r="AP264" s="21"/>
      <c r="AQ264" s="34">
        <f>Z264-Z265</f>
        <v>-0.42999999999999972</v>
      </c>
      <c r="AR264" s="34">
        <f>(AQ264/Z265)*100</f>
        <v>-6.3515509601181641</v>
      </c>
      <c r="AS264" s="21"/>
      <c r="AT264" s="21"/>
      <c r="AU264" s="21"/>
      <c r="AV264" s="21"/>
      <c r="AW264" s="34">
        <f>100-57.5</f>
        <v>42.5</v>
      </c>
      <c r="AX264" s="21"/>
      <c r="AY264" s="21"/>
      <c r="AZ264" s="21"/>
      <c r="BA264" s="21"/>
      <c r="BB264" s="21" t="s">
        <v>422</v>
      </c>
      <c r="BC264" s="37"/>
      <c r="BD264" s="21"/>
      <c r="BE264" s="2">
        <v>0</v>
      </c>
    </row>
    <row r="265" spans="1:57" ht="42" hidden="1" x14ac:dyDescent="0.15">
      <c r="A265" s="47" t="s">
        <v>462</v>
      </c>
      <c r="B265" s="48" t="s">
        <v>463</v>
      </c>
      <c r="C265" s="49">
        <v>2021</v>
      </c>
      <c r="D265" s="50" t="s">
        <v>464</v>
      </c>
      <c r="E265" s="50" t="s">
        <v>135</v>
      </c>
      <c r="F265" s="50"/>
      <c r="G265" s="50" t="s">
        <v>113</v>
      </c>
      <c r="H265" s="50"/>
      <c r="I265" s="50" t="s">
        <v>468</v>
      </c>
      <c r="J265" s="51" t="s">
        <v>306</v>
      </c>
      <c r="K265" s="49">
        <v>837</v>
      </c>
      <c r="L265" s="49">
        <f>AVERAGE(32,40)</f>
        <v>36</v>
      </c>
      <c r="M265" s="50"/>
      <c r="N265" s="50"/>
      <c r="O265" s="50"/>
      <c r="P265" s="50"/>
      <c r="Q265" s="52">
        <v>5</v>
      </c>
      <c r="R265" s="49">
        <v>72</v>
      </c>
      <c r="S265" s="49">
        <v>2500</v>
      </c>
      <c r="T265" s="53">
        <v>33615</v>
      </c>
      <c r="U265" s="53">
        <v>40555</v>
      </c>
      <c r="V265" s="49">
        <f>19*12</f>
        <v>228</v>
      </c>
      <c r="W265" s="50"/>
      <c r="X265" s="50"/>
      <c r="Y265" s="50"/>
      <c r="Z265" s="49">
        <v>6.77</v>
      </c>
      <c r="AA265" s="50"/>
      <c r="AB265" s="50"/>
      <c r="AC265" s="50"/>
      <c r="AD265" s="50"/>
      <c r="AE265" s="50"/>
      <c r="AF265" s="50"/>
      <c r="AG265" s="50"/>
      <c r="AH265" s="50"/>
      <c r="AI265" s="50"/>
      <c r="AJ265" s="50"/>
      <c r="AK265" s="50"/>
      <c r="AL265" s="50"/>
      <c r="AM265" s="50"/>
      <c r="AN265" s="50"/>
      <c r="AO265" s="50"/>
      <c r="AP265" s="50"/>
      <c r="AQ265" s="50"/>
      <c r="AR265" s="50"/>
      <c r="AS265" s="50"/>
      <c r="AT265" s="50"/>
      <c r="AU265" s="50"/>
      <c r="AV265" s="50"/>
      <c r="AW265" s="49">
        <f>100-57.5</f>
        <v>42.5</v>
      </c>
      <c r="AX265" s="50"/>
      <c r="AY265" s="50"/>
      <c r="AZ265" s="50"/>
      <c r="BA265" s="50"/>
      <c r="BB265" s="50" t="s">
        <v>422</v>
      </c>
      <c r="BC265" s="54"/>
      <c r="BD265" s="50"/>
      <c r="BE265" s="2">
        <v>0</v>
      </c>
    </row>
    <row r="266" spans="1:57" ht="42" x14ac:dyDescent="0.15">
      <c r="A266" s="32" t="s">
        <v>462</v>
      </c>
      <c r="B266" s="33" t="s">
        <v>463</v>
      </c>
      <c r="C266" s="34">
        <v>2021</v>
      </c>
      <c r="D266" s="21" t="s">
        <v>464</v>
      </c>
      <c r="E266" s="21" t="s">
        <v>112</v>
      </c>
      <c r="F266" s="21" t="s">
        <v>135</v>
      </c>
      <c r="G266" s="33" t="s">
        <v>122</v>
      </c>
      <c r="H266" s="8" t="s">
        <v>200</v>
      </c>
      <c r="I266" s="21" t="s">
        <v>469</v>
      </c>
      <c r="J266" s="35" t="s">
        <v>306</v>
      </c>
      <c r="K266" s="34">
        <v>837</v>
      </c>
      <c r="L266" s="34">
        <f>AVERAGE(32,40)</f>
        <v>36</v>
      </c>
      <c r="M266" s="21"/>
      <c r="N266" s="21"/>
      <c r="O266" s="21"/>
      <c r="P266" s="21"/>
      <c r="Q266" s="45">
        <v>5</v>
      </c>
      <c r="R266" s="34">
        <v>72</v>
      </c>
      <c r="S266" s="34">
        <v>2500</v>
      </c>
      <c r="T266" s="46">
        <v>33615</v>
      </c>
      <c r="U266" s="46">
        <v>40555</v>
      </c>
      <c r="V266" s="34">
        <f>19*12</f>
        <v>228</v>
      </c>
      <c r="W266" s="21"/>
      <c r="X266" s="21"/>
      <c r="Y266" s="21"/>
      <c r="Z266" s="34">
        <v>6.36</v>
      </c>
      <c r="AA266" s="21"/>
      <c r="AB266" s="21"/>
      <c r="AC266" s="21"/>
      <c r="AD266" s="21"/>
      <c r="AE266" s="21"/>
      <c r="AF266" s="21"/>
      <c r="AG266" s="21"/>
      <c r="AH266" s="21"/>
      <c r="AI266" s="21"/>
      <c r="AJ266" s="34">
        <v>29</v>
      </c>
      <c r="AK266" s="21"/>
      <c r="AL266" s="21"/>
      <c r="AM266" s="21"/>
      <c r="AN266" s="34">
        <f>(AJ266-AJ268)</f>
        <v>4</v>
      </c>
      <c r="AO266" s="34">
        <f>(AN266/AJ268)*100</f>
        <v>16</v>
      </c>
      <c r="AP266" s="21"/>
      <c r="AQ266" s="34">
        <f>Z266-Z268</f>
        <v>0.10000000000000053</v>
      </c>
      <c r="AR266" s="34">
        <f>(AQ266/Z268)*100</f>
        <v>1.5974440894568775</v>
      </c>
      <c r="AS266" s="21"/>
      <c r="AT266" s="21"/>
      <c r="AU266" s="21"/>
      <c r="AV266" s="21"/>
      <c r="AW266" s="34">
        <f>100-57.5</f>
        <v>42.5</v>
      </c>
      <c r="AX266" s="21"/>
      <c r="AY266" s="21"/>
      <c r="AZ266" s="21"/>
      <c r="BA266" s="21"/>
      <c r="BB266" s="21" t="s">
        <v>422</v>
      </c>
      <c r="BC266" s="37"/>
      <c r="BD266" s="21"/>
      <c r="BE266" s="2">
        <v>0</v>
      </c>
    </row>
    <row r="267" spans="1:57" ht="42" x14ac:dyDescent="0.15">
      <c r="A267" s="32" t="s">
        <v>462</v>
      </c>
      <c r="B267" s="33" t="s">
        <v>463</v>
      </c>
      <c r="C267" s="34">
        <v>2021</v>
      </c>
      <c r="D267" s="21" t="s">
        <v>464</v>
      </c>
      <c r="E267" s="21" t="s">
        <v>112</v>
      </c>
      <c r="F267" s="21" t="s">
        <v>135</v>
      </c>
      <c r="G267" s="33" t="s">
        <v>122</v>
      </c>
      <c r="H267" s="21"/>
      <c r="I267" s="21" t="s">
        <v>470</v>
      </c>
      <c r="J267" s="35" t="s">
        <v>306</v>
      </c>
      <c r="K267" s="34">
        <v>837</v>
      </c>
      <c r="L267" s="34">
        <f>AVERAGE(32,40)</f>
        <v>36</v>
      </c>
      <c r="M267" s="21"/>
      <c r="N267" s="21"/>
      <c r="O267" s="21"/>
      <c r="P267" s="21"/>
      <c r="Q267" s="45">
        <v>5</v>
      </c>
      <c r="R267" s="34">
        <v>72</v>
      </c>
      <c r="S267" s="34">
        <v>2500</v>
      </c>
      <c r="T267" s="46">
        <v>33615</v>
      </c>
      <c r="U267" s="46">
        <v>40555</v>
      </c>
      <c r="V267" s="34">
        <f>19*12</f>
        <v>228</v>
      </c>
      <c r="W267" s="21"/>
      <c r="X267" s="21"/>
      <c r="Y267" s="21"/>
      <c r="Z267" s="34">
        <v>7.08</v>
      </c>
      <c r="AA267" s="21"/>
      <c r="AB267" s="21"/>
      <c r="AC267" s="21"/>
      <c r="AD267" s="21"/>
      <c r="AE267" s="21"/>
      <c r="AF267" s="21"/>
      <c r="AG267" s="21"/>
      <c r="AH267" s="21"/>
      <c r="AI267" s="21"/>
      <c r="AJ267" s="34">
        <v>26.5</v>
      </c>
      <c r="AK267" s="21"/>
      <c r="AL267" s="21"/>
      <c r="AM267" s="21"/>
      <c r="AN267" s="34">
        <f>(AJ267-AJ269)</f>
        <v>-3</v>
      </c>
      <c r="AO267" s="34">
        <f>(AN267/AJ269)*100</f>
        <v>-10.16949152542373</v>
      </c>
      <c r="AP267" s="21"/>
      <c r="AQ267" s="34">
        <f>Z267-Z269</f>
        <v>0.62999999999999989</v>
      </c>
      <c r="AR267" s="34">
        <f>(AQ267/Z269)*100</f>
        <v>9.7674418604651141</v>
      </c>
      <c r="AS267" s="21"/>
      <c r="AT267" s="21"/>
      <c r="AU267" s="21"/>
      <c r="AV267" s="21"/>
      <c r="AW267" s="34">
        <f>100-57.5</f>
        <v>42.5</v>
      </c>
      <c r="AX267" s="21"/>
      <c r="AY267" s="21"/>
      <c r="AZ267" s="21"/>
      <c r="BA267" s="21"/>
      <c r="BB267" s="21" t="s">
        <v>422</v>
      </c>
      <c r="BC267" s="37"/>
      <c r="BD267" s="21"/>
      <c r="BE267" s="2">
        <v>0</v>
      </c>
    </row>
    <row r="268" spans="1:57" ht="42" x14ac:dyDescent="0.15">
      <c r="A268" s="47" t="s">
        <v>462</v>
      </c>
      <c r="B268" s="48" t="s">
        <v>463</v>
      </c>
      <c r="C268" s="49">
        <v>2021</v>
      </c>
      <c r="D268" s="50" t="s">
        <v>464</v>
      </c>
      <c r="E268" s="50" t="s">
        <v>112</v>
      </c>
      <c r="F268" s="50" t="s">
        <v>135</v>
      </c>
      <c r="G268" s="50" t="s">
        <v>113</v>
      </c>
      <c r="H268" s="8" t="s">
        <v>200</v>
      </c>
      <c r="I268" s="50" t="s">
        <v>471</v>
      </c>
      <c r="J268" s="51" t="s">
        <v>306</v>
      </c>
      <c r="K268" s="49">
        <v>837</v>
      </c>
      <c r="L268" s="49">
        <f>AVERAGE(32,40)</f>
        <v>36</v>
      </c>
      <c r="M268" s="50"/>
      <c r="N268" s="50"/>
      <c r="O268" s="50"/>
      <c r="P268" s="50"/>
      <c r="Q268" s="52">
        <v>5</v>
      </c>
      <c r="R268" s="49">
        <v>72</v>
      </c>
      <c r="S268" s="49">
        <v>2500</v>
      </c>
      <c r="T268" s="53">
        <v>33615</v>
      </c>
      <c r="U268" s="53">
        <v>40555</v>
      </c>
      <c r="V268" s="49">
        <f>19*12</f>
        <v>228</v>
      </c>
      <c r="W268" s="50"/>
      <c r="X268" s="50"/>
      <c r="Y268" s="50"/>
      <c r="Z268" s="49">
        <v>6.26</v>
      </c>
      <c r="AA268" s="50"/>
      <c r="AB268" s="50"/>
      <c r="AC268" s="50"/>
      <c r="AD268" s="50"/>
      <c r="AE268" s="50"/>
      <c r="AF268" s="50"/>
      <c r="AG268" s="50"/>
      <c r="AH268" s="50"/>
      <c r="AI268" s="50"/>
      <c r="AJ268" s="49">
        <v>25</v>
      </c>
      <c r="AK268" s="50"/>
      <c r="AL268" s="50"/>
      <c r="AM268" s="50"/>
      <c r="AN268" s="50"/>
      <c r="AO268" s="50"/>
      <c r="AP268" s="50"/>
      <c r="AQ268" s="50"/>
      <c r="AR268" s="50"/>
      <c r="AS268" s="50"/>
      <c r="AT268" s="50"/>
      <c r="AU268" s="50"/>
      <c r="AV268" s="50"/>
      <c r="AW268" s="49">
        <f>100-57.5</f>
        <v>42.5</v>
      </c>
      <c r="AX268" s="50"/>
      <c r="AY268" s="50"/>
      <c r="AZ268" s="50"/>
      <c r="BA268" s="50"/>
      <c r="BB268" s="50" t="s">
        <v>422</v>
      </c>
      <c r="BC268" s="54"/>
      <c r="BD268" s="50"/>
      <c r="BE268" s="2">
        <v>0</v>
      </c>
    </row>
    <row r="269" spans="1:57" ht="42" x14ac:dyDescent="0.15">
      <c r="A269" s="47" t="s">
        <v>462</v>
      </c>
      <c r="B269" s="48" t="s">
        <v>463</v>
      </c>
      <c r="C269" s="49">
        <v>2021</v>
      </c>
      <c r="D269" s="50" t="s">
        <v>464</v>
      </c>
      <c r="E269" s="50" t="s">
        <v>112</v>
      </c>
      <c r="F269" s="50" t="s">
        <v>135</v>
      </c>
      <c r="G269" s="50" t="s">
        <v>113</v>
      </c>
      <c r="H269" s="50"/>
      <c r="I269" s="50" t="s">
        <v>472</v>
      </c>
      <c r="J269" s="51" t="s">
        <v>306</v>
      </c>
      <c r="K269" s="49">
        <v>837</v>
      </c>
      <c r="L269" s="49">
        <f>AVERAGE(32,40)</f>
        <v>36</v>
      </c>
      <c r="M269" s="50"/>
      <c r="N269" s="50"/>
      <c r="O269" s="50"/>
      <c r="P269" s="50"/>
      <c r="Q269" s="52">
        <v>5</v>
      </c>
      <c r="R269" s="49">
        <v>72</v>
      </c>
      <c r="S269" s="49">
        <v>2500</v>
      </c>
      <c r="T269" s="53">
        <v>33615</v>
      </c>
      <c r="U269" s="53">
        <v>40555</v>
      </c>
      <c r="V269" s="49">
        <f>19*12</f>
        <v>228</v>
      </c>
      <c r="W269" s="50"/>
      <c r="X269" s="50"/>
      <c r="Y269" s="50"/>
      <c r="Z269" s="49">
        <v>6.45</v>
      </c>
      <c r="AA269" s="50"/>
      <c r="AB269" s="50"/>
      <c r="AC269" s="50"/>
      <c r="AD269" s="50"/>
      <c r="AE269" s="50"/>
      <c r="AF269" s="50"/>
      <c r="AG269" s="50"/>
      <c r="AH269" s="50"/>
      <c r="AI269" s="50"/>
      <c r="AJ269" s="49">
        <v>29.5</v>
      </c>
      <c r="AK269" s="50"/>
      <c r="AL269" s="50"/>
      <c r="AM269" s="50"/>
      <c r="AN269" s="50"/>
      <c r="AO269" s="50"/>
      <c r="AP269" s="50"/>
      <c r="AQ269" s="50"/>
      <c r="AR269" s="50"/>
      <c r="AS269" s="50"/>
      <c r="AT269" s="50"/>
      <c r="AU269" s="50"/>
      <c r="AV269" s="50"/>
      <c r="AW269" s="49">
        <f>100-57.5</f>
        <v>42.5</v>
      </c>
      <c r="AX269" s="50"/>
      <c r="AY269" s="50"/>
      <c r="AZ269" s="50"/>
      <c r="BA269" s="50"/>
      <c r="BB269" s="50" t="s">
        <v>422</v>
      </c>
      <c r="BC269" s="54"/>
      <c r="BD269" s="50"/>
      <c r="BE269" s="2">
        <v>0</v>
      </c>
    </row>
    <row r="270" spans="1:57" ht="42" x14ac:dyDescent="0.15">
      <c r="A270" s="32" t="s">
        <v>462</v>
      </c>
      <c r="B270" s="33" t="s">
        <v>463</v>
      </c>
      <c r="C270" s="34">
        <v>2021</v>
      </c>
      <c r="D270" s="21" t="s">
        <v>473</v>
      </c>
      <c r="E270" s="21" t="s">
        <v>112</v>
      </c>
      <c r="F270" s="21"/>
      <c r="G270" s="73" t="s">
        <v>122</v>
      </c>
      <c r="H270" s="21"/>
      <c r="I270" s="21" t="s">
        <v>465</v>
      </c>
      <c r="J270" s="35" t="s">
        <v>115</v>
      </c>
      <c r="K270" s="34">
        <v>916</v>
      </c>
      <c r="L270" s="34">
        <f>AVERAGE(16,26)</f>
        <v>21</v>
      </c>
      <c r="M270" s="21"/>
      <c r="N270" s="21"/>
      <c r="O270" s="21"/>
      <c r="P270" s="21"/>
      <c r="Q270" s="45">
        <v>5</v>
      </c>
      <c r="R270" s="34">
        <v>72</v>
      </c>
      <c r="S270" s="34">
        <v>2500</v>
      </c>
      <c r="T270" s="46">
        <v>33615</v>
      </c>
      <c r="U270" s="46">
        <v>40555</v>
      </c>
      <c r="V270" s="34">
        <f>19*12</f>
        <v>228</v>
      </c>
      <c r="W270" s="21"/>
      <c r="X270" s="21"/>
      <c r="Y270" s="21"/>
      <c r="Z270" s="34">
        <v>10.89</v>
      </c>
      <c r="AA270" s="21"/>
      <c r="AB270" s="21"/>
      <c r="AC270" s="21"/>
      <c r="AD270" s="21"/>
      <c r="AE270" s="21"/>
      <c r="AF270" s="21"/>
      <c r="AG270" s="21"/>
      <c r="AH270" s="21"/>
      <c r="AI270" s="21"/>
      <c r="AJ270" s="21"/>
      <c r="AK270" s="21"/>
      <c r="AL270" s="21"/>
      <c r="AM270" s="21"/>
      <c r="AN270" s="21"/>
      <c r="AO270" s="21"/>
      <c r="AP270" s="21"/>
      <c r="AQ270" s="34">
        <f>Z270-Z271</f>
        <v>-1.3099999999999987</v>
      </c>
      <c r="AR270" s="34">
        <f>(AQ270/Z272)*100</f>
        <v>-11.801801801801791</v>
      </c>
      <c r="AS270" s="21"/>
      <c r="AT270" s="21"/>
      <c r="AU270" s="21"/>
      <c r="AV270" s="21"/>
      <c r="AW270" s="34">
        <f>100-32.5</f>
        <v>67.5</v>
      </c>
      <c r="AX270" s="21"/>
      <c r="AY270" s="21"/>
      <c r="AZ270" s="21"/>
      <c r="BA270" s="21"/>
      <c r="BB270" s="21" t="s">
        <v>422</v>
      </c>
      <c r="BC270" s="37"/>
      <c r="BD270" s="21"/>
      <c r="BE270" s="2">
        <v>0</v>
      </c>
    </row>
    <row r="271" spans="1:57" ht="42" x14ac:dyDescent="0.15">
      <c r="A271" s="47" t="s">
        <v>462</v>
      </c>
      <c r="B271" s="48" t="s">
        <v>463</v>
      </c>
      <c r="C271" s="49">
        <v>2021</v>
      </c>
      <c r="D271" s="50" t="s">
        <v>473</v>
      </c>
      <c r="E271" s="50" t="s">
        <v>112</v>
      </c>
      <c r="F271" s="50"/>
      <c r="G271" s="50" t="s">
        <v>113</v>
      </c>
      <c r="H271" s="50"/>
      <c r="I271" s="50" t="s">
        <v>466</v>
      </c>
      <c r="J271" s="51" t="s">
        <v>115</v>
      </c>
      <c r="K271" s="49">
        <v>916</v>
      </c>
      <c r="L271" s="49">
        <f>AVERAGE(16,26)</f>
        <v>21</v>
      </c>
      <c r="M271" s="50"/>
      <c r="N271" s="50"/>
      <c r="O271" s="50"/>
      <c r="P271" s="50"/>
      <c r="Q271" s="52">
        <v>5</v>
      </c>
      <c r="R271" s="49">
        <v>72</v>
      </c>
      <c r="S271" s="49">
        <v>2500</v>
      </c>
      <c r="T271" s="53">
        <v>33615</v>
      </c>
      <c r="U271" s="53">
        <v>40555</v>
      </c>
      <c r="V271" s="49">
        <f>19*12</f>
        <v>228</v>
      </c>
      <c r="W271" s="50"/>
      <c r="X271" s="50"/>
      <c r="Y271" s="50"/>
      <c r="Z271" s="49">
        <v>12.2</v>
      </c>
      <c r="AA271" s="50"/>
      <c r="AB271" s="50"/>
      <c r="AC271" s="50"/>
      <c r="AD271" s="50"/>
      <c r="AE271" s="50"/>
      <c r="AF271" s="50"/>
      <c r="AG271" s="50"/>
      <c r="AH271" s="50"/>
      <c r="AI271" s="50"/>
      <c r="AJ271" s="50"/>
      <c r="AK271" s="50"/>
      <c r="AL271" s="50"/>
      <c r="AM271" s="50"/>
      <c r="AN271" s="50"/>
      <c r="AO271" s="50"/>
      <c r="AP271" s="50"/>
      <c r="AQ271" s="50"/>
      <c r="AR271" s="50"/>
      <c r="AS271" s="50"/>
      <c r="AT271" s="50"/>
      <c r="AU271" s="50"/>
      <c r="AV271" s="50"/>
      <c r="AW271" s="49">
        <f>100-32.5</f>
        <v>67.5</v>
      </c>
      <c r="AX271" s="50"/>
      <c r="AY271" s="50"/>
      <c r="AZ271" s="50"/>
      <c r="BA271" s="50"/>
      <c r="BB271" s="50" t="s">
        <v>422</v>
      </c>
      <c r="BC271" s="54"/>
      <c r="BD271" s="50"/>
      <c r="BE271" s="2">
        <v>0</v>
      </c>
    </row>
    <row r="272" spans="1:57" ht="42" hidden="1" x14ac:dyDescent="0.15">
      <c r="A272" s="32" t="s">
        <v>462</v>
      </c>
      <c r="B272" s="33" t="s">
        <v>463</v>
      </c>
      <c r="C272" s="34">
        <v>2021</v>
      </c>
      <c r="D272" s="21" t="s">
        <v>473</v>
      </c>
      <c r="E272" s="21" t="s">
        <v>135</v>
      </c>
      <c r="F272" s="21"/>
      <c r="G272" s="8" t="s">
        <v>200</v>
      </c>
      <c r="H272" s="21"/>
      <c r="I272" s="21" t="s">
        <v>467</v>
      </c>
      <c r="J272" s="35" t="s">
        <v>115</v>
      </c>
      <c r="K272" s="34">
        <v>916</v>
      </c>
      <c r="L272" s="34">
        <f>AVERAGE(16,26)</f>
        <v>21</v>
      </c>
      <c r="M272" s="21"/>
      <c r="N272" s="21"/>
      <c r="O272" s="21"/>
      <c r="P272" s="21"/>
      <c r="Q272" s="45">
        <v>5</v>
      </c>
      <c r="R272" s="34">
        <v>72</v>
      </c>
      <c r="S272" s="34">
        <v>2500</v>
      </c>
      <c r="T272" s="46">
        <v>33615</v>
      </c>
      <c r="U272" s="46">
        <v>40555</v>
      </c>
      <c r="V272" s="34">
        <f>19*12</f>
        <v>228</v>
      </c>
      <c r="W272" s="21"/>
      <c r="X272" s="21"/>
      <c r="Y272" s="21"/>
      <c r="Z272" s="34">
        <v>11.1</v>
      </c>
      <c r="AA272" s="21"/>
      <c r="AB272" s="21"/>
      <c r="AC272" s="21"/>
      <c r="AD272" s="21"/>
      <c r="AE272" s="21"/>
      <c r="AF272" s="21"/>
      <c r="AG272" s="21"/>
      <c r="AH272" s="21"/>
      <c r="AI272" s="21"/>
      <c r="AJ272" s="21"/>
      <c r="AK272" s="21"/>
      <c r="AL272" s="21"/>
      <c r="AM272" s="21"/>
      <c r="AN272" s="21"/>
      <c r="AO272" s="21"/>
      <c r="AP272" s="21"/>
      <c r="AQ272" s="34">
        <f>Z272-Z273</f>
        <v>-0.66999999999999993</v>
      </c>
      <c r="AR272" s="34">
        <f>(AQ272/Z273)*100</f>
        <v>-5.6924384027187758</v>
      </c>
      <c r="AS272" s="21"/>
      <c r="AT272" s="21"/>
      <c r="AU272" s="21"/>
      <c r="AV272" s="21"/>
      <c r="AW272" s="34">
        <f>100-32.5</f>
        <v>67.5</v>
      </c>
      <c r="AX272" s="21"/>
      <c r="AY272" s="21"/>
      <c r="AZ272" s="21"/>
      <c r="BA272" s="21"/>
      <c r="BB272" s="21" t="s">
        <v>422</v>
      </c>
      <c r="BC272" s="37"/>
      <c r="BD272" s="21"/>
      <c r="BE272" s="2">
        <v>0</v>
      </c>
    </row>
    <row r="273" spans="1:57" ht="42" hidden="1" x14ac:dyDescent="0.15">
      <c r="A273" s="47" t="s">
        <v>462</v>
      </c>
      <c r="B273" s="48" t="s">
        <v>463</v>
      </c>
      <c r="C273" s="49">
        <v>2021</v>
      </c>
      <c r="D273" s="50" t="s">
        <v>473</v>
      </c>
      <c r="E273" s="50" t="s">
        <v>135</v>
      </c>
      <c r="F273" s="50"/>
      <c r="G273" s="50" t="s">
        <v>113</v>
      </c>
      <c r="H273" s="50"/>
      <c r="I273" s="50" t="s">
        <v>468</v>
      </c>
      <c r="J273" s="51" t="s">
        <v>115</v>
      </c>
      <c r="K273" s="49">
        <v>916</v>
      </c>
      <c r="L273" s="49">
        <f>AVERAGE(16,26)</f>
        <v>21</v>
      </c>
      <c r="M273" s="50"/>
      <c r="N273" s="50"/>
      <c r="O273" s="50"/>
      <c r="P273" s="50"/>
      <c r="Q273" s="52">
        <v>5</v>
      </c>
      <c r="R273" s="49">
        <v>72</v>
      </c>
      <c r="S273" s="49">
        <v>2500</v>
      </c>
      <c r="T273" s="53">
        <v>33615</v>
      </c>
      <c r="U273" s="53">
        <v>40555</v>
      </c>
      <c r="V273" s="49">
        <f>19*12</f>
        <v>228</v>
      </c>
      <c r="W273" s="50"/>
      <c r="X273" s="50"/>
      <c r="Y273" s="50"/>
      <c r="Z273" s="49">
        <v>11.77</v>
      </c>
      <c r="AA273" s="50"/>
      <c r="AB273" s="50"/>
      <c r="AC273" s="50"/>
      <c r="AD273" s="50"/>
      <c r="AE273" s="50"/>
      <c r="AF273" s="50"/>
      <c r="AG273" s="50"/>
      <c r="AH273" s="50"/>
      <c r="AI273" s="50"/>
      <c r="AJ273" s="50"/>
      <c r="AK273" s="50"/>
      <c r="AL273" s="50"/>
      <c r="AM273" s="50"/>
      <c r="AN273" s="50"/>
      <c r="AO273" s="50"/>
      <c r="AP273" s="50"/>
      <c r="AQ273" s="50"/>
      <c r="AR273" s="50"/>
      <c r="AS273" s="50"/>
      <c r="AT273" s="50"/>
      <c r="AU273" s="50"/>
      <c r="AV273" s="50"/>
      <c r="AW273" s="49">
        <f>100-32.5</f>
        <v>67.5</v>
      </c>
      <c r="AX273" s="50"/>
      <c r="AY273" s="50"/>
      <c r="AZ273" s="50"/>
      <c r="BA273" s="50"/>
      <c r="BB273" s="50" t="s">
        <v>422</v>
      </c>
      <c r="BC273" s="54"/>
      <c r="BD273" s="50"/>
      <c r="BE273" s="2">
        <v>0</v>
      </c>
    </row>
    <row r="274" spans="1:57" ht="42" x14ac:dyDescent="0.15">
      <c r="A274" s="32" t="s">
        <v>462</v>
      </c>
      <c r="B274" s="33" t="s">
        <v>463</v>
      </c>
      <c r="C274" s="34">
        <v>2021</v>
      </c>
      <c r="D274" s="21" t="s">
        <v>473</v>
      </c>
      <c r="E274" s="21" t="s">
        <v>112</v>
      </c>
      <c r="F274" s="21" t="s">
        <v>135</v>
      </c>
      <c r="G274" s="33" t="s">
        <v>122</v>
      </c>
      <c r="H274" s="8" t="s">
        <v>200</v>
      </c>
      <c r="I274" s="21" t="s">
        <v>469</v>
      </c>
      <c r="J274" s="35" t="s">
        <v>115</v>
      </c>
      <c r="K274" s="34">
        <v>916</v>
      </c>
      <c r="L274" s="34">
        <f>AVERAGE(16,26)</f>
        <v>21</v>
      </c>
      <c r="M274" s="21"/>
      <c r="N274" s="21"/>
      <c r="O274" s="21"/>
      <c r="P274" s="21"/>
      <c r="Q274" s="45">
        <v>5</v>
      </c>
      <c r="R274" s="34">
        <v>72</v>
      </c>
      <c r="S274" s="34">
        <v>2500</v>
      </c>
      <c r="T274" s="46">
        <v>33615</v>
      </c>
      <c r="U274" s="46">
        <v>40555</v>
      </c>
      <c r="V274" s="34">
        <f>19*12</f>
        <v>228</v>
      </c>
      <c r="W274" s="21"/>
      <c r="X274" s="21"/>
      <c r="Y274" s="21"/>
      <c r="Z274" s="34">
        <v>11.5</v>
      </c>
      <c r="AA274" s="21"/>
      <c r="AB274" s="21"/>
      <c r="AC274" s="21"/>
      <c r="AD274" s="21"/>
      <c r="AE274" s="21"/>
      <c r="AF274" s="21"/>
      <c r="AG274" s="21"/>
      <c r="AH274" s="21"/>
      <c r="AI274" s="21"/>
      <c r="AJ274" s="21"/>
      <c r="AK274" s="21"/>
      <c r="AL274" s="34">
        <v>21</v>
      </c>
      <c r="AM274" s="21"/>
      <c r="AN274" s="34">
        <f>AL274-AL276</f>
        <v>1</v>
      </c>
      <c r="AO274" s="34">
        <f>(AN274/AL276)*100</f>
        <v>5</v>
      </c>
      <c r="AP274" s="21"/>
      <c r="AQ274" s="34">
        <f>Z274-Z276</f>
        <v>0.8100000000000005</v>
      </c>
      <c r="AR274" s="34">
        <f>(AQ274/Z276)*100</f>
        <v>7.5771749298409778</v>
      </c>
      <c r="AS274" s="21"/>
      <c r="AT274" s="21"/>
      <c r="AU274" s="21"/>
      <c r="AV274" s="21"/>
      <c r="AW274" s="34">
        <f>100-32.5</f>
        <v>67.5</v>
      </c>
      <c r="AX274" s="21"/>
      <c r="AY274" s="21"/>
      <c r="AZ274" s="21"/>
      <c r="BA274" s="21"/>
      <c r="BB274" s="21" t="s">
        <v>422</v>
      </c>
      <c r="BC274" s="37"/>
      <c r="BD274" s="21"/>
      <c r="BE274" s="2">
        <v>0</v>
      </c>
    </row>
    <row r="275" spans="1:57" ht="42" x14ac:dyDescent="0.15">
      <c r="A275" s="32" t="s">
        <v>462</v>
      </c>
      <c r="B275" s="33" t="s">
        <v>463</v>
      </c>
      <c r="C275" s="34">
        <v>2021</v>
      </c>
      <c r="D275" s="21" t="s">
        <v>473</v>
      </c>
      <c r="E275" s="21" t="s">
        <v>112</v>
      </c>
      <c r="F275" s="21" t="s">
        <v>135</v>
      </c>
      <c r="G275" s="33" t="s">
        <v>122</v>
      </c>
      <c r="H275" s="21"/>
      <c r="I275" s="21" t="s">
        <v>470</v>
      </c>
      <c r="J275" s="35" t="s">
        <v>115</v>
      </c>
      <c r="K275" s="34">
        <v>916</v>
      </c>
      <c r="L275" s="34">
        <f>AVERAGE(16,26)</f>
        <v>21</v>
      </c>
      <c r="M275" s="21"/>
      <c r="N275" s="21"/>
      <c r="O275" s="21"/>
      <c r="P275" s="21"/>
      <c r="Q275" s="45">
        <v>5</v>
      </c>
      <c r="R275" s="34">
        <v>72</v>
      </c>
      <c r="S275" s="34">
        <v>2500</v>
      </c>
      <c r="T275" s="46">
        <v>33615</v>
      </c>
      <c r="U275" s="46">
        <v>40555</v>
      </c>
      <c r="V275" s="34">
        <f>19*12</f>
        <v>228</v>
      </c>
      <c r="W275" s="21"/>
      <c r="X275" s="21"/>
      <c r="Y275" s="21"/>
      <c r="Z275" s="34">
        <v>10.59</v>
      </c>
      <c r="AA275" s="21"/>
      <c r="AB275" s="21"/>
      <c r="AC275" s="21"/>
      <c r="AD275" s="21"/>
      <c r="AE275" s="21"/>
      <c r="AF275" s="21"/>
      <c r="AG275" s="21"/>
      <c r="AH275" s="21"/>
      <c r="AI275" s="21"/>
      <c r="AJ275" s="21"/>
      <c r="AK275" s="21"/>
      <c r="AL275" s="34">
        <v>20</v>
      </c>
      <c r="AM275" s="21"/>
      <c r="AN275" s="34">
        <f>AL275-AL277</f>
        <v>1</v>
      </c>
      <c r="AO275" s="34">
        <f>(AN275/AL277)*100</f>
        <v>5.2631578947368416</v>
      </c>
      <c r="AP275" s="21"/>
      <c r="AQ275" s="34">
        <f>Z275-Z277</f>
        <v>-2.3599999999999994</v>
      </c>
      <c r="AR275" s="34">
        <f>(AQ275/Z277)*100</f>
        <v>-18.223938223938223</v>
      </c>
      <c r="AS275" s="21"/>
      <c r="AT275" s="21"/>
      <c r="AU275" s="21"/>
      <c r="AV275" s="21"/>
      <c r="AW275" s="34">
        <f>100-32.5</f>
        <v>67.5</v>
      </c>
      <c r="AX275" s="21"/>
      <c r="AY275" s="21"/>
      <c r="AZ275" s="21"/>
      <c r="BA275" s="21"/>
      <c r="BB275" s="21" t="s">
        <v>422</v>
      </c>
      <c r="BC275" s="37"/>
      <c r="BD275" s="21"/>
      <c r="BE275" s="2">
        <v>0</v>
      </c>
    </row>
    <row r="276" spans="1:57" ht="42" x14ac:dyDescent="0.15">
      <c r="A276" s="47" t="s">
        <v>462</v>
      </c>
      <c r="B276" s="48" t="s">
        <v>463</v>
      </c>
      <c r="C276" s="49">
        <v>2021</v>
      </c>
      <c r="D276" s="50" t="s">
        <v>473</v>
      </c>
      <c r="E276" s="50" t="s">
        <v>112</v>
      </c>
      <c r="F276" s="50" t="s">
        <v>135</v>
      </c>
      <c r="G276" s="75" t="s">
        <v>113</v>
      </c>
      <c r="H276" s="8" t="s">
        <v>200</v>
      </c>
      <c r="I276" s="50" t="s">
        <v>471</v>
      </c>
      <c r="J276" s="51" t="s">
        <v>115</v>
      </c>
      <c r="K276" s="49">
        <v>916</v>
      </c>
      <c r="L276" s="49">
        <f>AVERAGE(16,26)</f>
        <v>21</v>
      </c>
      <c r="M276" s="50"/>
      <c r="N276" s="50"/>
      <c r="O276" s="50"/>
      <c r="P276" s="50"/>
      <c r="Q276" s="52">
        <v>5</v>
      </c>
      <c r="R276" s="49">
        <v>72</v>
      </c>
      <c r="S276" s="49">
        <v>2500</v>
      </c>
      <c r="T276" s="53">
        <v>33615</v>
      </c>
      <c r="U276" s="53">
        <v>40555</v>
      </c>
      <c r="V276" s="49">
        <f>19*12</f>
        <v>228</v>
      </c>
      <c r="W276" s="50"/>
      <c r="X276" s="50"/>
      <c r="Y276" s="50"/>
      <c r="Z276" s="49">
        <v>10.69</v>
      </c>
      <c r="AA276" s="50"/>
      <c r="AB276" s="50"/>
      <c r="AC276" s="50"/>
      <c r="AD276" s="50"/>
      <c r="AE276" s="50"/>
      <c r="AF276" s="50"/>
      <c r="AG276" s="50"/>
      <c r="AH276" s="50"/>
      <c r="AI276" s="50"/>
      <c r="AJ276" s="50"/>
      <c r="AK276" s="50"/>
      <c r="AL276" s="49">
        <v>20</v>
      </c>
      <c r="AM276" s="50"/>
      <c r="AN276" s="50"/>
      <c r="AO276" s="50"/>
      <c r="AP276" s="50"/>
      <c r="AQ276" s="50"/>
      <c r="AR276" s="50"/>
      <c r="AS276" s="50"/>
      <c r="AT276" s="50"/>
      <c r="AU276" s="50"/>
      <c r="AV276" s="50"/>
      <c r="AW276" s="49">
        <f>100-32.5</f>
        <v>67.5</v>
      </c>
      <c r="AX276" s="50"/>
      <c r="AY276" s="50"/>
      <c r="AZ276" s="50"/>
      <c r="BA276" s="50"/>
      <c r="BB276" s="50" t="s">
        <v>422</v>
      </c>
      <c r="BC276" s="54"/>
      <c r="BD276" s="50"/>
      <c r="BE276" s="2">
        <v>0</v>
      </c>
    </row>
    <row r="277" spans="1:57" ht="42" x14ac:dyDescent="0.15">
      <c r="A277" s="47" t="s">
        <v>462</v>
      </c>
      <c r="B277" s="48" t="s">
        <v>463</v>
      </c>
      <c r="C277" s="49">
        <v>2021</v>
      </c>
      <c r="D277" s="50" t="s">
        <v>473</v>
      </c>
      <c r="E277" s="50" t="s">
        <v>112</v>
      </c>
      <c r="F277" s="50" t="s">
        <v>135</v>
      </c>
      <c r="G277" s="50" t="s">
        <v>113</v>
      </c>
      <c r="H277" s="50"/>
      <c r="I277" s="50" t="s">
        <v>472</v>
      </c>
      <c r="J277" s="51" t="s">
        <v>115</v>
      </c>
      <c r="K277" s="49">
        <v>916</v>
      </c>
      <c r="L277" s="49">
        <f>AVERAGE(16,26)</f>
        <v>21</v>
      </c>
      <c r="M277" s="50"/>
      <c r="N277" s="50"/>
      <c r="O277" s="50"/>
      <c r="P277" s="50"/>
      <c r="Q277" s="52">
        <v>5</v>
      </c>
      <c r="R277" s="49">
        <v>72</v>
      </c>
      <c r="S277" s="49">
        <v>2500</v>
      </c>
      <c r="T277" s="53">
        <v>33615</v>
      </c>
      <c r="U277" s="53">
        <v>40555</v>
      </c>
      <c r="V277" s="49">
        <f>19*12</f>
        <v>228</v>
      </c>
      <c r="W277" s="50"/>
      <c r="X277" s="50"/>
      <c r="Y277" s="50"/>
      <c r="Z277" s="49">
        <v>12.95</v>
      </c>
      <c r="AA277" s="50"/>
      <c r="AB277" s="50"/>
      <c r="AC277" s="50"/>
      <c r="AD277" s="50"/>
      <c r="AE277" s="50"/>
      <c r="AF277" s="50"/>
      <c r="AG277" s="50"/>
      <c r="AH277" s="50"/>
      <c r="AI277" s="50"/>
      <c r="AJ277" s="50"/>
      <c r="AK277" s="50"/>
      <c r="AL277" s="49">
        <v>19</v>
      </c>
      <c r="AM277" s="50"/>
      <c r="AN277" s="50"/>
      <c r="AO277" s="50"/>
      <c r="AP277" s="50"/>
      <c r="AQ277" s="50"/>
      <c r="AR277" s="50"/>
      <c r="AS277" s="50"/>
      <c r="AT277" s="50"/>
      <c r="AU277" s="50"/>
      <c r="AV277" s="50"/>
      <c r="AW277" s="49">
        <f>100-32.5</f>
        <v>67.5</v>
      </c>
      <c r="AX277" s="50"/>
      <c r="AY277" s="50"/>
      <c r="AZ277" s="50"/>
      <c r="BA277" s="50"/>
      <c r="BB277" s="50" t="s">
        <v>422</v>
      </c>
      <c r="BC277" s="54"/>
      <c r="BD277" s="50"/>
      <c r="BE277" s="2">
        <v>0</v>
      </c>
    </row>
    <row r="278" spans="1:57" ht="42" x14ac:dyDescent="0.15">
      <c r="A278" s="32" t="s">
        <v>462</v>
      </c>
      <c r="B278" s="33" t="s">
        <v>463</v>
      </c>
      <c r="C278" s="34">
        <v>2021</v>
      </c>
      <c r="D278" s="21" t="s">
        <v>473</v>
      </c>
      <c r="E278" s="21" t="s">
        <v>112</v>
      </c>
      <c r="F278" s="21"/>
      <c r="G278" s="33" t="s">
        <v>122</v>
      </c>
      <c r="H278" s="21"/>
      <c r="I278" s="21" t="s">
        <v>465</v>
      </c>
      <c r="J278" s="35" t="s">
        <v>306</v>
      </c>
      <c r="K278" s="34">
        <v>916</v>
      </c>
      <c r="L278" s="34">
        <f>AVERAGE(16,26)</f>
        <v>21</v>
      </c>
      <c r="M278" s="21"/>
      <c r="N278" s="21"/>
      <c r="O278" s="21"/>
      <c r="P278" s="21"/>
      <c r="Q278" s="45">
        <v>5</v>
      </c>
      <c r="R278" s="34">
        <v>72</v>
      </c>
      <c r="S278" s="34">
        <v>2500</v>
      </c>
      <c r="T278" s="46">
        <v>33615</v>
      </c>
      <c r="U278" s="46">
        <v>40555</v>
      </c>
      <c r="V278" s="34">
        <f>19*12</f>
        <v>228</v>
      </c>
      <c r="W278" s="21"/>
      <c r="X278" s="21"/>
      <c r="Y278" s="21"/>
      <c r="Z278" s="34">
        <v>7.74</v>
      </c>
      <c r="AA278" s="21"/>
      <c r="AB278" s="21"/>
      <c r="AC278" s="21"/>
      <c r="AD278" s="21"/>
      <c r="AE278" s="21"/>
      <c r="AF278" s="21"/>
      <c r="AG278" s="21"/>
      <c r="AH278" s="21"/>
      <c r="AI278" s="21"/>
      <c r="AJ278" s="21"/>
      <c r="AK278" s="21"/>
      <c r="AL278" s="21"/>
      <c r="AM278" s="21"/>
      <c r="AN278" s="21"/>
      <c r="AO278" s="21"/>
      <c r="AP278" s="21"/>
      <c r="AQ278" s="34">
        <f>Z278-Z279</f>
        <v>0.24000000000000021</v>
      </c>
      <c r="AR278" s="34">
        <f>(AQ278/Z280)*100</f>
        <v>3.4188034188034218</v>
      </c>
      <c r="AS278" s="21"/>
      <c r="AT278" s="21"/>
      <c r="AU278" s="21"/>
      <c r="AV278" s="21"/>
      <c r="AW278" s="34">
        <f>100-32.5</f>
        <v>67.5</v>
      </c>
      <c r="AX278" s="21"/>
      <c r="AY278" s="21"/>
      <c r="AZ278" s="21"/>
      <c r="BA278" s="21"/>
      <c r="BB278" s="21" t="s">
        <v>422</v>
      </c>
      <c r="BC278" s="37"/>
      <c r="BD278" s="21"/>
      <c r="BE278" s="2">
        <v>0</v>
      </c>
    </row>
    <row r="279" spans="1:57" ht="42" x14ac:dyDescent="0.15">
      <c r="A279" s="47" t="s">
        <v>462</v>
      </c>
      <c r="B279" s="48" t="s">
        <v>463</v>
      </c>
      <c r="C279" s="49">
        <v>2021</v>
      </c>
      <c r="D279" s="50" t="s">
        <v>473</v>
      </c>
      <c r="E279" s="50" t="s">
        <v>112</v>
      </c>
      <c r="F279" s="50"/>
      <c r="G279" s="50" t="s">
        <v>113</v>
      </c>
      <c r="H279" s="50"/>
      <c r="I279" s="50" t="s">
        <v>466</v>
      </c>
      <c r="J279" s="51" t="s">
        <v>306</v>
      </c>
      <c r="K279" s="49">
        <v>916</v>
      </c>
      <c r="L279" s="49">
        <f>AVERAGE(16,26)</f>
        <v>21</v>
      </c>
      <c r="M279" s="50"/>
      <c r="N279" s="50"/>
      <c r="O279" s="50"/>
      <c r="P279" s="50"/>
      <c r="Q279" s="52">
        <v>5</v>
      </c>
      <c r="R279" s="49">
        <v>72</v>
      </c>
      <c r="S279" s="49">
        <v>2500</v>
      </c>
      <c r="T279" s="53">
        <v>33615</v>
      </c>
      <c r="U279" s="53">
        <v>40555</v>
      </c>
      <c r="V279" s="49">
        <f>19*12</f>
        <v>228</v>
      </c>
      <c r="W279" s="50"/>
      <c r="X279" s="50"/>
      <c r="Y279" s="50"/>
      <c r="Z279" s="49">
        <v>7.5</v>
      </c>
      <c r="AA279" s="50"/>
      <c r="AB279" s="50"/>
      <c r="AC279" s="50"/>
      <c r="AD279" s="50"/>
      <c r="AE279" s="50"/>
      <c r="AF279" s="50"/>
      <c r="AG279" s="50"/>
      <c r="AH279" s="50"/>
      <c r="AI279" s="50"/>
      <c r="AJ279" s="50"/>
      <c r="AK279" s="50"/>
      <c r="AL279" s="50"/>
      <c r="AM279" s="50"/>
      <c r="AN279" s="50"/>
      <c r="AO279" s="50"/>
      <c r="AP279" s="50"/>
      <c r="AQ279" s="50"/>
      <c r="AR279" s="50"/>
      <c r="AS279" s="50"/>
      <c r="AT279" s="50"/>
      <c r="AU279" s="50"/>
      <c r="AV279" s="50"/>
      <c r="AW279" s="49">
        <f>100-32.5</f>
        <v>67.5</v>
      </c>
      <c r="AX279" s="50"/>
      <c r="AY279" s="50"/>
      <c r="AZ279" s="50"/>
      <c r="BA279" s="50"/>
      <c r="BB279" s="50" t="s">
        <v>422</v>
      </c>
      <c r="BC279" s="54"/>
      <c r="BD279" s="50"/>
      <c r="BE279" s="2">
        <v>0</v>
      </c>
    </row>
    <row r="280" spans="1:57" ht="42" hidden="1" x14ac:dyDescent="0.15">
      <c r="A280" s="32" t="s">
        <v>462</v>
      </c>
      <c r="B280" s="33" t="s">
        <v>463</v>
      </c>
      <c r="C280" s="34">
        <v>2021</v>
      </c>
      <c r="D280" s="21" t="s">
        <v>473</v>
      </c>
      <c r="E280" s="21" t="s">
        <v>135</v>
      </c>
      <c r="F280" s="21"/>
      <c r="G280" s="8" t="s">
        <v>200</v>
      </c>
      <c r="H280" s="21"/>
      <c r="I280" s="21" t="s">
        <v>467</v>
      </c>
      <c r="J280" s="35" t="s">
        <v>306</v>
      </c>
      <c r="K280" s="34">
        <v>916</v>
      </c>
      <c r="L280" s="34">
        <f>AVERAGE(16,26)</f>
        <v>21</v>
      </c>
      <c r="M280" s="21"/>
      <c r="N280" s="21"/>
      <c r="O280" s="21"/>
      <c r="P280" s="21"/>
      <c r="Q280" s="45">
        <v>5</v>
      </c>
      <c r="R280" s="34">
        <v>72</v>
      </c>
      <c r="S280" s="34">
        <v>2500</v>
      </c>
      <c r="T280" s="46">
        <v>33615</v>
      </c>
      <c r="U280" s="46">
        <v>40555</v>
      </c>
      <c r="V280" s="34">
        <f>19*12</f>
        <v>228</v>
      </c>
      <c r="W280" s="21"/>
      <c r="X280" s="21"/>
      <c r="Y280" s="21"/>
      <c r="Z280" s="34">
        <v>7.02</v>
      </c>
      <c r="AA280" s="21"/>
      <c r="AB280" s="21"/>
      <c r="AC280" s="21"/>
      <c r="AD280" s="21"/>
      <c r="AE280" s="21"/>
      <c r="AF280" s="21"/>
      <c r="AG280" s="21"/>
      <c r="AH280" s="21"/>
      <c r="AI280" s="21"/>
      <c r="AJ280" s="21"/>
      <c r="AK280" s="21"/>
      <c r="AL280" s="21"/>
      <c r="AM280" s="21"/>
      <c r="AN280" s="21"/>
      <c r="AO280" s="21"/>
      <c r="AP280" s="21"/>
      <c r="AQ280" s="34">
        <f>Z280-Z281</f>
        <v>-0.90000000000000036</v>
      </c>
      <c r="AR280" s="34">
        <f>(AQ280/Z282)*100</f>
        <v>-12.032085561497329</v>
      </c>
      <c r="AS280" s="21"/>
      <c r="AT280" s="21"/>
      <c r="AU280" s="21"/>
      <c r="AV280" s="21"/>
      <c r="AW280" s="34">
        <f>100-32.5</f>
        <v>67.5</v>
      </c>
      <c r="AX280" s="21"/>
      <c r="AY280" s="21"/>
      <c r="AZ280" s="21"/>
      <c r="BA280" s="21"/>
      <c r="BB280" s="21" t="s">
        <v>422</v>
      </c>
      <c r="BC280" s="37"/>
      <c r="BD280" s="21"/>
      <c r="BE280" s="2">
        <v>0</v>
      </c>
    </row>
    <row r="281" spans="1:57" ht="42" hidden="1" x14ac:dyDescent="0.15">
      <c r="A281" s="47" t="s">
        <v>462</v>
      </c>
      <c r="B281" s="48" t="s">
        <v>463</v>
      </c>
      <c r="C281" s="49">
        <v>2021</v>
      </c>
      <c r="D281" s="50" t="s">
        <v>473</v>
      </c>
      <c r="E281" s="50" t="s">
        <v>135</v>
      </c>
      <c r="F281" s="50"/>
      <c r="G281" s="50" t="s">
        <v>113</v>
      </c>
      <c r="H281" s="50"/>
      <c r="I281" s="50" t="s">
        <v>468</v>
      </c>
      <c r="J281" s="51" t="s">
        <v>306</v>
      </c>
      <c r="K281" s="49">
        <v>916</v>
      </c>
      <c r="L281" s="49">
        <f>AVERAGE(16,26)</f>
        <v>21</v>
      </c>
      <c r="M281" s="50"/>
      <c r="N281" s="50"/>
      <c r="O281" s="50"/>
      <c r="P281" s="50"/>
      <c r="Q281" s="52">
        <v>5</v>
      </c>
      <c r="R281" s="49">
        <v>72</v>
      </c>
      <c r="S281" s="49">
        <v>2500</v>
      </c>
      <c r="T281" s="53">
        <v>33615</v>
      </c>
      <c r="U281" s="53">
        <v>40555</v>
      </c>
      <c r="V281" s="49">
        <f>19*12</f>
        <v>228</v>
      </c>
      <c r="W281" s="50"/>
      <c r="X281" s="50"/>
      <c r="Y281" s="50"/>
      <c r="Z281" s="49">
        <v>7.92</v>
      </c>
      <c r="AA281" s="50"/>
      <c r="AB281" s="50"/>
      <c r="AC281" s="50"/>
      <c r="AD281" s="50"/>
      <c r="AE281" s="50"/>
      <c r="AF281" s="50"/>
      <c r="AG281" s="50"/>
      <c r="AH281" s="50"/>
      <c r="AI281" s="50"/>
      <c r="AJ281" s="50"/>
      <c r="AK281" s="50"/>
      <c r="AL281" s="50"/>
      <c r="AM281" s="50"/>
      <c r="AN281" s="50"/>
      <c r="AO281" s="50"/>
      <c r="AP281" s="50"/>
      <c r="AQ281" s="50"/>
      <c r="AR281" s="50"/>
      <c r="AS281" s="50"/>
      <c r="AT281" s="50"/>
      <c r="AU281" s="50"/>
      <c r="AV281" s="50"/>
      <c r="AW281" s="49">
        <f>100-32.5</f>
        <v>67.5</v>
      </c>
      <c r="AX281" s="50"/>
      <c r="AY281" s="50"/>
      <c r="AZ281" s="50"/>
      <c r="BA281" s="50"/>
      <c r="BB281" s="50" t="s">
        <v>422</v>
      </c>
      <c r="BC281" s="54"/>
      <c r="BD281" s="50"/>
      <c r="BE281" s="2">
        <v>0</v>
      </c>
    </row>
    <row r="282" spans="1:57" ht="42" x14ac:dyDescent="0.15">
      <c r="A282" s="32" t="s">
        <v>462</v>
      </c>
      <c r="B282" s="33" t="s">
        <v>463</v>
      </c>
      <c r="C282" s="34">
        <v>2021</v>
      </c>
      <c r="D282" s="21" t="s">
        <v>473</v>
      </c>
      <c r="E282" s="21" t="s">
        <v>112</v>
      </c>
      <c r="F282" s="21" t="s">
        <v>135</v>
      </c>
      <c r="G282" s="33" t="s">
        <v>122</v>
      </c>
      <c r="H282" s="8" t="s">
        <v>200</v>
      </c>
      <c r="I282" s="21" t="s">
        <v>469</v>
      </c>
      <c r="J282" s="35" t="s">
        <v>306</v>
      </c>
      <c r="K282" s="34">
        <v>916</v>
      </c>
      <c r="L282" s="34">
        <f>AVERAGE(16,26)</f>
        <v>21</v>
      </c>
      <c r="M282" s="21"/>
      <c r="N282" s="21"/>
      <c r="O282" s="21"/>
      <c r="P282" s="21"/>
      <c r="Q282" s="45">
        <v>5</v>
      </c>
      <c r="R282" s="34">
        <v>72</v>
      </c>
      <c r="S282" s="34">
        <v>2500</v>
      </c>
      <c r="T282" s="46">
        <v>33615</v>
      </c>
      <c r="U282" s="46">
        <v>40555</v>
      </c>
      <c r="V282" s="34">
        <f>19*12</f>
        <v>228</v>
      </c>
      <c r="W282" s="21"/>
      <c r="X282" s="21"/>
      <c r="Y282" s="21"/>
      <c r="Z282" s="34">
        <v>7.48</v>
      </c>
      <c r="AA282" s="21"/>
      <c r="AB282" s="21"/>
      <c r="AC282" s="21"/>
      <c r="AD282" s="21"/>
      <c r="AE282" s="21"/>
      <c r="AF282" s="21"/>
      <c r="AG282" s="21"/>
      <c r="AH282" s="21"/>
      <c r="AI282" s="21"/>
      <c r="AJ282" s="21"/>
      <c r="AK282" s="21"/>
      <c r="AL282" s="34">
        <v>21</v>
      </c>
      <c r="AM282" s="21"/>
      <c r="AN282" s="34">
        <f>AL282-AL284</f>
        <v>8</v>
      </c>
      <c r="AO282" s="34">
        <f>(AN282/AL284)*100</f>
        <v>61.53846153846154</v>
      </c>
      <c r="AP282" s="21"/>
      <c r="AQ282" s="34">
        <f>Z282-Z284</f>
        <v>0.92000000000000082</v>
      </c>
      <c r="AR282" s="34">
        <f>(AQ282/Z284)*100</f>
        <v>14.024390243902452</v>
      </c>
      <c r="AS282" s="21"/>
      <c r="AT282" s="21"/>
      <c r="AU282" s="21"/>
      <c r="AV282" s="21"/>
      <c r="AW282" s="34">
        <f>100-32.5</f>
        <v>67.5</v>
      </c>
      <c r="AX282" s="21"/>
      <c r="AY282" s="21"/>
      <c r="AZ282" s="21"/>
      <c r="BA282" s="21"/>
      <c r="BB282" s="21" t="s">
        <v>422</v>
      </c>
      <c r="BC282" s="37"/>
      <c r="BD282" s="21"/>
      <c r="BE282" s="2">
        <v>0</v>
      </c>
    </row>
    <row r="283" spans="1:57" ht="42" x14ac:dyDescent="0.15">
      <c r="A283" s="32" t="s">
        <v>462</v>
      </c>
      <c r="B283" s="33" t="s">
        <v>463</v>
      </c>
      <c r="C283" s="34">
        <v>2021</v>
      </c>
      <c r="D283" s="21" t="s">
        <v>473</v>
      </c>
      <c r="E283" s="21" t="s">
        <v>112</v>
      </c>
      <c r="F283" s="21" t="s">
        <v>135</v>
      </c>
      <c r="G283" s="33" t="s">
        <v>122</v>
      </c>
      <c r="H283" s="21"/>
      <c r="I283" s="21" t="s">
        <v>470</v>
      </c>
      <c r="J283" s="35" t="s">
        <v>306</v>
      </c>
      <c r="K283" s="34">
        <v>916</v>
      </c>
      <c r="L283" s="34">
        <f>AVERAGE(16,26)</f>
        <v>21</v>
      </c>
      <c r="M283" s="21"/>
      <c r="N283" s="21"/>
      <c r="O283" s="21"/>
      <c r="P283" s="21"/>
      <c r="Q283" s="45">
        <v>5</v>
      </c>
      <c r="R283" s="34">
        <v>72</v>
      </c>
      <c r="S283" s="34">
        <v>2500</v>
      </c>
      <c r="T283" s="46">
        <v>33615</v>
      </c>
      <c r="U283" s="46">
        <v>40555</v>
      </c>
      <c r="V283" s="34">
        <f>19*12</f>
        <v>228</v>
      </c>
      <c r="W283" s="21"/>
      <c r="X283" s="21"/>
      <c r="Y283" s="21"/>
      <c r="Z283" s="34">
        <v>7.88</v>
      </c>
      <c r="AA283" s="21"/>
      <c r="AB283" s="21"/>
      <c r="AC283" s="21"/>
      <c r="AD283" s="21"/>
      <c r="AE283" s="21"/>
      <c r="AF283" s="21"/>
      <c r="AG283" s="21"/>
      <c r="AH283" s="21"/>
      <c r="AI283" s="21"/>
      <c r="AJ283" s="21"/>
      <c r="AK283" s="21"/>
      <c r="AL283" s="34">
        <v>18</v>
      </c>
      <c r="AM283" s="21"/>
      <c r="AN283" s="34">
        <f>AL283-AL285</f>
        <v>4</v>
      </c>
      <c r="AO283" s="34">
        <f>(AN283/AL285)*100</f>
        <v>28.571428571428569</v>
      </c>
      <c r="AP283" s="21"/>
      <c r="AQ283" s="34">
        <f>Z283-Z285</f>
        <v>-8.9999999999999858E-2</v>
      </c>
      <c r="AR283" s="34">
        <f>(AQ283/Z285)*100</f>
        <v>-1.1292346298619809</v>
      </c>
      <c r="AS283" s="21"/>
      <c r="AT283" s="21"/>
      <c r="AU283" s="21"/>
      <c r="AV283" s="21"/>
      <c r="AW283" s="34">
        <f>100-32.5</f>
        <v>67.5</v>
      </c>
      <c r="AX283" s="21"/>
      <c r="AY283" s="21"/>
      <c r="AZ283" s="21"/>
      <c r="BA283" s="21"/>
      <c r="BB283" s="21" t="s">
        <v>422</v>
      </c>
      <c r="BC283" s="37"/>
      <c r="BD283" s="21"/>
      <c r="BE283" s="2">
        <v>0</v>
      </c>
    </row>
    <row r="284" spans="1:57" ht="42" x14ac:dyDescent="0.15">
      <c r="A284" s="47" t="s">
        <v>462</v>
      </c>
      <c r="B284" s="48" t="s">
        <v>463</v>
      </c>
      <c r="C284" s="49">
        <v>2021</v>
      </c>
      <c r="D284" s="50" t="s">
        <v>473</v>
      </c>
      <c r="E284" s="50" t="s">
        <v>112</v>
      </c>
      <c r="F284" s="50" t="s">
        <v>135</v>
      </c>
      <c r="G284" s="50" t="s">
        <v>113</v>
      </c>
      <c r="H284" s="8" t="s">
        <v>200</v>
      </c>
      <c r="I284" s="50" t="s">
        <v>471</v>
      </c>
      <c r="J284" s="51" t="s">
        <v>306</v>
      </c>
      <c r="K284" s="49">
        <v>916</v>
      </c>
      <c r="L284" s="49">
        <f>AVERAGE(16,26)</f>
        <v>21</v>
      </c>
      <c r="M284" s="50"/>
      <c r="N284" s="50"/>
      <c r="O284" s="50"/>
      <c r="P284" s="50"/>
      <c r="Q284" s="52">
        <v>5</v>
      </c>
      <c r="R284" s="49">
        <v>72</v>
      </c>
      <c r="S284" s="49">
        <v>2500</v>
      </c>
      <c r="T284" s="53">
        <v>33615</v>
      </c>
      <c r="U284" s="53">
        <v>40555</v>
      </c>
      <c r="V284" s="49">
        <f>19*12</f>
        <v>228</v>
      </c>
      <c r="W284" s="50"/>
      <c r="X284" s="50"/>
      <c r="Y284" s="50"/>
      <c r="Z284" s="49">
        <v>6.56</v>
      </c>
      <c r="AA284" s="50"/>
      <c r="AB284" s="50"/>
      <c r="AC284" s="50"/>
      <c r="AD284" s="50"/>
      <c r="AE284" s="50"/>
      <c r="AF284" s="50"/>
      <c r="AG284" s="50"/>
      <c r="AH284" s="50"/>
      <c r="AI284" s="50"/>
      <c r="AJ284" s="50"/>
      <c r="AK284" s="50"/>
      <c r="AL284" s="49">
        <v>13</v>
      </c>
      <c r="AM284" s="50"/>
      <c r="AN284" s="50"/>
      <c r="AO284" s="50"/>
      <c r="AP284" s="50"/>
      <c r="AQ284" s="50"/>
      <c r="AR284" s="50"/>
      <c r="AS284" s="50"/>
      <c r="AT284" s="50"/>
      <c r="AU284" s="50"/>
      <c r="AV284" s="50"/>
      <c r="AW284" s="49">
        <f>100-32.5</f>
        <v>67.5</v>
      </c>
      <c r="AX284" s="50"/>
      <c r="AY284" s="50"/>
      <c r="AZ284" s="50"/>
      <c r="BA284" s="50"/>
      <c r="BB284" s="50" t="s">
        <v>422</v>
      </c>
      <c r="BC284" s="54"/>
      <c r="BD284" s="50"/>
      <c r="BE284" s="2">
        <v>0</v>
      </c>
    </row>
    <row r="285" spans="1:57" ht="42" x14ac:dyDescent="0.15">
      <c r="A285" s="47" t="s">
        <v>462</v>
      </c>
      <c r="B285" s="48" t="s">
        <v>463</v>
      </c>
      <c r="C285" s="49">
        <v>2021</v>
      </c>
      <c r="D285" s="50" t="s">
        <v>473</v>
      </c>
      <c r="E285" s="50" t="s">
        <v>112</v>
      </c>
      <c r="F285" s="50" t="s">
        <v>135</v>
      </c>
      <c r="G285" s="50" t="s">
        <v>113</v>
      </c>
      <c r="H285" s="50"/>
      <c r="I285" s="50" t="s">
        <v>472</v>
      </c>
      <c r="J285" s="51" t="s">
        <v>306</v>
      </c>
      <c r="K285" s="49">
        <v>916</v>
      </c>
      <c r="L285" s="49">
        <f>AVERAGE(16,26)</f>
        <v>21</v>
      </c>
      <c r="M285" s="50"/>
      <c r="N285" s="50"/>
      <c r="O285" s="50"/>
      <c r="P285" s="50"/>
      <c r="Q285" s="52">
        <v>5</v>
      </c>
      <c r="R285" s="49">
        <v>72</v>
      </c>
      <c r="S285" s="49">
        <v>2500</v>
      </c>
      <c r="T285" s="53">
        <v>33615</v>
      </c>
      <c r="U285" s="53">
        <v>40555</v>
      </c>
      <c r="V285" s="49">
        <f>19*12</f>
        <v>228</v>
      </c>
      <c r="W285" s="50"/>
      <c r="X285" s="50"/>
      <c r="Y285" s="50"/>
      <c r="Z285" s="49">
        <v>7.97</v>
      </c>
      <c r="AA285" s="50"/>
      <c r="AB285" s="50"/>
      <c r="AC285" s="50"/>
      <c r="AD285" s="50"/>
      <c r="AE285" s="50"/>
      <c r="AF285" s="50"/>
      <c r="AG285" s="50"/>
      <c r="AH285" s="50"/>
      <c r="AI285" s="50"/>
      <c r="AJ285" s="50"/>
      <c r="AK285" s="50"/>
      <c r="AL285" s="49">
        <v>14</v>
      </c>
      <c r="AM285" s="50"/>
      <c r="AN285" s="50"/>
      <c r="AO285" s="50"/>
      <c r="AP285" s="50"/>
      <c r="AQ285" s="50"/>
      <c r="AR285" s="50"/>
      <c r="AS285" s="50"/>
      <c r="AT285" s="50"/>
      <c r="AU285" s="50"/>
      <c r="AV285" s="50"/>
      <c r="AW285" s="49">
        <f>100-32.5</f>
        <v>67.5</v>
      </c>
      <c r="AX285" s="50"/>
      <c r="AY285" s="50"/>
      <c r="AZ285" s="50"/>
      <c r="BA285" s="50"/>
      <c r="BB285" s="50" t="s">
        <v>422</v>
      </c>
      <c r="BC285" s="54"/>
      <c r="BD285" s="50"/>
      <c r="BE285" s="2">
        <v>0</v>
      </c>
    </row>
    <row r="286" spans="1:57" ht="13" hidden="1" x14ac:dyDescent="0.15">
      <c r="A286" s="39" t="s">
        <v>474</v>
      </c>
      <c r="B286" s="2" t="s">
        <v>159</v>
      </c>
      <c r="C286" s="9">
        <v>2010</v>
      </c>
      <c r="D286" s="2" t="s">
        <v>475</v>
      </c>
      <c r="E286" s="2" t="s">
        <v>135</v>
      </c>
      <c r="F286" s="2"/>
      <c r="G286" s="2" t="s">
        <v>136</v>
      </c>
      <c r="H286" s="2"/>
      <c r="I286" s="2" t="s">
        <v>476</v>
      </c>
      <c r="J286" s="2" t="s">
        <v>477</v>
      </c>
      <c r="K286" s="9">
        <v>744</v>
      </c>
      <c r="L286" s="9">
        <v>21.9</v>
      </c>
      <c r="M286" s="2"/>
      <c r="N286" s="2"/>
      <c r="O286" s="2"/>
      <c r="P286" s="2"/>
      <c r="Q286" s="11">
        <v>5</v>
      </c>
      <c r="R286" s="9">
        <v>160</v>
      </c>
      <c r="S286" s="2"/>
      <c r="T286" s="9">
        <v>1954</v>
      </c>
      <c r="U286" s="9">
        <v>2008</v>
      </c>
      <c r="V286" s="9">
        <v>648</v>
      </c>
      <c r="W286" s="2"/>
      <c r="X286" s="2"/>
      <c r="Y286" s="2"/>
      <c r="Z286" s="9">
        <v>5.8</v>
      </c>
      <c r="AA286" s="2"/>
      <c r="AB286" s="2"/>
      <c r="AC286" s="2"/>
      <c r="AD286" s="2"/>
      <c r="AE286" s="2"/>
      <c r="AF286" s="2"/>
      <c r="AG286" s="2"/>
      <c r="AH286" s="2"/>
      <c r="AI286" s="2"/>
      <c r="AJ286" s="2"/>
      <c r="AK286" s="2"/>
      <c r="AL286" s="9">
        <v>4.55</v>
      </c>
      <c r="AM286" s="2"/>
      <c r="AN286" s="9">
        <v>-0.01</v>
      </c>
      <c r="AO286" s="9">
        <f>(AN286/4.56)*100</f>
        <v>-0.21929824561403513</v>
      </c>
      <c r="AP286" s="2"/>
      <c r="AQ286" s="9">
        <v>0</v>
      </c>
      <c r="AR286" s="9">
        <v>0</v>
      </c>
      <c r="AS286" s="2"/>
      <c r="AT286" s="2"/>
      <c r="AU286" s="2"/>
      <c r="AV286" s="2" t="s">
        <v>478</v>
      </c>
      <c r="AW286" s="2"/>
      <c r="AX286" s="2"/>
      <c r="AY286" s="2"/>
      <c r="AZ286" s="2"/>
      <c r="BA286" s="2" t="s">
        <v>132</v>
      </c>
      <c r="BB286" s="2" t="s">
        <v>422</v>
      </c>
      <c r="BC286" s="6"/>
      <c r="BD286" s="2"/>
      <c r="BE286" s="2">
        <v>0</v>
      </c>
    </row>
    <row r="287" spans="1:57" ht="13" hidden="1" x14ac:dyDescent="0.15">
      <c r="A287" s="39" t="s">
        <v>474</v>
      </c>
      <c r="B287" s="2" t="s">
        <v>159</v>
      </c>
      <c r="C287" s="9">
        <v>2010</v>
      </c>
      <c r="D287" s="2" t="s">
        <v>475</v>
      </c>
      <c r="E287" s="2" t="s">
        <v>135</v>
      </c>
      <c r="F287" s="2"/>
      <c r="G287" s="2" t="s">
        <v>136</v>
      </c>
      <c r="H287" s="2"/>
      <c r="I287" s="2" t="s">
        <v>479</v>
      </c>
      <c r="J287" s="2" t="s">
        <v>477</v>
      </c>
      <c r="K287" s="9">
        <v>744</v>
      </c>
      <c r="L287" s="9">
        <v>21.9</v>
      </c>
      <c r="M287" s="2"/>
      <c r="N287" s="2"/>
      <c r="O287" s="2"/>
      <c r="P287" s="2"/>
      <c r="Q287" s="11">
        <v>5</v>
      </c>
      <c r="R287" s="9">
        <v>160</v>
      </c>
      <c r="S287" s="2"/>
      <c r="T287" s="9">
        <v>1954</v>
      </c>
      <c r="U287" s="9">
        <v>2008</v>
      </c>
      <c r="V287" s="9">
        <v>648</v>
      </c>
      <c r="W287" s="2"/>
      <c r="X287" s="2"/>
      <c r="Y287" s="2"/>
      <c r="Z287" s="9">
        <v>6</v>
      </c>
      <c r="AA287" s="2"/>
      <c r="AB287" s="2"/>
      <c r="AC287" s="2"/>
      <c r="AD287" s="2"/>
      <c r="AE287" s="2"/>
      <c r="AF287" s="2"/>
      <c r="AG287" s="2"/>
      <c r="AH287" s="2"/>
      <c r="AI287" s="2"/>
      <c r="AJ287" s="2"/>
      <c r="AK287" s="2"/>
      <c r="AL287" s="9">
        <v>4.8499999999999996</v>
      </c>
      <c r="AM287" s="2"/>
      <c r="AN287" s="2"/>
      <c r="AO287" s="2"/>
      <c r="AP287" s="2"/>
      <c r="AQ287" s="2"/>
      <c r="AR287" s="2"/>
      <c r="AS287" s="2"/>
      <c r="AT287" s="2"/>
      <c r="AU287" s="2"/>
      <c r="AV287" s="2" t="s">
        <v>478</v>
      </c>
      <c r="AW287" s="2"/>
      <c r="AX287" s="2"/>
      <c r="AY287" s="2"/>
      <c r="AZ287" s="2"/>
      <c r="BA287" s="2" t="s">
        <v>132</v>
      </c>
      <c r="BB287" s="2" t="s">
        <v>422</v>
      </c>
      <c r="BC287" s="6"/>
      <c r="BD287" s="2"/>
      <c r="BE287" s="2">
        <v>0</v>
      </c>
    </row>
    <row r="288" spans="1:57" ht="13" hidden="1" x14ac:dyDescent="0.15">
      <c r="A288" s="39" t="s">
        <v>474</v>
      </c>
      <c r="B288" s="2" t="s">
        <v>159</v>
      </c>
      <c r="C288" s="9">
        <v>2010</v>
      </c>
      <c r="D288" s="2" t="s">
        <v>475</v>
      </c>
      <c r="E288" s="2" t="s">
        <v>135</v>
      </c>
      <c r="F288" s="2"/>
      <c r="G288" s="2" t="s">
        <v>136</v>
      </c>
      <c r="H288" s="2"/>
      <c r="I288" s="2" t="s">
        <v>480</v>
      </c>
      <c r="J288" s="2" t="s">
        <v>477</v>
      </c>
      <c r="K288" s="9">
        <v>744</v>
      </c>
      <c r="L288" s="9">
        <v>21.9</v>
      </c>
      <c r="M288" s="2"/>
      <c r="N288" s="2"/>
      <c r="O288" s="2"/>
      <c r="P288" s="2"/>
      <c r="Q288" s="11">
        <v>5</v>
      </c>
      <c r="R288" s="9">
        <v>160</v>
      </c>
      <c r="S288" s="2"/>
      <c r="T288" s="9">
        <v>1954</v>
      </c>
      <c r="U288" s="9">
        <v>2008</v>
      </c>
      <c r="V288" s="9">
        <v>648</v>
      </c>
      <c r="W288" s="2"/>
      <c r="X288" s="2"/>
      <c r="Y288" s="2"/>
      <c r="Z288" s="9">
        <v>5.6</v>
      </c>
      <c r="AA288" s="2"/>
      <c r="AB288" s="2"/>
      <c r="AC288" s="2"/>
      <c r="AD288" s="2"/>
      <c r="AE288" s="2"/>
      <c r="AF288" s="2"/>
      <c r="AG288" s="2"/>
      <c r="AH288" s="2"/>
      <c r="AI288" s="2"/>
      <c r="AJ288" s="2"/>
      <c r="AK288" s="2"/>
      <c r="AL288" s="9">
        <v>4.2699999999999996</v>
      </c>
      <c r="AM288" s="2"/>
      <c r="AN288" s="2"/>
      <c r="AO288" s="2"/>
      <c r="AP288" s="2"/>
      <c r="AQ288" s="2"/>
      <c r="AR288" s="2"/>
      <c r="AS288" s="2"/>
      <c r="AT288" s="2"/>
      <c r="AU288" s="2"/>
      <c r="AV288" s="2" t="s">
        <v>478</v>
      </c>
      <c r="AW288" s="2"/>
      <c r="AX288" s="2"/>
      <c r="AY288" s="2"/>
      <c r="AZ288" s="2"/>
      <c r="BA288" s="2" t="s">
        <v>132</v>
      </c>
      <c r="BB288" s="2" t="s">
        <v>422</v>
      </c>
      <c r="BC288" s="6"/>
      <c r="BD288" s="2"/>
      <c r="BE288" s="2">
        <v>0</v>
      </c>
    </row>
    <row r="289" spans="1:57" ht="14" hidden="1" x14ac:dyDescent="0.15">
      <c r="A289" s="39" t="s">
        <v>474</v>
      </c>
      <c r="B289" s="2" t="s">
        <v>159</v>
      </c>
      <c r="C289" s="9">
        <v>2010</v>
      </c>
      <c r="D289" s="2" t="s">
        <v>475</v>
      </c>
      <c r="E289" s="2" t="s">
        <v>135</v>
      </c>
      <c r="F289" s="2"/>
      <c r="G289" s="8" t="s">
        <v>200</v>
      </c>
      <c r="H289" s="2"/>
      <c r="I289" s="2" t="s">
        <v>481</v>
      </c>
      <c r="J289" s="2" t="s">
        <v>477</v>
      </c>
      <c r="K289" s="9">
        <v>744</v>
      </c>
      <c r="L289" s="9">
        <v>21.9</v>
      </c>
      <c r="M289" s="2"/>
      <c r="N289" s="2"/>
      <c r="O289" s="2"/>
      <c r="P289" s="2"/>
      <c r="Q289" s="11">
        <v>5</v>
      </c>
      <c r="R289" s="9">
        <v>160</v>
      </c>
      <c r="S289" s="2"/>
      <c r="T289" s="9">
        <v>1954</v>
      </c>
      <c r="U289" s="9">
        <v>2008</v>
      </c>
      <c r="V289" s="9">
        <v>648</v>
      </c>
      <c r="W289" s="2"/>
      <c r="X289" s="2"/>
      <c r="Y289" s="2"/>
      <c r="Z289" s="9">
        <v>5.8</v>
      </c>
      <c r="AA289" s="2"/>
      <c r="AB289" s="2"/>
      <c r="AC289" s="2"/>
      <c r="AD289" s="2"/>
      <c r="AE289" s="2"/>
      <c r="AF289" s="2"/>
      <c r="AG289" s="2"/>
      <c r="AH289" s="2"/>
      <c r="AI289" s="2"/>
      <c r="AJ289" s="2"/>
      <c r="AK289" s="2"/>
      <c r="AL289" s="9">
        <v>4.57</v>
      </c>
      <c r="AM289" s="2"/>
      <c r="AN289" s="9">
        <v>0.01</v>
      </c>
      <c r="AO289" s="9">
        <v>0.22</v>
      </c>
      <c r="AP289" s="2"/>
      <c r="AQ289" s="9">
        <v>0</v>
      </c>
      <c r="AR289" s="9">
        <v>0</v>
      </c>
      <c r="AS289" s="2"/>
      <c r="AT289" s="2"/>
      <c r="AU289" s="2"/>
      <c r="AV289" s="2" t="s">
        <v>478</v>
      </c>
      <c r="AW289" s="2"/>
      <c r="AX289" s="2"/>
      <c r="AY289" s="2"/>
      <c r="AZ289" s="2"/>
      <c r="BA289" s="2" t="s">
        <v>132</v>
      </c>
      <c r="BB289" s="2" t="s">
        <v>422</v>
      </c>
      <c r="BC289" s="6"/>
      <c r="BD289" s="2"/>
      <c r="BE289" s="2">
        <v>0</v>
      </c>
    </row>
    <row r="290" spans="1:57" ht="13" hidden="1" x14ac:dyDescent="0.15">
      <c r="A290" s="39" t="s">
        <v>474</v>
      </c>
      <c r="B290" s="2" t="s">
        <v>159</v>
      </c>
      <c r="C290" s="9">
        <v>2010</v>
      </c>
      <c r="D290" s="2" t="s">
        <v>475</v>
      </c>
      <c r="E290" s="2" t="s">
        <v>135</v>
      </c>
      <c r="F290" s="2"/>
      <c r="G290" s="2" t="s">
        <v>136</v>
      </c>
      <c r="H290" s="2"/>
      <c r="I290" s="2" t="s">
        <v>482</v>
      </c>
      <c r="J290" s="2" t="s">
        <v>477</v>
      </c>
      <c r="K290" s="9">
        <v>744</v>
      </c>
      <c r="L290" s="9">
        <v>21.9</v>
      </c>
      <c r="M290" s="2"/>
      <c r="N290" s="2"/>
      <c r="O290" s="2"/>
      <c r="P290" s="2"/>
      <c r="Q290" s="11">
        <v>5</v>
      </c>
      <c r="R290" s="9">
        <v>160</v>
      </c>
      <c r="S290" s="2"/>
      <c r="T290" s="9">
        <v>1954</v>
      </c>
      <c r="U290" s="9">
        <v>2008</v>
      </c>
      <c r="V290" s="9">
        <v>648</v>
      </c>
      <c r="W290" s="2"/>
      <c r="X290" s="2"/>
      <c r="Y290" s="2"/>
      <c r="Z290" s="9">
        <v>10</v>
      </c>
      <c r="AA290" s="2"/>
      <c r="AB290" s="2"/>
      <c r="AC290" s="2"/>
      <c r="AD290" s="2"/>
      <c r="AE290" s="2"/>
      <c r="AF290" s="2"/>
      <c r="AG290" s="2"/>
      <c r="AH290" s="2"/>
      <c r="AI290" s="2"/>
      <c r="AJ290" s="2"/>
      <c r="AK290" s="2"/>
      <c r="AL290" s="9">
        <v>7.83</v>
      </c>
      <c r="AM290" s="2"/>
      <c r="AN290" s="9">
        <v>-0.48</v>
      </c>
      <c r="AO290" s="9">
        <f>(AN290/8.31)*100</f>
        <v>-5.7761732851985554</v>
      </c>
      <c r="AP290" s="2"/>
      <c r="AQ290" s="9">
        <v>-0.6</v>
      </c>
      <c r="AR290" s="9">
        <f>(AQ290/10.6)*100</f>
        <v>-5.6603773584905666</v>
      </c>
      <c r="AS290" s="2"/>
      <c r="AT290" s="2"/>
      <c r="AU290" s="2"/>
      <c r="AV290" s="2" t="s">
        <v>478</v>
      </c>
      <c r="AW290" s="2"/>
      <c r="AX290" s="2"/>
      <c r="AY290" s="2"/>
      <c r="AZ290" s="2"/>
      <c r="BA290" s="2" t="s">
        <v>132</v>
      </c>
      <c r="BB290" s="2" t="s">
        <v>422</v>
      </c>
      <c r="BC290" s="6"/>
      <c r="BD290" s="2"/>
      <c r="BE290" s="2">
        <v>0</v>
      </c>
    </row>
    <row r="291" spans="1:57" ht="13" hidden="1" x14ac:dyDescent="0.15">
      <c r="A291" s="39" t="s">
        <v>474</v>
      </c>
      <c r="B291" s="2" t="s">
        <v>159</v>
      </c>
      <c r="C291" s="9">
        <v>2010</v>
      </c>
      <c r="D291" s="2" t="s">
        <v>475</v>
      </c>
      <c r="E291" s="2" t="s">
        <v>135</v>
      </c>
      <c r="F291" s="2"/>
      <c r="G291" s="2" t="s">
        <v>136</v>
      </c>
      <c r="H291" s="2"/>
      <c r="I291" s="2" t="s">
        <v>483</v>
      </c>
      <c r="J291" s="2" t="s">
        <v>477</v>
      </c>
      <c r="K291" s="9">
        <v>744</v>
      </c>
      <c r="L291" s="9">
        <v>21.9</v>
      </c>
      <c r="M291" s="2"/>
      <c r="N291" s="2"/>
      <c r="O291" s="2"/>
      <c r="P291" s="2"/>
      <c r="Q291" s="11">
        <v>5</v>
      </c>
      <c r="R291" s="9">
        <v>160</v>
      </c>
      <c r="S291" s="2"/>
      <c r="T291" s="9">
        <v>1954</v>
      </c>
      <c r="U291" s="9">
        <v>2008</v>
      </c>
      <c r="V291" s="9">
        <v>648</v>
      </c>
      <c r="W291" s="2"/>
      <c r="X291" s="2"/>
      <c r="Y291" s="2"/>
      <c r="Z291" s="9">
        <v>10.8</v>
      </c>
      <c r="AA291" s="2"/>
      <c r="AB291" s="2"/>
      <c r="AC291" s="2"/>
      <c r="AD291" s="2"/>
      <c r="AE291" s="2"/>
      <c r="AF291" s="2"/>
      <c r="AG291" s="2"/>
      <c r="AH291" s="2"/>
      <c r="AI291" s="2"/>
      <c r="AJ291" s="2"/>
      <c r="AK291" s="2"/>
      <c r="AL291" s="9">
        <v>8.5399999999999991</v>
      </c>
      <c r="AM291" s="2"/>
      <c r="AN291" s="2"/>
      <c r="AO291" s="2"/>
      <c r="AP291" s="2"/>
      <c r="AQ291" s="2"/>
      <c r="AR291" s="2"/>
      <c r="AS291" s="2"/>
      <c r="AT291" s="2"/>
      <c r="AU291" s="2"/>
      <c r="AV291" s="2" t="s">
        <v>478</v>
      </c>
      <c r="AW291" s="2"/>
      <c r="AX291" s="2"/>
      <c r="AY291" s="2"/>
      <c r="AZ291" s="2"/>
      <c r="BA291" s="2" t="s">
        <v>132</v>
      </c>
      <c r="BB291" s="2" t="s">
        <v>422</v>
      </c>
      <c r="BC291" s="6"/>
      <c r="BD291" s="2"/>
      <c r="BE291" s="2">
        <v>0</v>
      </c>
    </row>
    <row r="292" spans="1:57" ht="13" hidden="1" x14ac:dyDescent="0.15">
      <c r="A292" s="39" t="s">
        <v>474</v>
      </c>
      <c r="B292" s="2" t="s">
        <v>159</v>
      </c>
      <c r="C292" s="9">
        <v>2010</v>
      </c>
      <c r="D292" s="2" t="s">
        <v>475</v>
      </c>
      <c r="E292" s="2" t="s">
        <v>135</v>
      </c>
      <c r="F292" s="2"/>
      <c r="G292" s="2" t="s">
        <v>136</v>
      </c>
      <c r="H292" s="2"/>
      <c r="I292" s="2" t="s">
        <v>484</v>
      </c>
      <c r="J292" s="2" t="s">
        <v>477</v>
      </c>
      <c r="K292" s="9">
        <v>744</v>
      </c>
      <c r="L292" s="9">
        <v>21.9</v>
      </c>
      <c r="M292" s="2"/>
      <c r="N292" s="2"/>
      <c r="O292" s="2"/>
      <c r="P292" s="2"/>
      <c r="Q292" s="11">
        <v>5</v>
      </c>
      <c r="R292" s="9">
        <v>160</v>
      </c>
      <c r="S292" s="2"/>
      <c r="T292" s="9">
        <v>1954</v>
      </c>
      <c r="U292" s="9">
        <v>2008</v>
      </c>
      <c r="V292" s="9">
        <v>648</v>
      </c>
      <c r="W292" s="2"/>
      <c r="X292" s="2"/>
      <c r="Y292" s="2"/>
      <c r="Z292" s="9">
        <v>10.199999999999999</v>
      </c>
      <c r="AA292" s="2"/>
      <c r="AB292" s="2"/>
      <c r="AC292" s="2"/>
      <c r="AD292" s="2"/>
      <c r="AE292" s="2"/>
      <c r="AF292" s="2"/>
      <c r="AG292" s="2"/>
      <c r="AH292" s="2"/>
      <c r="AI292" s="2"/>
      <c r="AJ292" s="2"/>
      <c r="AK292" s="2"/>
      <c r="AL292" s="9">
        <v>8.07</v>
      </c>
      <c r="AM292" s="2"/>
      <c r="AN292" s="2"/>
      <c r="AO292" s="2"/>
      <c r="AP292" s="2"/>
      <c r="AQ292" s="2"/>
      <c r="AR292" s="2"/>
      <c r="AS292" s="2"/>
      <c r="AT292" s="2"/>
      <c r="AU292" s="2"/>
      <c r="AV292" s="2" t="s">
        <v>478</v>
      </c>
      <c r="AW292" s="2"/>
      <c r="AX292" s="2"/>
      <c r="AY292" s="2"/>
      <c r="AZ292" s="2"/>
      <c r="BA292" s="2" t="s">
        <v>132</v>
      </c>
      <c r="BB292" s="2" t="s">
        <v>422</v>
      </c>
      <c r="BC292" s="6"/>
      <c r="BD292" s="2"/>
      <c r="BE292" s="2">
        <v>0</v>
      </c>
    </row>
    <row r="293" spans="1:57" ht="14" hidden="1" x14ac:dyDescent="0.15">
      <c r="A293" s="39" t="s">
        <v>474</v>
      </c>
      <c r="B293" s="2" t="s">
        <v>159</v>
      </c>
      <c r="C293" s="9">
        <v>2010</v>
      </c>
      <c r="D293" s="2" t="s">
        <v>475</v>
      </c>
      <c r="E293" s="2" t="s">
        <v>135</v>
      </c>
      <c r="F293" s="2"/>
      <c r="G293" s="8" t="s">
        <v>200</v>
      </c>
      <c r="H293" s="2"/>
      <c r="I293" s="2" t="s">
        <v>485</v>
      </c>
      <c r="J293" s="2" t="s">
        <v>477</v>
      </c>
      <c r="K293" s="9">
        <v>744</v>
      </c>
      <c r="L293" s="9">
        <v>21.9</v>
      </c>
      <c r="M293" s="2"/>
      <c r="N293" s="2"/>
      <c r="O293" s="2"/>
      <c r="P293" s="2"/>
      <c r="Q293" s="11">
        <v>5</v>
      </c>
      <c r="R293" s="9">
        <v>160</v>
      </c>
      <c r="S293" s="2"/>
      <c r="T293" s="9">
        <v>1954</v>
      </c>
      <c r="U293" s="9">
        <v>2008</v>
      </c>
      <c r="V293" s="9">
        <v>648</v>
      </c>
      <c r="W293" s="2"/>
      <c r="X293" s="2"/>
      <c r="Y293" s="2"/>
      <c r="Z293" s="9">
        <v>12.5</v>
      </c>
      <c r="AA293" s="2"/>
      <c r="AB293" s="2"/>
      <c r="AC293" s="2"/>
      <c r="AD293" s="2"/>
      <c r="AE293" s="2"/>
      <c r="AF293" s="2"/>
      <c r="AG293" s="2"/>
      <c r="AH293" s="2"/>
      <c r="AI293" s="2"/>
      <c r="AJ293" s="2"/>
      <c r="AK293" s="2"/>
      <c r="AL293" s="9">
        <v>11</v>
      </c>
      <c r="AM293" s="2"/>
      <c r="AN293" s="9">
        <v>2.69</v>
      </c>
      <c r="AO293" s="9">
        <f>(AN293/8.31)*100</f>
        <v>32.370637785800241</v>
      </c>
      <c r="AP293" s="2"/>
      <c r="AQ293" s="9">
        <v>1.9</v>
      </c>
      <c r="AR293" s="9">
        <f>(AQ293/10.6)*100</f>
        <v>17.924528301886792</v>
      </c>
      <c r="AS293" s="2"/>
      <c r="AT293" s="2"/>
      <c r="AU293" s="2"/>
      <c r="AV293" s="2" t="s">
        <v>478</v>
      </c>
      <c r="AW293" s="2"/>
      <c r="AX293" s="2"/>
      <c r="AY293" s="2"/>
      <c r="AZ293" s="2"/>
      <c r="BA293" s="2" t="s">
        <v>132</v>
      </c>
      <c r="BB293" s="2" t="s">
        <v>422</v>
      </c>
      <c r="BC293" s="6"/>
      <c r="BD293" s="2"/>
      <c r="BE293" s="2">
        <v>0</v>
      </c>
    </row>
    <row r="294" spans="1:57" ht="13" x14ac:dyDescent="0.15">
      <c r="A294" s="39" t="s">
        <v>486</v>
      </c>
      <c r="B294" s="2" t="s">
        <v>127</v>
      </c>
      <c r="C294" s="9">
        <v>2022</v>
      </c>
      <c r="D294" s="2" t="s">
        <v>487</v>
      </c>
      <c r="E294" s="2" t="s">
        <v>112</v>
      </c>
      <c r="F294" s="2"/>
      <c r="G294" s="21" t="s">
        <v>113</v>
      </c>
      <c r="H294" s="2"/>
      <c r="I294" s="2" t="s">
        <v>488</v>
      </c>
      <c r="J294" s="2" t="s">
        <v>130</v>
      </c>
      <c r="K294" s="9">
        <v>560</v>
      </c>
      <c r="L294" s="2"/>
      <c r="M294" s="2"/>
      <c r="N294" s="2"/>
      <c r="O294" s="2"/>
      <c r="P294" s="9">
        <v>1600</v>
      </c>
      <c r="Q294" s="11">
        <v>5</v>
      </c>
      <c r="R294" s="9">
        <v>94</v>
      </c>
      <c r="S294" s="9">
        <v>900</v>
      </c>
      <c r="T294" s="9">
        <v>1990</v>
      </c>
      <c r="U294" s="9">
        <v>2020</v>
      </c>
      <c r="V294" s="9">
        <v>360</v>
      </c>
      <c r="W294" s="2"/>
      <c r="X294" s="2"/>
      <c r="Y294" s="2"/>
      <c r="Z294" s="2"/>
      <c r="AA294" s="2"/>
      <c r="AB294" s="2"/>
      <c r="AC294" s="2"/>
      <c r="AD294" s="2"/>
      <c r="AE294" s="2"/>
      <c r="AF294" s="2"/>
      <c r="AG294" s="2"/>
      <c r="AH294" s="2"/>
      <c r="AI294" s="2"/>
      <c r="AJ294" s="2"/>
      <c r="AK294" s="2"/>
      <c r="AL294" s="9">
        <v>43.865000000000002</v>
      </c>
      <c r="AM294" s="9">
        <v>1.9550000000000001</v>
      </c>
      <c r="AN294" s="2"/>
      <c r="AO294" s="2"/>
      <c r="AP294" s="2"/>
      <c r="AQ294" s="2"/>
      <c r="AR294" s="2"/>
      <c r="AS294" s="2"/>
      <c r="AT294" s="2"/>
      <c r="AU294" s="2"/>
      <c r="AV294" s="2"/>
      <c r="AW294" s="2"/>
      <c r="AX294" s="2"/>
      <c r="AY294" s="2"/>
      <c r="AZ294" s="2"/>
      <c r="BA294" s="2" t="s">
        <v>132</v>
      </c>
      <c r="BB294" s="2" t="s">
        <v>422</v>
      </c>
      <c r="BC294" s="6"/>
      <c r="BD294" s="2"/>
      <c r="BE294" s="2">
        <v>0</v>
      </c>
    </row>
    <row r="295" spans="1:57" ht="13" x14ac:dyDescent="0.15">
      <c r="A295" s="39" t="s">
        <v>486</v>
      </c>
      <c r="B295" s="2" t="s">
        <v>127</v>
      </c>
      <c r="C295" s="9">
        <v>2022</v>
      </c>
      <c r="D295" s="2" t="s">
        <v>487</v>
      </c>
      <c r="E295" s="2" t="s">
        <v>112</v>
      </c>
      <c r="F295" s="2"/>
      <c r="G295" s="2" t="s">
        <v>144</v>
      </c>
      <c r="H295" s="2"/>
      <c r="I295" s="2" t="s">
        <v>489</v>
      </c>
      <c r="J295" s="2" t="s">
        <v>130</v>
      </c>
      <c r="K295" s="9">
        <v>560</v>
      </c>
      <c r="L295" s="2"/>
      <c r="M295" s="2"/>
      <c r="N295" s="2"/>
      <c r="O295" s="2"/>
      <c r="P295" s="9">
        <v>1600</v>
      </c>
      <c r="Q295" s="11">
        <v>5</v>
      </c>
      <c r="R295" s="9">
        <v>94</v>
      </c>
      <c r="S295" s="9">
        <v>900</v>
      </c>
      <c r="T295" s="9">
        <v>1990</v>
      </c>
      <c r="U295" s="9">
        <v>2020</v>
      </c>
      <c r="V295" s="9">
        <v>360</v>
      </c>
      <c r="W295" s="2"/>
      <c r="X295" s="2"/>
      <c r="Y295" s="2"/>
      <c r="Z295" s="2"/>
      <c r="AA295" s="2"/>
      <c r="AB295" s="2"/>
      <c r="AC295" s="2"/>
      <c r="AD295" s="2"/>
      <c r="AE295" s="2"/>
      <c r="AF295" s="2"/>
      <c r="AG295" s="2"/>
      <c r="AH295" s="2"/>
      <c r="AI295" s="2"/>
      <c r="AJ295" s="2"/>
      <c r="AK295" s="2"/>
      <c r="AL295" s="9">
        <v>53.637</v>
      </c>
      <c r="AM295" s="9">
        <v>1.925</v>
      </c>
      <c r="AN295" s="9">
        <v>9.7720000000000002</v>
      </c>
      <c r="AO295" s="9">
        <v>22.28</v>
      </c>
      <c r="AP295" s="2"/>
      <c r="AQ295" s="2"/>
      <c r="AR295" s="2"/>
      <c r="AS295" s="2"/>
      <c r="AT295" s="2"/>
      <c r="AU295" s="2"/>
      <c r="AV295" s="2"/>
      <c r="AW295" s="2"/>
      <c r="AX295" s="2"/>
      <c r="AY295" s="2"/>
      <c r="AZ295" s="2"/>
      <c r="BA295" s="2" t="s">
        <v>132</v>
      </c>
      <c r="BB295" s="2" t="s">
        <v>422</v>
      </c>
      <c r="BC295" s="6"/>
      <c r="BD295" s="2"/>
      <c r="BE295" s="2">
        <v>0</v>
      </c>
    </row>
    <row r="296" spans="1:57" ht="13" x14ac:dyDescent="0.15">
      <c r="A296" s="39" t="s">
        <v>486</v>
      </c>
      <c r="B296" s="2" t="s">
        <v>127</v>
      </c>
      <c r="C296" s="9">
        <v>2022</v>
      </c>
      <c r="D296" s="2" t="s">
        <v>487</v>
      </c>
      <c r="E296" s="2" t="s">
        <v>112</v>
      </c>
      <c r="F296" s="2"/>
      <c r="G296" s="21" t="s">
        <v>113</v>
      </c>
      <c r="H296" s="2"/>
      <c r="I296" s="2" t="s">
        <v>488</v>
      </c>
      <c r="J296" s="2" t="s">
        <v>130</v>
      </c>
      <c r="K296" s="9">
        <v>700</v>
      </c>
      <c r="L296" s="2"/>
      <c r="M296" s="2"/>
      <c r="N296" s="2"/>
      <c r="O296" s="2"/>
      <c r="P296" s="9">
        <v>1500</v>
      </c>
      <c r="Q296" s="11">
        <v>5</v>
      </c>
      <c r="R296" s="9">
        <v>100</v>
      </c>
      <c r="S296" s="9">
        <v>900</v>
      </c>
      <c r="T296" s="9">
        <v>1990</v>
      </c>
      <c r="U296" s="9">
        <v>2020</v>
      </c>
      <c r="V296" s="9">
        <v>360</v>
      </c>
      <c r="W296" s="2"/>
      <c r="X296" s="2"/>
      <c r="Y296" s="2"/>
      <c r="Z296" s="2"/>
      <c r="AA296" s="2"/>
      <c r="AB296" s="2"/>
      <c r="AC296" s="2"/>
      <c r="AD296" s="2"/>
      <c r="AE296" s="2"/>
      <c r="AF296" s="2"/>
      <c r="AG296" s="2"/>
      <c r="AH296" s="2"/>
      <c r="AI296" s="2"/>
      <c r="AJ296" s="2"/>
      <c r="AK296" s="2"/>
      <c r="AL296" s="9">
        <v>42.99</v>
      </c>
      <c r="AM296" s="9">
        <v>2.57</v>
      </c>
      <c r="AN296" s="2"/>
      <c r="AO296" s="2"/>
      <c r="AP296" s="2"/>
      <c r="AQ296" s="2"/>
      <c r="AR296" s="2"/>
      <c r="AS296" s="2"/>
      <c r="AT296" s="2"/>
      <c r="AU296" s="2"/>
      <c r="AV296" s="2"/>
      <c r="AW296" s="2"/>
      <c r="AX296" s="2"/>
      <c r="AY296" s="2"/>
      <c r="AZ296" s="2"/>
      <c r="BA296" s="2" t="s">
        <v>132</v>
      </c>
      <c r="BB296" s="2" t="s">
        <v>422</v>
      </c>
      <c r="BC296" s="6"/>
      <c r="BD296" s="2"/>
      <c r="BE296" s="2">
        <v>0</v>
      </c>
    </row>
    <row r="297" spans="1:57" ht="13" x14ac:dyDescent="0.15">
      <c r="A297" s="39" t="s">
        <v>486</v>
      </c>
      <c r="B297" s="2" t="s">
        <v>127</v>
      </c>
      <c r="C297" s="9">
        <v>2022</v>
      </c>
      <c r="D297" s="2" t="s">
        <v>487</v>
      </c>
      <c r="E297" s="2" t="s">
        <v>112</v>
      </c>
      <c r="F297" s="2"/>
      <c r="G297" s="2" t="s">
        <v>144</v>
      </c>
      <c r="H297" s="2"/>
      <c r="I297" s="2" t="s">
        <v>490</v>
      </c>
      <c r="J297" s="2" t="s">
        <v>130</v>
      </c>
      <c r="K297" s="9">
        <v>700</v>
      </c>
      <c r="L297" s="2"/>
      <c r="M297" s="2"/>
      <c r="N297" s="2"/>
      <c r="O297" s="2"/>
      <c r="P297" s="9">
        <v>1500</v>
      </c>
      <c r="Q297" s="11">
        <v>5</v>
      </c>
      <c r="R297" s="9">
        <v>100</v>
      </c>
      <c r="S297" s="9">
        <v>900</v>
      </c>
      <c r="T297" s="9">
        <v>1990</v>
      </c>
      <c r="U297" s="9">
        <v>2020</v>
      </c>
      <c r="V297" s="9">
        <v>360</v>
      </c>
      <c r="W297" s="2"/>
      <c r="X297" s="2"/>
      <c r="Y297" s="2"/>
      <c r="Z297" s="2"/>
      <c r="AA297" s="2"/>
      <c r="AB297" s="2"/>
      <c r="AC297" s="2"/>
      <c r="AD297" s="2"/>
      <c r="AE297" s="2"/>
      <c r="AF297" s="2"/>
      <c r="AG297" s="2"/>
      <c r="AH297" s="2"/>
      <c r="AI297" s="2"/>
      <c r="AJ297" s="2"/>
      <c r="AK297" s="2"/>
      <c r="AL297" s="9">
        <v>52.534999999999997</v>
      </c>
      <c r="AM297" s="9">
        <v>1.7549999999999999</v>
      </c>
      <c r="AN297" s="9">
        <v>9.5449999999999999</v>
      </c>
      <c r="AO297" s="9">
        <v>22.2</v>
      </c>
      <c r="AP297" s="2"/>
      <c r="AQ297" s="2"/>
      <c r="AR297" s="2"/>
      <c r="AS297" s="2"/>
      <c r="AT297" s="2"/>
      <c r="AU297" s="2"/>
      <c r="AV297" s="2"/>
      <c r="AW297" s="2"/>
      <c r="AX297" s="2"/>
      <c r="AY297" s="2"/>
      <c r="AZ297" s="2"/>
      <c r="BA297" s="2" t="s">
        <v>132</v>
      </c>
      <c r="BB297" s="2" t="s">
        <v>422</v>
      </c>
      <c r="BC297" s="6"/>
      <c r="BD297" s="2"/>
      <c r="BE297" s="2">
        <v>0</v>
      </c>
    </row>
    <row r="298" spans="1:57" ht="13" hidden="1" x14ac:dyDescent="0.15">
      <c r="A298" s="39" t="s">
        <v>491</v>
      </c>
      <c r="B298" s="2" t="s">
        <v>127</v>
      </c>
      <c r="C298" s="9">
        <v>2017</v>
      </c>
      <c r="D298" s="2" t="s">
        <v>492</v>
      </c>
      <c r="E298" s="2" t="s">
        <v>143</v>
      </c>
      <c r="F298" s="2"/>
      <c r="G298" s="21" t="s">
        <v>238</v>
      </c>
      <c r="H298" s="2"/>
      <c r="I298" s="2" t="s">
        <v>493</v>
      </c>
      <c r="J298" s="2" t="s">
        <v>179</v>
      </c>
      <c r="K298" s="9">
        <v>567</v>
      </c>
      <c r="L298" s="9">
        <v>24</v>
      </c>
      <c r="M298" s="2"/>
      <c r="N298" s="2"/>
      <c r="O298" s="2"/>
      <c r="P298" s="9">
        <f>AVERAGE(1000,1500)</f>
        <v>1250</v>
      </c>
      <c r="Q298" s="11">
        <v>90</v>
      </c>
      <c r="R298" s="9">
        <v>3</v>
      </c>
      <c r="S298" s="9">
        <v>900</v>
      </c>
      <c r="T298" s="2"/>
      <c r="U298" s="55">
        <v>45456</v>
      </c>
      <c r="V298" s="2" t="s">
        <v>494</v>
      </c>
      <c r="W298" s="2" t="s">
        <v>495</v>
      </c>
      <c r="Z298" s="9">
        <v>17</v>
      </c>
      <c r="AA298" s="9">
        <v>2</v>
      </c>
      <c r="AB298" s="2"/>
      <c r="AC298" s="2"/>
      <c r="AD298" s="2"/>
      <c r="AE298" s="2"/>
      <c r="AF298" s="2"/>
      <c r="AG298" s="2"/>
      <c r="AH298" s="9">
        <v>1.2</v>
      </c>
      <c r="AI298" s="9">
        <v>0.2</v>
      </c>
      <c r="AJ298" s="2"/>
      <c r="AK298" s="2"/>
      <c r="AL298" s="9">
        <v>9.6999999999999993</v>
      </c>
      <c r="AM298" s="9">
        <v>1.6</v>
      </c>
      <c r="AN298" s="9">
        <v>0.3</v>
      </c>
      <c r="AO298" s="9">
        <v>3.19</v>
      </c>
      <c r="AP298" s="2"/>
      <c r="AQ298" s="9">
        <v>2</v>
      </c>
      <c r="AR298" s="9">
        <v>13.33</v>
      </c>
      <c r="AS298" s="2"/>
      <c r="AT298" s="2"/>
      <c r="AU298" s="2"/>
      <c r="AV298" s="2" t="s">
        <v>496</v>
      </c>
      <c r="AW298" s="9">
        <v>46.9</v>
      </c>
      <c r="AX298" s="2" t="s">
        <v>497</v>
      </c>
      <c r="AY298" s="2"/>
      <c r="AZ298" s="2" t="s">
        <v>252</v>
      </c>
      <c r="BA298" s="2" t="s">
        <v>132</v>
      </c>
      <c r="BB298" s="2" t="s">
        <v>422</v>
      </c>
      <c r="BC298" s="6"/>
      <c r="BD298" s="2"/>
      <c r="BE298" s="2">
        <v>0</v>
      </c>
    </row>
    <row r="299" spans="1:57" ht="13" hidden="1" x14ac:dyDescent="0.15">
      <c r="A299" s="39" t="s">
        <v>491</v>
      </c>
      <c r="B299" s="2" t="s">
        <v>127</v>
      </c>
      <c r="C299" s="9">
        <v>2017</v>
      </c>
      <c r="D299" s="2" t="s">
        <v>492</v>
      </c>
      <c r="E299" s="2" t="s">
        <v>143</v>
      </c>
      <c r="F299" s="2"/>
      <c r="G299" s="21" t="s">
        <v>238</v>
      </c>
      <c r="H299" s="2"/>
      <c r="I299" s="2" t="s">
        <v>493</v>
      </c>
      <c r="J299" s="56">
        <v>45427</v>
      </c>
      <c r="K299" s="9">
        <v>567</v>
      </c>
      <c r="L299" s="9">
        <v>24</v>
      </c>
      <c r="M299" s="2"/>
      <c r="N299" s="2"/>
      <c r="O299" s="2"/>
      <c r="P299" s="9">
        <f>AVERAGE(1000,1500)</f>
        <v>1250</v>
      </c>
      <c r="Q299" s="11">
        <v>90</v>
      </c>
      <c r="R299" s="9">
        <v>3</v>
      </c>
      <c r="S299" s="9">
        <v>900</v>
      </c>
      <c r="T299" s="2"/>
      <c r="U299" s="55">
        <v>45456</v>
      </c>
      <c r="V299" s="2" t="s">
        <v>494</v>
      </c>
      <c r="W299" s="2" t="s">
        <v>495</v>
      </c>
      <c r="Z299" s="9">
        <v>16</v>
      </c>
      <c r="AA299" s="9">
        <v>1</v>
      </c>
      <c r="AB299" s="2"/>
      <c r="AC299" s="2"/>
      <c r="AD299" s="2"/>
      <c r="AE299" s="2"/>
      <c r="AF299" s="2"/>
      <c r="AG299" s="2"/>
      <c r="AH299" s="9">
        <v>1.1000000000000001</v>
      </c>
      <c r="AI299" s="9">
        <v>0.1</v>
      </c>
      <c r="AJ299" s="2"/>
      <c r="AK299" s="2"/>
      <c r="AL299" s="9">
        <v>16.899999999999999</v>
      </c>
      <c r="AM299" s="9">
        <v>1.6</v>
      </c>
      <c r="AN299" s="9">
        <v>1.2</v>
      </c>
      <c r="AO299" s="9">
        <v>7.64</v>
      </c>
      <c r="AP299" s="2"/>
      <c r="AQ299" s="9">
        <v>2</v>
      </c>
      <c r="AR299" s="9">
        <v>14.29</v>
      </c>
      <c r="AS299" s="2"/>
      <c r="AT299" s="2"/>
      <c r="AU299" s="2"/>
      <c r="AV299" s="2" t="s">
        <v>496</v>
      </c>
      <c r="AW299" s="9">
        <v>44.9</v>
      </c>
      <c r="AX299" s="2" t="s">
        <v>497</v>
      </c>
      <c r="AY299" s="2"/>
      <c r="AZ299" s="2" t="s">
        <v>252</v>
      </c>
      <c r="BA299" s="2" t="s">
        <v>132</v>
      </c>
      <c r="BB299" s="2" t="s">
        <v>422</v>
      </c>
      <c r="BC299" s="6"/>
      <c r="BD299" s="2"/>
      <c r="BE299" s="2">
        <v>0</v>
      </c>
    </row>
    <row r="300" spans="1:57" ht="13" hidden="1" x14ac:dyDescent="0.15">
      <c r="A300" s="39" t="s">
        <v>491</v>
      </c>
      <c r="B300" s="2" t="s">
        <v>127</v>
      </c>
      <c r="C300" s="9">
        <v>2017</v>
      </c>
      <c r="D300" s="2" t="s">
        <v>492</v>
      </c>
      <c r="E300" s="2" t="s">
        <v>143</v>
      </c>
      <c r="F300" s="2"/>
      <c r="G300" s="21" t="s">
        <v>238</v>
      </c>
      <c r="H300" s="2"/>
      <c r="I300" s="2" t="s">
        <v>493</v>
      </c>
      <c r="J300" s="2" t="s">
        <v>405</v>
      </c>
      <c r="K300" s="9">
        <v>567</v>
      </c>
      <c r="L300" s="9">
        <v>24</v>
      </c>
      <c r="M300" s="2"/>
      <c r="N300" s="2"/>
      <c r="O300" s="2"/>
      <c r="P300" s="9">
        <f>AVERAGE(1000,1500)</f>
        <v>1250</v>
      </c>
      <c r="Q300" s="11">
        <v>90</v>
      </c>
      <c r="R300" s="9">
        <v>3</v>
      </c>
      <c r="S300" s="9">
        <v>900</v>
      </c>
      <c r="T300" s="2"/>
      <c r="U300" s="55">
        <v>45456</v>
      </c>
      <c r="V300" s="2" t="s">
        <v>494</v>
      </c>
      <c r="W300" s="2" t="s">
        <v>495</v>
      </c>
      <c r="Z300" s="9">
        <v>14</v>
      </c>
      <c r="AA300" s="9">
        <v>1</v>
      </c>
      <c r="AB300" s="2"/>
      <c r="AC300" s="2"/>
      <c r="AD300" s="2"/>
      <c r="AE300" s="2"/>
      <c r="AF300" s="2"/>
      <c r="AG300" s="2"/>
      <c r="AH300" s="9">
        <v>1.3</v>
      </c>
      <c r="AI300" s="9">
        <v>0.1</v>
      </c>
      <c r="AJ300" s="2"/>
      <c r="AK300" s="2"/>
      <c r="AL300" s="9">
        <v>24.3</v>
      </c>
      <c r="AM300" s="9">
        <v>2</v>
      </c>
      <c r="AN300" s="9">
        <v>1.4</v>
      </c>
      <c r="AO300" s="9">
        <v>6.11</v>
      </c>
      <c r="AP300" s="2"/>
      <c r="AQ300" s="9">
        <v>2</v>
      </c>
      <c r="AR300" s="9">
        <v>16.670000000000002</v>
      </c>
      <c r="AS300" s="2"/>
      <c r="AT300" s="2"/>
      <c r="AU300" s="2"/>
      <c r="AV300" s="2" t="s">
        <v>496</v>
      </c>
      <c r="AW300" s="9">
        <v>42.9</v>
      </c>
      <c r="AX300" s="2" t="s">
        <v>497</v>
      </c>
      <c r="AY300" s="2"/>
      <c r="AZ300" s="2" t="s">
        <v>252</v>
      </c>
      <c r="BA300" s="2" t="s">
        <v>132</v>
      </c>
      <c r="BB300" s="2" t="s">
        <v>422</v>
      </c>
      <c r="BC300" s="6"/>
      <c r="BD300" s="2"/>
      <c r="BE300" s="2">
        <v>0</v>
      </c>
    </row>
    <row r="301" spans="1:57" ht="13" hidden="1" x14ac:dyDescent="0.15">
      <c r="A301" s="39" t="s">
        <v>491</v>
      </c>
      <c r="B301" s="2" t="s">
        <v>127</v>
      </c>
      <c r="C301" s="9">
        <v>2017</v>
      </c>
      <c r="D301" s="2" t="s">
        <v>492</v>
      </c>
      <c r="E301" s="2" t="s">
        <v>143</v>
      </c>
      <c r="F301" s="2"/>
      <c r="G301" s="21" t="s">
        <v>113</v>
      </c>
      <c r="H301" s="2"/>
      <c r="I301" s="2" t="s">
        <v>498</v>
      </c>
      <c r="J301" s="2" t="s">
        <v>179</v>
      </c>
      <c r="K301" s="9">
        <v>567</v>
      </c>
      <c r="L301" s="9">
        <v>24</v>
      </c>
      <c r="M301" s="2"/>
      <c r="N301" s="2"/>
      <c r="O301" s="2"/>
      <c r="P301" s="9">
        <f>AVERAGE(1000,1500)</f>
        <v>1250</v>
      </c>
      <c r="Q301" s="11">
        <v>90</v>
      </c>
      <c r="R301" s="9">
        <v>3</v>
      </c>
      <c r="S301" s="9">
        <v>900</v>
      </c>
      <c r="T301" s="2"/>
      <c r="U301" s="55">
        <v>45456</v>
      </c>
      <c r="V301" s="2" t="s">
        <v>287</v>
      </c>
      <c r="W301" s="2" t="s">
        <v>495</v>
      </c>
      <c r="Z301" s="9">
        <v>15</v>
      </c>
      <c r="AA301" s="9">
        <v>2</v>
      </c>
      <c r="AB301" s="2"/>
      <c r="AC301" s="2"/>
      <c r="AD301" s="2"/>
      <c r="AE301" s="2"/>
      <c r="AF301" s="2"/>
      <c r="AG301" s="2"/>
      <c r="AH301" s="9">
        <v>1.3</v>
      </c>
      <c r="AI301" s="9">
        <v>0.2</v>
      </c>
      <c r="AJ301" s="2"/>
      <c r="AK301" s="2"/>
      <c r="AL301" s="9">
        <v>9.4</v>
      </c>
      <c r="AM301" s="9">
        <v>1.5</v>
      </c>
      <c r="AN301" s="2"/>
      <c r="AO301" s="2"/>
      <c r="AP301" s="2"/>
      <c r="AQ301" s="2"/>
      <c r="AR301" s="2"/>
      <c r="AS301" s="2"/>
      <c r="AT301" s="2"/>
      <c r="AU301" s="2"/>
      <c r="AV301" s="2" t="s">
        <v>496</v>
      </c>
      <c r="AW301" s="9">
        <v>45.5</v>
      </c>
      <c r="AX301" s="2" t="s">
        <v>497</v>
      </c>
      <c r="AY301" s="2"/>
      <c r="AZ301" s="2" t="s">
        <v>252</v>
      </c>
      <c r="BA301" s="2" t="s">
        <v>132</v>
      </c>
      <c r="BB301" s="2" t="s">
        <v>422</v>
      </c>
      <c r="BC301" s="6"/>
      <c r="BD301" s="2"/>
      <c r="BE301" s="2">
        <v>0</v>
      </c>
    </row>
    <row r="302" spans="1:57" ht="13" hidden="1" x14ac:dyDescent="0.15">
      <c r="A302" s="39" t="s">
        <v>491</v>
      </c>
      <c r="B302" s="2" t="s">
        <v>127</v>
      </c>
      <c r="C302" s="9">
        <v>2017</v>
      </c>
      <c r="D302" s="2" t="s">
        <v>492</v>
      </c>
      <c r="E302" s="2" t="s">
        <v>143</v>
      </c>
      <c r="F302" s="2"/>
      <c r="G302" s="21" t="s">
        <v>113</v>
      </c>
      <c r="H302" s="2"/>
      <c r="I302" s="2" t="s">
        <v>498</v>
      </c>
      <c r="J302" s="56">
        <v>45427</v>
      </c>
      <c r="K302" s="9">
        <v>567</v>
      </c>
      <c r="L302" s="9">
        <v>24</v>
      </c>
      <c r="M302" s="2"/>
      <c r="N302" s="2"/>
      <c r="O302" s="2"/>
      <c r="P302" s="9">
        <f>AVERAGE(1000,1500)</f>
        <v>1250</v>
      </c>
      <c r="Q302" s="11">
        <v>90</v>
      </c>
      <c r="R302" s="9">
        <v>3</v>
      </c>
      <c r="S302" s="9">
        <v>900</v>
      </c>
      <c r="T302" s="2"/>
      <c r="U302" s="55">
        <v>45456</v>
      </c>
      <c r="V302" s="2" t="s">
        <v>287</v>
      </c>
      <c r="W302" s="2" t="s">
        <v>495</v>
      </c>
      <c r="Z302" s="9">
        <v>14</v>
      </c>
      <c r="AA302" s="9">
        <v>1</v>
      </c>
      <c r="AB302" s="2"/>
      <c r="AC302" s="2"/>
      <c r="AD302" s="2"/>
      <c r="AE302" s="2"/>
      <c r="AF302" s="2"/>
      <c r="AG302" s="2"/>
      <c r="AH302" s="9">
        <v>1.1000000000000001</v>
      </c>
      <c r="AI302" s="9">
        <v>0.1</v>
      </c>
      <c r="AJ302" s="2"/>
      <c r="AK302" s="2"/>
      <c r="AL302" s="9">
        <v>15.7</v>
      </c>
      <c r="AM302" s="9">
        <v>1.7</v>
      </c>
      <c r="AN302" s="2"/>
      <c r="AO302" s="2"/>
      <c r="AP302" s="2"/>
      <c r="AQ302" s="2"/>
      <c r="AR302" s="2"/>
      <c r="AS302" s="2"/>
      <c r="AT302" s="2"/>
      <c r="AU302" s="2"/>
      <c r="AV302" s="2" t="s">
        <v>496</v>
      </c>
      <c r="AW302" s="9">
        <v>42.5</v>
      </c>
      <c r="AX302" s="2" t="s">
        <v>497</v>
      </c>
      <c r="AY302" s="2"/>
      <c r="AZ302" s="2" t="s">
        <v>252</v>
      </c>
      <c r="BA302" s="2" t="s">
        <v>132</v>
      </c>
      <c r="BB302" s="2" t="s">
        <v>422</v>
      </c>
      <c r="BC302" s="6"/>
      <c r="BD302" s="2"/>
      <c r="BE302" s="2">
        <v>0</v>
      </c>
    </row>
    <row r="303" spans="1:57" ht="13" hidden="1" x14ac:dyDescent="0.15">
      <c r="A303" s="39" t="s">
        <v>491</v>
      </c>
      <c r="B303" s="2" t="s">
        <v>127</v>
      </c>
      <c r="C303" s="9">
        <v>2017</v>
      </c>
      <c r="D303" s="2" t="s">
        <v>492</v>
      </c>
      <c r="E303" s="2" t="s">
        <v>143</v>
      </c>
      <c r="F303" s="2"/>
      <c r="G303" s="21" t="s">
        <v>113</v>
      </c>
      <c r="H303" s="2"/>
      <c r="I303" s="2" t="s">
        <v>498</v>
      </c>
      <c r="J303" s="2" t="s">
        <v>405</v>
      </c>
      <c r="K303" s="9">
        <v>567</v>
      </c>
      <c r="L303" s="9">
        <v>24</v>
      </c>
      <c r="M303" s="2"/>
      <c r="N303" s="2"/>
      <c r="O303" s="2"/>
      <c r="P303" s="9">
        <f>AVERAGE(1000,1500)</f>
        <v>1250</v>
      </c>
      <c r="Q303" s="11">
        <v>90</v>
      </c>
      <c r="R303" s="9">
        <v>3</v>
      </c>
      <c r="S303" s="9">
        <v>900</v>
      </c>
      <c r="T303" s="2"/>
      <c r="U303" s="55">
        <v>45456</v>
      </c>
      <c r="V303" s="2" t="s">
        <v>287</v>
      </c>
      <c r="W303" s="2" t="s">
        <v>495</v>
      </c>
      <c r="Z303" s="9">
        <v>12</v>
      </c>
      <c r="AA303" s="9">
        <v>1</v>
      </c>
      <c r="AB303" s="2"/>
      <c r="AC303" s="2"/>
      <c r="AD303" s="2"/>
      <c r="AE303" s="2"/>
      <c r="AF303" s="2"/>
      <c r="AG303" s="2"/>
      <c r="AH303" s="9">
        <v>1.3</v>
      </c>
      <c r="AI303" s="9">
        <v>0.1</v>
      </c>
      <c r="AJ303" s="2"/>
      <c r="AK303" s="2"/>
      <c r="AL303" s="9">
        <v>22.9</v>
      </c>
      <c r="AM303" s="9">
        <v>2.5</v>
      </c>
      <c r="AN303" s="2"/>
      <c r="AO303" s="2"/>
      <c r="AP303" s="2"/>
      <c r="AQ303" s="2"/>
      <c r="AR303" s="2"/>
      <c r="AS303" s="2"/>
      <c r="AT303" s="2"/>
      <c r="AU303" s="2"/>
      <c r="AV303" s="2" t="s">
        <v>496</v>
      </c>
      <c r="AW303" s="9">
        <v>43.4</v>
      </c>
      <c r="AX303" s="2" t="s">
        <v>497</v>
      </c>
      <c r="AY303" s="2"/>
      <c r="AZ303" s="2" t="s">
        <v>252</v>
      </c>
      <c r="BA303" s="2" t="s">
        <v>132</v>
      </c>
      <c r="BB303" s="2" t="s">
        <v>422</v>
      </c>
      <c r="BC303" s="6"/>
      <c r="BD303" s="2"/>
      <c r="BE303" s="2">
        <v>0</v>
      </c>
    </row>
    <row r="304" spans="1:57" ht="13" hidden="1" x14ac:dyDescent="0.15">
      <c r="A304" s="39" t="s">
        <v>491</v>
      </c>
      <c r="B304" s="2" t="s">
        <v>127</v>
      </c>
      <c r="C304" s="9">
        <v>2017</v>
      </c>
      <c r="D304" s="2" t="s">
        <v>492</v>
      </c>
      <c r="E304" s="2" t="s">
        <v>143</v>
      </c>
      <c r="F304" s="2"/>
      <c r="G304" s="21" t="s">
        <v>238</v>
      </c>
      <c r="H304" s="2"/>
      <c r="I304" s="2" t="s">
        <v>499</v>
      </c>
      <c r="J304" s="2" t="s">
        <v>179</v>
      </c>
      <c r="K304" s="9">
        <v>567</v>
      </c>
      <c r="L304" s="9">
        <v>24</v>
      </c>
      <c r="M304" s="2"/>
      <c r="N304" s="2"/>
      <c r="O304" s="2"/>
      <c r="P304" s="9">
        <f>AVERAGE(1000,1500)</f>
        <v>1250</v>
      </c>
      <c r="Q304" s="11">
        <v>90</v>
      </c>
      <c r="R304" s="9">
        <v>3</v>
      </c>
      <c r="S304" s="9">
        <v>900</v>
      </c>
      <c r="T304" s="2"/>
      <c r="U304" s="55">
        <v>45456</v>
      </c>
      <c r="V304" s="2" t="s">
        <v>500</v>
      </c>
      <c r="W304" s="2" t="s">
        <v>495</v>
      </c>
      <c r="Z304" s="9">
        <v>15</v>
      </c>
      <c r="AA304" s="9">
        <v>1</v>
      </c>
      <c r="AB304" s="2"/>
      <c r="AC304" s="2"/>
      <c r="AD304" s="2"/>
      <c r="AE304" s="2"/>
      <c r="AF304" s="2"/>
      <c r="AG304" s="2"/>
      <c r="AH304" s="9">
        <v>1.1000000000000001</v>
      </c>
      <c r="AI304" s="9">
        <v>0.1</v>
      </c>
      <c r="AJ304" s="2"/>
      <c r="AK304" s="2"/>
      <c r="AL304" s="9">
        <v>7.5</v>
      </c>
      <c r="AM304" s="9">
        <v>1</v>
      </c>
      <c r="AN304" s="9">
        <v>1.2</v>
      </c>
      <c r="AO304" s="9">
        <v>19.05</v>
      </c>
      <c r="AP304" s="2"/>
      <c r="AQ304" s="9">
        <v>2</v>
      </c>
      <c r="AR304" s="9">
        <v>15.38</v>
      </c>
      <c r="AS304" s="2"/>
      <c r="AT304" s="2"/>
      <c r="AU304" s="2"/>
      <c r="AV304" s="2" t="s">
        <v>496</v>
      </c>
      <c r="AW304" s="9">
        <v>47.3</v>
      </c>
      <c r="AX304" s="2" t="s">
        <v>497</v>
      </c>
      <c r="AY304" s="2"/>
      <c r="AZ304" s="2" t="s">
        <v>252</v>
      </c>
      <c r="BA304" s="2" t="s">
        <v>132</v>
      </c>
      <c r="BB304" s="2" t="s">
        <v>422</v>
      </c>
      <c r="BC304" s="6"/>
      <c r="BD304" s="2"/>
      <c r="BE304" s="2">
        <v>0</v>
      </c>
    </row>
    <row r="305" spans="1:57" ht="13" hidden="1" x14ac:dyDescent="0.15">
      <c r="A305" s="39" t="s">
        <v>491</v>
      </c>
      <c r="B305" s="2" t="s">
        <v>127</v>
      </c>
      <c r="C305" s="9">
        <v>2017</v>
      </c>
      <c r="D305" s="2" t="s">
        <v>492</v>
      </c>
      <c r="E305" s="2" t="s">
        <v>143</v>
      </c>
      <c r="F305" s="2"/>
      <c r="G305" s="21" t="s">
        <v>238</v>
      </c>
      <c r="H305" s="2"/>
      <c r="I305" s="2" t="s">
        <v>499</v>
      </c>
      <c r="J305" s="56">
        <v>45427</v>
      </c>
      <c r="K305" s="9">
        <v>567</v>
      </c>
      <c r="L305" s="9">
        <v>24</v>
      </c>
      <c r="M305" s="2"/>
      <c r="N305" s="2"/>
      <c r="O305" s="2"/>
      <c r="P305" s="9">
        <f>AVERAGE(1000,1500)</f>
        <v>1250</v>
      </c>
      <c r="Q305" s="11">
        <v>90</v>
      </c>
      <c r="R305" s="9">
        <v>3</v>
      </c>
      <c r="S305" s="9">
        <v>900</v>
      </c>
      <c r="T305" s="2"/>
      <c r="U305" s="55">
        <v>45456</v>
      </c>
      <c r="V305" s="2" t="s">
        <v>500</v>
      </c>
      <c r="W305" s="2" t="s">
        <v>495</v>
      </c>
      <c r="Z305" s="9">
        <v>13</v>
      </c>
      <c r="AA305" s="9">
        <v>1</v>
      </c>
      <c r="AB305" s="2"/>
      <c r="AC305" s="2"/>
      <c r="AD305" s="2"/>
      <c r="AE305" s="2"/>
      <c r="AF305" s="2"/>
      <c r="AG305" s="2"/>
      <c r="AH305" s="9">
        <v>1.2</v>
      </c>
      <c r="AI305" s="9">
        <v>0.1</v>
      </c>
      <c r="AJ305" s="2"/>
      <c r="AK305" s="2"/>
      <c r="AL305" s="9">
        <v>14.1</v>
      </c>
      <c r="AM305" s="9">
        <v>1.1000000000000001</v>
      </c>
      <c r="AN305" s="9">
        <v>2.9</v>
      </c>
      <c r="AO305" s="9">
        <v>25.89</v>
      </c>
      <c r="AP305" s="2"/>
      <c r="AQ305" s="9">
        <v>3</v>
      </c>
      <c r="AR305" s="9">
        <v>30</v>
      </c>
      <c r="AS305" s="2"/>
      <c r="AT305" s="2"/>
      <c r="AU305" s="2"/>
      <c r="AV305" s="2" t="s">
        <v>496</v>
      </c>
      <c r="AW305" s="9">
        <v>45.4</v>
      </c>
      <c r="AX305" s="2" t="s">
        <v>497</v>
      </c>
      <c r="AY305" s="2"/>
      <c r="AZ305" s="2" t="s">
        <v>252</v>
      </c>
      <c r="BA305" s="2" t="s">
        <v>132</v>
      </c>
      <c r="BB305" s="2" t="s">
        <v>422</v>
      </c>
      <c r="BC305" s="6"/>
      <c r="BD305" s="2"/>
      <c r="BE305" s="2">
        <v>0</v>
      </c>
    </row>
    <row r="306" spans="1:57" ht="13" hidden="1" x14ac:dyDescent="0.15">
      <c r="A306" s="39" t="s">
        <v>491</v>
      </c>
      <c r="B306" s="2" t="s">
        <v>127</v>
      </c>
      <c r="C306" s="9">
        <v>2017</v>
      </c>
      <c r="D306" s="2" t="s">
        <v>492</v>
      </c>
      <c r="E306" s="2" t="s">
        <v>143</v>
      </c>
      <c r="F306" s="2"/>
      <c r="G306" s="21" t="s">
        <v>238</v>
      </c>
      <c r="H306" s="2"/>
      <c r="I306" s="2" t="s">
        <v>499</v>
      </c>
      <c r="J306" s="2" t="s">
        <v>405</v>
      </c>
      <c r="K306" s="9">
        <v>567</v>
      </c>
      <c r="L306" s="9">
        <v>24</v>
      </c>
      <c r="M306" s="2"/>
      <c r="N306" s="2"/>
      <c r="O306" s="2"/>
      <c r="P306" s="9">
        <f>AVERAGE(1000,1500)</f>
        <v>1250</v>
      </c>
      <c r="Q306" s="11">
        <v>90</v>
      </c>
      <c r="R306" s="9">
        <v>3</v>
      </c>
      <c r="S306" s="9">
        <v>900</v>
      </c>
      <c r="T306" s="2"/>
      <c r="U306" s="55">
        <v>45456</v>
      </c>
      <c r="V306" s="2" t="s">
        <v>500</v>
      </c>
      <c r="W306" s="2" t="s">
        <v>495</v>
      </c>
      <c r="Z306" s="9">
        <v>10</v>
      </c>
      <c r="AA306" s="9">
        <v>1</v>
      </c>
      <c r="AB306" s="2"/>
      <c r="AC306" s="2"/>
      <c r="AD306" s="2"/>
      <c r="AE306" s="2"/>
      <c r="AF306" s="2"/>
      <c r="AG306" s="2"/>
      <c r="AH306" s="9">
        <v>1.4</v>
      </c>
      <c r="AI306" s="9">
        <v>0.1</v>
      </c>
      <c r="AJ306" s="2"/>
      <c r="AK306" s="2"/>
      <c r="AL306" s="9">
        <v>19.2</v>
      </c>
      <c r="AM306" s="9">
        <v>2</v>
      </c>
      <c r="AN306" s="9">
        <v>1.8</v>
      </c>
      <c r="AO306" s="9">
        <v>10.34</v>
      </c>
      <c r="AP306" s="2"/>
      <c r="AQ306" s="9">
        <v>1</v>
      </c>
      <c r="AR306" s="9">
        <v>11.11</v>
      </c>
      <c r="AS306" s="2"/>
      <c r="AT306" s="2"/>
      <c r="AU306" s="2"/>
      <c r="AV306" s="2" t="s">
        <v>496</v>
      </c>
      <c r="AW306" s="9">
        <v>42.6</v>
      </c>
      <c r="AX306" s="2" t="s">
        <v>497</v>
      </c>
      <c r="AY306" s="2"/>
      <c r="AZ306" s="2" t="s">
        <v>252</v>
      </c>
      <c r="BA306" s="2" t="s">
        <v>132</v>
      </c>
      <c r="BB306" s="2" t="s">
        <v>422</v>
      </c>
      <c r="BC306" s="6"/>
      <c r="BD306" s="2"/>
      <c r="BE306" s="2">
        <v>0</v>
      </c>
    </row>
    <row r="307" spans="1:57" ht="13" hidden="1" x14ac:dyDescent="0.15">
      <c r="A307" s="39" t="s">
        <v>491</v>
      </c>
      <c r="B307" s="2" t="s">
        <v>127</v>
      </c>
      <c r="C307" s="9">
        <v>2017</v>
      </c>
      <c r="D307" s="2" t="s">
        <v>492</v>
      </c>
      <c r="E307" s="2" t="s">
        <v>143</v>
      </c>
      <c r="F307" s="2"/>
      <c r="G307" s="21" t="s">
        <v>113</v>
      </c>
      <c r="H307" s="2"/>
      <c r="I307" s="2" t="s">
        <v>501</v>
      </c>
      <c r="J307" s="2" t="s">
        <v>179</v>
      </c>
      <c r="K307" s="9">
        <v>567</v>
      </c>
      <c r="L307" s="9">
        <v>24</v>
      </c>
      <c r="M307" s="2"/>
      <c r="N307" s="2"/>
      <c r="O307" s="2"/>
      <c r="P307" s="9">
        <f>AVERAGE(1000,1500)</f>
        <v>1250</v>
      </c>
      <c r="Q307" s="11">
        <v>90</v>
      </c>
      <c r="R307" s="9">
        <v>3</v>
      </c>
      <c r="S307" s="9">
        <v>900</v>
      </c>
      <c r="T307" s="2"/>
      <c r="U307" s="55">
        <v>45456</v>
      </c>
      <c r="V307" s="2" t="s">
        <v>287</v>
      </c>
      <c r="W307" s="2" t="s">
        <v>495</v>
      </c>
      <c r="Z307" s="9">
        <v>13</v>
      </c>
      <c r="AA307" s="9">
        <v>1</v>
      </c>
      <c r="AB307" s="2"/>
      <c r="AC307" s="2"/>
      <c r="AD307" s="2"/>
      <c r="AE307" s="2"/>
      <c r="AF307" s="2"/>
      <c r="AG307" s="2"/>
      <c r="AH307" s="9">
        <v>1</v>
      </c>
      <c r="AI307" s="9">
        <v>0.1</v>
      </c>
      <c r="AJ307" s="2"/>
      <c r="AK307" s="2"/>
      <c r="AL307" s="9">
        <v>6.3</v>
      </c>
      <c r="AM307" s="9">
        <v>0.8</v>
      </c>
      <c r="AN307" s="2"/>
      <c r="AO307" s="2"/>
      <c r="AP307" s="2"/>
      <c r="AQ307" s="2"/>
      <c r="AR307" s="2"/>
      <c r="AS307" s="2"/>
      <c r="AT307" s="2"/>
      <c r="AU307" s="2"/>
      <c r="AV307" s="2" t="s">
        <v>496</v>
      </c>
      <c r="AW307" s="9">
        <v>49.3</v>
      </c>
      <c r="AX307" s="2" t="s">
        <v>497</v>
      </c>
      <c r="AY307" s="2"/>
      <c r="AZ307" s="2" t="s">
        <v>252</v>
      </c>
      <c r="BA307" s="2" t="s">
        <v>132</v>
      </c>
      <c r="BB307" s="2" t="s">
        <v>422</v>
      </c>
      <c r="BC307" s="6"/>
      <c r="BD307" s="2"/>
      <c r="BE307" s="2">
        <v>0</v>
      </c>
    </row>
    <row r="308" spans="1:57" ht="13" hidden="1" x14ac:dyDescent="0.15">
      <c r="A308" s="39" t="s">
        <v>491</v>
      </c>
      <c r="B308" s="2" t="s">
        <v>127</v>
      </c>
      <c r="C308" s="9">
        <v>2017</v>
      </c>
      <c r="D308" s="2" t="s">
        <v>492</v>
      </c>
      <c r="E308" s="2" t="s">
        <v>143</v>
      </c>
      <c r="F308" s="2"/>
      <c r="G308" s="21" t="s">
        <v>113</v>
      </c>
      <c r="H308" s="2"/>
      <c r="I308" s="2" t="s">
        <v>501</v>
      </c>
      <c r="J308" s="56">
        <v>45427</v>
      </c>
      <c r="K308" s="9">
        <v>567</v>
      </c>
      <c r="L308" s="9">
        <v>24</v>
      </c>
      <c r="M308" s="2"/>
      <c r="N308" s="2"/>
      <c r="O308" s="2"/>
      <c r="P308" s="9">
        <f>AVERAGE(1000,1500)</f>
        <v>1250</v>
      </c>
      <c r="Q308" s="11">
        <v>90</v>
      </c>
      <c r="R308" s="9">
        <v>3</v>
      </c>
      <c r="S308" s="9">
        <v>900</v>
      </c>
      <c r="T308" s="2"/>
      <c r="U308" s="55">
        <v>45456</v>
      </c>
      <c r="V308" s="2" t="s">
        <v>287</v>
      </c>
      <c r="W308" s="2" t="s">
        <v>495</v>
      </c>
      <c r="Z308" s="9">
        <v>10</v>
      </c>
      <c r="AA308" s="9">
        <v>1</v>
      </c>
      <c r="AB308" s="2"/>
      <c r="AC308" s="2"/>
      <c r="AD308" s="2"/>
      <c r="AE308" s="2"/>
      <c r="AF308" s="2"/>
      <c r="AG308" s="2"/>
      <c r="AH308" s="9">
        <v>1.2</v>
      </c>
      <c r="AI308" s="9">
        <v>0.1</v>
      </c>
      <c r="AJ308" s="2"/>
      <c r="AK308" s="2"/>
      <c r="AL308" s="9">
        <v>11.2</v>
      </c>
      <c r="AM308" s="9">
        <v>1.2</v>
      </c>
      <c r="AN308" s="2"/>
      <c r="AO308" s="2"/>
      <c r="AP308" s="2"/>
      <c r="AQ308" s="2"/>
      <c r="AR308" s="2"/>
      <c r="AS308" s="2"/>
      <c r="AT308" s="2"/>
      <c r="AU308" s="2"/>
      <c r="AV308" s="2" t="s">
        <v>496</v>
      </c>
      <c r="AW308" s="9">
        <v>47.5</v>
      </c>
      <c r="AX308" s="2" t="s">
        <v>497</v>
      </c>
      <c r="AY308" s="2"/>
      <c r="AZ308" s="2" t="s">
        <v>252</v>
      </c>
      <c r="BA308" s="2" t="s">
        <v>132</v>
      </c>
      <c r="BB308" s="2" t="s">
        <v>422</v>
      </c>
      <c r="BC308" s="6"/>
      <c r="BD308" s="2"/>
      <c r="BE308" s="2">
        <v>0</v>
      </c>
    </row>
    <row r="309" spans="1:57" ht="13" hidden="1" x14ac:dyDescent="0.15">
      <c r="A309" s="39" t="s">
        <v>491</v>
      </c>
      <c r="B309" s="2" t="s">
        <v>127</v>
      </c>
      <c r="C309" s="9">
        <v>2017</v>
      </c>
      <c r="D309" s="2" t="s">
        <v>492</v>
      </c>
      <c r="E309" s="2" t="s">
        <v>143</v>
      </c>
      <c r="F309" s="2"/>
      <c r="G309" s="21" t="s">
        <v>113</v>
      </c>
      <c r="H309" s="2"/>
      <c r="I309" s="2" t="s">
        <v>501</v>
      </c>
      <c r="J309" s="2" t="s">
        <v>405</v>
      </c>
      <c r="K309" s="9">
        <v>567</v>
      </c>
      <c r="L309" s="9">
        <v>24</v>
      </c>
      <c r="M309" s="2"/>
      <c r="N309" s="2"/>
      <c r="O309" s="2"/>
      <c r="P309" s="9">
        <f>AVERAGE(1000,1500)</f>
        <v>1250</v>
      </c>
      <c r="Q309" s="11">
        <v>90</v>
      </c>
      <c r="R309" s="9">
        <v>3</v>
      </c>
      <c r="S309" s="9">
        <v>900</v>
      </c>
      <c r="T309" s="2"/>
      <c r="U309" s="55">
        <v>45456</v>
      </c>
      <c r="V309" s="2" t="s">
        <v>287</v>
      </c>
      <c r="W309" s="2" t="s">
        <v>495</v>
      </c>
      <c r="Z309" s="9">
        <v>9</v>
      </c>
      <c r="AA309" s="9">
        <v>1</v>
      </c>
      <c r="AB309" s="2"/>
      <c r="AC309" s="2"/>
      <c r="AD309" s="2"/>
      <c r="AE309" s="2"/>
      <c r="AF309" s="2"/>
      <c r="AG309" s="2"/>
      <c r="AH309" s="9">
        <v>1.5</v>
      </c>
      <c r="AI309" s="9">
        <v>0.1</v>
      </c>
      <c r="AJ309" s="2"/>
      <c r="AK309" s="2"/>
      <c r="AL309" s="9">
        <v>17.399999999999999</v>
      </c>
      <c r="AM309" s="9">
        <v>2</v>
      </c>
      <c r="AN309" s="2"/>
      <c r="AO309" s="2"/>
      <c r="AP309" s="2"/>
      <c r="AQ309" s="2"/>
      <c r="AR309" s="2"/>
      <c r="AS309" s="2"/>
      <c r="AT309" s="2"/>
      <c r="AU309" s="2"/>
      <c r="AV309" s="2" t="s">
        <v>496</v>
      </c>
      <c r="AW309" s="9">
        <v>46.2</v>
      </c>
      <c r="AX309" s="2" t="s">
        <v>497</v>
      </c>
      <c r="AY309" s="2"/>
      <c r="AZ309" s="2" t="s">
        <v>252</v>
      </c>
      <c r="BA309" s="2" t="s">
        <v>132</v>
      </c>
      <c r="BB309" s="2" t="s">
        <v>422</v>
      </c>
      <c r="BC309" s="6"/>
      <c r="BD309" s="2"/>
      <c r="BE309" s="2">
        <v>0</v>
      </c>
    </row>
    <row r="310" spans="1:57" ht="13" hidden="1" x14ac:dyDescent="0.15">
      <c r="A310" s="39" t="s">
        <v>491</v>
      </c>
      <c r="B310" s="2" t="s">
        <v>127</v>
      </c>
      <c r="C310" s="9">
        <v>2017</v>
      </c>
      <c r="D310" s="2" t="s">
        <v>492</v>
      </c>
      <c r="E310" s="2" t="s">
        <v>143</v>
      </c>
      <c r="F310" s="2"/>
      <c r="G310" s="21" t="s">
        <v>238</v>
      </c>
      <c r="H310" s="2"/>
      <c r="I310" s="2" t="s">
        <v>502</v>
      </c>
      <c r="J310" s="2" t="s">
        <v>179</v>
      </c>
      <c r="K310" s="9">
        <v>567</v>
      </c>
      <c r="L310" s="9">
        <v>24</v>
      </c>
      <c r="M310" s="2"/>
      <c r="N310" s="2"/>
      <c r="O310" s="2"/>
      <c r="P310" s="9">
        <f>AVERAGE(1000,1500)</f>
        <v>1250</v>
      </c>
      <c r="Q310" s="11">
        <v>90</v>
      </c>
      <c r="R310" s="9">
        <v>3</v>
      </c>
      <c r="S310" s="9">
        <v>900</v>
      </c>
      <c r="T310" s="2"/>
      <c r="U310" s="55">
        <v>45456</v>
      </c>
      <c r="V310" s="2" t="s">
        <v>503</v>
      </c>
      <c r="W310" s="2" t="s">
        <v>495</v>
      </c>
      <c r="Z310" s="9">
        <v>14</v>
      </c>
      <c r="AA310" s="9">
        <v>1</v>
      </c>
      <c r="AB310" s="2"/>
      <c r="AC310" s="2"/>
      <c r="AD310" s="2"/>
      <c r="AE310" s="2"/>
      <c r="AF310" s="2"/>
      <c r="AG310" s="2"/>
      <c r="AH310" s="9">
        <v>0.9</v>
      </c>
      <c r="AI310" s="9">
        <v>0.1</v>
      </c>
      <c r="AJ310" s="2"/>
      <c r="AK310" s="2"/>
      <c r="AL310" s="9">
        <v>7.7</v>
      </c>
      <c r="AM310" s="9">
        <v>0</v>
      </c>
      <c r="AN310" s="9">
        <v>2.6</v>
      </c>
      <c r="AO310" s="9">
        <v>50.98</v>
      </c>
      <c r="AP310" s="2"/>
      <c r="AQ310" s="9">
        <v>1</v>
      </c>
      <c r="AR310" s="9">
        <v>7.69</v>
      </c>
      <c r="AS310" s="2"/>
      <c r="AT310" s="2"/>
      <c r="AU310" s="2"/>
      <c r="AV310" s="2" t="s">
        <v>496</v>
      </c>
      <c r="AW310" s="9">
        <v>44.1</v>
      </c>
      <c r="AX310" s="2" t="s">
        <v>497</v>
      </c>
      <c r="AY310" s="2"/>
      <c r="AZ310" s="2" t="s">
        <v>252</v>
      </c>
      <c r="BA310" s="2" t="s">
        <v>132</v>
      </c>
      <c r="BB310" s="2" t="s">
        <v>422</v>
      </c>
      <c r="BC310" s="6"/>
      <c r="BD310" s="2"/>
      <c r="BE310" s="2">
        <v>0</v>
      </c>
    </row>
    <row r="311" spans="1:57" ht="13" hidden="1" x14ac:dyDescent="0.15">
      <c r="A311" s="39" t="s">
        <v>491</v>
      </c>
      <c r="B311" s="2" t="s">
        <v>127</v>
      </c>
      <c r="C311" s="9">
        <v>2017</v>
      </c>
      <c r="D311" s="2" t="s">
        <v>492</v>
      </c>
      <c r="E311" s="2" t="s">
        <v>143</v>
      </c>
      <c r="F311" s="2"/>
      <c r="G311" s="21" t="s">
        <v>238</v>
      </c>
      <c r="H311" s="2"/>
      <c r="I311" s="2" t="s">
        <v>502</v>
      </c>
      <c r="J311" s="56">
        <v>45427</v>
      </c>
      <c r="K311" s="9">
        <v>567</v>
      </c>
      <c r="L311" s="9">
        <v>24</v>
      </c>
      <c r="M311" s="2"/>
      <c r="N311" s="2"/>
      <c r="O311" s="2"/>
      <c r="P311" s="9">
        <f>AVERAGE(1000,1500)</f>
        <v>1250</v>
      </c>
      <c r="Q311" s="11">
        <v>90</v>
      </c>
      <c r="R311" s="9">
        <v>3</v>
      </c>
      <c r="S311" s="9">
        <v>900</v>
      </c>
      <c r="T311" s="2"/>
      <c r="U311" s="55">
        <v>45456</v>
      </c>
      <c r="V311" s="2" t="s">
        <v>503</v>
      </c>
      <c r="W311" s="2" t="s">
        <v>495</v>
      </c>
      <c r="Z311" s="9">
        <v>13</v>
      </c>
      <c r="AA311" s="9">
        <v>1</v>
      </c>
      <c r="AB311" s="2"/>
      <c r="AC311" s="2"/>
      <c r="AD311" s="2"/>
      <c r="AE311" s="2"/>
      <c r="AF311" s="2"/>
      <c r="AG311" s="2"/>
      <c r="AH311" s="9">
        <v>1</v>
      </c>
      <c r="AI311" s="9">
        <v>0.1</v>
      </c>
      <c r="AJ311" s="2"/>
      <c r="AK311" s="2"/>
      <c r="AL311" s="9">
        <v>12.8</v>
      </c>
      <c r="AM311" s="9">
        <v>1.1000000000000001</v>
      </c>
      <c r="AN311" s="9">
        <v>-0.5</v>
      </c>
      <c r="AO311" s="9">
        <v>-3.76</v>
      </c>
      <c r="AP311" s="2"/>
      <c r="AQ311" s="9">
        <v>1</v>
      </c>
      <c r="AR311" s="9">
        <v>8.33</v>
      </c>
      <c r="AS311" s="2"/>
      <c r="AT311" s="2"/>
      <c r="AU311" s="2"/>
      <c r="AV311" s="2" t="s">
        <v>496</v>
      </c>
      <c r="AW311" s="9">
        <v>43.1</v>
      </c>
      <c r="AX311" s="2" t="s">
        <v>497</v>
      </c>
      <c r="AY311" s="2"/>
      <c r="AZ311" s="2" t="s">
        <v>252</v>
      </c>
      <c r="BA311" s="2" t="s">
        <v>132</v>
      </c>
      <c r="BB311" s="2" t="s">
        <v>422</v>
      </c>
      <c r="BC311" s="6"/>
      <c r="BD311" s="2"/>
      <c r="BE311" s="2">
        <v>0</v>
      </c>
    </row>
    <row r="312" spans="1:57" ht="13" hidden="1" x14ac:dyDescent="0.15">
      <c r="A312" s="39" t="s">
        <v>491</v>
      </c>
      <c r="B312" s="2" t="s">
        <v>127</v>
      </c>
      <c r="C312" s="9">
        <v>2017</v>
      </c>
      <c r="D312" s="2" t="s">
        <v>492</v>
      </c>
      <c r="E312" s="2" t="s">
        <v>143</v>
      </c>
      <c r="F312" s="2"/>
      <c r="G312" s="21" t="s">
        <v>238</v>
      </c>
      <c r="H312" s="2"/>
      <c r="I312" s="2" t="s">
        <v>502</v>
      </c>
      <c r="J312" s="2" t="s">
        <v>405</v>
      </c>
      <c r="K312" s="9">
        <v>567</v>
      </c>
      <c r="L312" s="9">
        <v>24</v>
      </c>
      <c r="M312" s="2"/>
      <c r="N312" s="2"/>
      <c r="O312" s="2"/>
      <c r="P312" s="9">
        <f>AVERAGE(1000,1500)</f>
        <v>1250</v>
      </c>
      <c r="Q312" s="11">
        <v>90</v>
      </c>
      <c r="R312" s="9">
        <v>3</v>
      </c>
      <c r="S312" s="9">
        <v>900</v>
      </c>
      <c r="T312" s="2"/>
      <c r="U312" s="55">
        <v>45456</v>
      </c>
      <c r="V312" s="2" t="s">
        <v>503</v>
      </c>
      <c r="W312" s="2" t="s">
        <v>495</v>
      </c>
      <c r="Z312" s="9">
        <v>11</v>
      </c>
      <c r="AA312" s="9">
        <v>1</v>
      </c>
      <c r="AB312" s="2"/>
      <c r="AC312" s="2"/>
      <c r="AD312" s="2"/>
      <c r="AE312" s="2"/>
      <c r="AF312" s="2"/>
      <c r="AG312" s="2"/>
      <c r="AH312" s="9">
        <v>1.1000000000000001</v>
      </c>
      <c r="AI312" s="9">
        <v>0.1</v>
      </c>
      <c r="AJ312" s="2"/>
      <c r="AK312" s="2"/>
      <c r="AL312" s="9">
        <v>19.2</v>
      </c>
      <c r="AM312" s="9">
        <v>2</v>
      </c>
      <c r="AN312" s="9">
        <v>2.8</v>
      </c>
      <c r="AO312" s="9">
        <v>17.07</v>
      </c>
      <c r="AP312" s="2"/>
      <c r="AQ312" s="9">
        <v>1</v>
      </c>
      <c r="AR312" s="9">
        <v>10</v>
      </c>
      <c r="AS312" s="2"/>
      <c r="AT312" s="2"/>
      <c r="AU312" s="2"/>
      <c r="AV312" s="2" t="s">
        <v>496</v>
      </c>
      <c r="AW312" s="9">
        <v>41.8</v>
      </c>
      <c r="AX312" s="2" t="s">
        <v>497</v>
      </c>
      <c r="AY312" s="2"/>
      <c r="AZ312" s="2" t="s">
        <v>252</v>
      </c>
      <c r="BA312" s="2" t="s">
        <v>132</v>
      </c>
      <c r="BB312" s="2" t="s">
        <v>422</v>
      </c>
      <c r="BC312" s="6"/>
      <c r="BD312" s="2"/>
      <c r="BE312" s="2">
        <v>0</v>
      </c>
    </row>
    <row r="313" spans="1:57" ht="13" hidden="1" x14ac:dyDescent="0.15">
      <c r="A313" s="39" t="s">
        <v>491</v>
      </c>
      <c r="B313" s="2" t="s">
        <v>127</v>
      </c>
      <c r="C313" s="9">
        <v>2017</v>
      </c>
      <c r="D313" s="2" t="s">
        <v>492</v>
      </c>
      <c r="E313" s="2" t="s">
        <v>143</v>
      </c>
      <c r="F313" s="2"/>
      <c r="G313" s="21" t="s">
        <v>113</v>
      </c>
      <c r="H313" s="2"/>
      <c r="I313" s="2" t="s">
        <v>504</v>
      </c>
      <c r="J313" s="2" t="s">
        <v>179</v>
      </c>
      <c r="K313" s="9">
        <v>567</v>
      </c>
      <c r="L313" s="9">
        <v>24</v>
      </c>
      <c r="M313" s="2"/>
      <c r="N313" s="2"/>
      <c r="O313" s="2"/>
      <c r="P313" s="9">
        <f>AVERAGE(1000,1500)</f>
        <v>1250</v>
      </c>
      <c r="Q313" s="11">
        <v>90</v>
      </c>
      <c r="R313" s="9">
        <v>3</v>
      </c>
      <c r="S313" s="9">
        <v>900</v>
      </c>
      <c r="T313" s="2"/>
      <c r="U313" s="55">
        <v>45456</v>
      </c>
      <c r="V313" s="2" t="s">
        <v>287</v>
      </c>
      <c r="W313" s="2" t="s">
        <v>495</v>
      </c>
      <c r="Z313" s="9">
        <v>13</v>
      </c>
      <c r="AA313" s="9">
        <v>1</v>
      </c>
      <c r="AB313" s="2"/>
      <c r="AC313" s="2"/>
      <c r="AD313" s="2"/>
      <c r="AE313" s="2"/>
      <c r="AF313" s="2"/>
      <c r="AG313" s="2"/>
      <c r="AH313" s="9">
        <v>1.1000000000000001</v>
      </c>
      <c r="AI313" s="9">
        <v>0.1</v>
      </c>
      <c r="AJ313" s="2"/>
      <c r="AK313" s="2"/>
      <c r="AL313" s="9">
        <v>5.0999999999999996</v>
      </c>
      <c r="AM313" s="9">
        <v>0.5</v>
      </c>
      <c r="AN313" s="2"/>
      <c r="AO313" s="2"/>
      <c r="AP313" s="2"/>
      <c r="AQ313" s="2"/>
      <c r="AR313" s="2"/>
      <c r="AS313" s="2"/>
      <c r="AT313" s="2"/>
      <c r="AU313" s="2"/>
      <c r="AV313" s="2" t="s">
        <v>496</v>
      </c>
      <c r="AW313" s="9">
        <v>44.7</v>
      </c>
      <c r="AX313" s="2" t="s">
        <v>497</v>
      </c>
      <c r="AY313" s="2"/>
      <c r="AZ313" s="2" t="s">
        <v>252</v>
      </c>
      <c r="BA313" s="2" t="s">
        <v>132</v>
      </c>
      <c r="BB313" s="2" t="s">
        <v>422</v>
      </c>
      <c r="BC313" s="6"/>
      <c r="BD313" s="2"/>
      <c r="BE313" s="2">
        <v>0</v>
      </c>
    </row>
    <row r="314" spans="1:57" ht="13" hidden="1" x14ac:dyDescent="0.15">
      <c r="A314" s="39" t="s">
        <v>491</v>
      </c>
      <c r="B314" s="2" t="s">
        <v>127</v>
      </c>
      <c r="C314" s="9">
        <v>2017</v>
      </c>
      <c r="D314" s="2" t="s">
        <v>492</v>
      </c>
      <c r="E314" s="2" t="s">
        <v>143</v>
      </c>
      <c r="F314" s="2"/>
      <c r="G314" s="21" t="s">
        <v>113</v>
      </c>
      <c r="H314" s="2"/>
      <c r="I314" s="2" t="s">
        <v>504</v>
      </c>
      <c r="J314" s="56">
        <v>45427</v>
      </c>
      <c r="K314" s="9">
        <v>567</v>
      </c>
      <c r="L314" s="9">
        <v>24</v>
      </c>
      <c r="M314" s="2"/>
      <c r="N314" s="2"/>
      <c r="O314" s="2"/>
      <c r="P314" s="9">
        <f>AVERAGE(1000,1500)</f>
        <v>1250</v>
      </c>
      <c r="Q314" s="11">
        <v>90</v>
      </c>
      <c r="R314" s="9">
        <v>3</v>
      </c>
      <c r="S314" s="9">
        <v>900</v>
      </c>
      <c r="T314" s="2"/>
      <c r="U314" s="55">
        <v>45456</v>
      </c>
      <c r="V314" s="2" t="s">
        <v>287</v>
      </c>
      <c r="W314" s="2" t="s">
        <v>495</v>
      </c>
      <c r="Z314" s="9">
        <v>12</v>
      </c>
      <c r="AA314" s="9">
        <v>1</v>
      </c>
      <c r="AB314" s="2"/>
      <c r="AC314" s="2"/>
      <c r="AD314" s="2"/>
      <c r="AE314" s="2"/>
      <c r="AF314" s="2"/>
      <c r="AG314" s="2"/>
      <c r="AH314" s="9">
        <v>1.1000000000000001</v>
      </c>
      <c r="AI314" s="9">
        <v>0.1</v>
      </c>
      <c r="AJ314" s="2"/>
      <c r="AK314" s="2"/>
      <c r="AL314" s="9">
        <v>13.3</v>
      </c>
      <c r="AM314" s="9">
        <v>1.7</v>
      </c>
      <c r="AN314" s="2"/>
      <c r="AO314" s="2"/>
      <c r="AP314" s="2"/>
      <c r="AQ314" s="2"/>
      <c r="AR314" s="2"/>
      <c r="AS314" s="2"/>
      <c r="AT314" s="2"/>
      <c r="AU314" s="2"/>
      <c r="AV314" s="2" t="s">
        <v>496</v>
      </c>
      <c r="AW314" s="9">
        <v>44.2</v>
      </c>
      <c r="AX314" s="2" t="s">
        <v>497</v>
      </c>
      <c r="AY314" s="2"/>
      <c r="AZ314" s="2" t="s">
        <v>252</v>
      </c>
      <c r="BA314" s="2" t="s">
        <v>132</v>
      </c>
      <c r="BB314" s="2" t="s">
        <v>422</v>
      </c>
      <c r="BC314" s="6"/>
      <c r="BD314" s="2"/>
      <c r="BE314" s="2">
        <v>0</v>
      </c>
    </row>
    <row r="315" spans="1:57" ht="13" hidden="1" x14ac:dyDescent="0.15">
      <c r="A315" s="39" t="s">
        <v>491</v>
      </c>
      <c r="B315" s="2" t="s">
        <v>127</v>
      </c>
      <c r="C315" s="9">
        <v>2017</v>
      </c>
      <c r="D315" s="2" t="s">
        <v>492</v>
      </c>
      <c r="E315" s="2" t="s">
        <v>143</v>
      </c>
      <c r="F315" s="2"/>
      <c r="G315" s="21" t="s">
        <v>113</v>
      </c>
      <c r="H315" s="2"/>
      <c r="I315" s="2" t="s">
        <v>504</v>
      </c>
      <c r="J315" s="2" t="s">
        <v>405</v>
      </c>
      <c r="K315" s="9">
        <v>567</v>
      </c>
      <c r="L315" s="9">
        <v>24</v>
      </c>
      <c r="M315" s="2"/>
      <c r="N315" s="2"/>
      <c r="O315" s="2"/>
      <c r="P315" s="9">
        <f>AVERAGE(1000,1500)</f>
        <v>1250</v>
      </c>
      <c r="Q315" s="11">
        <v>90</v>
      </c>
      <c r="R315" s="9">
        <v>3</v>
      </c>
      <c r="S315" s="9">
        <v>900</v>
      </c>
      <c r="T315" s="2"/>
      <c r="U315" s="55">
        <v>45456</v>
      </c>
      <c r="V315" s="2" t="s">
        <v>287</v>
      </c>
      <c r="W315" s="2" t="s">
        <v>495</v>
      </c>
      <c r="Z315" s="9">
        <v>10</v>
      </c>
      <c r="AA315" s="9">
        <v>1</v>
      </c>
      <c r="AB315" s="2"/>
      <c r="AC315" s="2"/>
      <c r="AD315" s="2"/>
      <c r="AE315" s="2"/>
      <c r="AF315" s="2"/>
      <c r="AG315" s="2"/>
      <c r="AH315" s="9">
        <v>1.2</v>
      </c>
      <c r="AI315" s="9">
        <v>0.1</v>
      </c>
      <c r="AJ315" s="2"/>
      <c r="AK315" s="2"/>
      <c r="AL315" s="9">
        <v>16.399999999999999</v>
      </c>
      <c r="AM315" s="9">
        <v>1.1000000000000001</v>
      </c>
      <c r="AN315" s="2"/>
      <c r="AO315" s="2"/>
      <c r="AP315" s="2"/>
      <c r="AQ315" s="2"/>
      <c r="AR315" s="2"/>
      <c r="AS315" s="2"/>
      <c r="AT315" s="2"/>
      <c r="AU315" s="2"/>
      <c r="AV315" s="2" t="s">
        <v>496</v>
      </c>
      <c r="AW315" s="9">
        <v>44.6</v>
      </c>
      <c r="AX315" s="2" t="s">
        <v>497</v>
      </c>
      <c r="AY315" s="2"/>
      <c r="AZ315" s="2" t="s">
        <v>252</v>
      </c>
      <c r="BA315" s="2" t="s">
        <v>132</v>
      </c>
      <c r="BB315" s="2" t="s">
        <v>422</v>
      </c>
      <c r="BC315" s="6"/>
      <c r="BD315" s="2"/>
      <c r="BE315" s="2">
        <v>0</v>
      </c>
    </row>
    <row r="316" spans="1:57" ht="13" hidden="1" x14ac:dyDescent="0.15">
      <c r="A316" s="39" t="s">
        <v>505</v>
      </c>
      <c r="B316" s="2" t="s">
        <v>506</v>
      </c>
      <c r="C316" s="9">
        <v>2024</v>
      </c>
      <c r="D316" s="2" t="s">
        <v>507</v>
      </c>
      <c r="E316" s="2" t="s">
        <v>143</v>
      </c>
      <c r="F316" s="2"/>
      <c r="G316" s="21" t="s">
        <v>238</v>
      </c>
      <c r="H316" s="2"/>
      <c r="I316" s="2" t="s">
        <v>508</v>
      </c>
      <c r="J316" s="2" t="s">
        <v>358</v>
      </c>
      <c r="K316" s="9">
        <v>650</v>
      </c>
      <c r="L316" s="9">
        <v>26.5</v>
      </c>
      <c r="M316" s="2"/>
      <c r="N316" s="2"/>
      <c r="O316" s="2"/>
      <c r="P316" s="2"/>
      <c r="Q316" s="11">
        <v>90</v>
      </c>
      <c r="R316" s="9">
        <v>5</v>
      </c>
      <c r="S316" s="9">
        <v>1000</v>
      </c>
      <c r="T316" s="2"/>
      <c r="U316" s="55">
        <v>45525</v>
      </c>
      <c r="V316" s="9">
        <v>96</v>
      </c>
      <c r="W316" s="2" t="s">
        <v>509</v>
      </c>
      <c r="X316" s="2"/>
      <c r="Y316" s="2"/>
      <c r="Z316" s="9">
        <v>9</v>
      </c>
      <c r="AA316" s="9">
        <v>1</v>
      </c>
      <c r="AB316" s="2"/>
      <c r="AC316" s="2"/>
      <c r="AD316" s="2"/>
      <c r="AE316" s="2"/>
      <c r="AF316" s="2"/>
      <c r="AG316" s="2"/>
      <c r="AH316" s="2"/>
      <c r="AI316" s="2"/>
      <c r="AJ316" s="2"/>
      <c r="AK316" s="2"/>
      <c r="AL316" s="2"/>
      <c r="AM316" s="2"/>
      <c r="AN316" s="2"/>
      <c r="AO316" s="2"/>
      <c r="AP316" s="2"/>
      <c r="AQ316" s="9">
        <v>4.8</v>
      </c>
      <c r="AR316" s="9">
        <v>114.29</v>
      </c>
      <c r="AS316" s="2"/>
      <c r="AT316" s="2"/>
      <c r="AU316" s="2"/>
      <c r="AV316" s="2"/>
      <c r="AW316" s="2"/>
      <c r="AX316" s="2"/>
      <c r="AY316" s="2"/>
      <c r="AZ316" s="2"/>
      <c r="BA316" s="2" t="s">
        <v>132</v>
      </c>
      <c r="BB316" s="2" t="s">
        <v>422</v>
      </c>
      <c r="BC316" s="6"/>
      <c r="BD316" s="2"/>
      <c r="BE316" s="2">
        <v>0</v>
      </c>
    </row>
    <row r="317" spans="1:57" ht="13" hidden="1" x14ac:dyDescent="0.15">
      <c r="A317" s="39" t="s">
        <v>505</v>
      </c>
      <c r="B317" s="2" t="s">
        <v>506</v>
      </c>
      <c r="C317" s="9">
        <v>2024</v>
      </c>
      <c r="D317" s="2" t="s">
        <v>507</v>
      </c>
      <c r="E317" s="2" t="s">
        <v>143</v>
      </c>
      <c r="F317" s="2"/>
      <c r="G317" s="21" t="s">
        <v>113</v>
      </c>
      <c r="H317" s="2"/>
      <c r="I317" s="2" t="s">
        <v>510</v>
      </c>
      <c r="J317" s="2" t="s">
        <v>358</v>
      </c>
      <c r="K317" s="9">
        <v>650</v>
      </c>
      <c r="L317" s="9">
        <v>26.5</v>
      </c>
      <c r="M317" s="2"/>
      <c r="N317" s="2"/>
      <c r="O317" s="2"/>
      <c r="P317" s="2"/>
      <c r="Q317" s="11">
        <v>90</v>
      </c>
      <c r="R317" s="9">
        <v>5</v>
      </c>
      <c r="S317" s="9">
        <v>1000</v>
      </c>
      <c r="T317" s="2"/>
      <c r="U317" s="55">
        <v>45556</v>
      </c>
      <c r="V317" s="9">
        <v>96</v>
      </c>
      <c r="W317" s="2" t="s">
        <v>509</v>
      </c>
      <c r="X317" s="2"/>
      <c r="Y317" s="2"/>
      <c r="Z317" s="9">
        <v>4.2</v>
      </c>
      <c r="AA317" s="9">
        <v>0.3</v>
      </c>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t="s">
        <v>132</v>
      </c>
      <c r="BB317" s="2" t="s">
        <v>422</v>
      </c>
      <c r="BC317" s="6"/>
      <c r="BD317" s="2"/>
      <c r="BE317" s="2">
        <v>0</v>
      </c>
    </row>
    <row r="318" spans="1:57" ht="14" hidden="1" x14ac:dyDescent="0.15">
      <c r="A318" s="57" t="s">
        <v>511</v>
      </c>
      <c r="B318" s="21" t="s">
        <v>159</v>
      </c>
      <c r="C318" s="34">
        <v>2004</v>
      </c>
      <c r="D318" s="2" t="s">
        <v>512</v>
      </c>
      <c r="E318" s="21" t="s">
        <v>135</v>
      </c>
      <c r="F318" s="21"/>
      <c r="G318" s="8" t="s">
        <v>200</v>
      </c>
      <c r="H318" s="21"/>
      <c r="I318" s="21" t="s">
        <v>513</v>
      </c>
      <c r="J318" s="21" t="s">
        <v>214</v>
      </c>
      <c r="K318" s="34">
        <v>678</v>
      </c>
      <c r="L318" s="34">
        <v>22</v>
      </c>
      <c r="M318" s="21"/>
      <c r="N318" s="21"/>
      <c r="O318" s="21"/>
      <c r="P318" s="21"/>
      <c r="Q318" s="45">
        <v>17</v>
      </c>
      <c r="R318" s="34">
        <v>19</v>
      </c>
      <c r="S318" s="21"/>
      <c r="T318" s="21" t="s">
        <v>514</v>
      </c>
      <c r="U318" s="34">
        <v>2003</v>
      </c>
      <c r="V318" s="21" t="s">
        <v>515</v>
      </c>
      <c r="W318" s="21" t="s">
        <v>516</v>
      </c>
      <c r="X318" s="21"/>
      <c r="Y318" s="21"/>
      <c r="Z318" s="34">
        <v>19</v>
      </c>
      <c r="AA318" s="21"/>
      <c r="AB318" s="21"/>
      <c r="AC318" s="21"/>
      <c r="AD318" s="21"/>
      <c r="AE318" s="21"/>
      <c r="AF318" s="21"/>
      <c r="AG318" s="21"/>
      <c r="AH318" s="21"/>
      <c r="AI318" s="21"/>
      <c r="AJ318" s="21"/>
      <c r="AK318" s="21"/>
      <c r="AL318" s="21"/>
      <c r="AM318" s="21"/>
      <c r="AN318" s="21"/>
      <c r="AO318" s="21"/>
      <c r="AP318" s="21"/>
      <c r="AQ318" s="34">
        <f>Z318-Z319</f>
        <v>2.1999999999999993</v>
      </c>
      <c r="AR318" s="34">
        <f>(AQ318/Z319)*100</f>
        <v>13.09523809523809</v>
      </c>
      <c r="AS318" s="21"/>
      <c r="AT318" s="21"/>
      <c r="AU318" s="21"/>
      <c r="AV318" s="21" t="s">
        <v>517</v>
      </c>
      <c r="AW318" s="21"/>
      <c r="AX318" s="21"/>
      <c r="AY318" s="21"/>
      <c r="AZ318" s="21"/>
      <c r="BA318" s="21"/>
      <c r="BB318" s="21" t="s">
        <v>422</v>
      </c>
      <c r="BC318" s="37"/>
      <c r="BD318" s="21"/>
      <c r="BE318" s="2">
        <v>0</v>
      </c>
    </row>
    <row r="319" spans="1:57" ht="13" hidden="1" x14ac:dyDescent="0.15">
      <c r="A319" s="57" t="s">
        <v>511</v>
      </c>
      <c r="B319" s="21" t="s">
        <v>159</v>
      </c>
      <c r="C319" s="34">
        <v>2004</v>
      </c>
      <c r="D319" s="2" t="s">
        <v>512</v>
      </c>
      <c r="E319" s="21" t="s">
        <v>135</v>
      </c>
      <c r="F319" s="21"/>
      <c r="G319" s="21" t="s">
        <v>113</v>
      </c>
      <c r="H319" s="21"/>
      <c r="I319" s="21" t="s">
        <v>518</v>
      </c>
      <c r="J319" s="21" t="s">
        <v>214</v>
      </c>
      <c r="K319" s="34">
        <v>678</v>
      </c>
      <c r="L319" s="34">
        <v>22</v>
      </c>
      <c r="M319" s="21"/>
      <c r="N319" s="21"/>
      <c r="O319" s="21"/>
      <c r="P319" s="21"/>
      <c r="Q319" s="45">
        <v>17</v>
      </c>
      <c r="R319" s="34">
        <v>19</v>
      </c>
      <c r="S319" s="21"/>
      <c r="T319" s="21" t="s">
        <v>514</v>
      </c>
      <c r="U319" s="34">
        <v>2003</v>
      </c>
      <c r="V319" s="21" t="s">
        <v>515</v>
      </c>
      <c r="W319" s="21" t="s">
        <v>516</v>
      </c>
      <c r="X319" s="21"/>
      <c r="Y319" s="21"/>
      <c r="Z319" s="34">
        <v>16.8</v>
      </c>
      <c r="AA319" s="21"/>
      <c r="AB319" s="21"/>
      <c r="AC319" s="21"/>
      <c r="AD319" s="21"/>
      <c r="AE319" s="21"/>
      <c r="AF319" s="21"/>
      <c r="AG319" s="21"/>
      <c r="AH319" s="21"/>
      <c r="AI319" s="21"/>
      <c r="AJ319" s="21"/>
      <c r="AK319" s="21"/>
      <c r="AL319" s="21"/>
      <c r="AM319" s="21"/>
      <c r="AN319" s="21"/>
      <c r="AO319" s="21"/>
      <c r="AP319" s="21"/>
      <c r="AQ319" s="21"/>
      <c r="AR319" s="21"/>
      <c r="AS319" s="21"/>
      <c r="AT319" s="21"/>
      <c r="AU319" s="21"/>
      <c r="AV319" s="21" t="s">
        <v>517</v>
      </c>
      <c r="AW319" s="21"/>
      <c r="AX319" s="21"/>
      <c r="AY319" s="21"/>
      <c r="AZ319" s="21"/>
      <c r="BA319" s="21"/>
      <c r="BB319" s="21" t="s">
        <v>422</v>
      </c>
      <c r="BC319" s="37"/>
      <c r="BD319" s="21"/>
      <c r="BE319" s="2">
        <v>0</v>
      </c>
    </row>
    <row r="320" spans="1:57" ht="14" hidden="1" x14ac:dyDescent="0.15">
      <c r="A320" s="39" t="s">
        <v>511</v>
      </c>
      <c r="B320" s="2" t="s">
        <v>159</v>
      </c>
      <c r="C320" s="9">
        <v>2004</v>
      </c>
      <c r="D320" s="2" t="s">
        <v>512</v>
      </c>
      <c r="E320" s="2" t="s">
        <v>135</v>
      </c>
      <c r="F320" s="2"/>
      <c r="G320" s="8" t="s">
        <v>200</v>
      </c>
      <c r="H320" s="2"/>
      <c r="I320" s="2" t="s">
        <v>513</v>
      </c>
      <c r="J320" s="2" t="s">
        <v>519</v>
      </c>
      <c r="K320" s="9">
        <v>678</v>
      </c>
      <c r="L320" s="9">
        <v>22</v>
      </c>
      <c r="M320" s="2"/>
      <c r="N320" s="2"/>
      <c r="O320" s="2"/>
      <c r="P320" s="2"/>
      <c r="Q320" s="17"/>
      <c r="R320" s="9">
        <v>4</v>
      </c>
      <c r="S320" s="2"/>
      <c r="T320" s="9">
        <v>1955</v>
      </c>
      <c r="U320" s="9">
        <v>2003</v>
      </c>
      <c r="V320" s="9">
        <v>576</v>
      </c>
      <c r="W320" s="2" t="s">
        <v>516</v>
      </c>
      <c r="X320" s="2"/>
      <c r="Y320" s="2"/>
      <c r="Z320" s="9">
        <v>27</v>
      </c>
      <c r="AA320" s="9">
        <v>8</v>
      </c>
      <c r="AB320" s="2"/>
      <c r="AC320" s="2"/>
      <c r="AD320" s="2"/>
      <c r="AE320" s="2"/>
      <c r="AF320" s="2"/>
      <c r="AG320" s="2"/>
      <c r="AH320" s="2"/>
      <c r="AI320" s="2"/>
      <c r="AJ320" s="2"/>
      <c r="AK320" s="2"/>
      <c r="AL320" s="2"/>
      <c r="AM320" s="2"/>
      <c r="AN320" s="2"/>
      <c r="AO320" s="2"/>
      <c r="AP320" s="2"/>
      <c r="AQ320" s="9">
        <v>19.5</v>
      </c>
      <c r="AR320" s="9">
        <v>260</v>
      </c>
      <c r="AS320" s="2"/>
      <c r="AT320" s="2"/>
      <c r="AU320" s="2"/>
      <c r="AV320" s="2" t="s">
        <v>517</v>
      </c>
      <c r="AW320" s="2"/>
      <c r="AX320" s="2"/>
      <c r="AY320" s="2"/>
      <c r="AZ320" s="2"/>
      <c r="BA320" s="2"/>
      <c r="BB320" s="2" t="s">
        <v>422</v>
      </c>
      <c r="BC320" s="6"/>
      <c r="BD320" s="2"/>
      <c r="BE320" s="2">
        <v>0</v>
      </c>
    </row>
    <row r="321" spans="1:57" ht="14" hidden="1" x14ac:dyDescent="0.15">
      <c r="A321" s="39" t="s">
        <v>511</v>
      </c>
      <c r="B321" s="2" t="s">
        <v>159</v>
      </c>
      <c r="C321" s="9">
        <v>2004</v>
      </c>
      <c r="D321" s="2" t="s">
        <v>512</v>
      </c>
      <c r="E321" s="2" t="s">
        <v>135</v>
      </c>
      <c r="F321" s="2"/>
      <c r="G321" s="8" t="s">
        <v>200</v>
      </c>
      <c r="H321" s="2"/>
      <c r="I321" s="2" t="s">
        <v>513</v>
      </c>
      <c r="J321" s="56">
        <v>45293</v>
      </c>
      <c r="K321" s="9">
        <v>678</v>
      </c>
      <c r="L321" s="9">
        <v>22</v>
      </c>
      <c r="M321" s="2"/>
      <c r="N321" s="2"/>
      <c r="O321" s="2"/>
      <c r="P321" s="2"/>
      <c r="Q321" s="17"/>
      <c r="R321" s="9">
        <v>4</v>
      </c>
      <c r="S321" s="2"/>
      <c r="T321" s="9">
        <v>1955</v>
      </c>
      <c r="U321" s="9">
        <v>2003</v>
      </c>
      <c r="V321" s="9">
        <v>576</v>
      </c>
      <c r="W321" s="2" t="s">
        <v>516</v>
      </c>
      <c r="X321" s="2"/>
      <c r="Y321" s="2"/>
      <c r="Z321" s="9">
        <v>12</v>
      </c>
      <c r="AA321" s="9">
        <v>2</v>
      </c>
      <c r="AB321" s="2"/>
      <c r="AC321" s="2"/>
      <c r="AD321" s="2"/>
      <c r="AE321" s="2"/>
      <c r="AF321" s="2"/>
      <c r="AG321" s="2"/>
      <c r="AH321" s="2"/>
      <c r="AI321" s="2"/>
      <c r="AJ321" s="2"/>
      <c r="AK321" s="2"/>
      <c r="AL321" s="2"/>
      <c r="AM321" s="2"/>
      <c r="AN321" s="2"/>
      <c r="AO321" s="2"/>
      <c r="AP321" s="2"/>
      <c r="AQ321" s="9">
        <v>6</v>
      </c>
      <c r="AR321" s="9">
        <v>100</v>
      </c>
      <c r="AS321" s="2"/>
      <c r="AT321" s="2"/>
      <c r="AU321" s="2"/>
      <c r="AV321" s="2" t="s">
        <v>517</v>
      </c>
      <c r="AW321" s="2"/>
      <c r="AX321" s="2"/>
      <c r="AY321" s="2"/>
      <c r="AZ321" s="2"/>
      <c r="BA321" s="2"/>
      <c r="BB321" s="2" t="s">
        <v>422</v>
      </c>
      <c r="BC321" s="6"/>
      <c r="BD321" s="2"/>
      <c r="BE321" s="2">
        <v>0</v>
      </c>
    </row>
    <row r="322" spans="1:57" ht="14" hidden="1" x14ac:dyDescent="0.15">
      <c r="A322" s="39" t="s">
        <v>511</v>
      </c>
      <c r="B322" s="2" t="s">
        <v>159</v>
      </c>
      <c r="C322" s="9">
        <v>2004</v>
      </c>
      <c r="D322" s="2" t="s">
        <v>512</v>
      </c>
      <c r="E322" s="2" t="s">
        <v>135</v>
      </c>
      <c r="F322" s="2"/>
      <c r="G322" s="8" t="s">
        <v>200</v>
      </c>
      <c r="H322" s="2"/>
      <c r="I322" s="2" t="s">
        <v>513</v>
      </c>
      <c r="J322" s="56">
        <v>45355</v>
      </c>
      <c r="K322" s="9">
        <v>678</v>
      </c>
      <c r="L322" s="9">
        <v>22</v>
      </c>
      <c r="M322" s="2"/>
      <c r="N322" s="2"/>
      <c r="O322" s="2"/>
      <c r="P322" s="2"/>
      <c r="Q322" s="17"/>
      <c r="R322" s="9">
        <v>4</v>
      </c>
      <c r="S322" s="2"/>
      <c r="T322" s="9">
        <v>1955</v>
      </c>
      <c r="U322" s="9">
        <v>2003</v>
      </c>
      <c r="V322" s="9">
        <v>576</v>
      </c>
      <c r="W322" s="2" t="s">
        <v>516</v>
      </c>
      <c r="X322" s="2"/>
      <c r="Y322" s="2"/>
      <c r="Z322" s="9">
        <v>9</v>
      </c>
      <c r="AA322" s="9">
        <v>1.5</v>
      </c>
      <c r="AB322" s="2"/>
      <c r="AC322" s="2"/>
      <c r="AD322" s="2"/>
      <c r="AE322" s="2"/>
      <c r="AF322" s="2"/>
      <c r="AG322" s="2"/>
      <c r="AH322" s="2"/>
      <c r="AI322" s="2"/>
      <c r="AJ322" s="2"/>
      <c r="AK322" s="2"/>
      <c r="AL322" s="2"/>
      <c r="AM322" s="2"/>
      <c r="AN322" s="2"/>
      <c r="AO322" s="2"/>
      <c r="AP322" s="2"/>
      <c r="AQ322" s="9">
        <v>4</v>
      </c>
      <c r="AR322" s="9">
        <v>80</v>
      </c>
      <c r="AS322" s="2"/>
      <c r="AT322" s="2"/>
      <c r="AU322" s="2"/>
      <c r="AV322" s="2" t="s">
        <v>517</v>
      </c>
      <c r="AW322" s="2"/>
      <c r="AX322" s="2"/>
      <c r="AY322" s="2"/>
      <c r="AZ322" s="2"/>
      <c r="BA322" s="2"/>
      <c r="BB322" s="2" t="s">
        <v>422</v>
      </c>
      <c r="BC322" s="6"/>
      <c r="BD322" s="2"/>
      <c r="BE322" s="2">
        <v>0</v>
      </c>
    </row>
    <row r="323" spans="1:57" ht="14" hidden="1" x14ac:dyDescent="0.15">
      <c r="A323" s="39" t="s">
        <v>511</v>
      </c>
      <c r="B323" s="2" t="s">
        <v>159</v>
      </c>
      <c r="C323" s="9">
        <v>2004</v>
      </c>
      <c r="D323" s="2" t="s">
        <v>512</v>
      </c>
      <c r="E323" s="2" t="s">
        <v>135</v>
      </c>
      <c r="F323" s="2"/>
      <c r="G323" s="8" t="s">
        <v>200</v>
      </c>
      <c r="H323" s="2"/>
      <c r="I323" s="2" t="s">
        <v>513</v>
      </c>
      <c r="J323" s="56">
        <v>45580</v>
      </c>
      <c r="K323" s="9">
        <v>678</v>
      </c>
      <c r="L323" s="9">
        <v>22</v>
      </c>
      <c r="M323" s="2"/>
      <c r="N323" s="2"/>
      <c r="O323" s="2"/>
      <c r="P323" s="2"/>
      <c r="Q323" s="17"/>
      <c r="R323" s="9">
        <v>4</v>
      </c>
      <c r="S323" s="2"/>
      <c r="T323" s="9">
        <v>1955</v>
      </c>
      <c r="U323" s="9">
        <v>2003</v>
      </c>
      <c r="V323" s="9">
        <v>576</v>
      </c>
      <c r="W323" s="2" t="s">
        <v>516</v>
      </c>
      <c r="X323" s="2"/>
      <c r="Y323" s="2"/>
      <c r="Z323" s="9">
        <v>5</v>
      </c>
      <c r="AA323" s="9">
        <v>4</v>
      </c>
      <c r="AB323" s="2"/>
      <c r="AC323" s="2"/>
      <c r="AD323" s="2"/>
      <c r="AE323" s="2"/>
      <c r="AF323" s="2"/>
      <c r="AG323" s="2"/>
      <c r="AH323" s="2"/>
      <c r="AI323" s="2"/>
      <c r="AJ323" s="2"/>
      <c r="AK323" s="2"/>
      <c r="AL323" s="2"/>
      <c r="AM323" s="2"/>
      <c r="AN323" s="2"/>
      <c r="AO323" s="2"/>
      <c r="AP323" s="2"/>
      <c r="AQ323" s="9">
        <v>2.5</v>
      </c>
      <c r="AR323" s="9">
        <v>100</v>
      </c>
      <c r="AS323" s="2"/>
      <c r="AT323" s="2"/>
      <c r="AU323" s="2"/>
      <c r="AV323" s="2" t="s">
        <v>517</v>
      </c>
      <c r="AW323" s="2"/>
      <c r="AX323" s="2"/>
      <c r="AY323" s="2"/>
      <c r="AZ323" s="2"/>
      <c r="BA323" s="2"/>
      <c r="BB323" s="2" t="s">
        <v>422</v>
      </c>
      <c r="BC323" s="6"/>
      <c r="BD323" s="2"/>
      <c r="BE323" s="2">
        <v>0</v>
      </c>
    </row>
    <row r="324" spans="1:57" ht="13" hidden="1" x14ac:dyDescent="0.15">
      <c r="A324" s="39" t="s">
        <v>511</v>
      </c>
      <c r="B324" s="2" t="s">
        <v>159</v>
      </c>
      <c r="C324" s="9">
        <v>2004</v>
      </c>
      <c r="D324" s="2" t="s">
        <v>512</v>
      </c>
      <c r="E324" s="2" t="s">
        <v>135</v>
      </c>
      <c r="F324" s="2"/>
      <c r="G324" s="21" t="s">
        <v>113</v>
      </c>
      <c r="H324" s="2"/>
      <c r="I324" s="2" t="s">
        <v>518</v>
      </c>
      <c r="J324" s="2" t="s">
        <v>519</v>
      </c>
      <c r="K324" s="9">
        <v>678</v>
      </c>
      <c r="L324" s="9">
        <v>22</v>
      </c>
      <c r="M324" s="2"/>
      <c r="N324" s="2"/>
      <c r="O324" s="2"/>
      <c r="P324" s="2"/>
      <c r="Q324" s="17"/>
      <c r="R324" s="9">
        <v>4</v>
      </c>
      <c r="S324" s="2"/>
      <c r="T324" s="9">
        <v>1955</v>
      </c>
      <c r="U324" s="9">
        <v>2003</v>
      </c>
      <c r="V324" s="9">
        <v>576</v>
      </c>
      <c r="W324" s="2" t="s">
        <v>516</v>
      </c>
      <c r="X324" s="2"/>
      <c r="Y324" s="2"/>
      <c r="Z324" s="9">
        <v>7.5</v>
      </c>
      <c r="AA324" s="9">
        <v>0.5</v>
      </c>
      <c r="AB324" s="2"/>
      <c r="AC324" s="2"/>
      <c r="AD324" s="2"/>
      <c r="AE324" s="2"/>
      <c r="AF324" s="2"/>
      <c r="AG324" s="2"/>
      <c r="AH324" s="2"/>
      <c r="AI324" s="2"/>
      <c r="AJ324" s="2"/>
      <c r="AK324" s="2"/>
      <c r="AL324" s="2"/>
      <c r="AM324" s="2"/>
      <c r="AN324" s="2"/>
      <c r="AO324" s="2"/>
      <c r="AP324" s="2"/>
      <c r="AQ324" s="2"/>
      <c r="AR324" s="2"/>
      <c r="AS324" s="2"/>
      <c r="AT324" s="2"/>
      <c r="AU324" s="2"/>
      <c r="AV324" s="2" t="s">
        <v>517</v>
      </c>
      <c r="AW324" s="2"/>
      <c r="AX324" s="2"/>
      <c r="AY324" s="2"/>
      <c r="AZ324" s="2"/>
      <c r="BA324" s="2"/>
      <c r="BB324" s="2" t="s">
        <v>422</v>
      </c>
      <c r="BC324" s="6"/>
      <c r="BD324" s="2"/>
      <c r="BE324" s="2">
        <v>0</v>
      </c>
    </row>
    <row r="325" spans="1:57" ht="13" hidden="1" x14ac:dyDescent="0.15">
      <c r="A325" s="39" t="s">
        <v>511</v>
      </c>
      <c r="B325" s="2" t="s">
        <v>159</v>
      </c>
      <c r="C325" s="9">
        <v>2004</v>
      </c>
      <c r="D325" s="2" t="s">
        <v>512</v>
      </c>
      <c r="E325" s="2" t="s">
        <v>135</v>
      </c>
      <c r="F325" s="2"/>
      <c r="G325" s="21" t="s">
        <v>113</v>
      </c>
      <c r="H325" s="2"/>
      <c r="I325" s="2" t="s">
        <v>518</v>
      </c>
      <c r="J325" s="56">
        <v>45293</v>
      </c>
      <c r="K325" s="9">
        <v>678</v>
      </c>
      <c r="L325" s="9">
        <v>22</v>
      </c>
      <c r="M325" s="2"/>
      <c r="N325" s="2"/>
      <c r="O325" s="2"/>
      <c r="P325" s="2"/>
      <c r="Q325" s="17"/>
      <c r="R325" s="9">
        <v>4</v>
      </c>
      <c r="S325" s="2"/>
      <c r="T325" s="9">
        <v>1955</v>
      </c>
      <c r="U325" s="9">
        <v>2003</v>
      </c>
      <c r="V325" s="9">
        <v>576</v>
      </c>
      <c r="W325" s="2" t="s">
        <v>516</v>
      </c>
      <c r="X325" s="2"/>
      <c r="Y325" s="2"/>
      <c r="Z325" s="9">
        <v>6</v>
      </c>
      <c r="AA325" s="9">
        <v>0.5</v>
      </c>
      <c r="AB325" s="2"/>
      <c r="AC325" s="2"/>
      <c r="AD325" s="2"/>
      <c r="AE325" s="2"/>
      <c r="AF325" s="2"/>
      <c r="AG325" s="2"/>
      <c r="AH325" s="2"/>
      <c r="AI325" s="2"/>
      <c r="AJ325" s="2"/>
      <c r="AK325" s="2"/>
      <c r="AL325" s="2"/>
      <c r="AM325" s="2"/>
      <c r="AN325" s="2"/>
      <c r="AO325" s="2"/>
      <c r="AP325" s="2"/>
      <c r="AQ325" s="2"/>
      <c r="AR325" s="2"/>
      <c r="AS325" s="2"/>
      <c r="AT325" s="2"/>
      <c r="AU325" s="2"/>
      <c r="AV325" s="2" t="s">
        <v>517</v>
      </c>
      <c r="AW325" s="2"/>
      <c r="AX325" s="2"/>
      <c r="AY325" s="2"/>
      <c r="AZ325" s="2"/>
      <c r="BA325" s="2"/>
      <c r="BB325" s="2" t="s">
        <v>422</v>
      </c>
      <c r="BC325" s="6"/>
      <c r="BD325" s="2"/>
      <c r="BE325" s="2">
        <v>0</v>
      </c>
    </row>
    <row r="326" spans="1:57" ht="13" hidden="1" x14ac:dyDescent="0.15">
      <c r="A326" s="39" t="s">
        <v>511</v>
      </c>
      <c r="B326" s="2" t="s">
        <v>159</v>
      </c>
      <c r="C326" s="9">
        <v>2004</v>
      </c>
      <c r="D326" s="2" t="s">
        <v>512</v>
      </c>
      <c r="E326" s="2" t="s">
        <v>135</v>
      </c>
      <c r="F326" s="2"/>
      <c r="G326" s="21" t="s">
        <v>113</v>
      </c>
      <c r="H326" s="2"/>
      <c r="I326" s="2" t="s">
        <v>518</v>
      </c>
      <c r="J326" s="56">
        <v>45355</v>
      </c>
      <c r="K326" s="9">
        <v>678</v>
      </c>
      <c r="L326" s="9">
        <v>22</v>
      </c>
      <c r="M326" s="2"/>
      <c r="N326" s="2"/>
      <c r="O326" s="2"/>
      <c r="P326" s="2"/>
      <c r="Q326" s="17"/>
      <c r="R326" s="9">
        <v>4</v>
      </c>
      <c r="S326" s="2"/>
      <c r="T326" s="9">
        <v>1955</v>
      </c>
      <c r="U326" s="9">
        <v>2003</v>
      </c>
      <c r="V326" s="9">
        <v>576</v>
      </c>
      <c r="W326" s="2" t="s">
        <v>516</v>
      </c>
      <c r="X326" s="2"/>
      <c r="Y326" s="2"/>
      <c r="Z326" s="9">
        <v>5</v>
      </c>
      <c r="AA326" s="9">
        <v>0.2</v>
      </c>
      <c r="AB326" s="2"/>
      <c r="AC326" s="2"/>
      <c r="AD326" s="2"/>
      <c r="AE326" s="2"/>
      <c r="AF326" s="2"/>
      <c r="AG326" s="2"/>
      <c r="AH326" s="2"/>
      <c r="AI326" s="2"/>
      <c r="AJ326" s="2"/>
      <c r="AK326" s="2"/>
      <c r="AL326" s="2"/>
      <c r="AM326" s="2"/>
      <c r="AN326" s="2"/>
      <c r="AO326" s="2"/>
      <c r="AP326" s="2"/>
      <c r="AQ326" s="2"/>
      <c r="AR326" s="2"/>
      <c r="AS326" s="2"/>
      <c r="AT326" s="2"/>
      <c r="AU326" s="2"/>
      <c r="AV326" s="2" t="s">
        <v>517</v>
      </c>
      <c r="AW326" s="2"/>
      <c r="AX326" s="2"/>
      <c r="AY326" s="2"/>
      <c r="AZ326" s="2"/>
      <c r="BA326" s="2"/>
      <c r="BB326" s="2" t="s">
        <v>422</v>
      </c>
      <c r="BC326" s="6"/>
      <c r="BD326" s="2"/>
      <c r="BE326" s="2">
        <v>0</v>
      </c>
    </row>
    <row r="327" spans="1:57" ht="13" hidden="1" x14ac:dyDescent="0.15">
      <c r="A327" s="39" t="s">
        <v>511</v>
      </c>
      <c r="B327" s="2" t="s">
        <v>159</v>
      </c>
      <c r="C327" s="9">
        <v>2004</v>
      </c>
      <c r="D327" s="2" t="s">
        <v>512</v>
      </c>
      <c r="E327" s="2" t="s">
        <v>135</v>
      </c>
      <c r="F327" s="2"/>
      <c r="G327" s="21" t="s">
        <v>113</v>
      </c>
      <c r="H327" s="2"/>
      <c r="I327" s="2" t="s">
        <v>518</v>
      </c>
      <c r="J327" s="56">
        <v>45580</v>
      </c>
      <c r="K327" s="9">
        <v>678</v>
      </c>
      <c r="L327" s="9">
        <v>22</v>
      </c>
      <c r="M327" s="2"/>
      <c r="N327" s="2"/>
      <c r="O327" s="2"/>
      <c r="P327" s="2"/>
      <c r="Q327" s="17"/>
      <c r="R327" s="9">
        <v>4</v>
      </c>
      <c r="S327" s="2"/>
      <c r="T327" s="9">
        <v>1955</v>
      </c>
      <c r="U327" s="9">
        <v>2003</v>
      </c>
      <c r="V327" s="9">
        <v>576</v>
      </c>
      <c r="W327" s="2" t="s">
        <v>516</v>
      </c>
      <c r="X327" s="2"/>
      <c r="Y327" s="2"/>
      <c r="Z327" s="9">
        <v>2.5</v>
      </c>
      <c r="AA327" s="9">
        <v>0.3</v>
      </c>
      <c r="AB327" s="2"/>
      <c r="AC327" s="2"/>
      <c r="AD327" s="2"/>
      <c r="AE327" s="2"/>
      <c r="AF327" s="2"/>
      <c r="AG327" s="2"/>
      <c r="AH327" s="2"/>
      <c r="AI327" s="2"/>
      <c r="AJ327" s="2"/>
      <c r="AK327" s="2"/>
      <c r="AL327" s="2"/>
      <c r="AM327" s="2"/>
      <c r="AN327" s="2"/>
      <c r="AO327" s="2"/>
      <c r="AP327" s="2"/>
      <c r="AQ327" s="2"/>
      <c r="AR327" s="2"/>
      <c r="AS327" s="2"/>
      <c r="AT327" s="2"/>
      <c r="AU327" s="2"/>
      <c r="AV327" s="2" t="s">
        <v>517</v>
      </c>
      <c r="AW327" s="2"/>
      <c r="AX327" s="2"/>
      <c r="AY327" s="2"/>
      <c r="AZ327" s="2"/>
      <c r="BA327" s="2"/>
      <c r="BB327" s="2" t="s">
        <v>422</v>
      </c>
      <c r="BC327" s="6"/>
      <c r="BD327" s="2"/>
      <c r="BE327" s="2">
        <v>0</v>
      </c>
    </row>
    <row r="328" spans="1:57" ht="14" x14ac:dyDescent="0.15">
      <c r="A328" s="57" t="s">
        <v>520</v>
      </c>
      <c r="B328" s="21" t="s">
        <v>110</v>
      </c>
      <c r="C328" s="34">
        <v>2014</v>
      </c>
      <c r="D328" s="21" t="s">
        <v>521</v>
      </c>
      <c r="E328" s="21" t="s">
        <v>112</v>
      </c>
      <c r="F328" s="21" t="s">
        <v>143</v>
      </c>
      <c r="G328" s="58" t="s">
        <v>144</v>
      </c>
      <c r="H328" s="21" t="s">
        <v>522</v>
      </c>
      <c r="I328" s="21" t="s">
        <v>523</v>
      </c>
      <c r="J328" s="21" t="s">
        <v>115</v>
      </c>
      <c r="K328" s="34">
        <v>550</v>
      </c>
      <c r="L328" s="34">
        <v>25</v>
      </c>
      <c r="M328" s="21"/>
      <c r="N328" s="21"/>
      <c r="O328" s="21"/>
      <c r="P328" s="34">
        <v>900</v>
      </c>
      <c r="Q328" s="45">
        <v>5</v>
      </c>
      <c r="R328" s="34">
        <v>18</v>
      </c>
      <c r="S328" s="21"/>
      <c r="T328" s="21" t="s">
        <v>524</v>
      </c>
      <c r="U328" s="34">
        <v>2012</v>
      </c>
      <c r="V328" s="21">
        <v>200</v>
      </c>
      <c r="W328" s="21"/>
      <c r="X328" s="21"/>
      <c r="Y328" s="21"/>
      <c r="Z328" s="21"/>
      <c r="AA328" s="21"/>
      <c r="AB328" s="21"/>
      <c r="AC328" s="21"/>
      <c r="AD328" s="21"/>
      <c r="AE328" s="21"/>
      <c r="AF328" s="21"/>
      <c r="AG328" s="21"/>
      <c r="AH328" s="34">
        <v>1.19</v>
      </c>
      <c r="AI328" s="34">
        <v>0.06</v>
      </c>
      <c r="AJ328" s="21"/>
      <c r="AK328" s="21"/>
      <c r="AL328" s="34">
        <v>16.329999999999998</v>
      </c>
      <c r="AM328" s="34">
        <v>2.0699999999999998</v>
      </c>
      <c r="AN328" s="34">
        <v>8.2100000000000009</v>
      </c>
      <c r="AO328" s="34">
        <v>101.11</v>
      </c>
      <c r="AP328" s="21"/>
      <c r="AQ328" s="21"/>
      <c r="AR328" s="21"/>
      <c r="AS328" s="21"/>
      <c r="AT328" s="21"/>
      <c r="AU328" s="21"/>
      <c r="AV328" s="21" t="s">
        <v>525</v>
      </c>
      <c r="AW328" s="34">
        <v>9.3000000000000007</v>
      </c>
      <c r="AX328" s="21"/>
      <c r="AY328" s="21"/>
      <c r="AZ328" s="21"/>
      <c r="BA328" s="21" t="s">
        <v>132</v>
      </c>
      <c r="BB328" s="21" t="s">
        <v>422</v>
      </c>
      <c r="BC328" s="37"/>
      <c r="BD328" s="21"/>
      <c r="BE328" s="2">
        <v>0</v>
      </c>
    </row>
    <row r="329" spans="1:57" ht="13" x14ac:dyDescent="0.15">
      <c r="A329" s="57" t="s">
        <v>520</v>
      </c>
      <c r="B329" s="21" t="s">
        <v>110</v>
      </c>
      <c r="C329" s="34">
        <v>2014</v>
      </c>
      <c r="D329" s="21" t="s">
        <v>521</v>
      </c>
      <c r="E329" s="21" t="s">
        <v>112</v>
      </c>
      <c r="F329" s="21"/>
      <c r="G329" s="21" t="s">
        <v>113</v>
      </c>
      <c r="H329" s="21"/>
      <c r="I329" s="21" t="s">
        <v>526</v>
      </c>
      <c r="J329" s="21" t="s">
        <v>115</v>
      </c>
      <c r="K329" s="34">
        <v>550</v>
      </c>
      <c r="L329" s="34">
        <v>25</v>
      </c>
      <c r="M329" s="21"/>
      <c r="N329" s="21"/>
      <c r="O329" s="21"/>
      <c r="P329" s="34">
        <v>900</v>
      </c>
      <c r="Q329" s="45">
        <v>5</v>
      </c>
      <c r="R329" s="34">
        <v>18</v>
      </c>
      <c r="S329" s="21"/>
      <c r="T329" s="21"/>
      <c r="U329" s="59"/>
      <c r="V329" s="21"/>
      <c r="W329" s="21"/>
      <c r="X329" s="21"/>
      <c r="Y329" s="21"/>
      <c r="Z329" s="21"/>
      <c r="AA329" s="21"/>
      <c r="AB329" s="21"/>
      <c r="AC329" s="21"/>
      <c r="AD329" s="21"/>
      <c r="AE329" s="21"/>
      <c r="AF329" s="21"/>
      <c r="AG329" s="21"/>
      <c r="AH329" s="34">
        <v>1.48</v>
      </c>
      <c r="AI329" s="34">
        <v>0.08</v>
      </c>
      <c r="AJ329" s="21"/>
      <c r="AK329" s="21"/>
      <c r="AL329" s="34">
        <v>8.1199999999999992</v>
      </c>
      <c r="AM329" s="34">
        <v>2.38</v>
      </c>
      <c r="AN329" s="21"/>
      <c r="AO329" s="21"/>
      <c r="AP329" s="21"/>
      <c r="AQ329" s="21"/>
      <c r="AR329" s="21"/>
      <c r="AS329" s="21"/>
      <c r="AT329" s="21"/>
      <c r="AU329" s="21"/>
      <c r="AV329" s="21" t="s">
        <v>525</v>
      </c>
      <c r="AW329" s="34">
        <v>12.5</v>
      </c>
      <c r="AX329" s="21"/>
      <c r="AY329" s="21"/>
      <c r="AZ329" s="21"/>
      <c r="BA329" s="21" t="s">
        <v>132</v>
      </c>
      <c r="BB329" s="21" t="s">
        <v>422</v>
      </c>
      <c r="BC329" s="37"/>
      <c r="BD329" s="21"/>
      <c r="BE329" s="2">
        <v>0</v>
      </c>
    </row>
    <row r="330" spans="1:57" ht="14" x14ac:dyDescent="0.15">
      <c r="A330" s="57" t="s">
        <v>520</v>
      </c>
      <c r="B330" s="21" t="s">
        <v>110</v>
      </c>
      <c r="C330" s="34">
        <v>2014</v>
      </c>
      <c r="D330" s="21" t="s">
        <v>521</v>
      </c>
      <c r="E330" s="21" t="s">
        <v>112</v>
      </c>
      <c r="F330" s="21"/>
      <c r="G330" s="58" t="s">
        <v>144</v>
      </c>
      <c r="H330" s="21"/>
      <c r="I330" s="21" t="s">
        <v>527</v>
      </c>
      <c r="J330" s="21" t="s">
        <v>115</v>
      </c>
      <c r="K330" s="34">
        <v>550</v>
      </c>
      <c r="L330" s="34">
        <v>25</v>
      </c>
      <c r="M330" s="21"/>
      <c r="N330" s="21"/>
      <c r="O330" s="21"/>
      <c r="P330" s="34">
        <v>900</v>
      </c>
      <c r="Q330" s="45">
        <v>5</v>
      </c>
      <c r="R330" s="34">
        <v>18</v>
      </c>
      <c r="S330" s="21"/>
      <c r="T330" s="21" t="s">
        <v>528</v>
      </c>
      <c r="U330" s="34">
        <v>2012</v>
      </c>
      <c r="V330" s="21">
        <v>96</v>
      </c>
      <c r="W330" s="21"/>
      <c r="X330" s="21"/>
      <c r="Y330" s="21"/>
      <c r="Z330" s="21"/>
      <c r="AA330" s="21"/>
      <c r="AB330" s="21"/>
      <c r="AC330" s="21"/>
      <c r="AD330" s="21"/>
      <c r="AE330" s="21"/>
      <c r="AF330" s="21"/>
      <c r="AG330" s="21"/>
      <c r="AH330" s="34">
        <v>1.31</v>
      </c>
      <c r="AI330" s="34">
        <v>7.0000000000000007E-2</v>
      </c>
      <c r="AJ330" s="21"/>
      <c r="AK330" s="21"/>
      <c r="AL330" s="34">
        <v>10.95</v>
      </c>
      <c r="AM330" s="34">
        <v>2.6</v>
      </c>
      <c r="AN330" s="34">
        <v>1.7</v>
      </c>
      <c r="AO330" s="34">
        <v>18.38</v>
      </c>
      <c r="AP330" s="21"/>
      <c r="AQ330" s="21"/>
      <c r="AR330" s="21"/>
      <c r="AS330" s="21"/>
      <c r="AT330" s="21"/>
      <c r="AU330" s="21"/>
      <c r="AV330" s="21" t="s">
        <v>525</v>
      </c>
      <c r="AW330" s="34">
        <v>13.3</v>
      </c>
      <c r="AX330" s="21"/>
      <c r="AY330" s="21"/>
      <c r="AZ330" s="21"/>
      <c r="BA330" s="21" t="s">
        <v>132</v>
      </c>
      <c r="BB330" s="21" t="s">
        <v>422</v>
      </c>
      <c r="BC330" s="37"/>
      <c r="BD330" s="21"/>
      <c r="BE330" s="2">
        <v>0</v>
      </c>
    </row>
    <row r="331" spans="1:57" ht="13" x14ac:dyDescent="0.15">
      <c r="A331" s="57" t="s">
        <v>520</v>
      </c>
      <c r="B331" s="21" t="s">
        <v>110</v>
      </c>
      <c r="C331" s="34">
        <v>2014</v>
      </c>
      <c r="D331" s="21" t="s">
        <v>521</v>
      </c>
      <c r="E331" s="21" t="s">
        <v>112</v>
      </c>
      <c r="F331" s="21"/>
      <c r="G331" s="21" t="s">
        <v>113</v>
      </c>
      <c r="H331" s="21"/>
      <c r="I331" s="21" t="s">
        <v>529</v>
      </c>
      <c r="J331" s="21" t="s">
        <v>115</v>
      </c>
      <c r="K331" s="34">
        <v>550</v>
      </c>
      <c r="L331" s="34">
        <v>25</v>
      </c>
      <c r="M331" s="21"/>
      <c r="N331" s="21"/>
      <c r="O331" s="21"/>
      <c r="P331" s="34">
        <v>900</v>
      </c>
      <c r="Q331" s="45">
        <v>5</v>
      </c>
      <c r="R331" s="34">
        <v>18</v>
      </c>
      <c r="S331" s="21"/>
      <c r="T331" s="21"/>
      <c r="U331" s="59"/>
      <c r="V331" s="21"/>
      <c r="W331" s="21"/>
      <c r="X331" s="21"/>
      <c r="Y331" s="21"/>
      <c r="Z331" s="21"/>
      <c r="AA331" s="21"/>
      <c r="AB331" s="21"/>
      <c r="AC331" s="21"/>
      <c r="AD331" s="21"/>
      <c r="AE331" s="21"/>
      <c r="AF331" s="21"/>
      <c r="AG331" s="21"/>
      <c r="AH331" s="34">
        <v>1.57</v>
      </c>
      <c r="AI331" s="34">
        <v>0.1</v>
      </c>
      <c r="AJ331" s="21"/>
      <c r="AK331" s="21"/>
      <c r="AL331" s="34">
        <v>9.25</v>
      </c>
      <c r="AM331" s="34">
        <v>3.25</v>
      </c>
      <c r="AN331" s="21"/>
      <c r="AO331" s="21"/>
      <c r="AP331" s="21"/>
      <c r="AQ331" s="21"/>
      <c r="AR331" s="21"/>
      <c r="AS331" s="21"/>
      <c r="AT331" s="21"/>
      <c r="AU331" s="21"/>
      <c r="AV331" s="21" t="s">
        <v>525</v>
      </c>
      <c r="AW331" s="34">
        <v>9.6999999999999993</v>
      </c>
      <c r="AX331" s="21"/>
      <c r="AY331" s="21"/>
      <c r="AZ331" s="21"/>
      <c r="BA331" s="21" t="s">
        <v>132</v>
      </c>
      <c r="BB331" s="21" t="s">
        <v>422</v>
      </c>
      <c r="BC331" s="37"/>
      <c r="BD331" s="21"/>
      <c r="BE331" s="2">
        <v>0</v>
      </c>
    </row>
    <row r="332" spans="1:57" ht="13" x14ac:dyDescent="0.15">
      <c r="A332" s="39" t="s">
        <v>530</v>
      </c>
      <c r="B332" s="2" t="s">
        <v>110</v>
      </c>
      <c r="C332" s="9">
        <v>2018</v>
      </c>
      <c r="D332" s="2" t="s">
        <v>351</v>
      </c>
      <c r="E332" s="2" t="s">
        <v>112</v>
      </c>
      <c r="F332" s="2"/>
      <c r="G332" s="2" t="s">
        <v>122</v>
      </c>
      <c r="H332" s="2"/>
      <c r="I332" s="2" t="s">
        <v>531</v>
      </c>
      <c r="J332" s="2" t="s">
        <v>214</v>
      </c>
      <c r="K332" s="9">
        <v>850</v>
      </c>
      <c r="L332" s="9">
        <v>23</v>
      </c>
      <c r="M332" s="2"/>
      <c r="N332" s="2"/>
      <c r="O332" s="2"/>
      <c r="P332" s="2"/>
      <c r="Q332" s="11">
        <v>27</v>
      </c>
      <c r="R332" s="9">
        <v>3</v>
      </c>
      <c r="S332" s="2"/>
      <c r="T332" s="2"/>
      <c r="U332" s="55">
        <v>45612</v>
      </c>
      <c r="V332" s="2">
        <v>204</v>
      </c>
      <c r="W332" s="2" t="s">
        <v>532</v>
      </c>
      <c r="X332" s="2"/>
      <c r="Y332" s="2"/>
      <c r="Z332" s="9">
        <v>6.61</v>
      </c>
      <c r="AA332" s="9">
        <v>0.89</v>
      </c>
      <c r="AB332" s="2"/>
      <c r="AC332" s="2"/>
      <c r="AD332" s="2"/>
      <c r="AE332" s="2"/>
      <c r="AF332" s="9">
        <v>1.39</v>
      </c>
      <c r="AG332" s="9">
        <v>0.1</v>
      </c>
      <c r="AH332" s="2"/>
      <c r="AI332" s="2"/>
      <c r="AJ332" s="2"/>
      <c r="AK332" s="2"/>
      <c r="AL332" s="2"/>
      <c r="AM332" s="2"/>
      <c r="AN332" s="2"/>
      <c r="AO332" s="2"/>
      <c r="AP332" s="2"/>
      <c r="AQ332" s="9">
        <v>1.68</v>
      </c>
      <c r="AR332" s="9">
        <v>34.08</v>
      </c>
      <c r="AS332" s="2"/>
      <c r="AT332" s="2"/>
      <c r="AU332" s="2"/>
      <c r="AV332" s="2" t="s">
        <v>533</v>
      </c>
      <c r="AW332" s="9">
        <v>78.7</v>
      </c>
      <c r="AX332" s="2" t="s">
        <v>497</v>
      </c>
      <c r="AY332" s="9">
        <v>3</v>
      </c>
      <c r="AZ332" s="2" t="s">
        <v>252</v>
      </c>
      <c r="BA332" s="2" t="s">
        <v>132</v>
      </c>
      <c r="BB332" s="2" t="s">
        <v>422</v>
      </c>
      <c r="BC332" s="6"/>
      <c r="BD332" s="2"/>
      <c r="BE332" s="2">
        <v>0</v>
      </c>
    </row>
    <row r="333" spans="1:57" ht="13" x14ac:dyDescent="0.15">
      <c r="A333" s="39" t="s">
        <v>530</v>
      </c>
      <c r="B333" s="2" t="s">
        <v>110</v>
      </c>
      <c r="C333" s="9">
        <v>2018</v>
      </c>
      <c r="D333" s="2" t="s">
        <v>351</v>
      </c>
      <c r="E333" s="2" t="s">
        <v>112</v>
      </c>
      <c r="F333" s="2"/>
      <c r="G333" s="2" t="s">
        <v>122</v>
      </c>
      <c r="H333" s="2"/>
      <c r="I333" s="2" t="s">
        <v>531</v>
      </c>
      <c r="J333" s="56">
        <v>45585</v>
      </c>
      <c r="K333" s="9">
        <v>850</v>
      </c>
      <c r="L333" s="9">
        <v>23</v>
      </c>
      <c r="M333" s="2"/>
      <c r="N333" s="2"/>
      <c r="O333" s="2"/>
      <c r="P333" s="2"/>
      <c r="Q333" s="11">
        <v>27</v>
      </c>
      <c r="R333" s="9">
        <v>3</v>
      </c>
      <c r="S333" s="2"/>
      <c r="T333" s="2"/>
      <c r="U333" s="55">
        <v>45612</v>
      </c>
      <c r="V333" s="2">
        <v>204</v>
      </c>
      <c r="W333" s="2" t="s">
        <v>532</v>
      </c>
      <c r="X333" s="2"/>
      <c r="Y333" s="2"/>
      <c r="Z333" s="9">
        <v>6.28</v>
      </c>
      <c r="AA333" s="9">
        <v>0.99</v>
      </c>
      <c r="AB333" s="2"/>
      <c r="AC333" s="2"/>
      <c r="AD333" s="2"/>
      <c r="AE333" s="2"/>
      <c r="AF333" s="9">
        <v>1.37</v>
      </c>
      <c r="AG333" s="9">
        <v>0.05</v>
      </c>
      <c r="AH333" s="2"/>
      <c r="AI333" s="2"/>
      <c r="AJ333" s="2"/>
      <c r="AK333" s="2"/>
      <c r="AL333" s="2"/>
      <c r="AM333" s="2"/>
      <c r="AN333" s="2"/>
      <c r="AO333" s="2"/>
      <c r="AP333" s="2"/>
      <c r="AQ333" s="9">
        <v>1.4</v>
      </c>
      <c r="AR333" s="9">
        <v>28.69</v>
      </c>
      <c r="AS333" s="2"/>
      <c r="AT333" s="2"/>
      <c r="AU333" s="2"/>
      <c r="AV333" s="2" t="s">
        <v>533</v>
      </c>
      <c r="AW333" s="9">
        <v>77.8</v>
      </c>
      <c r="AX333" s="2" t="s">
        <v>497</v>
      </c>
      <c r="AY333" s="9">
        <v>3</v>
      </c>
      <c r="AZ333" s="2" t="s">
        <v>252</v>
      </c>
      <c r="BA333" s="2" t="s">
        <v>132</v>
      </c>
      <c r="BB333" s="2" t="s">
        <v>422</v>
      </c>
      <c r="BC333" s="6"/>
      <c r="BD333" s="2"/>
      <c r="BE333" s="2">
        <v>0</v>
      </c>
    </row>
    <row r="334" spans="1:57" ht="13" x14ac:dyDescent="0.15">
      <c r="A334" s="39" t="s">
        <v>530</v>
      </c>
      <c r="B334" s="2" t="s">
        <v>110</v>
      </c>
      <c r="C334" s="9">
        <v>2018</v>
      </c>
      <c r="D334" s="2" t="s">
        <v>351</v>
      </c>
      <c r="E334" s="2" t="s">
        <v>112</v>
      </c>
      <c r="F334" s="2"/>
      <c r="G334" s="2" t="s">
        <v>122</v>
      </c>
      <c r="H334" s="2"/>
      <c r="I334" s="2" t="s">
        <v>531</v>
      </c>
      <c r="J334" s="2" t="s">
        <v>118</v>
      </c>
      <c r="K334" s="9">
        <v>850</v>
      </c>
      <c r="L334" s="9">
        <v>23</v>
      </c>
      <c r="M334" s="2"/>
      <c r="N334" s="2"/>
      <c r="O334" s="2"/>
      <c r="P334" s="2"/>
      <c r="Q334" s="11">
        <v>27</v>
      </c>
      <c r="R334" s="9">
        <v>3</v>
      </c>
      <c r="S334" s="2"/>
      <c r="T334" s="2"/>
      <c r="U334" s="55">
        <v>45612</v>
      </c>
      <c r="V334" s="2">
        <v>204</v>
      </c>
      <c r="W334" s="2" t="s">
        <v>532</v>
      </c>
      <c r="X334" s="2"/>
      <c r="Y334" s="2"/>
      <c r="Z334" s="9">
        <v>5.47</v>
      </c>
      <c r="AA334" s="9">
        <v>0.77</v>
      </c>
      <c r="AB334" s="2"/>
      <c r="AC334" s="2"/>
      <c r="AD334" s="2"/>
      <c r="AE334" s="2"/>
      <c r="AF334" s="9">
        <v>1.36</v>
      </c>
      <c r="AG334" s="9">
        <v>0.06</v>
      </c>
      <c r="AH334" s="2"/>
      <c r="AI334" s="2"/>
      <c r="AJ334" s="2"/>
      <c r="AK334" s="2"/>
      <c r="AL334" s="2"/>
      <c r="AM334" s="2"/>
      <c r="AN334" s="2"/>
      <c r="AO334" s="2"/>
      <c r="AP334" s="2"/>
      <c r="AQ334" s="9">
        <v>1.1100000000000001</v>
      </c>
      <c r="AR334" s="9">
        <v>25.46</v>
      </c>
      <c r="AS334" s="2"/>
      <c r="AT334" s="2"/>
      <c r="AU334" s="2"/>
      <c r="AV334" s="2" t="s">
        <v>533</v>
      </c>
      <c r="AW334" s="9">
        <v>78.2</v>
      </c>
      <c r="AX334" s="2" t="s">
        <v>497</v>
      </c>
      <c r="AY334" s="9">
        <v>3</v>
      </c>
      <c r="AZ334" s="2" t="s">
        <v>252</v>
      </c>
      <c r="BA334" s="2" t="s">
        <v>132</v>
      </c>
      <c r="BB334" s="2" t="s">
        <v>422</v>
      </c>
      <c r="BC334" s="6"/>
      <c r="BD334" s="2"/>
      <c r="BE334" s="2">
        <v>0</v>
      </c>
    </row>
    <row r="335" spans="1:57" ht="13" x14ac:dyDescent="0.15">
      <c r="A335" s="39" t="s">
        <v>530</v>
      </c>
      <c r="B335" s="2" t="s">
        <v>110</v>
      </c>
      <c r="C335" s="9">
        <v>2018</v>
      </c>
      <c r="D335" s="2" t="s">
        <v>351</v>
      </c>
      <c r="E335" s="2" t="s">
        <v>112</v>
      </c>
      <c r="F335" s="2"/>
      <c r="G335" s="2" t="s">
        <v>122</v>
      </c>
      <c r="H335" s="2"/>
      <c r="I335" s="2" t="s">
        <v>534</v>
      </c>
      <c r="J335" s="2" t="s">
        <v>214</v>
      </c>
      <c r="K335" s="9">
        <v>850</v>
      </c>
      <c r="L335" s="9">
        <v>23</v>
      </c>
      <c r="M335" s="2"/>
      <c r="N335" s="2"/>
      <c r="O335" s="2"/>
      <c r="P335" s="2"/>
      <c r="Q335" s="11">
        <v>27</v>
      </c>
      <c r="R335" s="9">
        <v>3</v>
      </c>
      <c r="S335" s="2"/>
      <c r="T335" s="2"/>
      <c r="U335" s="55">
        <v>45612</v>
      </c>
      <c r="V335" s="2">
        <v>204</v>
      </c>
      <c r="W335" s="2" t="s">
        <v>532</v>
      </c>
      <c r="X335" s="2"/>
      <c r="Y335" s="2"/>
      <c r="Z335" s="9">
        <v>6.22</v>
      </c>
      <c r="AA335" s="9">
        <v>0.78</v>
      </c>
      <c r="AB335" s="2"/>
      <c r="AC335" s="2"/>
      <c r="AD335" s="2"/>
      <c r="AE335" s="2"/>
      <c r="AF335" s="9">
        <v>1.42</v>
      </c>
      <c r="AG335" s="9">
        <v>0.1</v>
      </c>
      <c r="AH335" s="2"/>
      <c r="AI335" s="2"/>
      <c r="AJ335" s="2"/>
      <c r="AK335" s="2"/>
      <c r="AL335" s="2"/>
      <c r="AM335" s="2"/>
      <c r="AN335" s="2"/>
      <c r="AO335" s="2"/>
      <c r="AP335" s="2"/>
      <c r="AQ335" s="9">
        <v>6.22</v>
      </c>
      <c r="AR335" s="9">
        <v>126.17</v>
      </c>
      <c r="AS335" s="2"/>
      <c r="AT335" s="2"/>
      <c r="AU335" s="2"/>
      <c r="AV335" s="2" t="s">
        <v>533</v>
      </c>
      <c r="AW335" s="9">
        <v>81.3</v>
      </c>
      <c r="AX335" s="2" t="s">
        <v>497</v>
      </c>
      <c r="AY335" s="9">
        <v>3</v>
      </c>
      <c r="AZ335" s="2" t="s">
        <v>252</v>
      </c>
      <c r="BA335" s="2" t="s">
        <v>132</v>
      </c>
      <c r="BB335" s="2" t="s">
        <v>422</v>
      </c>
      <c r="BC335" s="6"/>
      <c r="BD335" s="2"/>
      <c r="BE335" s="2">
        <v>0</v>
      </c>
    </row>
    <row r="336" spans="1:57" ht="13" x14ac:dyDescent="0.15">
      <c r="A336" s="39" t="s">
        <v>530</v>
      </c>
      <c r="B336" s="2" t="s">
        <v>110</v>
      </c>
      <c r="C336" s="9">
        <v>2018</v>
      </c>
      <c r="D336" s="2" t="s">
        <v>351</v>
      </c>
      <c r="E336" s="2" t="s">
        <v>112</v>
      </c>
      <c r="F336" s="2"/>
      <c r="G336" s="2" t="s">
        <v>122</v>
      </c>
      <c r="H336" s="2"/>
      <c r="I336" s="2" t="s">
        <v>534</v>
      </c>
      <c r="J336" s="56">
        <v>45585</v>
      </c>
      <c r="K336" s="9">
        <v>850</v>
      </c>
      <c r="L336" s="9">
        <v>23</v>
      </c>
      <c r="M336" s="2"/>
      <c r="N336" s="2"/>
      <c r="O336" s="2"/>
      <c r="P336" s="2"/>
      <c r="Q336" s="11">
        <v>27</v>
      </c>
      <c r="R336" s="9">
        <v>3</v>
      </c>
      <c r="S336" s="2"/>
      <c r="T336" s="2"/>
      <c r="U336" s="55">
        <v>45612</v>
      </c>
      <c r="V336" s="2">
        <v>204</v>
      </c>
      <c r="W336" s="2" t="s">
        <v>532</v>
      </c>
      <c r="X336" s="2"/>
      <c r="Y336" s="2"/>
      <c r="Z336" s="9">
        <v>5.86</v>
      </c>
      <c r="AA336" s="9">
        <v>0.67</v>
      </c>
      <c r="AB336" s="2"/>
      <c r="AC336" s="2"/>
      <c r="AD336" s="2"/>
      <c r="AE336" s="2"/>
      <c r="AF336" s="9">
        <v>1.46</v>
      </c>
      <c r="AG336" s="9">
        <v>0.1</v>
      </c>
      <c r="AH336" s="2"/>
      <c r="AI336" s="2"/>
      <c r="AJ336" s="2"/>
      <c r="AK336" s="2"/>
      <c r="AL336" s="2"/>
      <c r="AM336" s="2"/>
      <c r="AN336" s="2"/>
      <c r="AO336" s="2"/>
      <c r="AP336" s="2"/>
      <c r="AQ336" s="9">
        <v>-8.94</v>
      </c>
      <c r="AR336" s="9">
        <v>-183.2</v>
      </c>
      <c r="AS336" s="2"/>
      <c r="AT336" s="2"/>
      <c r="AU336" s="2"/>
      <c r="AV336" s="2" t="s">
        <v>533</v>
      </c>
      <c r="AW336" s="9">
        <v>80.599999999999994</v>
      </c>
      <c r="AX336" s="2" t="s">
        <v>497</v>
      </c>
      <c r="AY336" s="9">
        <v>3</v>
      </c>
      <c r="AZ336" s="2" t="s">
        <v>252</v>
      </c>
      <c r="BA336" s="2" t="s">
        <v>132</v>
      </c>
      <c r="BB336" s="2" t="s">
        <v>422</v>
      </c>
      <c r="BC336" s="6"/>
      <c r="BD336" s="2"/>
      <c r="BE336" s="2">
        <v>0</v>
      </c>
    </row>
    <row r="337" spans="1:57" ht="13" x14ac:dyDescent="0.15">
      <c r="A337" s="39" t="s">
        <v>530</v>
      </c>
      <c r="B337" s="2" t="s">
        <v>110</v>
      </c>
      <c r="C337" s="9">
        <v>2018</v>
      </c>
      <c r="D337" s="2" t="s">
        <v>351</v>
      </c>
      <c r="E337" s="2" t="s">
        <v>112</v>
      </c>
      <c r="F337" s="2"/>
      <c r="G337" s="2" t="s">
        <v>122</v>
      </c>
      <c r="H337" s="2"/>
      <c r="I337" s="2" t="s">
        <v>534</v>
      </c>
      <c r="J337" s="2" t="s">
        <v>118</v>
      </c>
      <c r="K337" s="9">
        <v>850</v>
      </c>
      <c r="L337" s="9">
        <v>23</v>
      </c>
      <c r="M337" s="2"/>
      <c r="N337" s="2"/>
      <c r="O337" s="2"/>
      <c r="P337" s="2"/>
      <c r="Q337" s="11">
        <v>27</v>
      </c>
      <c r="R337" s="9">
        <v>3</v>
      </c>
      <c r="S337" s="2"/>
      <c r="T337" s="2"/>
      <c r="U337" s="55">
        <v>45612</v>
      </c>
      <c r="V337" s="2">
        <v>204</v>
      </c>
      <c r="W337" s="2" t="s">
        <v>532</v>
      </c>
      <c r="X337" s="2"/>
      <c r="Y337" s="2"/>
      <c r="Z337" s="9">
        <v>5.57</v>
      </c>
      <c r="AA337" s="9">
        <v>0.56999999999999995</v>
      </c>
      <c r="AB337" s="2"/>
      <c r="AC337" s="2"/>
      <c r="AD337" s="2"/>
      <c r="AE337" s="2"/>
      <c r="AF337" s="9">
        <v>1.45</v>
      </c>
      <c r="AG337" s="9">
        <v>0.05</v>
      </c>
      <c r="AH337" s="2"/>
      <c r="AI337" s="2"/>
      <c r="AJ337" s="2"/>
      <c r="AK337" s="2"/>
      <c r="AL337" s="2"/>
      <c r="AM337" s="2"/>
      <c r="AN337" s="2"/>
      <c r="AO337" s="2"/>
      <c r="AP337" s="2"/>
      <c r="AQ337" s="9">
        <v>-14.63</v>
      </c>
      <c r="AR337" s="9">
        <v>-335.55</v>
      </c>
      <c r="AS337" s="2"/>
      <c r="AT337" s="2"/>
      <c r="AU337" s="2"/>
      <c r="AV337" s="2" t="s">
        <v>533</v>
      </c>
      <c r="AW337" s="9">
        <v>80.599999999999994</v>
      </c>
      <c r="AX337" s="2" t="s">
        <v>497</v>
      </c>
      <c r="AY337" s="9">
        <v>3</v>
      </c>
      <c r="AZ337" s="2" t="s">
        <v>252</v>
      </c>
      <c r="BA337" s="2" t="s">
        <v>132</v>
      </c>
      <c r="BB337" s="2" t="s">
        <v>422</v>
      </c>
      <c r="BC337" s="6"/>
      <c r="BD337" s="2"/>
      <c r="BE337" s="2">
        <v>0</v>
      </c>
    </row>
    <row r="338" spans="1:57" ht="13" x14ac:dyDescent="0.15">
      <c r="A338" s="39" t="s">
        <v>530</v>
      </c>
      <c r="B338" s="2" t="s">
        <v>110</v>
      </c>
      <c r="C338" s="9">
        <v>2018</v>
      </c>
      <c r="D338" s="2" t="s">
        <v>351</v>
      </c>
      <c r="E338" s="2" t="s">
        <v>112</v>
      </c>
      <c r="F338" s="2"/>
      <c r="G338" s="2" t="s">
        <v>122</v>
      </c>
      <c r="H338" s="2"/>
      <c r="I338" s="2" t="s">
        <v>535</v>
      </c>
      <c r="J338" s="2" t="s">
        <v>214</v>
      </c>
      <c r="K338" s="9">
        <v>850</v>
      </c>
      <c r="L338" s="9">
        <v>23</v>
      </c>
      <c r="M338" s="2"/>
      <c r="N338" s="2"/>
      <c r="O338" s="2"/>
      <c r="P338" s="2"/>
      <c r="Q338" s="11">
        <v>27</v>
      </c>
      <c r="R338" s="9">
        <v>3</v>
      </c>
      <c r="S338" s="2"/>
      <c r="T338" s="2"/>
      <c r="U338" s="55">
        <v>45612</v>
      </c>
      <c r="V338" s="2">
        <v>204</v>
      </c>
      <c r="W338" s="2" t="s">
        <v>532</v>
      </c>
      <c r="X338" s="2"/>
      <c r="Y338" s="2"/>
      <c r="Z338" s="9">
        <v>4.93</v>
      </c>
      <c r="AA338" s="9">
        <v>0.69</v>
      </c>
      <c r="AB338" s="2"/>
      <c r="AC338" s="2"/>
      <c r="AD338" s="2"/>
      <c r="AE338" s="2"/>
      <c r="AF338" s="9">
        <v>1.49</v>
      </c>
      <c r="AG338" s="9">
        <v>0.05</v>
      </c>
      <c r="AH338" s="2"/>
      <c r="AI338" s="2"/>
      <c r="AJ338" s="2"/>
      <c r="AK338" s="2"/>
      <c r="AL338" s="2"/>
      <c r="AM338" s="2"/>
      <c r="AN338" s="2"/>
      <c r="AO338" s="2"/>
      <c r="AP338" s="2"/>
      <c r="AQ338" s="2"/>
      <c r="AR338" s="2"/>
      <c r="AS338" s="2"/>
      <c r="AT338" s="2"/>
      <c r="AU338" s="2"/>
      <c r="AV338" s="2" t="s">
        <v>533</v>
      </c>
      <c r="AW338" s="9">
        <v>79.5</v>
      </c>
      <c r="AX338" s="2" t="s">
        <v>497</v>
      </c>
      <c r="AY338" s="9">
        <v>3</v>
      </c>
      <c r="AZ338" s="2" t="s">
        <v>252</v>
      </c>
      <c r="BA338" s="2" t="s">
        <v>132</v>
      </c>
      <c r="BB338" s="2" t="s">
        <v>422</v>
      </c>
      <c r="BC338" s="6"/>
      <c r="BD338" s="2"/>
      <c r="BE338" s="2">
        <v>0</v>
      </c>
    </row>
    <row r="339" spans="1:57" ht="13" x14ac:dyDescent="0.15">
      <c r="A339" s="39" t="s">
        <v>530</v>
      </c>
      <c r="B339" s="2" t="s">
        <v>110</v>
      </c>
      <c r="C339" s="9">
        <v>2018</v>
      </c>
      <c r="D339" s="2" t="s">
        <v>351</v>
      </c>
      <c r="E339" s="2" t="s">
        <v>112</v>
      </c>
      <c r="F339" s="2"/>
      <c r="G339" s="2" t="s">
        <v>122</v>
      </c>
      <c r="H339" s="2"/>
      <c r="I339" s="2" t="s">
        <v>535</v>
      </c>
      <c r="J339" s="56">
        <v>45585</v>
      </c>
      <c r="K339" s="9">
        <v>850</v>
      </c>
      <c r="L339" s="9">
        <v>23</v>
      </c>
      <c r="M339" s="2"/>
      <c r="N339" s="2"/>
      <c r="O339" s="2"/>
      <c r="P339" s="2"/>
      <c r="Q339" s="11">
        <v>27</v>
      </c>
      <c r="R339" s="9">
        <v>3</v>
      </c>
      <c r="S339" s="2"/>
      <c r="T339" s="2"/>
      <c r="U339" s="55">
        <v>45612</v>
      </c>
      <c r="V339" s="2">
        <v>204</v>
      </c>
      <c r="W339" s="2" t="s">
        <v>532</v>
      </c>
      <c r="X339" s="2"/>
      <c r="Y339" s="2"/>
      <c r="Z339" s="9">
        <v>4.88</v>
      </c>
      <c r="AA339" s="9">
        <v>0.65</v>
      </c>
      <c r="AB339" s="2"/>
      <c r="AC339" s="2"/>
      <c r="AD339" s="2"/>
      <c r="AE339" s="2"/>
      <c r="AF339" s="9">
        <v>1.47</v>
      </c>
      <c r="AG339" s="9">
        <v>0.06</v>
      </c>
      <c r="AH339" s="2"/>
      <c r="AI339" s="2"/>
      <c r="AJ339" s="2"/>
      <c r="AK339" s="2"/>
      <c r="AL339" s="2"/>
      <c r="AM339" s="2"/>
      <c r="AN339" s="2"/>
      <c r="AO339" s="2"/>
      <c r="AP339" s="2"/>
      <c r="AQ339" s="2"/>
      <c r="AR339" s="2"/>
      <c r="AS339" s="2"/>
      <c r="AT339" s="2"/>
      <c r="AU339" s="2"/>
      <c r="AV339" s="2" t="s">
        <v>533</v>
      </c>
      <c r="AW339" s="9">
        <v>78.900000000000006</v>
      </c>
      <c r="AX339" s="2" t="s">
        <v>497</v>
      </c>
      <c r="AY339" s="9">
        <v>3</v>
      </c>
      <c r="AZ339" s="2" t="s">
        <v>252</v>
      </c>
      <c r="BA339" s="2" t="s">
        <v>132</v>
      </c>
      <c r="BB339" s="2" t="s">
        <v>422</v>
      </c>
      <c r="BC339" s="6"/>
      <c r="BD339" s="2"/>
      <c r="BE339" s="2">
        <v>0</v>
      </c>
    </row>
    <row r="340" spans="1:57" ht="13" x14ac:dyDescent="0.15">
      <c r="A340" s="39" t="s">
        <v>530</v>
      </c>
      <c r="B340" s="2" t="s">
        <v>110</v>
      </c>
      <c r="C340" s="9">
        <v>2018</v>
      </c>
      <c r="D340" s="2" t="s">
        <v>351</v>
      </c>
      <c r="E340" s="2" t="s">
        <v>112</v>
      </c>
      <c r="F340" s="2"/>
      <c r="G340" s="2" t="s">
        <v>122</v>
      </c>
      <c r="H340" s="2"/>
      <c r="I340" s="2" t="s">
        <v>535</v>
      </c>
      <c r="J340" s="2" t="s">
        <v>118</v>
      </c>
      <c r="K340" s="9">
        <v>850</v>
      </c>
      <c r="L340" s="9">
        <v>23</v>
      </c>
      <c r="M340" s="2"/>
      <c r="N340" s="2"/>
      <c r="O340" s="2"/>
      <c r="P340" s="2"/>
      <c r="Q340" s="11">
        <v>27</v>
      </c>
      <c r="R340" s="9">
        <v>3</v>
      </c>
      <c r="S340" s="2"/>
      <c r="T340" s="2"/>
      <c r="U340" s="55">
        <v>45612</v>
      </c>
      <c r="V340" s="2">
        <v>204</v>
      </c>
      <c r="W340" s="2" t="s">
        <v>532</v>
      </c>
      <c r="X340" s="2"/>
      <c r="Y340" s="2"/>
      <c r="Z340" s="9">
        <v>4.3600000000000003</v>
      </c>
      <c r="AA340" s="9">
        <v>0.74</v>
      </c>
      <c r="AB340" s="2"/>
      <c r="AC340" s="2"/>
      <c r="AD340" s="2"/>
      <c r="AE340" s="2"/>
      <c r="AF340" s="9">
        <v>1.47</v>
      </c>
      <c r="AG340" s="9">
        <v>0.06</v>
      </c>
      <c r="AH340" s="2"/>
      <c r="AI340" s="2"/>
      <c r="AJ340" s="2"/>
      <c r="AK340" s="2"/>
      <c r="AL340" s="2"/>
      <c r="AM340" s="2"/>
      <c r="AN340" s="2"/>
      <c r="AO340" s="2"/>
      <c r="AP340" s="2"/>
      <c r="AQ340" s="2"/>
      <c r="AR340" s="2"/>
      <c r="AS340" s="2"/>
      <c r="AT340" s="2"/>
      <c r="AU340" s="2"/>
      <c r="AV340" s="2" t="s">
        <v>533</v>
      </c>
      <c r="AW340" s="9">
        <v>78.7</v>
      </c>
      <c r="AX340" s="2" t="s">
        <v>497</v>
      </c>
      <c r="AY340" s="9">
        <v>3</v>
      </c>
      <c r="AZ340" s="2" t="s">
        <v>252</v>
      </c>
      <c r="BA340" s="2" t="s">
        <v>132</v>
      </c>
      <c r="BB340" s="2" t="s">
        <v>422</v>
      </c>
      <c r="BC340" s="6"/>
      <c r="BD340" s="2"/>
      <c r="BE340" s="2">
        <v>0</v>
      </c>
    </row>
    <row r="341" spans="1:57" ht="13" hidden="1" x14ac:dyDescent="0.15">
      <c r="A341" s="60" t="s">
        <v>536</v>
      </c>
      <c r="B341" s="61" t="s">
        <v>463</v>
      </c>
      <c r="C341" s="62">
        <v>2007</v>
      </c>
      <c r="D341" s="63" t="s">
        <v>374</v>
      </c>
      <c r="E341" s="61" t="s">
        <v>135</v>
      </c>
      <c r="F341" s="61" t="s">
        <v>112</v>
      </c>
      <c r="G341" s="50" t="s">
        <v>113</v>
      </c>
      <c r="H341" s="61"/>
      <c r="I341" s="61" t="s">
        <v>537</v>
      </c>
      <c r="J341" s="61" t="s">
        <v>214</v>
      </c>
      <c r="K341" s="62">
        <v>841</v>
      </c>
      <c r="L341" s="62">
        <v>28</v>
      </c>
      <c r="M341" s="61"/>
      <c r="N341" s="61"/>
      <c r="O341" s="61"/>
      <c r="P341" s="62">
        <v>300</v>
      </c>
      <c r="Q341" s="64">
        <v>10</v>
      </c>
      <c r="R341" s="62">
        <v>4</v>
      </c>
      <c r="S341" s="62">
        <v>2500</v>
      </c>
      <c r="T341" s="61"/>
      <c r="U341" s="62">
        <v>2003</v>
      </c>
      <c r="V341" s="61"/>
      <c r="W341" s="61" t="s">
        <v>538</v>
      </c>
      <c r="X341" s="61"/>
      <c r="Y341" s="61"/>
      <c r="Z341" s="62">
        <v>17</v>
      </c>
      <c r="AA341" s="61"/>
      <c r="AB341" s="61"/>
      <c r="AC341" s="61"/>
      <c r="AD341" s="61"/>
      <c r="AE341" s="61"/>
      <c r="AF341" s="61"/>
      <c r="AG341" s="61"/>
      <c r="AH341" s="62">
        <v>1.4</v>
      </c>
      <c r="AI341" s="61"/>
      <c r="AJ341" s="61"/>
      <c r="AK341" s="61"/>
      <c r="AL341" s="62">
        <f>AH341 *0.1* Z341 * 10</f>
        <v>23.799999999999997</v>
      </c>
      <c r="AM341" s="61"/>
      <c r="AN341" s="61"/>
      <c r="AO341" s="61"/>
      <c r="AP341" s="61"/>
      <c r="AQ341" s="61"/>
      <c r="AR341" s="61"/>
      <c r="AS341" s="61"/>
      <c r="AT341" s="61"/>
      <c r="AU341" s="61"/>
      <c r="AV341" s="61" t="s">
        <v>539</v>
      </c>
      <c r="AW341" s="62">
        <v>14.4</v>
      </c>
      <c r="AX341" s="61" t="s">
        <v>497</v>
      </c>
      <c r="AY341" s="61"/>
      <c r="AZ341" s="61" t="s">
        <v>252</v>
      </c>
      <c r="BA341" s="61" t="s">
        <v>132</v>
      </c>
      <c r="BB341" s="61" t="s">
        <v>422</v>
      </c>
      <c r="BC341" s="65"/>
      <c r="BD341" s="61"/>
      <c r="BE341" s="2">
        <v>0</v>
      </c>
    </row>
    <row r="342" spans="1:57" ht="13" hidden="1" x14ac:dyDescent="0.15">
      <c r="A342" s="60" t="s">
        <v>536</v>
      </c>
      <c r="B342" s="61" t="s">
        <v>463</v>
      </c>
      <c r="C342" s="62">
        <v>2007</v>
      </c>
      <c r="D342" s="63" t="s">
        <v>374</v>
      </c>
      <c r="E342" s="61" t="s">
        <v>135</v>
      </c>
      <c r="F342" s="61" t="s">
        <v>112</v>
      </c>
      <c r="G342" s="50" t="s">
        <v>113</v>
      </c>
      <c r="H342" s="61"/>
      <c r="I342" s="61" t="s">
        <v>540</v>
      </c>
      <c r="J342" s="61" t="s">
        <v>214</v>
      </c>
      <c r="K342" s="62">
        <v>841</v>
      </c>
      <c r="L342" s="62">
        <v>28</v>
      </c>
      <c r="M342" s="61"/>
      <c r="N342" s="61"/>
      <c r="O342" s="61"/>
      <c r="P342" s="62">
        <v>300</v>
      </c>
      <c r="Q342" s="64">
        <v>10</v>
      </c>
      <c r="R342" s="62">
        <v>4</v>
      </c>
      <c r="S342" s="62">
        <v>2500</v>
      </c>
      <c r="T342" s="61"/>
      <c r="U342" s="62">
        <v>2003</v>
      </c>
      <c r="V342" s="61"/>
      <c r="W342" s="61" t="s">
        <v>538</v>
      </c>
      <c r="X342" s="61"/>
      <c r="Y342" s="61"/>
      <c r="Z342" s="62">
        <v>17</v>
      </c>
      <c r="AA342" s="61"/>
      <c r="AB342" s="61"/>
      <c r="AC342" s="61"/>
      <c r="AD342" s="61"/>
      <c r="AE342" s="61"/>
      <c r="AF342" s="61"/>
      <c r="AG342" s="61"/>
      <c r="AH342" s="62">
        <v>1.4</v>
      </c>
      <c r="AI342" s="61"/>
      <c r="AJ342" s="61"/>
      <c r="AK342" s="61"/>
      <c r="AL342" s="62">
        <f>AH342 *0.1* Z342 * 10</f>
        <v>23.799999999999997</v>
      </c>
      <c r="AM342" s="61"/>
      <c r="AN342" s="61"/>
      <c r="AO342" s="61"/>
      <c r="AP342" s="61"/>
      <c r="AQ342" s="61"/>
      <c r="AR342" s="61"/>
      <c r="AS342" s="61"/>
      <c r="AT342" s="61"/>
      <c r="AU342" s="61"/>
      <c r="AV342" s="61" t="s">
        <v>539</v>
      </c>
      <c r="AW342" s="62">
        <v>12.7</v>
      </c>
      <c r="AX342" s="61" t="s">
        <v>497</v>
      </c>
      <c r="AY342" s="61"/>
      <c r="AZ342" s="61" t="s">
        <v>252</v>
      </c>
      <c r="BA342" s="61" t="s">
        <v>132</v>
      </c>
      <c r="BB342" s="61" t="s">
        <v>422</v>
      </c>
      <c r="BC342" s="65"/>
      <c r="BD342" s="61"/>
      <c r="BE342" s="2">
        <v>0</v>
      </c>
    </row>
    <row r="343" spans="1:57" ht="13" hidden="1" x14ac:dyDescent="0.15">
      <c r="A343" s="60" t="s">
        <v>536</v>
      </c>
      <c r="B343" s="61" t="s">
        <v>463</v>
      </c>
      <c r="C343" s="62">
        <v>2007</v>
      </c>
      <c r="D343" s="63" t="s">
        <v>374</v>
      </c>
      <c r="E343" s="61" t="s">
        <v>135</v>
      </c>
      <c r="F343" s="61" t="s">
        <v>112</v>
      </c>
      <c r="G343" s="50" t="s">
        <v>113</v>
      </c>
      <c r="H343" s="61"/>
      <c r="I343" s="61" t="s">
        <v>541</v>
      </c>
      <c r="J343" s="61" t="s">
        <v>214</v>
      </c>
      <c r="K343" s="62">
        <v>841</v>
      </c>
      <c r="L343" s="62">
        <v>28</v>
      </c>
      <c r="M343" s="61"/>
      <c r="N343" s="61"/>
      <c r="O343" s="61"/>
      <c r="P343" s="62">
        <v>300</v>
      </c>
      <c r="Q343" s="64">
        <v>10</v>
      </c>
      <c r="R343" s="62">
        <v>4</v>
      </c>
      <c r="S343" s="62">
        <v>2500</v>
      </c>
      <c r="T343" s="61"/>
      <c r="U343" s="62">
        <v>2003</v>
      </c>
      <c r="V343" s="61"/>
      <c r="W343" s="61" t="s">
        <v>538</v>
      </c>
      <c r="X343" s="61"/>
      <c r="Y343" s="61"/>
      <c r="Z343" s="62">
        <v>19</v>
      </c>
      <c r="AA343" s="61"/>
      <c r="AB343" s="61"/>
      <c r="AC343" s="61"/>
      <c r="AD343" s="61"/>
      <c r="AE343" s="61"/>
      <c r="AF343" s="61"/>
      <c r="AG343" s="61"/>
      <c r="AH343" s="62">
        <v>1.4</v>
      </c>
      <c r="AI343" s="61"/>
      <c r="AJ343" s="61"/>
      <c r="AK343" s="61"/>
      <c r="AL343" s="62">
        <f>AH343 *0.1* Z343 * 10</f>
        <v>26.599999999999998</v>
      </c>
      <c r="AM343" s="61"/>
      <c r="AN343" s="61"/>
      <c r="AO343" s="61"/>
      <c r="AP343" s="61"/>
      <c r="AQ343" s="61"/>
      <c r="AR343" s="61"/>
      <c r="AS343" s="61"/>
      <c r="AT343" s="61"/>
      <c r="AU343" s="61"/>
      <c r="AV343" s="61" t="s">
        <v>539</v>
      </c>
      <c r="AW343" s="62">
        <v>10</v>
      </c>
      <c r="AX343" s="61" t="s">
        <v>497</v>
      </c>
      <c r="AY343" s="61"/>
      <c r="AZ343" s="61" t="s">
        <v>252</v>
      </c>
      <c r="BA343" s="61" t="s">
        <v>132</v>
      </c>
      <c r="BB343" s="61" t="s">
        <v>422</v>
      </c>
      <c r="BC343" s="65"/>
      <c r="BD343" s="61"/>
      <c r="BE343" s="2">
        <v>0</v>
      </c>
    </row>
    <row r="344" spans="1:57" ht="13" hidden="1" x14ac:dyDescent="0.15">
      <c r="A344" s="60" t="s">
        <v>536</v>
      </c>
      <c r="B344" s="61" t="s">
        <v>463</v>
      </c>
      <c r="C344" s="62">
        <v>2007</v>
      </c>
      <c r="D344" s="63" t="s">
        <v>374</v>
      </c>
      <c r="E344" s="61" t="s">
        <v>135</v>
      </c>
      <c r="F344" s="61" t="s">
        <v>112</v>
      </c>
      <c r="G344" s="50" t="s">
        <v>113</v>
      </c>
      <c r="H344" s="61"/>
      <c r="I344" s="61" t="s">
        <v>542</v>
      </c>
      <c r="J344" s="61" t="s">
        <v>214</v>
      </c>
      <c r="K344" s="62">
        <v>841</v>
      </c>
      <c r="L344" s="62">
        <v>28</v>
      </c>
      <c r="M344" s="61"/>
      <c r="N344" s="61"/>
      <c r="O344" s="61"/>
      <c r="P344" s="62">
        <v>300</v>
      </c>
      <c r="Q344" s="64">
        <v>10</v>
      </c>
      <c r="R344" s="62">
        <v>4</v>
      </c>
      <c r="S344" s="62">
        <v>2500</v>
      </c>
      <c r="T344" s="61"/>
      <c r="U344" s="62">
        <v>2003</v>
      </c>
      <c r="V344" s="61"/>
      <c r="W344" s="61" t="s">
        <v>538</v>
      </c>
      <c r="X344" s="61"/>
      <c r="Y344" s="61"/>
      <c r="Z344" s="62">
        <v>17</v>
      </c>
      <c r="AA344" s="61"/>
      <c r="AB344" s="61"/>
      <c r="AC344" s="61"/>
      <c r="AD344" s="61"/>
      <c r="AE344" s="61"/>
      <c r="AF344" s="61"/>
      <c r="AG344" s="61"/>
      <c r="AH344" s="62">
        <v>1.4</v>
      </c>
      <c r="AI344" s="61"/>
      <c r="AJ344" s="61"/>
      <c r="AK344" s="61"/>
      <c r="AL344" s="62">
        <f>AH344 *0.1* Z344 * 10</f>
        <v>23.799999999999997</v>
      </c>
      <c r="AM344" s="61"/>
      <c r="AN344" s="61"/>
      <c r="AO344" s="61"/>
      <c r="AP344" s="61"/>
      <c r="AQ344" s="61"/>
      <c r="AR344" s="61"/>
      <c r="AS344" s="61"/>
      <c r="AT344" s="61"/>
      <c r="AU344" s="61"/>
      <c r="AV344" s="61" t="s">
        <v>539</v>
      </c>
      <c r="AW344" s="62">
        <v>9</v>
      </c>
      <c r="AX344" s="61" t="s">
        <v>497</v>
      </c>
      <c r="AY344" s="61"/>
      <c r="AZ344" s="61" t="s">
        <v>252</v>
      </c>
      <c r="BA344" s="61" t="s">
        <v>132</v>
      </c>
      <c r="BB344" s="61" t="s">
        <v>422</v>
      </c>
      <c r="BC344" s="65"/>
      <c r="BD344" s="61"/>
      <c r="BE344" s="2">
        <v>0</v>
      </c>
    </row>
    <row r="345" spans="1:57" ht="13" hidden="1" x14ac:dyDescent="0.15">
      <c r="A345" s="60" t="s">
        <v>536</v>
      </c>
      <c r="B345" s="61" t="s">
        <v>463</v>
      </c>
      <c r="C345" s="62">
        <v>2007</v>
      </c>
      <c r="D345" s="63" t="s">
        <v>374</v>
      </c>
      <c r="E345" s="61" t="s">
        <v>135</v>
      </c>
      <c r="F345" s="61" t="s">
        <v>112</v>
      </c>
      <c r="G345" s="50" t="s">
        <v>113</v>
      </c>
      <c r="H345" s="61"/>
      <c r="I345" s="61" t="s">
        <v>543</v>
      </c>
      <c r="J345" s="61" t="s">
        <v>214</v>
      </c>
      <c r="K345" s="62">
        <v>841</v>
      </c>
      <c r="L345" s="62">
        <v>28</v>
      </c>
      <c r="M345" s="61"/>
      <c r="N345" s="61"/>
      <c r="O345" s="61"/>
      <c r="P345" s="62">
        <v>300</v>
      </c>
      <c r="Q345" s="64">
        <v>10</v>
      </c>
      <c r="R345" s="62">
        <v>4</v>
      </c>
      <c r="S345" s="62">
        <v>2500</v>
      </c>
      <c r="T345" s="61"/>
      <c r="U345" s="62">
        <v>2003</v>
      </c>
      <c r="V345" s="61"/>
      <c r="W345" s="61" t="s">
        <v>538</v>
      </c>
      <c r="X345" s="61"/>
      <c r="Y345" s="61"/>
      <c r="Z345" s="62">
        <v>15</v>
      </c>
      <c r="AA345" s="61"/>
      <c r="AB345" s="61"/>
      <c r="AC345" s="61"/>
      <c r="AD345" s="61"/>
      <c r="AE345" s="61"/>
      <c r="AF345" s="61"/>
      <c r="AG345" s="61"/>
      <c r="AH345" s="62">
        <v>1.4</v>
      </c>
      <c r="AI345" s="61"/>
      <c r="AJ345" s="61"/>
      <c r="AK345" s="61"/>
      <c r="AL345" s="62">
        <f>AH345 *0.1* Z345 * 10</f>
        <v>20.999999999999996</v>
      </c>
      <c r="AM345" s="61"/>
      <c r="AN345" s="61"/>
      <c r="AO345" s="61"/>
      <c r="AP345" s="61"/>
      <c r="AQ345" s="61"/>
      <c r="AR345" s="61"/>
      <c r="AS345" s="61"/>
      <c r="AT345" s="61"/>
      <c r="AU345" s="61"/>
      <c r="AV345" s="61" t="s">
        <v>539</v>
      </c>
      <c r="AW345" s="62">
        <v>10</v>
      </c>
      <c r="AX345" s="61" t="s">
        <v>497</v>
      </c>
      <c r="AY345" s="61"/>
      <c r="AZ345" s="61" t="s">
        <v>252</v>
      </c>
      <c r="BA345" s="61" t="s">
        <v>132</v>
      </c>
      <c r="BB345" s="61" t="s">
        <v>422</v>
      </c>
      <c r="BC345" s="65"/>
      <c r="BD345" s="61"/>
      <c r="BE345" s="2">
        <v>0</v>
      </c>
    </row>
    <row r="346" spans="1:57" ht="14" hidden="1" x14ac:dyDescent="0.15">
      <c r="A346" s="57" t="s">
        <v>536</v>
      </c>
      <c r="B346" s="21" t="s">
        <v>463</v>
      </c>
      <c r="C346" s="34">
        <v>2007</v>
      </c>
      <c r="D346" s="66" t="s">
        <v>374</v>
      </c>
      <c r="E346" s="21" t="s">
        <v>135</v>
      </c>
      <c r="F346" s="21" t="s">
        <v>112</v>
      </c>
      <c r="G346" s="8" t="s">
        <v>200</v>
      </c>
      <c r="H346" s="21"/>
      <c r="I346" s="21" t="s">
        <v>544</v>
      </c>
      <c r="J346" s="21" t="s">
        <v>214</v>
      </c>
      <c r="K346" s="34">
        <v>841</v>
      </c>
      <c r="L346" s="34">
        <v>28</v>
      </c>
      <c r="M346" s="21"/>
      <c r="N346" s="21"/>
      <c r="O346" s="21"/>
      <c r="P346" s="34">
        <v>300</v>
      </c>
      <c r="Q346" s="45">
        <v>10</v>
      </c>
      <c r="R346" s="34">
        <v>4</v>
      </c>
      <c r="S346" s="34">
        <v>2500</v>
      </c>
      <c r="T346" s="21"/>
      <c r="U346" s="34">
        <v>2003</v>
      </c>
      <c r="V346" s="21"/>
      <c r="W346" s="21" t="s">
        <v>538</v>
      </c>
      <c r="X346" s="21"/>
      <c r="Y346" s="21"/>
      <c r="Z346" s="34">
        <v>18</v>
      </c>
      <c r="AA346" s="21"/>
      <c r="AB346" s="21"/>
      <c r="AC346" s="21"/>
      <c r="AD346" s="21"/>
      <c r="AE346" s="21"/>
      <c r="AF346" s="21"/>
      <c r="AG346" s="21"/>
      <c r="AH346" s="34">
        <v>1.4</v>
      </c>
      <c r="AI346" s="21"/>
      <c r="AJ346" s="21"/>
      <c r="AK346" s="21"/>
      <c r="AL346" s="34">
        <f>AH346 *0.1* Z346 * 10</f>
        <v>25.199999999999996</v>
      </c>
      <c r="AM346" s="21"/>
      <c r="AN346" s="34">
        <f>AL346-AL341</f>
        <v>1.3999999999999986</v>
      </c>
      <c r="AO346" s="34">
        <f>(AN346/AL341)*100</f>
        <v>5.8823529411764657</v>
      </c>
      <c r="AP346" s="21"/>
      <c r="AQ346" s="34">
        <f>Z346-Z341</f>
        <v>1</v>
      </c>
      <c r="AR346" s="34">
        <f>(AQ346/Z341)*100</f>
        <v>5.8823529411764701</v>
      </c>
      <c r="AS346" s="21"/>
      <c r="AT346" s="21"/>
      <c r="AU346" s="21"/>
      <c r="AV346" s="21" t="s">
        <v>539</v>
      </c>
      <c r="AW346" s="34">
        <v>14.4</v>
      </c>
      <c r="AX346" s="21" t="s">
        <v>497</v>
      </c>
      <c r="AY346" s="21"/>
      <c r="AZ346" s="21" t="s">
        <v>252</v>
      </c>
      <c r="BA346" s="2" t="s">
        <v>132</v>
      </c>
      <c r="BB346" s="21" t="s">
        <v>422</v>
      </c>
      <c r="BC346" s="37"/>
      <c r="BD346" s="21"/>
      <c r="BE346" s="2">
        <v>0</v>
      </c>
    </row>
    <row r="347" spans="1:57" ht="14" hidden="1" x14ac:dyDescent="0.15">
      <c r="A347" s="57" t="s">
        <v>536</v>
      </c>
      <c r="B347" s="21" t="s">
        <v>463</v>
      </c>
      <c r="C347" s="34">
        <v>2007</v>
      </c>
      <c r="D347" s="66" t="s">
        <v>374</v>
      </c>
      <c r="E347" s="21" t="s">
        <v>135</v>
      </c>
      <c r="F347" s="21" t="s">
        <v>112</v>
      </c>
      <c r="G347" s="8" t="s">
        <v>200</v>
      </c>
      <c r="H347" s="21"/>
      <c r="I347" s="21" t="s">
        <v>545</v>
      </c>
      <c r="J347" s="21" t="s">
        <v>214</v>
      </c>
      <c r="K347" s="34">
        <v>841</v>
      </c>
      <c r="L347" s="34">
        <v>28</v>
      </c>
      <c r="M347" s="21"/>
      <c r="N347" s="21"/>
      <c r="O347" s="21"/>
      <c r="P347" s="34">
        <v>300</v>
      </c>
      <c r="Q347" s="45">
        <v>10</v>
      </c>
      <c r="R347" s="34">
        <v>4</v>
      </c>
      <c r="S347" s="34">
        <v>2500</v>
      </c>
      <c r="T347" s="21"/>
      <c r="U347" s="34">
        <v>2003</v>
      </c>
      <c r="V347" s="21"/>
      <c r="W347" s="21" t="s">
        <v>538</v>
      </c>
      <c r="X347" s="21"/>
      <c r="Y347" s="21"/>
      <c r="Z347" s="34">
        <v>17</v>
      </c>
      <c r="AA347" s="21"/>
      <c r="AB347" s="21"/>
      <c r="AC347" s="21"/>
      <c r="AD347" s="21"/>
      <c r="AE347" s="21"/>
      <c r="AF347" s="21"/>
      <c r="AG347" s="21"/>
      <c r="AH347" s="34">
        <v>1.4</v>
      </c>
      <c r="AI347" s="21"/>
      <c r="AJ347" s="21"/>
      <c r="AK347" s="21"/>
      <c r="AL347" s="34">
        <f>AH347 *0.1* Z347 * 10</f>
        <v>23.799999999999997</v>
      </c>
      <c r="AM347" s="21"/>
      <c r="AN347" s="34">
        <f>AL347-AL342</f>
        <v>0</v>
      </c>
      <c r="AO347" s="34">
        <f>(AN347/AL342)*100</f>
        <v>0</v>
      </c>
      <c r="AP347" s="21"/>
      <c r="AQ347" s="34">
        <f>Z347-Z342</f>
        <v>0</v>
      </c>
      <c r="AR347" s="34">
        <f>(AQ347/Z342)*100</f>
        <v>0</v>
      </c>
      <c r="AS347" s="21"/>
      <c r="AT347" s="21"/>
      <c r="AU347" s="21"/>
      <c r="AV347" s="21" t="s">
        <v>539</v>
      </c>
      <c r="AW347" s="34">
        <v>12.1</v>
      </c>
      <c r="AX347" s="21" t="s">
        <v>497</v>
      </c>
      <c r="AY347" s="21"/>
      <c r="AZ347" s="21" t="s">
        <v>252</v>
      </c>
      <c r="BA347" s="2" t="s">
        <v>132</v>
      </c>
      <c r="BB347" s="21" t="s">
        <v>422</v>
      </c>
      <c r="BC347" s="37"/>
      <c r="BD347" s="21"/>
      <c r="BE347" s="2">
        <v>0</v>
      </c>
    </row>
    <row r="348" spans="1:57" ht="14" hidden="1" x14ac:dyDescent="0.15">
      <c r="A348" s="57" t="s">
        <v>536</v>
      </c>
      <c r="B348" s="21" t="s">
        <v>463</v>
      </c>
      <c r="C348" s="34">
        <v>2007</v>
      </c>
      <c r="D348" s="66" t="s">
        <v>374</v>
      </c>
      <c r="E348" s="21" t="s">
        <v>135</v>
      </c>
      <c r="F348" s="21" t="s">
        <v>112</v>
      </c>
      <c r="G348" s="8" t="s">
        <v>200</v>
      </c>
      <c r="H348" s="21"/>
      <c r="I348" s="21" t="s">
        <v>546</v>
      </c>
      <c r="J348" s="21" t="s">
        <v>214</v>
      </c>
      <c r="K348" s="34">
        <v>841</v>
      </c>
      <c r="L348" s="34">
        <v>28</v>
      </c>
      <c r="M348" s="21"/>
      <c r="N348" s="21"/>
      <c r="O348" s="21"/>
      <c r="P348" s="34">
        <v>300</v>
      </c>
      <c r="Q348" s="45">
        <v>10</v>
      </c>
      <c r="R348" s="34">
        <v>4</v>
      </c>
      <c r="S348" s="34">
        <v>2500</v>
      </c>
      <c r="T348" s="21"/>
      <c r="U348" s="34">
        <v>2003</v>
      </c>
      <c r="V348" s="21"/>
      <c r="W348" s="21" t="s">
        <v>538</v>
      </c>
      <c r="X348" s="21"/>
      <c r="Y348" s="21"/>
      <c r="Z348" s="34">
        <v>16</v>
      </c>
      <c r="AA348" s="21"/>
      <c r="AB348" s="21"/>
      <c r="AC348" s="21"/>
      <c r="AD348" s="21"/>
      <c r="AE348" s="21"/>
      <c r="AF348" s="21"/>
      <c r="AG348" s="21"/>
      <c r="AH348" s="34">
        <v>1.4</v>
      </c>
      <c r="AI348" s="21"/>
      <c r="AJ348" s="21"/>
      <c r="AK348" s="21"/>
      <c r="AL348" s="34">
        <f>AH348 *0.1* Z348 * 10</f>
        <v>22.4</v>
      </c>
      <c r="AM348" s="21"/>
      <c r="AN348" s="34">
        <f>AL348-AL343</f>
        <v>-4.1999999999999993</v>
      </c>
      <c r="AO348" s="34">
        <f>(AN348/AL343)*100</f>
        <v>-15.789473684210526</v>
      </c>
      <c r="AP348" s="21"/>
      <c r="AQ348" s="34">
        <f>Z348-Z343</f>
        <v>-3</v>
      </c>
      <c r="AR348" s="34">
        <f>(AQ348/Z343)*100</f>
        <v>-15.789473684210526</v>
      </c>
      <c r="AS348" s="21"/>
      <c r="AT348" s="21"/>
      <c r="AU348" s="21"/>
      <c r="AV348" s="21" t="s">
        <v>539</v>
      </c>
      <c r="AW348" s="34">
        <v>14.5</v>
      </c>
      <c r="AX348" s="21" t="s">
        <v>497</v>
      </c>
      <c r="AY348" s="21"/>
      <c r="AZ348" s="21" t="s">
        <v>252</v>
      </c>
      <c r="BA348" s="2" t="s">
        <v>132</v>
      </c>
      <c r="BB348" s="21" t="s">
        <v>422</v>
      </c>
      <c r="BC348" s="37"/>
      <c r="BD348" s="21"/>
      <c r="BE348" s="2">
        <v>0</v>
      </c>
    </row>
    <row r="349" spans="1:57" ht="14" hidden="1" x14ac:dyDescent="0.15">
      <c r="A349" s="57" t="s">
        <v>536</v>
      </c>
      <c r="B349" s="21" t="s">
        <v>463</v>
      </c>
      <c r="C349" s="34">
        <v>2007</v>
      </c>
      <c r="D349" s="66" t="s">
        <v>374</v>
      </c>
      <c r="E349" s="21" t="s">
        <v>135</v>
      </c>
      <c r="F349" s="21" t="s">
        <v>112</v>
      </c>
      <c r="G349" s="8" t="s">
        <v>200</v>
      </c>
      <c r="H349" s="21"/>
      <c r="I349" s="21" t="s">
        <v>547</v>
      </c>
      <c r="J349" s="21" t="s">
        <v>214</v>
      </c>
      <c r="K349" s="34">
        <v>841</v>
      </c>
      <c r="L349" s="34">
        <v>28</v>
      </c>
      <c r="M349" s="21"/>
      <c r="N349" s="21"/>
      <c r="O349" s="21"/>
      <c r="P349" s="34">
        <v>300</v>
      </c>
      <c r="Q349" s="45">
        <v>10</v>
      </c>
      <c r="R349" s="34">
        <v>4</v>
      </c>
      <c r="S349" s="34">
        <v>2500</v>
      </c>
      <c r="T349" s="21"/>
      <c r="U349" s="34">
        <v>2003</v>
      </c>
      <c r="V349" s="21"/>
      <c r="W349" s="21" t="s">
        <v>538</v>
      </c>
      <c r="X349" s="21"/>
      <c r="Y349" s="21"/>
      <c r="Z349" s="34">
        <v>16</v>
      </c>
      <c r="AA349" s="21"/>
      <c r="AB349" s="21"/>
      <c r="AC349" s="21"/>
      <c r="AD349" s="21"/>
      <c r="AE349" s="21"/>
      <c r="AF349" s="21"/>
      <c r="AG349" s="21"/>
      <c r="AH349" s="34">
        <v>1.4</v>
      </c>
      <c r="AI349" s="21"/>
      <c r="AJ349" s="21"/>
      <c r="AK349" s="21"/>
      <c r="AL349" s="34">
        <f>AH349 *0.1* Z349 * 10</f>
        <v>22.4</v>
      </c>
      <c r="AM349" s="21"/>
      <c r="AN349" s="34">
        <f>AL349-AL344</f>
        <v>-1.3999999999999986</v>
      </c>
      <c r="AO349" s="34">
        <f>(AN349/AL344)*100</f>
        <v>-5.8823529411764657</v>
      </c>
      <c r="AP349" s="21"/>
      <c r="AQ349" s="34">
        <f>Z349-Z344</f>
        <v>-1</v>
      </c>
      <c r="AR349" s="34">
        <f>(AQ349/Z344)*100</f>
        <v>-5.8823529411764701</v>
      </c>
      <c r="AS349" s="21"/>
      <c r="AT349" s="21"/>
      <c r="AU349" s="21"/>
      <c r="AV349" s="21" t="s">
        <v>539</v>
      </c>
      <c r="AW349" s="34">
        <v>12.5</v>
      </c>
      <c r="AX349" s="21" t="s">
        <v>497</v>
      </c>
      <c r="AY349" s="21"/>
      <c r="AZ349" s="21" t="s">
        <v>252</v>
      </c>
      <c r="BA349" s="2" t="s">
        <v>132</v>
      </c>
      <c r="BB349" s="21" t="s">
        <v>422</v>
      </c>
      <c r="BC349" s="37"/>
      <c r="BD349" s="21"/>
      <c r="BE349" s="2">
        <v>0</v>
      </c>
    </row>
    <row r="350" spans="1:57" ht="14" hidden="1" x14ac:dyDescent="0.15">
      <c r="A350" s="57" t="s">
        <v>536</v>
      </c>
      <c r="B350" s="21" t="s">
        <v>463</v>
      </c>
      <c r="C350" s="34">
        <v>2007</v>
      </c>
      <c r="D350" s="66" t="s">
        <v>374</v>
      </c>
      <c r="E350" s="21" t="s">
        <v>135</v>
      </c>
      <c r="F350" s="21" t="s">
        <v>112</v>
      </c>
      <c r="G350" s="8" t="s">
        <v>200</v>
      </c>
      <c r="H350" s="21"/>
      <c r="I350" s="21" t="s">
        <v>548</v>
      </c>
      <c r="J350" s="21" t="s">
        <v>214</v>
      </c>
      <c r="K350" s="34">
        <v>841</v>
      </c>
      <c r="L350" s="34">
        <v>28</v>
      </c>
      <c r="M350" s="21"/>
      <c r="N350" s="21"/>
      <c r="O350" s="21"/>
      <c r="P350" s="34">
        <v>300</v>
      </c>
      <c r="Q350" s="45">
        <v>10</v>
      </c>
      <c r="R350" s="34">
        <v>4</v>
      </c>
      <c r="S350" s="34">
        <v>2500</v>
      </c>
      <c r="T350" s="21"/>
      <c r="U350" s="34">
        <v>2003</v>
      </c>
      <c r="V350" s="21"/>
      <c r="W350" s="21" t="s">
        <v>538</v>
      </c>
      <c r="X350" s="21"/>
      <c r="Y350" s="21"/>
      <c r="Z350" s="34">
        <v>12</v>
      </c>
      <c r="AA350" s="21"/>
      <c r="AB350" s="21"/>
      <c r="AC350" s="21"/>
      <c r="AD350" s="21"/>
      <c r="AE350" s="21"/>
      <c r="AF350" s="21"/>
      <c r="AG350" s="21"/>
      <c r="AH350" s="34">
        <v>1.5</v>
      </c>
      <c r="AI350" s="21"/>
      <c r="AJ350" s="21"/>
      <c r="AK350" s="21"/>
      <c r="AL350" s="34">
        <f>AH350 *0.1* Z350 * 10</f>
        <v>18.000000000000004</v>
      </c>
      <c r="AM350" s="21"/>
      <c r="AN350" s="34">
        <f>AL350-AL345</f>
        <v>-2.9999999999999929</v>
      </c>
      <c r="AO350" s="34">
        <f>(AN350/AL345)*100</f>
        <v>-14.285714285714255</v>
      </c>
      <c r="AP350" s="21"/>
      <c r="AQ350" s="34">
        <f>Z350-Z345</f>
        <v>-3</v>
      </c>
      <c r="AR350" s="34">
        <f>(AQ350/Z345)*100</f>
        <v>-20</v>
      </c>
      <c r="AS350" s="21"/>
      <c r="AT350" s="21"/>
      <c r="AU350" s="21"/>
      <c r="AV350" s="21" t="s">
        <v>539</v>
      </c>
      <c r="AW350" s="34">
        <v>30.9</v>
      </c>
      <c r="AX350" s="21" t="s">
        <v>497</v>
      </c>
      <c r="AY350" s="21"/>
      <c r="AZ350" s="21" t="s">
        <v>252</v>
      </c>
      <c r="BA350" s="2" t="s">
        <v>132</v>
      </c>
      <c r="BB350" s="21" t="s">
        <v>422</v>
      </c>
      <c r="BC350" s="37"/>
      <c r="BD350" s="21"/>
      <c r="BE350" s="2">
        <v>0</v>
      </c>
    </row>
    <row r="351" spans="1:57" ht="13" x14ac:dyDescent="0.15">
      <c r="A351" s="39" t="s">
        <v>536</v>
      </c>
      <c r="B351" s="2" t="s">
        <v>463</v>
      </c>
      <c r="C351" s="9">
        <v>2007</v>
      </c>
      <c r="D351" s="67" t="s">
        <v>374</v>
      </c>
      <c r="E351" s="2" t="s">
        <v>112</v>
      </c>
      <c r="F351" s="2" t="s">
        <v>135</v>
      </c>
      <c r="G351" s="21" t="s">
        <v>144</v>
      </c>
      <c r="H351" s="2"/>
      <c r="I351" s="2" t="s">
        <v>549</v>
      </c>
      <c r="J351" s="2" t="s">
        <v>214</v>
      </c>
      <c r="K351" s="9">
        <v>841</v>
      </c>
      <c r="L351" s="9">
        <v>28</v>
      </c>
      <c r="M351" s="2"/>
      <c r="N351" s="2"/>
      <c r="O351" s="2"/>
      <c r="P351" s="9">
        <v>300</v>
      </c>
      <c r="Q351" s="11">
        <v>10</v>
      </c>
      <c r="R351" s="9">
        <v>4</v>
      </c>
      <c r="S351" s="9">
        <v>2500</v>
      </c>
      <c r="T351" s="2"/>
      <c r="U351" s="9">
        <v>2003</v>
      </c>
      <c r="V351" s="2"/>
      <c r="W351" s="2" t="s">
        <v>538</v>
      </c>
      <c r="X351" s="2"/>
      <c r="Y351" s="2"/>
      <c r="Z351" s="9">
        <v>18</v>
      </c>
      <c r="AA351" s="2"/>
      <c r="AB351" s="2"/>
      <c r="AC351" s="2"/>
      <c r="AD351" s="2"/>
      <c r="AE351" s="2"/>
      <c r="AF351" s="2"/>
      <c r="AG351" s="2"/>
      <c r="AH351" s="9">
        <v>1.4</v>
      </c>
      <c r="AI351" s="2"/>
      <c r="AJ351" s="2"/>
      <c r="AK351" s="2"/>
      <c r="AL351" s="9">
        <f>AH351 *0.1* Z351 * 10</f>
        <v>25.199999999999996</v>
      </c>
      <c r="AM351" s="2"/>
      <c r="AN351" s="34">
        <f>AL351-AL$355</f>
        <v>7.1999999999999922</v>
      </c>
      <c r="AO351" s="34">
        <f>(AN351/AL$355)*100</f>
        <v>39.999999999999943</v>
      </c>
      <c r="AP351" s="2"/>
      <c r="AQ351" s="34">
        <f>Z351-Z$355</f>
        <v>6</v>
      </c>
      <c r="AR351" s="34">
        <f>(AQ351/Z$355)*100</f>
        <v>50</v>
      </c>
      <c r="AS351" s="2"/>
      <c r="AT351" s="2"/>
      <c r="AU351" s="2"/>
      <c r="AV351" s="2" t="s">
        <v>539</v>
      </c>
      <c r="AW351" s="9">
        <v>13.4</v>
      </c>
      <c r="AX351" s="2" t="s">
        <v>497</v>
      </c>
      <c r="AY351" s="2"/>
      <c r="AZ351" s="2" t="s">
        <v>252</v>
      </c>
      <c r="BA351" s="2" t="s">
        <v>132</v>
      </c>
      <c r="BB351" s="2" t="s">
        <v>422</v>
      </c>
      <c r="BC351" s="6"/>
      <c r="BD351" s="2"/>
      <c r="BE351" s="2">
        <v>0</v>
      </c>
    </row>
    <row r="352" spans="1:57" ht="13" x14ac:dyDescent="0.15">
      <c r="A352" s="57" t="s">
        <v>536</v>
      </c>
      <c r="B352" s="21" t="s">
        <v>463</v>
      </c>
      <c r="C352" s="34">
        <v>2007</v>
      </c>
      <c r="D352" s="66" t="s">
        <v>374</v>
      </c>
      <c r="E352" s="21" t="s">
        <v>112</v>
      </c>
      <c r="F352" s="21" t="s">
        <v>135</v>
      </c>
      <c r="G352" s="21" t="s">
        <v>144</v>
      </c>
      <c r="H352" s="21"/>
      <c r="I352" s="21" t="s">
        <v>550</v>
      </c>
      <c r="J352" s="21" t="s">
        <v>214</v>
      </c>
      <c r="K352" s="34">
        <v>841</v>
      </c>
      <c r="L352" s="34">
        <v>28</v>
      </c>
      <c r="M352" s="21"/>
      <c r="N352" s="21"/>
      <c r="O352" s="21"/>
      <c r="P352" s="34">
        <v>300</v>
      </c>
      <c r="Q352" s="45">
        <v>10</v>
      </c>
      <c r="R352" s="34">
        <v>4</v>
      </c>
      <c r="S352" s="34">
        <v>2500</v>
      </c>
      <c r="T352" s="21"/>
      <c r="U352" s="34">
        <v>2003</v>
      </c>
      <c r="V352" s="21"/>
      <c r="W352" s="21" t="s">
        <v>538</v>
      </c>
      <c r="X352" s="21"/>
      <c r="Y352" s="21"/>
      <c r="Z352" s="34">
        <v>17</v>
      </c>
      <c r="AA352" s="21"/>
      <c r="AB352" s="21"/>
      <c r="AC352" s="21"/>
      <c r="AD352" s="21"/>
      <c r="AE352" s="21"/>
      <c r="AF352" s="21"/>
      <c r="AG352" s="21"/>
      <c r="AH352" s="34">
        <v>1.4</v>
      </c>
      <c r="AI352" s="21"/>
      <c r="AJ352" s="21"/>
      <c r="AK352" s="21"/>
      <c r="AL352" s="34">
        <f>AH352 *0.1* Z352 * 10</f>
        <v>23.799999999999997</v>
      </c>
      <c r="AM352" s="21"/>
      <c r="AN352" s="34">
        <f>AL352-AL$355</f>
        <v>5.7999999999999936</v>
      </c>
      <c r="AO352" s="34">
        <f>(AN352/AL$355)*100</f>
        <v>32.222222222222179</v>
      </c>
      <c r="AP352" s="21"/>
      <c r="AQ352" s="34">
        <f>Z352-Z$355</f>
        <v>5</v>
      </c>
      <c r="AR352" s="34">
        <f>(AQ352/Z$355)*100</f>
        <v>41.666666666666671</v>
      </c>
      <c r="AS352" s="21"/>
      <c r="AT352" s="21"/>
      <c r="AU352" s="21"/>
      <c r="AV352" s="21" t="s">
        <v>539</v>
      </c>
      <c r="AW352" s="34">
        <v>12.1</v>
      </c>
      <c r="AX352" s="21" t="s">
        <v>497</v>
      </c>
      <c r="AY352" s="21"/>
      <c r="AZ352" s="21" t="s">
        <v>252</v>
      </c>
      <c r="BA352" s="2" t="s">
        <v>132</v>
      </c>
      <c r="BB352" s="21" t="s">
        <v>422</v>
      </c>
      <c r="BC352" s="37"/>
      <c r="BD352" s="21"/>
      <c r="BE352" s="2">
        <v>0</v>
      </c>
    </row>
    <row r="353" spans="1:57" ht="13" x14ac:dyDescent="0.15">
      <c r="A353" s="57" t="s">
        <v>536</v>
      </c>
      <c r="B353" s="21" t="s">
        <v>463</v>
      </c>
      <c r="C353" s="34">
        <v>2007</v>
      </c>
      <c r="D353" s="66" t="s">
        <v>374</v>
      </c>
      <c r="E353" s="21" t="s">
        <v>112</v>
      </c>
      <c r="F353" s="21" t="s">
        <v>135</v>
      </c>
      <c r="G353" s="21" t="s">
        <v>144</v>
      </c>
      <c r="H353" s="21"/>
      <c r="I353" s="21" t="s">
        <v>551</v>
      </c>
      <c r="J353" s="21" t="s">
        <v>214</v>
      </c>
      <c r="K353" s="34">
        <v>841</v>
      </c>
      <c r="L353" s="34">
        <v>28</v>
      </c>
      <c r="M353" s="21"/>
      <c r="N353" s="21"/>
      <c r="O353" s="21"/>
      <c r="P353" s="34">
        <v>300</v>
      </c>
      <c r="Q353" s="45">
        <v>10</v>
      </c>
      <c r="R353" s="34">
        <v>4</v>
      </c>
      <c r="S353" s="34">
        <v>2500</v>
      </c>
      <c r="T353" s="21"/>
      <c r="U353" s="34">
        <v>2003</v>
      </c>
      <c r="V353" s="21"/>
      <c r="W353" s="21" t="s">
        <v>538</v>
      </c>
      <c r="X353" s="21"/>
      <c r="Y353" s="21"/>
      <c r="Z353" s="34">
        <v>16</v>
      </c>
      <c r="AA353" s="21"/>
      <c r="AB353" s="21"/>
      <c r="AC353" s="21"/>
      <c r="AD353" s="21"/>
      <c r="AE353" s="21"/>
      <c r="AF353" s="21"/>
      <c r="AG353" s="21"/>
      <c r="AH353" s="34">
        <v>1.4</v>
      </c>
      <c r="AI353" s="21"/>
      <c r="AJ353" s="21"/>
      <c r="AK353" s="21"/>
      <c r="AL353" s="34">
        <f>AH353 *0.1* Z353 * 10</f>
        <v>22.4</v>
      </c>
      <c r="AM353" s="21"/>
      <c r="AN353" s="34">
        <f>AL353-AL$355</f>
        <v>4.399999999999995</v>
      </c>
      <c r="AO353" s="34">
        <f>(AN353/AL$355)*100</f>
        <v>24.444444444444414</v>
      </c>
      <c r="AP353" s="21"/>
      <c r="AQ353" s="34">
        <f>Z353-Z$355</f>
        <v>4</v>
      </c>
      <c r="AR353" s="34">
        <f>(AQ353/Z$355)*100</f>
        <v>33.333333333333329</v>
      </c>
      <c r="AS353" s="21"/>
      <c r="AT353" s="21"/>
      <c r="AU353" s="21"/>
      <c r="AV353" s="21" t="s">
        <v>539</v>
      </c>
      <c r="AW353" s="34">
        <v>14.5</v>
      </c>
      <c r="AX353" s="21" t="s">
        <v>497</v>
      </c>
      <c r="AY353" s="21"/>
      <c r="AZ353" s="21" t="s">
        <v>252</v>
      </c>
      <c r="BA353" s="2" t="s">
        <v>132</v>
      </c>
      <c r="BB353" s="21" t="s">
        <v>422</v>
      </c>
      <c r="BC353" s="37"/>
      <c r="BD353" s="21"/>
      <c r="BE353" s="2">
        <v>0</v>
      </c>
    </row>
    <row r="354" spans="1:57" ht="13" x14ac:dyDescent="0.15">
      <c r="A354" s="57" t="s">
        <v>536</v>
      </c>
      <c r="B354" s="21" t="s">
        <v>463</v>
      </c>
      <c r="C354" s="34">
        <v>2007</v>
      </c>
      <c r="D354" s="66" t="s">
        <v>374</v>
      </c>
      <c r="E354" s="21" t="s">
        <v>112</v>
      </c>
      <c r="F354" s="21" t="s">
        <v>135</v>
      </c>
      <c r="G354" s="21" t="s">
        <v>144</v>
      </c>
      <c r="H354" s="21"/>
      <c r="I354" s="21" t="s">
        <v>552</v>
      </c>
      <c r="J354" s="21" t="s">
        <v>214</v>
      </c>
      <c r="K354" s="34">
        <v>841</v>
      </c>
      <c r="L354" s="34">
        <v>28</v>
      </c>
      <c r="M354" s="21"/>
      <c r="N354" s="21"/>
      <c r="O354" s="21"/>
      <c r="P354" s="34">
        <v>300</v>
      </c>
      <c r="Q354" s="45">
        <v>10</v>
      </c>
      <c r="R354" s="34">
        <v>4</v>
      </c>
      <c r="S354" s="34">
        <v>2500</v>
      </c>
      <c r="T354" s="21"/>
      <c r="U354" s="34">
        <v>2003</v>
      </c>
      <c r="V354" s="21"/>
      <c r="W354" s="21" t="s">
        <v>538</v>
      </c>
      <c r="X354" s="21"/>
      <c r="Y354" s="21"/>
      <c r="Z354" s="34">
        <v>16</v>
      </c>
      <c r="AA354" s="21"/>
      <c r="AB354" s="21"/>
      <c r="AC354" s="21"/>
      <c r="AD354" s="21"/>
      <c r="AE354" s="21"/>
      <c r="AF354" s="21"/>
      <c r="AG354" s="21"/>
      <c r="AH354" s="34">
        <v>1.4</v>
      </c>
      <c r="AI354" s="21"/>
      <c r="AJ354" s="21"/>
      <c r="AK354" s="21"/>
      <c r="AL354" s="34">
        <f>AH354 *0.1* Z354 * 10</f>
        <v>22.4</v>
      </c>
      <c r="AM354" s="21"/>
      <c r="AN354" s="34">
        <f>AL354-AL$355</f>
        <v>4.399999999999995</v>
      </c>
      <c r="AO354" s="34">
        <f>(AN354/AL$355)*100</f>
        <v>24.444444444444414</v>
      </c>
      <c r="AP354" s="21"/>
      <c r="AQ354" s="34">
        <f>Z354-Z$355</f>
        <v>4</v>
      </c>
      <c r="AR354" s="34">
        <f>(AQ354/Z$355)*100</f>
        <v>33.333333333333329</v>
      </c>
      <c r="AS354" s="21"/>
      <c r="AT354" s="21"/>
      <c r="AU354" s="21"/>
      <c r="AV354" s="21" t="s">
        <v>539</v>
      </c>
      <c r="AW354" s="34">
        <v>12.5</v>
      </c>
      <c r="AX354" s="21" t="s">
        <v>497</v>
      </c>
      <c r="AY354" s="21"/>
      <c r="AZ354" s="21" t="s">
        <v>252</v>
      </c>
      <c r="BA354" s="2" t="s">
        <v>132</v>
      </c>
      <c r="BB354" s="21" t="s">
        <v>422</v>
      </c>
      <c r="BC354" s="37"/>
      <c r="BD354" s="21"/>
      <c r="BE354" s="2">
        <v>0</v>
      </c>
    </row>
    <row r="355" spans="1:57" ht="13" x14ac:dyDescent="0.15">
      <c r="A355" s="60" t="s">
        <v>536</v>
      </c>
      <c r="B355" s="61" t="s">
        <v>463</v>
      </c>
      <c r="C355" s="62">
        <v>2007</v>
      </c>
      <c r="D355" s="63" t="s">
        <v>374</v>
      </c>
      <c r="E355" s="61" t="s">
        <v>112</v>
      </c>
      <c r="F355" s="61" t="s">
        <v>135</v>
      </c>
      <c r="G355" s="61" t="s">
        <v>113</v>
      </c>
      <c r="H355" s="61"/>
      <c r="I355" s="61" t="s">
        <v>553</v>
      </c>
      <c r="J355" s="61" t="s">
        <v>214</v>
      </c>
      <c r="K355" s="62">
        <v>841</v>
      </c>
      <c r="L355" s="62">
        <v>28</v>
      </c>
      <c r="M355" s="61"/>
      <c r="N355" s="61"/>
      <c r="O355" s="61"/>
      <c r="P355" s="62">
        <v>300</v>
      </c>
      <c r="Q355" s="64">
        <v>10</v>
      </c>
      <c r="R355" s="62">
        <v>4</v>
      </c>
      <c r="S355" s="62">
        <v>2500</v>
      </c>
      <c r="T355" s="61"/>
      <c r="U355" s="62">
        <v>2003</v>
      </c>
      <c r="V355" s="61"/>
      <c r="W355" s="61" t="s">
        <v>538</v>
      </c>
      <c r="X355" s="61"/>
      <c r="Y355" s="61"/>
      <c r="Z355" s="62">
        <v>12</v>
      </c>
      <c r="AA355" s="61"/>
      <c r="AB355" s="61"/>
      <c r="AC355" s="61"/>
      <c r="AD355" s="61"/>
      <c r="AE355" s="61"/>
      <c r="AF355" s="61"/>
      <c r="AG355" s="61"/>
      <c r="AH355" s="62">
        <v>1.5</v>
      </c>
      <c r="AI355" s="61"/>
      <c r="AJ355" s="61"/>
      <c r="AK355" s="61"/>
      <c r="AL355" s="62">
        <f>AH355 *0.1* Z355 * 10</f>
        <v>18.000000000000004</v>
      </c>
      <c r="AM355" s="61"/>
      <c r="AN355" s="62"/>
      <c r="AO355" s="62"/>
      <c r="AP355" s="61"/>
      <c r="AQ355" s="62"/>
      <c r="AR355" s="62"/>
      <c r="AS355" s="61"/>
      <c r="AT355" s="61"/>
      <c r="AU355" s="61"/>
      <c r="AV355" s="61" t="s">
        <v>539</v>
      </c>
      <c r="AW355" s="62">
        <v>30.9</v>
      </c>
      <c r="AX355" s="61" t="s">
        <v>497</v>
      </c>
      <c r="AY355" s="61"/>
      <c r="AZ355" s="61" t="s">
        <v>252</v>
      </c>
      <c r="BA355" s="61" t="s">
        <v>132</v>
      </c>
      <c r="BB355" s="61" t="s">
        <v>422</v>
      </c>
      <c r="BC355" s="65"/>
      <c r="BD355" s="61"/>
      <c r="BE355" s="61">
        <v>0</v>
      </c>
    </row>
    <row r="356" spans="1:57" ht="13" x14ac:dyDescent="0.15">
      <c r="A356" s="39" t="s">
        <v>536</v>
      </c>
      <c r="B356" s="2" t="s">
        <v>463</v>
      </c>
      <c r="C356" s="9">
        <v>2007</v>
      </c>
      <c r="D356" s="67" t="s">
        <v>374</v>
      </c>
      <c r="E356" s="2" t="s">
        <v>112</v>
      </c>
      <c r="F356" s="2"/>
      <c r="G356" s="21" t="s">
        <v>144</v>
      </c>
      <c r="H356" s="2"/>
      <c r="I356" s="2" t="s">
        <v>554</v>
      </c>
      <c r="J356" s="2" t="s">
        <v>214</v>
      </c>
      <c r="K356" s="9">
        <v>841</v>
      </c>
      <c r="L356" s="9">
        <v>28</v>
      </c>
      <c r="M356" s="2"/>
      <c r="N356" s="2"/>
      <c r="O356" s="2"/>
      <c r="P356" s="9">
        <v>300</v>
      </c>
      <c r="Q356" s="11">
        <v>10</v>
      </c>
      <c r="R356" s="9">
        <v>4</v>
      </c>
      <c r="S356" s="9">
        <v>2500</v>
      </c>
      <c r="T356" s="2"/>
      <c r="U356" s="9">
        <v>2003</v>
      </c>
      <c r="V356" s="2"/>
      <c r="W356" s="2" t="s">
        <v>538</v>
      </c>
      <c r="X356" s="2"/>
      <c r="Y356" s="2"/>
      <c r="Z356" s="9">
        <v>17</v>
      </c>
      <c r="AA356" s="2"/>
      <c r="AB356" s="2"/>
      <c r="AC356" s="2"/>
      <c r="AD356" s="2"/>
      <c r="AE356" s="2"/>
      <c r="AF356" s="2"/>
      <c r="AG356" s="2"/>
      <c r="AH356" s="9">
        <v>1.4</v>
      </c>
      <c r="AI356" s="2"/>
      <c r="AJ356" s="2"/>
      <c r="AK356" s="2"/>
      <c r="AL356" s="9">
        <f>AH356 *0.1* Z356 * 10</f>
        <v>23.799999999999997</v>
      </c>
      <c r="AM356" s="2"/>
      <c r="AN356" s="34">
        <f>AL356 - AL$360</f>
        <v>2.8000000000000007</v>
      </c>
      <c r="AO356" s="34">
        <f>(AN356/AL$360)*100</f>
        <v>13.333333333333339</v>
      </c>
      <c r="AP356" s="2"/>
      <c r="AQ356" s="34">
        <f>Z356 - Z$360</f>
        <v>2</v>
      </c>
      <c r="AR356" s="34">
        <f>(AQ356/Z$360)*100</f>
        <v>13.333333333333334</v>
      </c>
      <c r="AS356" s="2"/>
      <c r="AT356" s="2"/>
      <c r="AU356" s="2"/>
      <c r="AV356" s="2" t="s">
        <v>539</v>
      </c>
      <c r="AW356" s="9">
        <v>14.4</v>
      </c>
      <c r="AX356" s="2" t="s">
        <v>497</v>
      </c>
      <c r="AY356" s="2"/>
      <c r="AZ356" s="2" t="s">
        <v>252</v>
      </c>
      <c r="BA356" s="2" t="s">
        <v>132</v>
      </c>
      <c r="BB356" s="2" t="s">
        <v>422</v>
      </c>
      <c r="BC356" s="6"/>
      <c r="BD356" s="2"/>
      <c r="BE356" s="2">
        <v>0</v>
      </c>
    </row>
    <row r="357" spans="1:57" ht="13" x14ac:dyDescent="0.15">
      <c r="A357" s="57" t="s">
        <v>536</v>
      </c>
      <c r="B357" s="21" t="s">
        <v>463</v>
      </c>
      <c r="C357" s="34">
        <v>2007</v>
      </c>
      <c r="D357" s="66" t="s">
        <v>374</v>
      </c>
      <c r="E357" s="21" t="s">
        <v>112</v>
      </c>
      <c r="F357" s="21"/>
      <c r="G357" s="21" t="s">
        <v>144</v>
      </c>
      <c r="H357" s="21"/>
      <c r="I357" s="21" t="s">
        <v>555</v>
      </c>
      <c r="J357" s="21" t="s">
        <v>214</v>
      </c>
      <c r="K357" s="34">
        <v>841</v>
      </c>
      <c r="L357" s="34">
        <v>28</v>
      </c>
      <c r="M357" s="21"/>
      <c r="N357" s="21"/>
      <c r="O357" s="21"/>
      <c r="P357" s="34">
        <v>300</v>
      </c>
      <c r="Q357" s="45">
        <v>10</v>
      </c>
      <c r="R357" s="34">
        <v>4</v>
      </c>
      <c r="S357" s="34">
        <v>2500</v>
      </c>
      <c r="T357" s="21"/>
      <c r="U357" s="34">
        <v>2003</v>
      </c>
      <c r="V357" s="21"/>
      <c r="W357" s="21" t="s">
        <v>538</v>
      </c>
      <c r="X357" s="21"/>
      <c r="Y357" s="21"/>
      <c r="Z357" s="34">
        <v>17</v>
      </c>
      <c r="AA357" s="21"/>
      <c r="AB357" s="21"/>
      <c r="AC357" s="21"/>
      <c r="AD357" s="21"/>
      <c r="AE357" s="21"/>
      <c r="AF357" s="21"/>
      <c r="AG357" s="21"/>
      <c r="AH357" s="34">
        <v>1.4</v>
      </c>
      <c r="AI357" s="21"/>
      <c r="AJ357" s="21"/>
      <c r="AK357" s="21"/>
      <c r="AL357" s="34">
        <f>AH357 *0.1* Z357 * 10</f>
        <v>23.799999999999997</v>
      </c>
      <c r="AM357" s="21"/>
      <c r="AN357" s="34">
        <f>AL357 - AL$360</f>
        <v>2.8000000000000007</v>
      </c>
      <c r="AO357" s="34">
        <f>(AN357/AL$360)*100</f>
        <v>13.333333333333339</v>
      </c>
      <c r="AP357" s="21"/>
      <c r="AQ357" s="34">
        <f>Z357 - Z$360</f>
        <v>2</v>
      </c>
      <c r="AR357" s="34">
        <f>(AQ357/Z$360)*100</f>
        <v>13.333333333333334</v>
      </c>
      <c r="AS357" s="21"/>
      <c r="AT357" s="21"/>
      <c r="AU357" s="21"/>
      <c r="AV357" s="21" t="s">
        <v>539</v>
      </c>
      <c r="AW357" s="34">
        <v>12.7</v>
      </c>
      <c r="AX357" s="21" t="s">
        <v>497</v>
      </c>
      <c r="AY357" s="21"/>
      <c r="AZ357" s="21" t="s">
        <v>252</v>
      </c>
      <c r="BA357" s="2" t="s">
        <v>132</v>
      </c>
      <c r="BB357" s="21" t="s">
        <v>422</v>
      </c>
      <c r="BC357" s="37"/>
      <c r="BD357" s="21"/>
      <c r="BE357" s="2">
        <v>0</v>
      </c>
    </row>
    <row r="358" spans="1:57" ht="13" x14ac:dyDescent="0.15">
      <c r="A358" s="57" t="s">
        <v>536</v>
      </c>
      <c r="B358" s="21" t="s">
        <v>463</v>
      </c>
      <c r="C358" s="34">
        <v>2007</v>
      </c>
      <c r="D358" s="66" t="s">
        <v>374</v>
      </c>
      <c r="E358" s="21" t="s">
        <v>112</v>
      </c>
      <c r="F358" s="21"/>
      <c r="G358" s="21" t="s">
        <v>144</v>
      </c>
      <c r="H358" s="21"/>
      <c r="I358" s="21" t="s">
        <v>556</v>
      </c>
      <c r="J358" s="21" t="s">
        <v>214</v>
      </c>
      <c r="K358" s="34">
        <v>841</v>
      </c>
      <c r="L358" s="34">
        <v>28</v>
      </c>
      <c r="M358" s="21"/>
      <c r="N358" s="21"/>
      <c r="O358" s="21"/>
      <c r="P358" s="34">
        <v>300</v>
      </c>
      <c r="Q358" s="45">
        <v>10</v>
      </c>
      <c r="R358" s="34">
        <v>4</v>
      </c>
      <c r="S358" s="34">
        <v>2500</v>
      </c>
      <c r="T358" s="21"/>
      <c r="U358" s="34">
        <v>2003</v>
      </c>
      <c r="V358" s="21"/>
      <c r="W358" s="21" t="s">
        <v>538</v>
      </c>
      <c r="X358" s="21"/>
      <c r="Y358" s="21"/>
      <c r="Z358" s="34">
        <v>19</v>
      </c>
      <c r="AA358" s="21"/>
      <c r="AB358" s="21"/>
      <c r="AC358" s="21"/>
      <c r="AD358" s="21"/>
      <c r="AE358" s="21"/>
      <c r="AF358" s="21"/>
      <c r="AG358" s="21"/>
      <c r="AH358" s="34">
        <v>1.4</v>
      </c>
      <c r="AI358" s="21"/>
      <c r="AJ358" s="21"/>
      <c r="AK358" s="21"/>
      <c r="AL358" s="34">
        <f>AH358 *0.1* Z358 * 10</f>
        <v>26.599999999999998</v>
      </c>
      <c r="AM358" s="21"/>
      <c r="AN358" s="34">
        <f>AL358 - AL$360</f>
        <v>5.6000000000000014</v>
      </c>
      <c r="AO358" s="34">
        <f>(AN358/AL$360)*100</f>
        <v>26.666666666666679</v>
      </c>
      <c r="AP358" s="21"/>
      <c r="AQ358" s="34">
        <f>Z358 - Z$360</f>
        <v>4</v>
      </c>
      <c r="AR358" s="34">
        <f>(AQ358/Z$360)*100</f>
        <v>26.666666666666668</v>
      </c>
      <c r="AS358" s="21"/>
      <c r="AT358" s="21"/>
      <c r="AU358" s="21"/>
      <c r="AV358" s="21" t="s">
        <v>539</v>
      </c>
      <c r="AW358" s="34">
        <v>10</v>
      </c>
      <c r="AX358" s="21" t="s">
        <v>497</v>
      </c>
      <c r="AY358" s="21"/>
      <c r="AZ358" s="21" t="s">
        <v>252</v>
      </c>
      <c r="BA358" s="2" t="s">
        <v>132</v>
      </c>
      <c r="BB358" s="21" t="s">
        <v>422</v>
      </c>
      <c r="BC358" s="37"/>
      <c r="BD358" s="21"/>
      <c r="BE358" s="2">
        <v>0</v>
      </c>
    </row>
    <row r="359" spans="1:57" ht="13" x14ac:dyDescent="0.15">
      <c r="A359" s="57" t="s">
        <v>536</v>
      </c>
      <c r="B359" s="21" t="s">
        <v>463</v>
      </c>
      <c r="C359" s="34">
        <v>2007</v>
      </c>
      <c r="D359" s="66" t="s">
        <v>374</v>
      </c>
      <c r="E359" s="21" t="s">
        <v>112</v>
      </c>
      <c r="F359" s="21"/>
      <c r="G359" s="21" t="s">
        <v>144</v>
      </c>
      <c r="H359" s="21"/>
      <c r="I359" s="21" t="s">
        <v>557</v>
      </c>
      <c r="J359" s="21" t="s">
        <v>214</v>
      </c>
      <c r="K359" s="34">
        <v>841</v>
      </c>
      <c r="L359" s="34">
        <v>28</v>
      </c>
      <c r="M359" s="21"/>
      <c r="N359" s="21"/>
      <c r="O359" s="21"/>
      <c r="P359" s="34">
        <v>300</v>
      </c>
      <c r="Q359" s="45">
        <v>10</v>
      </c>
      <c r="R359" s="34">
        <v>4</v>
      </c>
      <c r="S359" s="34">
        <v>2500</v>
      </c>
      <c r="T359" s="21"/>
      <c r="U359" s="34">
        <v>2003</v>
      </c>
      <c r="V359" s="21"/>
      <c r="W359" s="21" t="s">
        <v>538</v>
      </c>
      <c r="X359" s="21"/>
      <c r="Y359" s="21"/>
      <c r="Z359" s="34">
        <v>17</v>
      </c>
      <c r="AA359" s="21"/>
      <c r="AB359" s="21"/>
      <c r="AC359" s="21"/>
      <c r="AD359" s="21"/>
      <c r="AE359" s="21"/>
      <c r="AF359" s="21"/>
      <c r="AG359" s="21"/>
      <c r="AH359" s="34">
        <v>1.4</v>
      </c>
      <c r="AI359" s="21"/>
      <c r="AJ359" s="21"/>
      <c r="AK359" s="21"/>
      <c r="AL359" s="34">
        <f>AH359 *0.1* Z359 * 10</f>
        <v>23.799999999999997</v>
      </c>
      <c r="AM359" s="21"/>
      <c r="AN359" s="34">
        <f>AL359 - AL$360</f>
        <v>2.8000000000000007</v>
      </c>
      <c r="AO359" s="34">
        <f>(AN359/AL$360)*100</f>
        <v>13.333333333333339</v>
      </c>
      <c r="AP359" s="21"/>
      <c r="AQ359" s="34">
        <f>Z359 - Z$360</f>
        <v>2</v>
      </c>
      <c r="AR359" s="34">
        <f>(AQ359/Z$360)*100</f>
        <v>13.333333333333334</v>
      </c>
      <c r="AS359" s="21"/>
      <c r="AT359" s="21"/>
      <c r="AU359" s="21"/>
      <c r="AV359" s="21" t="s">
        <v>539</v>
      </c>
      <c r="AW359" s="34">
        <v>9</v>
      </c>
      <c r="AX359" s="21" t="s">
        <v>497</v>
      </c>
      <c r="AY359" s="21"/>
      <c r="AZ359" s="21" t="s">
        <v>252</v>
      </c>
      <c r="BA359" s="2" t="s">
        <v>132</v>
      </c>
      <c r="BB359" s="21" t="s">
        <v>422</v>
      </c>
      <c r="BC359" s="37"/>
      <c r="BD359" s="21"/>
      <c r="BE359" s="2">
        <v>0</v>
      </c>
    </row>
    <row r="360" spans="1:57" ht="13" x14ac:dyDescent="0.15">
      <c r="A360" s="60" t="s">
        <v>536</v>
      </c>
      <c r="B360" s="61" t="s">
        <v>463</v>
      </c>
      <c r="C360" s="62">
        <v>2007</v>
      </c>
      <c r="D360" s="63" t="s">
        <v>374</v>
      </c>
      <c r="E360" s="61" t="s">
        <v>112</v>
      </c>
      <c r="F360" s="61"/>
      <c r="G360" s="61" t="s">
        <v>113</v>
      </c>
      <c r="H360" s="61"/>
      <c r="I360" s="61" t="s">
        <v>558</v>
      </c>
      <c r="J360" s="61" t="s">
        <v>214</v>
      </c>
      <c r="K360" s="62">
        <v>841</v>
      </c>
      <c r="L360" s="62">
        <v>28</v>
      </c>
      <c r="M360" s="61"/>
      <c r="N360" s="61"/>
      <c r="O360" s="61"/>
      <c r="P360" s="62">
        <v>300</v>
      </c>
      <c r="Q360" s="64">
        <v>10</v>
      </c>
      <c r="R360" s="62">
        <v>4</v>
      </c>
      <c r="S360" s="62">
        <v>2500</v>
      </c>
      <c r="T360" s="61"/>
      <c r="U360" s="62">
        <v>2003</v>
      </c>
      <c r="V360" s="61"/>
      <c r="W360" s="61" t="s">
        <v>538</v>
      </c>
      <c r="X360" s="61"/>
      <c r="Y360" s="61"/>
      <c r="Z360" s="62">
        <v>15</v>
      </c>
      <c r="AA360" s="61"/>
      <c r="AB360" s="61"/>
      <c r="AC360" s="61"/>
      <c r="AD360" s="61"/>
      <c r="AE360" s="61"/>
      <c r="AF360" s="61"/>
      <c r="AG360" s="61"/>
      <c r="AH360" s="62">
        <v>1.4</v>
      </c>
      <c r="AI360" s="61"/>
      <c r="AJ360" s="61"/>
      <c r="AK360" s="61"/>
      <c r="AL360" s="62">
        <f>AH360 *0.1* Z360 * 10</f>
        <v>20.999999999999996</v>
      </c>
      <c r="AM360" s="61"/>
      <c r="AN360" s="62"/>
      <c r="AO360" s="62"/>
      <c r="AP360" s="61"/>
      <c r="AQ360" s="62"/>
      <c r="AR360" s="62"/>
      <c r="AS360" s="61"/>
      <c r="AT360" s="61"/>
      <c r="AU360" s="61"/>
      <c r="AV360" s="61" t="s">
        <v>539</v>
      </c>
      <c r="AW360" s="62">
        <v>10</v>
      </c>
      <c r="AX360" s="61" t="s">
        <v>497</v>
      </c>
      <c r="AY360" s="61"/>
      <c r="AZ360" s="61" t="s">
        <v>252</v>
      </c>
      <c r="BA360" s="61" t="s">
        <v>132</v>
      </c>
      <c r="BB360" s="61" t="s">
        <v>422</v>
      </c>
      <c r="BC360" s="65"/>
      <c r="BD360" s="61"/>
      <c r="BE360" s="61">
        <v>0</v>
      </c>
    </row>
    <row r="361" spans="1:57" ht="13" hidden="1" x14ac:dyDescent="0.15">
      <c r="A361" s="2" t="s">
        <v>559</v>
      </c>
      <c r="B361" s="2" t="s">
        <v>110</v>
      </c>
      <c r="C361" s="9">
        <v>2020</v>
      </c>
      <c r="D361" s="2" t="s">
        <v>560</v>
      </c>
      <c r="E361" s="2" t="s">
        <v>143</v>
      </c>
      <c r="F361" s="2"/>
      <c r="G361" s="2" t="s">
        <v>177</v>
      </c>
      <c r="H361" s="2"/>
      <c r="I361" s="2" t="s">
        <v>561</v>
      </c>
      <c r="J361" s="2" t="s">
        <v>358</v>
      </c>
      <c r="K361" s="9">
        <v>550</v>
      </c>
      <c r="L361" s="2"/>
      <c r="M361" s="2"/>
      <c r="N361" s="2"/>
      <c r="O361" s="2"/>
      <c r="P361" s="9">
        <v>1800</v>
      </c>
      <c r="Q361" s="11">
        <v>18</v>
      </c>
      <c r="R361" s="9">
        <v>6</v>
      </c>
      <c r="S361" s="9">
        <v>40000</v>
      </c>
      <c r="T361" s="15">
        <v>34700</v>
      </c>
      <c r="U361" s="15">
        <v>42186</v>
      </c>
      <c r="V361" s="9">
        <v>246</v>
      </c>
      <c r="W361" s="2" t="s">
        <v>562</v>
      </c>
      <c r="X361" s="2"/>
      <c r="Y361" s="2"/>
      <c r="Z361" s="2"/>
      <c r="AA361" s="2"/>
      <c r="AB361" s="2"/>
      <c r="AC361" s="2"/>
      <c r="AD361" s="2"/>
      <c r="AE361" s="2"/>
      <c r="AF361" s="2"/>
      <c r="AG361" s="2"/>
      <c r="AH361" s="2"/>
      <c r="AI361" s="2"/>
      <c r="AJ361" s="2"/>
      <c r="AK361" s="2"/>
      <c r="AL361" s="9">
        <v>19.653233839999999</v>
      </c>
      <c r="AM361" s="2"/>
      <c r="AN361" s="9">
        <f>AL361-AL$365</f>
        <v>5.2316712999999986</v>
      </c>
      <c r="AO361" s="9">
        <f>(AN361/AL$365)*100</f>
        <v>36.276729969372646</v>
      </c>
      <c r="AP361" s="2"/>
      <c r="AQ361" s="2" t="s">
        <v>370</v>
      </c>
      <c r="AR361" s="2" t="s">
        <v>370</v>
      </c>
      <c r="AS361" s="2"/>
      <c r="AT361" s="2"/>
      <c r="AU361" s="2"/>
      <c r="AV361" s="2" t="s">
        <v>563</v>
      </c>
      <c r="AW361" s="2"/>
      <c r="AX361" s="2"/>
      <c r="AY361" s="2"/>
      <c r="AZ361" s="2"/>
      <c r="BA361" s="2"/>
      <c r="BB361" s="2" t="s">
        <v>224</v>
      </c>
      <c r="BC361" s="2"/>
      <c r="BD361" s="2"/>
      <c r="BE361" s="2">
        <v>0</v>
      </c>
    </row>
    <row r="362" spans="1:57" ht="13" hidden="1" x14ac:dyDescent="0.15">
      <c r="A362" s="2" t="s">
        <v>559</v>
      </c>
      <c r="B362" s="2" t="s">
        <v>110</v>
      </c>
      <c r="C362" s="9">
        <v>2020</v>
      </c>
      <c r="D362" s="2" t="s">
        <v>560</v>
      </c>
      <c r="E362" s="2" t="s">
        <v>143</v>
      </c>
      <c r="F362" s="2" t="s">
        <v>143</v>
      </c>
      <c r="G362" s="2" t="s">
        <v>177</v>
      </c>
      <c r="H362" s="2" t="s">
        <v>564</v>
      </c>
      <c r="I362" s="2" t="s">
        <v>565</v>
      </c>
      <c r="J362" s="2" t="s">
        <v>358</v>
      </c>
      <c r="K362" s="9">
        <v>550</v>
      </c>
      <c r="L362" s="2"/>
      <c r="M362" s="2"/>
      <c r="N362" s="2"/>
      <c r="O362" s="2"/>
      <c r="P362" s="9">
        <v>1800</v>
      </c>
      <c r="Q362" s="11">
        <v>18</v>
      </c>
      <c r="R362" s="9">
        <v>6</v>
      </c>
      <c r="S362" s="9">
        <v>40000</v>
      </c>
      <c r="T362" s="15">
        <v>34701</v>
      </c>
      <c r="U362" s="15">
        <v>42187</v>
      </c>
      <c r="V362" s="9">
        <v>246</v>
      </c>
      <c r="W362" s="2" t="s">
        <v>562</v>
      </c>
      <c r="X362" s="2"/>
      <c r="Y362" s="2"/>
      <c r="Z362" s="2"/>
      <c r="AA362" s="2"/>
      <c r="AB362" s="2"/>
      <c r="AC362" s="2"/>
      <c r="AD362" s="2"/>
      <c r="AE362" s="2"/>
      <c r="AF362" s="2"/>
      <c r="AG362" s="2"/>
      <c r="AH362" s="2"/>
      <c r="AI362" s="2"/>
      <c r="AJ362" s="2"/>
      <c r="AK362" s="2"/>
      <c r="AL362" s="9">
        <v>19.43079646</v>
      </c>
      <c r="AM362" s="2"/>
      <c r="AN362" s="9">
        <f>AL362-AL$365</f>
        <v>5.0092339199999998</v>
      </c>
      <c r="AO362" s="9">
        <f>(AN362/AL$365)*100</f>
        <v>34.734335520899798</v>
      </c>
      <c r="AP362" s="2"/>
      <c r="AQ362" s="9">
        <f>AL362-$AL361</f>
        <v>-0.2224373799999988</v>
      </c>
      <c r="AR362" s="9">
        <f>(AQ362/AL362)*100</f>
        <v>-1.1447671764660068</v>
      </c>
      <c r="AS362" s="2"/>
      <c r="AT362" s="2"/>
      <c r="AU362" s="2"/>
      <c r="AV362" s="2" t="s">
        <v>563</v>
      </c>
      <c r="AW362" s="2"/>
      <c r="AX362" s="2"/>
      <c r="AY362" s="2"/>
      <c r="AZ362" s="2"/>
      <c r="BA362" s="2"/>
      <c r="BB362" s="2" t="s">
        <v>224</v>
      </c>
      <c r="BC362" s="2"/>
      <c r="BD362" s="2"/>
      <c r="BE362" s="2">
        <v>0</v>
      </c>
    </row>
    <row r="363" spans="1:57" ht="13" hidden="1" x14ac:dyDescent="0.15">
      <c r="A363" s="2" t="s">
        <v>559</v>
      </c>
      <c r="B363" s="2" t="s">
        <v>110</v>
      </c>
      <c r="C363" s="9">
        <v>2020</v>
      </c>
      <c r="D363" s="2" t="s">
        <v>560</v>
      </c>
      <c r="E363" s="2" t="s">
        <v>143</v>
      </c>
      <c r="F363" s="2" t="s">
        <v>143</v>
      </c>
      <c r="G363" s="2" t="s">
        <v>177</v>
      </c>
      <c r="H363" s="2" t="s">
        <v>564</v>
      </c>
      <c r="I363" s="2" t="s">
        <v>566</v>
      </c>
      <c r="J363" s="2" t="s">
        <v>358</v>
      </c>
      <c r="K363" s="9">
        <v>550</v>
      </c>
      <c r="L363" s="2"/>
      <c r="M363" s="2"/>
      <c r="N363" s="2"/>
      <c r="O363" s="2"/>
      <c r="P363" s="9">
        <v>1800</v>
      </c>
      <c r="Q363" s="11">
        <v>18</v>
      </c>
      <c r="R363" s="9">
        <v>6</v>
      </c>
      <c r="S363" s="9">
        <v>40000</v>
      </c>
      <c r="T363" s="15">
        <v>34702</v>
      </c>
      <c r="U363" s="15">
        <v>42188</v>
      </c>
      <c r="V363" s="9">
        <v>246</v>
      </c>
      <c r="W363" s="2" t="s">
        <v>562</v>
      </c>
      <c r="X363" s="2"/>
      <c r="Y363" s="2"/>
      <c r="Z363" s="2"/>
      <c r="AA363" s="2"/>
      <c r="AB363" s="2"/>
      <c r="AC363" s="2"/>
      <c r="AD363" s="2"/>
      <c r="AE363" s="2"/>
      <c r="AF363" s="2"/>
      <c r="AG363" s="2"/>
      <c r="AH363" s="2"/>
      <c r="AI363" s="2"/>
      <c r="AJ363" s="2"/>
      <c r="AK363" s="2"/>
      <c r="AL363" s="9">
        <v>24.789309660000001</v>
      </c>
      <c r="AM363" s="2"/>
      <c r="AN363" s="9">
        <f>AL363-AL$365</f>
        <v>10.367747120000001</v>
      </c>
      <c r="AO363" s="9">
        <f>(AN363/AL$365)*100</f>
        <v>71.890595011766322</v>
      </c>
      <c r="AP363" s="2"/>
      <c r="AQ363" s="9">
        <f>AL363-AL361</f>
        <v>5.1360758200000021</v>
      </c>
      <c r="AR363" s="9">
        <f>(AQ363/AL363)*100</f>
        <v>20.718914283795357</v>
      </c>
      <c r="AS363" s="2"/>
      <c r="AT363" s="2"/>
      <c r="AU363" s="2"/>
      <c r="AV363" s="2" t="s">
        <v>563</v>
      </c>
      <c r="AW363" s="2"/>
      <c r="AX363" s="2"/>
      <c r="AY363" s="2"/>
      <c r="AZ363" s="2"/>
      <c r="BA363" s="2"/>
      <c r="BB363" s="2" t="s">
        <v>224</v>
      </c>
      <c r="BC363" s="2"/>
      <c r="BD363" s="2"/>
      <c r="BE363" s="2">
        <v>0</v>
      </c>
    </row>
    <row r="364" spans="1:57" ht="13" hidden="1" x14ac:dyDescent="0.15">
      <c r="A364" s="2" t="s">
        <v>559</v>
      </c>
      <c r="B364" s="2" t="s">
        <v>110</v>
      </c>
      <c r="C364" s="9">
        <v>2020</v>
      </c>
      <c r="D364" s="2" t="s">
        <v>560</v>
      </c>
      <c r="E364" s="2" t="s">
        <v>143</v>
      </c>
      <c r="F364" s="2"/>
      <c r="G364" s="2" t="s">
        <v>113</v>
      </c>
      <c r="H364" s="2"/>
      <c r="I364" s="2" t="s">
        <v>567</v>
      </c>
      <c r="J364" s="2" t="s">
        <v>358</v>
      </c>
      <c r="K364" s="9">
        <v>550</v>
      </c>
      <c r="L364" s="2"/>
      <c r="M364" s="2"/>
      <c r="N364" s="2"/>
      <c r="O364" s="2"/>
      <c r="P364" s="9">
        <v>1800</v>
      </c>
      <c r="Q364" s="11">
        <v>18</v>
      </c>
      <c r="R364" s="9">
        <v>6</v>
      </c>
      <c r="S364" s="9">
        <v>40000</v>
      </c>
      <c r="T364" s="15">
        <v>34703</v>
      </c>
      <c r="U364" s="15">
        <v>42189</v>
      </c>
      <c r="V364" s="9">
        <v>246</v>
      </c>
      <c r="W364" s="2" t="s">
        <v>562</v>
      </c>
      <c r="X364" s="2"/>
      <c r="Y364" s="2"/>
      <c r="Z364" s="2"/>
      <c r="AA364" s="2"/>
      <c r="AB364" s="2"/>
      <c r="AC364" s="2"/>
      <c r="AD364" s="2"/>
      <c r="AE364" s="2"/>
      <c r="AF364" s="2"/>
      <c r="AG364" s="2"/>
      <c r="AH364" s="2"/>
      <c r="AI364" s="2"/>
      <c r="AJ364" s="2"/>
      <c r="AK364" s="2"/>
      <c r="AL364" s="9">
        <v>14.776478239999999</v>
      </c>
      <c r="AM364" s="2"/>
      <c r="AN364" s="2"/>
      <c r="AO364" s="2"/>
      <c r="AP364" s="2"/>
      <c r="AQ364" s="9">
        <f>AL364-AL361</f>
        <v>-4.8767555999999992</v>
      </c>
      <c r="AR364" s="9">
        <f>(AQ364/AL364)*100</f>
        <v>-33.003504087994372</v>
      </c>
      <c r="AS364" s="2"/>
      <c r="AT364" s="2"/>
      <c r="AU364" s="2"/>
      <c r="AV364" s="2" t="s">
        <v>563</v>
      </c>
      <c r="AW364" s="2"/>
      <c r="AX364" s="2"/>
      <c r="AY364" s="2"/>
      <c r="AZ364" s="2"/>
      <c r="BA364" s="2"/>
      <c r="BB364" s="2" t="s">
        <v>224</v>
      </c>
      <c r="BC364" s="2"/>
      <c r="BD364" s="2"/>
      <c r="BE364" s="2">
        <v>0</v>
      </c>
    </row>
    <row r="365" spans="1:57" ht="13" hidden="1" x14ac:dyDescent="0.15">
      <c r="A365" s="2" t="s">
        <v>559</v>
      </c>
      <c r="B365" s="2" t="s">
        <v>110</v>
      </c>
      <c r="C365" s="9">
        <v>2020</v>
      </c>
      <c r="D365" s="2" t="s">
        <v>560</v>
      </c>
      <c r="E365" s="2" t="s">
        <v>143</v>
      </c>
      <c r="F365" s="2"/>
      <c r="G365" s="2" t="s">
        <v>564</v>
      </c>
      <c r="H365" s="2"/>
      <c r="I365" s="2" t="s">
        <v>568</v>
      </c>
      <c r="J365" s="2" t="s">
        <v>358</v>
      </c>
      <c r="K365" s="9">
        <v>550</v>
      </c>
      <c r="L365" s="2"/>
      <c r="M365" s="2"/>
      <c r="N365" s="2"/>
      <c r="O365" s="2"/>
      <c r="P365" s="9">
        <v>1800</v>
      </c>
      <c r="Q365" s="11">
        <v>18</v>
      </c>
      <c r="R365" s="9">
        <v>6</v>
      </c>
      <c r="S365" s="9">
        <v>40000</v>
      </c>
      <c r="T365" s="15">
        <v>34704</v>
      </c>
      <c r="U365" s="15">
        <v>42190</v>
      </c>
      <c r="V365" s="9">
        <v>246</v>
      </c>
      <c r="W365" s="2" t="s">
        <v>562</v>
      </c>
      <c r="X365" s="2"/>
      <c r="Y365" s="2"/>
      <c r="Z365" s="2"/>
      <c r="AA365" s="2"/>
      <c r="AB365" s="2"/>
      <c r="AC365" s="2"/>
      <c r="AD365" s="2"/>
      <c r="AE365" s="2"/>
      <c r="AF365" s="2"/>
      <c r="AG365" s="2"/>
      <c r="AH365" s="2"/>
      <c r="AI365" s="2"/>
      <c r="AJ365" s="2"/>
      <c r="AK365" s="2"/>
      <c r="AL365" s="9">
        <v>14.42156254</v>
      </c>
      <c r="AM365" s="2"/>
      <c r="AN365" s="9">
        <f>AL365-AL$365</f>
        <v>0</v>
      </c>
      <c r="AO365" s="9">
        <f>(AN365/AL$365)*100</f>
        <v>0</v>
      </c>
      <c r="AP365" s="2"/>
      <c r="AQ365" s="9">
        <f>AL365-AL361</f>
        <v>-5.2316712999999986</v>
      </c>
      <c r="AR365" s="9">
        <f>(AQ365/AL365)*100</f>
        <v>-36.276729969372646</v>
      </c>
      <c r="AS365" s="2"/>
      <c r="AT365" s="2"/>
      <c r="AU365" s="2"/>
      <c r="AV365" s="2" t="s">
        <v>563</v>
      </c>
      <c r="AW365" s="2"/>
      <c r="AX365" s="2"/>
      <c r="AY365" s="2"/>
      <c r="AZ365" s="2"/>
      <c r="BA365" s="2"/>
      <c r="BB365" s="2" t="s">
        <v>224</v>
      </c>
      <c r="BC365" s="2"/>
      <c r="BD365" s="2"/>
      <c r="BE365" s="2">
        <v>0</v>
      </c>
    </row>
    <row r="366" spans="1:57" ht="13" hidden="1" x14ac:dyDescent="0.15">
      <c r="A366" s="2" t="s">
        <v>559</v>
      </c>
      <c r="B366" s="2" t="s">
        <v>110</v>
      </c>
      <c r="C366" s="9">
        <v>2020</v>
      </c>
      <c r="D366" s="2" t="s">
        <v>560</v>
      </c>
      <c r="E366" s="2" t="s">
        <v>143</v>
      </c>
      <c r="F366" s="2"/>
      <c r="G366" s="2" t="s">
        <v>564</v>
      </c>
      <c r="H366" s="2"/>
      <c r="I366" s="2" t="s">
        <v>569</v>
      </c>
      <c r="J366" s="2" t="s">
        <v>358</v>
      </c>
      <c r="K366" s="9">
        <v>550</v>
      </c>
      <c r="L366" s="2"/>
      <c r="M366" s="2"/>
      <c r="N366" s="2"/>
      <c r="O366" s="2"/>
      <c r="P366" s="9">
        <v>1800</v>
      </c>
      <c r="Q366" s="11">
        <v>18</v>
      </c>
      <c r="R366" s="9">
        <v>6</v>
      </c>
      <c r="S366" s="9">
        <v>40000</v>
      </c>
      <c r="T366" s="15">
        <v>34705</v>
      </c>
      <c r="U366" s="15">
        <v>42191</v>
      </c>
      <c r="V366" s="9">
        <v>246</v>
      </c>
      <c r="W366" s="2" t="s">
        <v>562</v>
      </c>
      <c r="X366" s="2"/>
      <c r="Y366" s="2"/>
      <c r="Z366" s="2"/>
      <c r="AA366" s="2"/>
      <c r="AB366" s="2"/>
      <c r="AC366" s="2"/>
      <c r="AD366" s="2"/>
      <c r="AE366" s="2"/>
      <c r="AF366" s="2"/>
      <c r="AG366" s="2"/>
      <c r="AH366" s="2"/>
      <c r="AI366" s="2"/>
      <c r="AJ366" s="2"/>
      <c r="AK366" s="2"/>
      <c r="AL366" s="9">
        <v>25.584135459999999</v>
      </c>
      <c r="AM366" s="2"/>
      <c r="AN366" s="9">
        <f>AL366-AL$365</f>
        <v>11.162572919999999</v>
      </c>
      <c r="AO366" s="9">
        <f>(AN366/AL$365)*100</f>
        <v>77.401965903758423</v>
      </c>
      <c r="AP366" s="2"/>
      <c r="AQ366" s="9">
        <f>AL366-AL361</f>
        <v>5.9309016200000002</v>
      </c>
      <c r="AR366" s="9">
        <f>(AQ366/AL366)*100</f>
        <v>23.181950507074124</v>
      </c>
      <c r="AS366" s="2"/>
      <c r="AT366" s="2"/>
      <c r="AU366" s="2"/>
      <c r="AV366" s="2" t="s">
        <v>563</v>
      </c>
      <c r="AW366" s="2"/>
      <c r="AX366" s="2"/>
      <c r="AY366" s="2"/>
      <c r="AZ366" s="2"/>
      <c r="BA366" s="2"/>
      <c r="BB366" s="2" t="s">
        <v>224</v>
      </c>
      <c r="BC366" s="2"/>
      <c r="BD366" s="2"/>
      <c r="BE366" s="2">
        <v>0</v>
      </c>
    </row>
    <row r="367" spans="1:57" ht="13" hidden="1" x14ac:dyDescent="0.15">
      <c r="A367" s="68" t="s">
        <v>570</v>
      </c>
      <c r="B367" s="50" t="s">
        <v>159</v>
      </c>
      <c r="C367" s="49">
        <v>2021</v>
      </c>
      <c r="D367" s="50" t="s">
        <v>571</v>
      </c>
      <c r="E367" s="50" t="s">
        <v>143</v>
      </c>
      <c r="F367" s="50" t="s">
        <v>135</v>
      </c>
      <c r="G367" s="50" t="s">
        <v>113</v>
      </c>
      <c r="H367" s="50"/>
      <c r="I367" s="50" t="s">
        <v>572</v>
      </c>
      <c r="J367" s="50" t="s">
        <v>115</v>
      </c>
      <c r="K367" s="49">
        <v>560</v>
      </c>
      <c r="L367" s="49">
        <v>22</v>
      </c>
      <c r="M367" s="50"/>
      <c r="N367" s="50"/>
      <c r="O367" s="50"/>
      <c r="P367" s="49">
        <v>200</v>
      </c>
      <c r="Q367" s="52">
        <v>5</v>
      </c>
      <c r="R367" s="49">
        <v>10</v>
      </c>
      <c r="S367" s="50"/>
      <c r="T367" s="49">
        <v>2002</v>
      </c>
      <c r="U367" s="69">
        <v>45369</v>
      </c>
      <c r="V367" s="49">
        <v>192</v>
      </c>
      <c r="W367" s="50"/>
      <c r="X367" s="50"/>
      <c r="Y367" s="50"/>
      <c r="Z367" s="49">
        <v>14.8</v>
      </c>
      <c r="AA367" s="49">
        <v>4.0999999999999996</v>
      </c>
      <c r="AB367" s="50"/>
      <c r="AC367" s="50"/>
      <c r="AD367" s="50"/>
      <c r="AE367" s="50"/>
      <c r="AF367" s="50"/>
      <c r="AG367" s="50"/>
      <c r="AH367" s="49">
        <v>1.44</v>
      </c>
      <c r="AI367" s="49">
        <v>0.12</v>
      </c>
      <c r="AJ367" s="50"/>
      <c r="AK367" s="50"/>
      <c r="AL367" s="49">
        <f>0.1 * Z367 * AH367 * 20</f>
        <v>42.624000000000002</v>
      </c>
      <c r="AM367" s="50"/>
      <c r="AN367" s="50"/>
      <c r="AO367" s="50"/>
      <c r="AP367" s="50"/>
      <c r="AQ367" s="50"/>
      <c r="AR367" s="50"/>
      <c r="AS367" s="50"/>
      <c r="AT367" s="50"/>
      <c r="AU367" s="50"/>
      <c r="AV367" s="50" t="s">
        <v>573</v>
      </c>
      <c r="AW367" s="49">
        <v>80</v>
      </c>
      <c r="AX367" s="50" t="s">
        <v>497</v>
      </c>
      <c r="AY367" s="50"/>
      <c r="AZ367" s="50" t="s">
        <v>252</v>
      </c>
      <c r="BA367" s="50" t="s">
        <v>132</v>
      </c>
      <c r="BB367" s="50" t="s">
        <v>422</v>
      </c>
      <c r="BC367" s="54"/>
      <c r="BD367" s="50"/>
      <c r="BE367" s="2">
        <v>0</v>
      </c>
    </row>
    <row r="368" spans="1:57" ht="13" hidden="1" x14ac:dyDescent="0.15">
      <c r="A368" s="57" t="s">
        <v>570</v>
      </c>
      <c r="B368" s="21" t="s">
        <v>159</v>
      </c>
      <c r="C368" s="34">
        <v>2021</v>
      </c>
      <c r="D368" s="21" t="s">
        <v>571</v>
      </c>
      <c r="E368" s="21" t="s">
        <v>143</v>
      </c>
      <c r="F368" s="21"/>
      <c r="G368" s="21" t="s">
        <v>238</v>
      </c>
      <c r="H368" s="21"/>
      <c r="I368" s="21" t="s">
        <v>574</v>
      </c>
      <c r="J368" s="21" t="s">
        <v>115</v>
      </c>
      <c r="K368" s="34">
        <v>560</v>
      </c>
      <c r="L368" s="34">
        <v>22</v>
      </c>
      <c r="M368" s="21"/>
      <c r="N368" s="21"/>
      <c r="O368" s="21"/>
      <c r="P368" s="34">
        <v>200</v>
      </c>
      <c r="Q368" s="45">
        <v>5</v>
      </c>
      <c r="R368" s="34">
        <v>10</v>
      </c>
      <c r="S368" s="21"/>
      <c r="T368" s="34">
        <v>2002</v>
      </c>
      <c r="U368" s="70">
        <v>45369</v>
      </c>
      <c r="V368" s="34">
        <v>192</v>
      </c>
      <c r="W368" s="21"/>
      <c r="X368" s="21"/>
      <c r="Y368" s="21"/>
      <c r="Z368" s="34">
        <v>20.2</v>
      </c>
      <c r="AA368" s="34">
        <v>4.5</v>
      </c>
      <c r="AB368" s="21"/>
      <c r="AC368" s="21"/>
      <c r="AD368" s="21"/>
      <c r="AE368" s="21"/>
      <c r="AF368" s="21"/>
      <c r="AG368" s="21"/>
      <c r="AH368" s="34">
        <v>1.27</v>
      </c>
      <c r="AI368" s="34">
        <v>0.13</v>
      </c>
      <c r="AJ368" s="21"/>
      <c r="AK368" s="21"/>
      <c r="AL368" s="34">
        <f>0.1 * Z368 * AH368 * 20</f>
        <v>51.308</v>
      </c>
      <c r="AM368" s="21"/>
      <c r="AN368" s="34">
        <f>AL368-AL$368</f>
        <v>0</v>
      </c>
      <c r="AO368" s="34">
        <f>(AN368/AL$368)*100</f>
        <v>0</v>
      </c>
      <c r="AP368" s="21"/>
      <c r="AQ368" s="34">
        <f>Z368-Z$368</f>
        <v>0</v>
      </c>
      <c r="AR368" s="34">
        <f>(AQ368/Z$368)*100</f>
        <v>0</v>
      </c>
      <c r="AS368" s="21"/>
      <c r="AT368" s="21"/>
      <c r="AU368" s="21"/>
      <c r="AV368" s="21" t="s">
        <v>573</v>
      </c>
      <c r="AW368" s="34">
        <v>67</v>
      </c>
      <c r="AX368" s="21" t="s">
        <v>497</v>
      </c>
      <c r="AY368" s="21"/>
      <c r="AZ368" s="21" t="s">
        <v>252</v>
      </c>
      <c r="BA368" s="21" t="s">
        <v>132</v>
      </c>
      <c r="BB368" s="21" t="s">
        <v>422</v>
      </c>
      <c r="BC368" s="37"/>
      <c r="BD368" s="21"/>
      <c r="BE368" s="2">
        <v>0</v>
      </c>
    </row>
    <row r="369" spans="1:57" ht="14" hidden="1" x14ac:dyDescent="0.15">
      <c r="A369" s="57" t="s">
        <v>570</v>
      </c>
      <c r="B369" s="21" t="s">
        <v>159</v>
      </c>
      <c r="C369" s="34">
        <v>2021</v>
      </c>
      <c r="D369" s="21" t="s">
        <v>571</v>
      </c>
      <c r="E369" s="21" t="s">
        <v>135</v>
      </c>
      <c r="F369" s="21"/>
      <c r="G369" s="8" t="s">
        <v>200</v>
      </c>
      <c r="H369" s="21"/>
      <c r="I369" s="2" t="s">
        <v>575</v>
      </c>
      <c r="J369" s="2" t="s">
        <v>115</v>
      </c>
      <c r="K369" s="9">
        <v>560</v>
      </c>
      <c r="L369" s="9">
        <v>22</v>
      </c>
      <c r="M369" s="2"/>
      <c r="N369" s="2"/>
      <c r="O369" s="2"/>
      <c r="P369" s="9">
        <v>200</v>
      </c>
      <c r="Q369" s="11">
        <v>5</v>
      </c>
      <c r="R369" s="9">
        <v>10</v>
      </c>
      <c r="S369" s="2"/>
      <c r="T369" s="9">
        <v>2002</v>
      </c>
      <c r="U369" s="55">
        <v>45369</v>
      </c>
      <c r="V369" s="9">
        <v>192</v>
      </c>
      <c r="W369" s="2"/>
      <c r="X369" s="2"/>
      <c r="Y369" s="2"/>
      <c r="Z369" s="9">
        <v>15.8</v>
      </c>
      <c r="AA369" s="9">
        <v>5.6</v>
      </c>
      <c r="AB369" s="2"/>
      <c r="AC369" s="2"/>
      <c r="AD369" s="2"/>
      <c r="AE369" s="2"/>
      <c r="AF369" s="2"/>
      <c r="AG369" s="2"/>
      <c r="AH369" s="9">
        <v>1.32</v>
      </c>
      <c r="AI369" s="9">
        <v>0.13</v>
      </c>
      <c r="AJ369" s="2"/>
      <c r="AK369" s="2"/>
      <c r="AL369" s="9">
        <f>0.1 * Z369 * AH369 * 20</f>
        <v>41.712000000000003</v>
      </c>
      <c r="AM369" s="2"/>
      <c r="AN369" s="34">
        <f>AL369-AL$368</f>
        <v>-9.5959999999999965</v>
      </c>
      <c r="AO369" s="34">
        <f>(AN369/AL$368)*100</f>
        <v>-18.702736415373813</v>
      </c>
      <c r="AP369" s="2"/>
      <c r="AQ369" s="34">
        <f>Z369-Z$368</f>
        <v>-4.3999999999999986</v>
      </c>
      <c r="AR369" s="34">
        <f>(AQ369/Z$368)*100</f>
        <v>-21.782178217821777</v>
      </c>
      <c r="AS369" s="2"/>
      <c r="AT369" s="2"/>
      <c r="AU369" s="2"/>
      <c r="AV369" s="2" t="s">
        <v>573</v>
      </c>
      <c r="AW369" s="9">
        <v>72</v>
      </c>
      <c r="AX369" s="2" t="s">
        <v>497</v>
      </c>
      <c r="AY369" s="2"/>
      <c r="AZ369" s="2" t="s">
        <v>252</v>
      </c>
      <c r="BA369" s="2" t="s">
        <v>132</v>
      </c>
      <c r="BB369" s="2" t="s">
        <v>422</v>
      </c>
      <c r="BC369" s="6"/>
      <c r="BD369" s="2"/>
      <c r="BE369" s="2">
        <v>0</v>
      </c>
    </row>
    <row r="370" spans="1:57" ht="13" hidden="1" x14ac:dyDescent="0.15">
      <c r="A370" s="57" t="s">
        <v>570</v>
      </c>
      <c r="B370" s="21" t="s">
        <v>159</v>
      </c>
      <c r="C370" s="34">
        <v>2021</v>
      </c>
      <c r="D370" s="21" t="s">
        <v>571</v>
      </c>
      <c r="E370" s="21" t="s">
        <v>143</v>
      </c>
      <c r="F370" s="21" t="s">
        <v>135</v>
      </c>
      <c r="G370" s="21" t="s">
        <v>238</v>
      </c>
      <c r="H370" s="21" t="s">
        <v>200</v>
      </c>
      <c r="I370" s="2" t="s">
        <v>576</v>
      </c>
      <c r="J370" s="2" t="s">
        <v>115</v>
      </c>
      <c r="K370" s="9">
        <v>560</v>
      </c>
      <c r="L370" s="9">
        <v>22</v>
      </c>
      <c r="M370" s="2"/>
      <c r="N370" s="2"/>
      <c r="O370" s="2"/>
      <c r="P370" s="9">
        <v>200</v>
      </c>
      <c r="Q370" s="11">
        <v>5</v>
      </c>
      <c r="R370" s="9">
        <v>10</v>
      </c>
      <c r="S370" s="2"/>
      <c r="T370" s="9">
        <v>2002</v>
      </c>
      <c r="U370" s="55">
        <v>45369</v>
      </c>
      <c r="V370" s="9">
        <v>192</v>
      </c>
      <c r="W370" s="2"/>
      <c r="X370" s="2"/>
      <c r="Y370" s="2"/>
      <c r="Z370" s="9">
        <v>14.4</v>
      </c>
      <c r="AA370" s="9">
        <v>3.4</v>
      </c>
      <c r="AB370" s="2"/>
      <c r="AC370" s="2"/>
      <c r="AD370" s="2"/>
      <c r="AE370" s="2"/>
      <c r="AF370" s="2"/>
      <c r="AG370" s="2"/>
      <c r="AH370" s="9">
        <v>1.27</v>
      </c>
      <c r="AI370" s="9">
        <v>0.09</v>
      </c>
      <c r="AJ370" s="2"/>
      <c r="AK370" s="2"/>
      <c r="AL370" s="9">
        <f>0.1 * Z370 * AH370 * 20</f>
        <v>36.576000000000008</v>
      </c>
      <c r="AM370" s="2"/>
      <c r="AN370" s="34">
        <f>AL370-AL$368</f>
        <v>-14.731999999999992</v>
      </c>
      <c r="AO370" s="34">
        <f>(AN370/AL$368)*100</f>
        <v>-28.712871287128699</v>
      </c>
      <c r="AP370" s="2"/>
      <c r="AQ370" s="34">
        <f>Z370-Z$368</f>
        <v>-5.7999999999999989</v>
      </c>
      <c r="AR370" s="34">
        <f>(AQ370/Z$368)*100</f>
        <v>-28.71287128712871</v>
      </c>
      <c r="AS370" s="2"/>
      <c r="AT370" s="2"/>
      <c r="AU370" s="2"/>
      <c r="AV370" s="2" t="s">
        <v>573</v>
      </c>
      <c r="AW370" s="9">
        <v>72</v>
      </c>
      <c r="AX370" s="2" t="s">
        <v>497</v>
      </c>
      <c r="AY370" s="2"/>
      <c r="AZ370" s="2" t="s">
        <v>252</v>
      </c>
      <c r="BA370" s="2" t="s">
        <v>132</v>
      </c>
      <c r="BB370" s="2" t="s">
        <v>422</v>
      </c>
      <c r="BC370" s="6"/>
      <c r="BD370" s="2"/>
      <c r="BE370" s="2">
        <v>0</v>
      </c>
    </row>
    <row r="371" spans="1:57" ht="13" hidden="1" x14ac:dyDescent="0.15">
      <c r="A371" s="68" t="s">
        <v>570</v>
      </c>
      <c r="B371" s="21" t="s">
        <v>159</v>
      </c>
      <c r="C371" s="49">
        <v>2021</v>
      </c>
      <c r="D371" s="50" t="s">
        <v>571</v>
      </c>
      <c r="E371" s="50" t="s">
        <v>143</v>
      </c>
      <c r="F371" s="50" t="s">
        <v>135</v>
      </c>
      <c r="G371" s="50" t="s">
        <v>113</v>
      </c>
      <c r="H371" s="50"/>
      <c r="I371" s="50" t="s">
        <v>572</v>
      </c>
      <c r="J371" s="50" t="s">
        <v>115</v>
      </c>
      <c r="K371" s="49">
        <v>560</v>
      </c>
      <c r="L371" s="49">
        <v>22</v>
      </c>
      <c r="M371" s="50"/>
      <c r="N371" s="50"/>
      <c r="O371" s="50"/>
      <c r="P371" s="49">
        <v>200</v>
      </c>
      <c r="Q371" s="52">
        <v>5</v>
      </c>
      <c r="R371" s="49">
        <v>10</v>
      </c>
      <c r="S371" s="50"/>
      <c r="T371" s="49">
        <v>2002</v>
      </c>
      <c r="U371" s="69">
        <v>45369</v>
      </c>
      <c r="V371" s="49">
        <v>192</v>
      </c>
      <c r="W371" s="50"/>
      <c r="X371" s="50"/>
      <c r="Y371" s="50"/>
      <c r="Z371" s="49">
        <v>10</v>
      </c>
      <c r="AA371" s="49">
        <v>4.8</v>
      </c>
      <c r="AB371" s="50"/>
      <c r="AC371" s="50"/>
      <c r="AD371" s="50"/>
      <c r="AE371" s="50"/>
      <c r="AF371" s="50"/>
      <c r="AG371" s="50"/>
      <c r="AH371" s="49">
        <v>1.44</v>
      </c>
      <c r="AI371" s="49">
        <v>0.08</v>
      </c>
      <c r="AJ371" s="50"/>
      <c r="AK371" s="50"/>
      <c r="AL371" s="49">
        <f>0.1 * Z371 * AH371 * 20</f>
        <v>28.799999999999997</v>
      </c>
      <c r="AM371" s="50"/>
      <c r="AN371" s="50"/>
      <c r="AO371" s="50"/>
      <c r="AP371" s="50"/>
      <c r="AQ371" s="50"/>
      <c r="AR371" s="50"/>
      <c r="AS371" s="50"/>
      <c r="AT371" s="50"/>
      <c r="AU371" s="50"/>
      <c r="AV371" s="50" t="s">
        <v>577</v>
      </c>
      <c r="AW371" s="49">
        <v>88</v>
      </c>
      <c r="AX371" s="50" t="s">
        <v>497</v>
      </c>
      <c r="AY371" s="50"/>
      <c r="AZ371" s="50" t="s">
        <v>252</v>
      </c>
      <c r="BA371" s="50" t="s">
        <v>132</v>
      </c>
      <c r="BB371" s="50" t="s">
        <v>422</v>
      </c>
      <c r="BC371" s="54"/>
      <c r="BD371" s="50"/>
      <c r="BE371" s="2">
        <v>0</v>
      </c>
    </row>
    <row r="372" spans="1:57" ht="13" hidden="1" x14ac:dyDescent="0.15">
      <c r="A372" s="57" t="s">
        <v>570</v>
      </c>
      <c r="B372" s="21" t="s">
        <v>159</v>
      </c>
      <c r="C372" s="34">
        <v>2021</v>
      </c>
      <c r="D372" s="21" t="s">
        <v>571</v>
      </c>
      <c r="E372" s="21" t="s">
        <v>143</v>
      </c>
      <c r="F372" s="21"/>
      <c r="G372" s="21" t="s">
        <v>238</v>
      </c>
      <c r="H372" s="21"/>
      <c r="I372" s="2" t="s">
        <v>574</v>
      </c>
      <c r="J372" s="2" t="s">
        <v>115</v>
      </c>
      <c r="K372" s="9">
        <v>560</v>
      </c>
      <c r="L372" s="9">
        <v>22</v>
      </c>
      <c r="M372" s="2"/>
      <c r="N372" s="2"/>
      <c r="O372" s="2"/>
      <c r="P372" s="9">
        <v>200</v>
      </c>
      <c r="Q372" s="11">
        <v>5</v>
      </c>
      <c r="R372" s="9">
        <v>10</v>
      </c>
      <c r="S372" s="2"/>
      <c r="T372" s="9">
        <v>2002</v>
      </c>
      <c r="U372" s="55">
        <v>45369</v>
      </c>
      <c r="V372" s="9">
        <v>192</v>
      </c>
      <c r="W372" s="2"/>
      <c r="X372" s="2"/>
      <c r="Y372" s="2"/>
      <c r="Z372" s="9">
        <v>7.5</v>
      </c>
      <c r="AA372" s="9">
        <v>0.9</v>
      </c>
      <c r="AB372" s="2"/>
      <c r="AC372" s="2"/>
      <c r="AD372" s="2"/>
      <c r="AE372" s="2"/>
      <c r="AF372" s="2"/>
      <c r="AG372" s="2"/>
      <c r="AH372" s="9">
        <v>1.44</v>
      </c>
      <c r="AI372" s="9">
        <v>0.09</v>
      </c>
      <c r="AJ372" s="2"/>
      <c r="AK372" s="2"/>
      <c r="AL372" s="9">
        <f>0.1 * Z372 * AH372 * 20</f>
        <v>21.6</v>
      </c>
      <c r="AM372" s="2"/>
      <c r="AN372" s="9">
        <f>AL372-AL$372</f>
        <v>0</v>
      </c>
      <c r="AO372" s="9">
        <f>(AN372/AL$372)*100</f>
        <v>0</v>
      </c>
      <c r="AP372" s="2"/>
      <c r="AQ372" s="34">
        <f>Z372-Z$372</f>
        <v>0</v>
      </c>
      <c r="AR372" s="34">
        <f>(AQ372/Z$372)*100</f>
        <v>0</v>
      </c>
      <c r="AS372" s="2"/>
      <c r="AT372" s="2"/>
      <c r="AU372" s="2"/>
      <c r="AV372" s="2" t="s">
        <v>577</v>
      </c>
      <c r="AW372" s="9">
        <v>88</v>
      </c>
      <c r="AX372" s="2" t="s">
        <v>497</v>
      </c>
      <c r="AY372" s="2"/>
      <c r="AZ372" s="2" t="s">
        <v>252</v>
      </c>
      <c r="BA372" s="2" t="s">
        <v>132</v>
      </c>
      <c r="BB372" s="2" t="s">
        <v>422</v>
      </c>
      <c r="BC372" s="6"/>
      <c r="BD372" s="2"/>
      <c r="BE372" s="2">
        <v>0</v>
      </c>
    </row>
    <row r="373" spans="1:57" ht="14" hidden="1" x14ac:dyDescent="0.15">
      <c r="A373" s="57" t="s">
        <v>570</v>
      </c>
      <c r="B373" s="21" t="s">
        <v>159</v>
      </c>
      <c r="C373" s="34">
        <v>2021</v>
      </c>
      <c r="D373" s="21" t="s">
        <v>571</v>
      </c>
      <c r="E373" s="21" t="s">
        <v>135</v>
      </c>
      <c r="F373" s="21"/>
      <c r="G373" s="8" t="s">
        <v>200</v>
      </c>
      <c r="H373" s="21"/>
      <c r="I373" s="2" t="s">
        <v>578</v>
      </c>
      <c r="J373" s="2" t="s">
        <v>115</v>
      </c>
      <c r="K373" s="9">
        <v>560</v>
      </c>
      <c r="L373" s="9">
        <v>22</v>
      </c>
      <c r="M373" s="2"/>
      <c r="N373" s="2"/>
      <c r="O373" s="2"/>
      <c r="P373" s="9">
        <v>200</v>
      </c>
      <c r="Q373" s="11">
        <v>5</v>
      </c>
      <c r="R373" s="9">
        <v>10</v>
      </c>
      <c r="S373" s="2"/>
      <c r="T373" s="9">
        <v>2002</v>
      </c>
      <c r="U373" s="55">
        <v>45369</v>
      </c>
      <c r="V373" s="9">
        <v>192</v>
      </c>
      <c r="W373" s="2"/>
      <c r="X373" s="2"/>
      <c r="Y373" s="2"/>
      <c r="Z373" s="9">
        <v>5.6</v>
      </c>
      <c r="AA373" s="9">
        <v>1.5</v>
      </c>
      <c r="AB373" s="2"/>
      <c r="AC373" s="2"/>
      <c r="AD373" s="2"/>
      <c r="AE373" s="2"/>
      <c r="AF373" s="2"/>
      <c r="AG373" s="2"/>
      <c r="AH373" s="9">
        <v>1.55</v>
      </c>
      <c r="AI373" s="9">
        <v>0.05</v>
      </c>
      <c r="AJ373" s="2"/>
      <c r="AK373" s="2"/>
      <c r="AL373" s="9">
        <f>0.1 * Z373 * AH373 * 20</f>
        <v>17.36</v>
      </c>
      <c r="AM373" s="2"/>
      <c r="AN373" s="9">
        <f>AL373-AL$372</f>
        <v>-4.240000000000002</v>
      </c>
      <c r="AO373" s="9">
        <f>(AN373/AL$372)*100</f>
        <v>-19.629629629629637</v>
      </c>
      <c r="AP373" s="2"/>
      <c r="AQ373" s="34">
        <f>Z373-Z$372</f>
        <v>-1.9000000000000004</v>
      </c>
      <c r="AR373" s="34">
        <f>(AQ373/Z$372)*100</f>
        <v>-25.333333333333336</v>
      </c>
      <c r="AS373" s="2"/>
      <c r="AT373" s="2"/>
      <c r="AU373" s="2"/>
      <c r="AV373" s="2" t="s">
        <v>577</v>
      </c>
      <c r="AW373" s="9">
        <v>92</v>
      </c>
      <c r="AX373" s="2" t="s">
        <v>497</v>
      </c>
      <c r="AY373" s="2"/>
      <c r="AZ373" s="2" t="s">
        <v>252</v>
      </c>
      <c r="BA373" s="2" t="s">
        <v>132</v>
      </c>
      <c r="BB373" s="2" t="s">
        <v>422</v>
      </c>
      <c r="BC373" s="6"/>
      <c r="BD373" s="2"/>
      <c r="BE373" s="2">
        <v>0</v>
      </c>
    </row>
    <row r="374" spans="1:57" ht="13" hidden="1" x14ac:dyDescent="0.15">
      <c r="A374" s="57" t="s">
        <v>570</v>
      </c>
      <c r="B374" s="21" t="s">
        <v>159</v>
      </c>
      <c r="C374" s="34">
        <v>2021</v>
      </c>
      <c r="D374" s="21" t="s">
        <v>571</v>
      </c>
      <c r="E374" s="21" t="s">
        <v>143</v>
      </c>
      <c r="F374" s="21" t="s">
        <v>135</v>
      </c>
      <c r="G374" s="21" t="s">
        <v>238</v>
      </c>
      <c r="H374" s="21" t="s">
        <v>200</v>
      </c>
      <c r="I374" s="2" t="s">
        <v>576</v>
      </c>
      <c r="J374" s="2" t="s">
        <v>115</v>
      </c>
      <c r="K374" s="9">
        <v>560</v>
      </c>
      <c r="L374" s="9">
        <v>22</v>
      </c>
      <c r="M374" s="2"/>
      <c r="N374" s="2"/>
      <c r="O374" s="2"/>
      <c r="P374" s="9">
        <v>200</v>
      </c>
      <c r="Q374" s="11">
        <v>5</v>
      </c>
      <c r="R374" s="9">
        <v>10</v>
      </c>
      <c r="S374" s="2"/>
      <c r="T374" s="9">
        <v>2002</v>
      </c>
      <c r="U374" s="55">
        <v>45369</v>
      </c>
      <c r="V374" s="9">
        <v>192</v>
      </c>
      <c r="W374" s="2"/>
      <c r="X374" s="2"/>
      <c r="Y374" s="2"/>
      <c r="Z374" s="9">
        <v>5.7</v>
      </c>
      <c r="AA374" s="9">
        <v>2.1</v>
      </c>
      <c r="AB374" s="2"/>
      <c r="AC374" s="2"/>
      <c r="AD374" s="2"/>
      <c r="AE374" s="2"/>
      <c r="AF374" s="2"/>
      <c r="AG374" s="2"/>
      <c r="AH374" s="9">
        <v>1.48</v>
      </c>
      <c r="AI374" s="9">
        <v>0.05</v>
      </c>
      <c r="AJ374" s="2"/>
      <c r="AK374" s="2"/>
      <c r="AL374" s="9">
        <f>0.1 * Z374 * AH374 * 20</f>
        <v>16.872000000000003</v>
      </c>
      <c r="AM374" s="2"/>
      <c r="AN374" s="9">
        <f>AL374-AL$372</f>
        <v>-4.727999999999998</v>
      </c>
      <c r="AO374" s="9">
        <f>(AN374/AL$372)*100</f>
        <v>-21.888888888888879</v>
      </c>
      <c r="AP374" s="2"/>
      <c r="AQ374" s="34">
        <f>Z374-Z$372</f>
        <v>-1.7999999999999998</v>
      </c>
      <c r="AR374" s="34">
        <f>(AQ374/Z$372)*100</f>
        <v>-23.999999999999996</v>
      </c>
      <c r="AS374" s="2"/>
      <c r="AT374" s="2"/>
      <c r="AU374" s="2"/>
      <c r="AV374" s="2" t="s">
        <v>577</v>
      </c>
      <c r="AW374" s="9">
        <v>88</v>
      </c>
      <c r="AX374" s="2" t="s">
        <v>497</v>
      </c>
      <c r="AY374" s="2"/>
      <c r="AZ374" s="2" t="s">
        <v>252</v>
      </c>
      <c r="BA374" s="2" t="s">
        <v>132</v>
      </c>
      <c r="BB374" s="2" t="s">
        <v>422</v>
      </c>
      <c r="BC374" s="6"/>
      <c r="BD374" s="2"/>
      <c r="BE374" s="2">
        <v>0</v>
      </c>
    </row>
    <row r="375" spans="1:57" ht="13" hidden="1" x14ac:dyDescent="0.15">
      <c r="A375" s="68" t="s">
        <v>570</v>
      </c>
      <c r="B375" s="50" t="s">
        <v>159</v>
      </c>
      <c r="C375" s="49">
        <v>2021</v>
      </c>
      <c r="D375" s="50" t="s">
        <v>579</v>
      </c>
      <c r="E375" s="50" t="s">
        <v>143</v>
      </c>
      <c r="F375" s="50" t="s">
        <v>135</v>
      </c>
      <c r="G375" s="50" t="s">
        <v>113</v>
      </c>
      <c r="H375" s="50"/>
      <c r="I375" s="50" t="s">
        <v>580</v>
      </c>
      <c r="J375" s="50" t="s">
        <v>115</v>
      </c>
      <c r="K375" s="49">
        <v>400</v>
      </c>
      <c r="L375" s="49">
        <v>23</v>
      </c>
      <c r="M375" s="50"/>
      <c r="N375" s="50"/>
      <c r="O375" s="50"/>
      <c r="P375" s="49">
        <v>253</v>
      </c>
      <c r="Q375" s="52">
        <v>5</v>
      </c>
      <c r="R375" s="49">
        <v>10</v>
      </c>
      <c r="S375" s="50"/>
      <c r="T375" s="49">
        <v>2002</v>
      </c>
      <c r="U375" s="69">
        <v>45369</v>
      </c>
      <c r="V375" s="49">
        <v>192</v>
      </c>
      <c r="W375" s="50"/>
      <c r="X375" s="50"/>
      <c r="Y375" s="50"/>
      <c r="Z375" s="49">
        <v>7.1</v>
      </c>
      <c r="AA375" s="49">
        <v>2.9</v>
      </c>
      <c r="AB375" s="50"/>
      <c r="AC375" s="50"/>
      <c r="AD375" s="50"/>
      <c r="AE375" s="50"/>
      <c r="AF375" s="50"/>
      <c r="AG375" s="50"/>
      <c r="AH375" s="49">
        <v>1.34</v>
      </c>
      <c r="AI375" s="49">
        <v>0.09</v>
      </c>
      <c r="AJ375" s="50"/>
      <c r="AK375" s="50"/>
      <c r="AL375" s="49">
        <f>0.1 * Z375 * AH375 * 20</f>
        <v>19.027999999999999</v>
      </c>
      <c r="AM375" s="50"/>
      <c r="AN375" s="50"/>
      <c r="AO375" s="50"/>
      <c r="AP375" s="50"/>
      <c r="AQ375" s="50"/>
      <c r="AR375" s="50"/>
      <c r="AS375" s="50"/>
      <c r="AT375" s="50"/>
      <c r="AU375" s="50"/>
      <c r="AV375" s="50" t="s">
        <v>581</v>
      </c>
      <c r="AW375" s="49">
        <v>84</v>
      </c>
      <c r="AX375" s="50" t="s">
        <v>497</v>
      </c>
      <c r="AY375" s="50"/>
      <c r="AZ375" s="50" t="s">
        <v>252</v>
      </c>
      <c r="BA375" s="50" t="s">
        <v>132</v>
      </c>
      <c r="BB375" s="50" t="s">
        <v>422</v>
      </c>
      <c r="BC375" s="54"/>
      <c r="BD375" s="50"/>
      <c r="BE375" s="2">
        <v>0</v>
      </c>
    </row>
    <row r="376" spans="1:57" ht="13" hidden="1" x14ac:dyDescent="0.15">
      <c r="A376" s="57" t="s">
        <v>570</v>
      </c>
      <c r="B376" s="21" t="s">
        <v>159</v>
      </c>
      <c r="C376" s="34">
        <v>2021</v>
      </c>
      <c r="D376" s="21" t="s">
        <v>579</v>
      </c>
      <c r="E376" s="21" t="s">
        <v>143</v>
      </c>
      <c r="F376" s="21"/>
      <c r="G376" s="21" t="s">
        <v>238</v>
      </c>
      <c r="H376" s="21"/>
      <c r="I376" s="2" t="s">
        <v>574</v>
      </c>
      <c r="J376" s="2" t="s">
        <v>115</v>
      </c>
      <c r="K376" s="9">
        <v>400</v>
      </c>
      <c r="L376" s="9">
        <v>23</v>
      </c>
      <c r="M376" s="2"/>
      <c r="N376" s="2"/>
      <c r="O376" s="2"/>
      <c r="P376" s="9">
        <v>253</v>
      </c>
      <c r="Q376" s="11">
        <v>5</v>
      </c>
      <c r="R376" s="9">
        <v>10</v>
      </c>
      <c r="S376" s="2"/>
      <c r="T376" s="9">
        <v>2002</v>
      </c>
      <c r="U376" s="55">
        <v>45369</v>
      </c>
      <c r="V376" s="9">
        <v>192</v>
      </c>
      <c r="W376" s="2"/>
      <c r="X376" s="2"/>
      <c r="Y376" s="2"/>
      <c r="Z376" s="9">
        <v>16</v>
      </c>
      <c r="AA376" s="9">
        <v>3.1</v>
      </c>
      <c r="AB376" s="2"/>
      <c r="AC376" s="2"/>
      <c r="AD376" s="2"/>
      <c r="AE376" s="2"/>
      <c r="AF376" s="2"/>
      <c r="AG376" s="2"/>
      <c r="AH376" s="9">
        <v>0.97</v>
      </c>
      <c r="AI376" s="9">
        <v>0.11</v>
      </c>
      <c r="AJ376" s="2"/>
      <c r="AK376" s="2"/>
      <c r="AL376" s="9">
        <f>0.1 * Z376 * AH376 * 20</f>
        <v>31.04</v>
      </c>
      <c r="AM376" s="2"/>
      <c r="AN376" s="9">
        <f>AL376-AL$376</f>
        <v>0</v>
      </c>
      <c r="AO376" s="9">
        <f>(AN376/AL$376)*100</f>
        <v>0</v>
      </c>
      <c r="AP376" s="2"/>
      <c r="AQ376" s="34">
        <f>Z376-Z$376</f>
        <v>0</v>
      </c>
      <c r="AR376" s="34">
        <f>(AQ376/Z$376)*100</f>
        <v>0</v>
      </c>
      <c r="AS376" s="2"/>
      <c r="AT376" s="2"/>
      <c r="AU376" s="2"/>
      <c r="AV376" s="2" t="s">
        <v>581</v>
      </c>
      <c r="AW376" s="9">
        <v>67</v>
      </c>
      <c r="AX376" s="2" t="s">
        <v>497</v>
      </c>
      <c r="AY376" s="2"/>
      <c r="AZ376" s="2" t="s">
        <v>252</v>
      </c>
      <c r="BA376" s="2" t="s">
        <v>132</v>
      </c>
      <c r="BB376" s="2" t="s">
        <v>422</v>
      </c>
      <c r="BC376" s="6"/>
      <c r="BD376" s="2"/>
      <c r="BE376" s="2">
        <v>0</v>
      </c>
    </row>
    <row r="377" spans="1:57" ht="14" hidden="1" x14ac:dyDescent="0.15">
      <c r="A377" s="57" t="s">
        <v>570</v>
      </c>
      <c r="B377" s="21" t="s">
        <v>159</v>
      </c>
      <c r="C377" s="34">
        <v>2021</v>
      </c>
      <c r="D377" s="21" t="s">
        <v>579</v>
      </c>
      <c r="E377" s="21" t="s">
        <v>135</v>
      </c>
      <c r="F377" s="21"/>
      <c r="G377" s="8" t="s">
        <v>200</v>
      </c>
      <c r="H377" s="21"/>
      <c r="I377" s="2" t="s">
        <v>582</v>
      </c>
      <c r="J377" s="2" t="s">
        <v>115</v>
      </c>
      <c r="K377" s="9">
        <v>400</v>
      </c>
      <c r="L377" s="9">
        <v>23</v>
      </c>
      <c r="M377" s="2"/>
      <c r="N377" s="2"/>
      <c r="O377" s="2"/>
      <c r="P377" s="9">
        <v>253</v>
      </c>
      <c r="Q377" s="11">
        <v>5</v>
      </c>
      <c r="R377" s="9">
        <v>10</v>
      </c>
      <c r="S377" s="2"/>
      <c r="T377" s="9">
        <v>2002</v>
      </c>
      <c r="U377" s="55">
        <v>45369</v>
      </c>
      <c r="V377" s="9">
        <v>192</v>
      </c>
      <c r="W377" s="2"/>
      <c r="X377" s="2"/>
      <c r="Y377" s="2"/>
      <c r="Z377" s="9">
        <v>6.4</v>
      </c>
      <c r="AA377" s="9">
        <v>4.4000000000000004</v>
      </c>
      <c r="AB377" s="2"/>
      <c r="AC377" s="2"/>
      <c r="AD377" s="2"/>
      <c r="AE377" s="2"/>
      <c r="AF377" s="2"/>
      <c r="AG377" s="2"/>
      <c r="AH377" s="9">
        <v>1.41</v>
      </c>
      <c r="AI377" s="9">
        <v>0.1</v>
      </c>
      <c r="AJ377" s="2"/>
      <c r="AK377" s="2"/>
      <c r="AL377" s="9">
        <f>0.1 * Z377 * AH377 * 20</f>
        <v>18.048000000000002</v>
      </c>
      <c r="AM377" s="2"/>
      <c r="AN377" s="9">
        <f>AL377-AL$376</f>
        <v>-12.991999999999997</v>
      </c>
      <c r="AO377" s="9">
        <f>(AN377/AL$376)*100</f>
        <v>-41.855670103092777</v>
      </c>
      <c r="AP377" s="2"/>
      <c r="AQ377" s="34">
        <f>Z377-Z$376</f>
        <v>-9.6</v>
      </c>
      <c r="AR377" s="34">
        <f>(AQ377/Z$376)*100</f>
        <v>-60</v>
      </c>
      <c r="AS377" s="2"/>
      <c r="AT377" s="2"/>
      <c r="AU377" s="2"/>
      <c r="AV377" s="2" t="s">
        <v>581</v>
      </c>
      <c r="AW377" s="9">
        <v>86</v>
      </c>
      <c r="AX377" s="2" t="s">
        <v>497</v>
      </c>
      <c r="AY377" s="2"/>
      <c r="AZ377" s="2" t="s">
        <v>252</v>
      </c>
      <c r="BA377" s="2" t="s">
        <v>132</v>
      </c>
      <c r="BB377" s="2" t="s">
        <v>422</v>
      </c>
      <c r="BC377" s="6"/>
      <c r="BD377" s="2"/>
      <c r="BE377" s="2">
        <v>0</v>
      </c>
    </row>
    <row r="378" spans="1:57" ht="13" hidden="1" x14ac:dyDescent="0.15">
      <c r="A378" s="57" t="s">
        <v>570</v>
      </c>
      <c r="B378" s="21" t="s">
        <v>159</v>
      </c>
      <c r="C378" s="34">
        <v>2021</v>
      </c>
      <c r="D378" s="21" t="s">
        <v>579</v>
      </c>
      <c r="E378" s="21" t="s">
        <v>143</v>
      </c>
      <c r="F378" s="21" t="s">
        <v>135</v>
      </c>
      <c r="G378" s="21" t="s">
        <v>238</v>
      </c>
      <c r="H378" s="21" t="s">
        <v>200</v>
      </c>
      <c r="I378" s="2" t="s">
        <v>576</v>
      </c>
      <c r="J378" s="2" t="s">
        <v>115</v>
      </c>
      <c r="K378" s="9">
        <v>400</v>
      </c>
      <c r="L378" s="9">
        <v>23</v>
      </c>
      <c r="M378" s="2"/>
      <c r="N378" s="2"/>
      <c r="O378" s="2"/>
      <c r="P378" s="9">
        <v>253</v>
      </c>
      <c r="Q378" s="11">
        <v>5</v>
      </c>
      <c r="R378" s="9">
        <v>10</v>
      </c>
      <c r="S378" s="2"/>
      <c r="T378" s="9">
        <v>2002</v>
      </c>
      <c r="U378" s="55">
        <v>45369</v>
      </c>
      <c r="V378" s="9">
        <v>192</v>
      </c>
      <c r="W378" s="2"/>
      <c r="X378" s="2"/>
      <c r="Y378" s="2"/>
      <c r="Z378" s="9">
        <v>14.2</v>
      </c>
      <c r="AA378" s="9">
        <v>2.6</v>
      </c>
      <c r="AB378" s="2"/>
      <c r="AC378" s="2"/>
      <c r="AD378" s="2"/>
      <c r="AE378" s="2"/>
      <c r="AF378" s="2"/>
      <c r="AG378" s="2"/>
      <c r="AH378" s="9">
        <v>1.1599999999999999</v>
      </c>
      <c r="AI378" s="9">
        <v>0.11</v>
      </c>
      <c r="AJ378" s="2"/>
      <c r="AK378" s="2"/>
      <c r="AL378" s="9">
        <f>0.1 * Z378 * AH378 * 20</f>
        <v>32.943999999999996</v>
      </c>
      <c r="AM378" s="2"/>
      <c r="AN378" s="9">
        <f>AL378-AL$376</f>
        <v>1.9039999999999964</v>
      </c>
      <c r="AO378" s="9">
        <f>(AN378/AL$376)*100</f>
        <v>6.1340206185566899</v>
      </c>
      <c r="AP378" s="2"/>
      <c r="AQ378" s="34">
        <f>Z378-Z$376</f>
        <v>-1.8000000000000007</v>
      </c>
      <c r="AR378" s="34">
        <f>(AQ378/Z$376)*100</f>
        <v>-11.250000000000004</v>
      </c>
      <c r="AS378" s="2"/>
      <c r="AT378" s="2"/>
      <c r="AU378" s="2"/>
      <c r="AV378" s="2" t="s">
        <v>581</v>
      </c>
      <c r="AW378" s="9">
        <v>65</v>
      </c>
      <c r="AX378" s="2" t="s">
        <v>497</v>
      </c>
      <c r="AY378" s="2"/>
      <c r="AZ378" s="2" t="s">
        <v>252</v>
      </c>
      <c r="BA378" s="2" t="s">
        <v>132</v>
      </c>
      <c r="BB378" s="2" t="s">
        <v>422</v>
      </c>
      <c r="BC378" s="6"/>
      <c r="BD378" s="2"/>
      <c r="BE378" s="2">
        <v>0</v>
      </c>
    </row>
    <row r="379" spans="1:57" ht="13" hidden="1" x14ac:dyDescent="0.15">
      <c r="A379" s="68" t="s">
        <v>570</v>
      </c>
      <c r="B379" s="50" t="s">
        <v>159</v>
      </c>
      <c r="C379" s="49">
        <v>2021</v>
      </c>
      <c r="D379" s="50" t="s">
        <v>579</v>
      </c>
      <c r="E379" s="50" t="s">
        <v>143</v>
      </c>
      <c r="F379" s="50" t="s">
        <v>135</v>
      </c>
      <c r="G379" s="50" t="s">
        <v>113</v>
      </c>
      <c r="H379" s="50"/>
      <c r="I379" s="50" t="s">
        <v>580</v>
      </c>
      <c r="J379" s="50" t="s">
        <v>115</v>
      </c>
      <c r="K379" s="49">
        <v>400</v>
      </c>
      <c r="L379" s="49">
        <v>23</v>
      </c>
      <c r="M379" s="50"/>
      <c r="N379" s="50"/>
      <c r="O379" s="50"/>
      <c r="P379" s="49">
        <v>253</v>
      </c>
      <c r="Q379" s="52">
        <v>5</v>
      </c>
      <c r="R379" s="49">
        <v>10</v>
      </c>
      <c r="S379" s="50"/>
      <c r="T379" s="49">
        <v>2002</v>
      </c>
      <c r="U379" s="69">
        <v>45369</v>
      </c>
      <c r="V379" s="49">
        <v>192</v>
      </c>
      <c r="W379" s="50"/>
      <c r="X379" s="50"/>
      <c r="Y379" s="50"/>
      <c r="Z379" s="49">
        <v>6.1</v>
      </c>
      <c r="AA379" s="49">
        <v>1.6</v>
      </c>
      <c r="AB379" s="50"/>
      <c r="AC379" s="50"/>
      <c r="AD379" s="50"/>
      <c r="AE379" s="50"/>
      <c r="AF379" s="50"/>
      <c r="AG379" s="50"/>
      <c r="AH379" s="49">
        <v>1.56</v>
      </c>
      <c r="AI379" s="49">
        <v>0.06</v>
      </c>
      <c r="AJ379" s="50"/>
      <c r="AK379" s="50"/>
      <c r="AL379" s="49">
        <f>0.1 * Z379 * AH379 * 20</f>
        <v>19.032</v>
      </c>
      <c r="AM379" s="50"/>
      <c r="AN379" s="50"/>
      <c r="AO379" s="50"/>
      <c r="AP379" s="50"/>
      <c r="AQ379" s="50"/>
      <c r="AR379" s="50"/>
      <c r="AS379" s="50"/>
      <c r="AT379" s="50"/>
      <c r="AU379" s="50"/>
      <c r="AV379" s="50" t="s">
        <v>583</v>
      </c>
      <c r="AW379" s="49">
        <v>85</v>
      </c>
      <c r="AX379" s="50" t="s">
        <v>497</v>
      </c>
      <c r="AY379" s="50"/>
      <c r="AZ379" s="50" t="s">
        <v>252</v>
      </c>
      <c r="BA379" s="50" t="s">
        <v>132</v>
      </c>
      <c r="BB379" s="50" t="s">
        <v>422</v>
      </c>
      <c r="BC379" s="54"/>
      <c r="BD379" s="50"/>
      <c r="BE379" s="2">
        <v>0</v>
      </c>
    </row>
    <row r="380" spans="1:57" ht="13" hidden="1" x14ac:dyDescent="0.15">
      <c r="A380" s="57" t="s">
        <v>570</v>
      </c>
      <c r="B380" s="21" t="s">
        <v>159</v>
      </c>
      <c r="C380" s="34">
        <v>2021</v>
      </c>
      <c r="D380" s="21" t="s">
        <v>579</v>
      </c>
      <c r="E380" s="21" t="s">
        <v>143</v>
      </c>
      <c r="F380" s="21"/>
      <c r="G380" s="21" t="s">
        <v>238</v>
      </c>
      <c r="H380" s="21"/>
      <c r="I380" s="2" t="s">
        <v>574</v>
      </c>
      <c r="J380" s="2" t="s">
        <v>115</v>
      </c>
      <c r="K380" s="9">
        <v>400</v>
      </c>
      <c r="L380" s="9">
        <v>23</v>
      </c>
      <c r="M380" s="2"/>
      <c r="N380" s="2"/>
      <c r="O380" s="2"/>
      <c r="P380" s="9">
        <v>253</v>
      </c>
      <c r="Q380" s="11">
        <v>5</v>
      </c>
      <c r="R380" s="9">
        <v>10</v>
      </c>
      <c r="S380" s="2"/>
      <c r="T380" s="9">
        <v>2002</v>
      </c>
      <c r="U380" s="55">
        <v>45369</v>
      </c>
      <c r="V380" s="9">
        <v>192</v>
      </c>
      <c r="W380" s="2"/>
      <c r="X380" s="2"/>
      <c r="Y380" s="2"/>
      <c r="Z380" s="9">
        <v>5.6</v>
      </c>
      <c r="AA380" s="9">
        <v>1.3</v>
      </c>
      <c r="AB380" s="2"/>
      <c r="AC380" s="2"/>
      <c r="AD380" s="2"/>
      <c r="AE380" s="2"/>
      <c r="AF380" s="2"/>
      <c r="AG380" s="2"/>
      <c r="AH380" s="9">
        <v>1.43</v>
      </c>
      <c r="AI380" s="9">
        <v>0.08</v>
      </c>
      <c r="AJ380" s="2"/>
      <c r="AK380" s="2"/>
      <c r="AL380" s="9">
        <f>0.1 * Z380 * AH380 * 20</f>
        <v>16.015999999999998</v>
      </c>
      <c r="AM380" s="2"/>
      <c r="AN380" s="9">
        <f>(AL380-AL$380)</f>
        <v>0</v>
      </c>
      <c r="AO380" s="9">
        <f>(AN380/AL$380)*100</f>
        <v>0</v>
      </c>
      <c r="AP380" s="2"/>
      <c r="AQ380" s="34">
        <f>Z380-Z$380</f>
        <v>0</v>
      </c>
      <c r="AR380" s="34">
        <f>(AQ380/Z$380)*100</f>
        <v>0</v>
      </c>
      <c r="AS380" s="2"/>
      <c r="AT380" s="2"/>
      <c r="AU380" s="2"/>
      <c r="AV380" s="2" t="s">
        <v>583</v>
      </c>
      <c r="AW380" s="9">
        <v>85</v>
      </c>
      <c r="AX380" s="2" t="s">
        <v>497</v>
      </c>
      <c r="AY380" s="2"/>
      <c r="AZ380" s="2" t="s">
        <v>252</v>
      </c>
      <c r="BA380" s="2" t="s">
        <v>132</v>
      </c>
      <c r="BB380" s="2" t="s">
        <v>422</v>
      </c>
      <c r="BC380" s="6"/>
      <c r="BD380" s="2"/>
      <c r="BE380" s="2">
        <v>0</v>
      </c>
    </row>
    <row r="381" spans="1:57" ht="14" hidden="1" x14ac:dyDescent="0.15">
      <c r="A381" s="57" t="s">
        <v>570</v>
      </c>
      <c r="B381" s="21" t="s">
        <v>159</v>
      </c>
      <c r="C381" s="34">
        <v>2021</v>
      </c>
      <c r="D381" s="21" t="s">
        <v>579</v>
      </c>
      <c r="E381" s="21" t="s">
        <v>135</v>
      </c>
      <c r="F381" s="21"/>
      <c r="G381" s="8" t="s">
        <v>200</v>
      </c>
      <c r="H381" s="21"/>
      <c r="I381" s="2" t="s">
        <v>582</v>
      </c>
      <c r="J381" s="2" t="s">
        <v>115</v>
      </c>
      <c r="K381" s="9">
        <v>400</v>
      </c>
      <c r="L381" s="9">
        <v>23</v>
      </c>
      <c r="M381" s="2"/>
      <c r="N381" s="2"/>
      <c r="O381" s="2"/>
      <c r="P381" s="9">
        <v>253</v>
      </c>
      <c r="Q381" s="11">
        <v>5</v>
      </c>
      <c r="R381" s="9">
        <v>10</v>
      </c>
      <c r="S381" s="2"/>
      <c r="T381" s="9">
        <v>2002</v>
      </c>
      <c r="U381" s="55">
        <v>45369</v>
      </c>
      <c r="V381" s="9">
        <v>192</v>
      </c>
      <c r="W381" s="2"/>
      <c r="X381" s="2"/>
      <c r="Y381" s="2"/>
      <c r="Z381" s="9">
        <v>6.9</v>
      </c>
      <c r="AA381" s="9">
        <v>2.2000000000000002</v>
      </c>
      <c r="AB381" s="2"/>
      <c r="AC381" s="2"/>
      <c r="AD381" s="2"/>
      <c r="AE381" s="2"/>
      <c r="AF381" s="2"/>
      <c r="AG381" s="2"/>
      <c r="AH381" s="9">
        <v>1.56</v>
      </c>
      <c r="AI381" s="9">
        <v>0.13</v>
      </c>
      <c r="AJ381" s="2"/>
      <c r="AK381" s="2"/>
      <c r="AL381" s="9">
        <f>0.1 * Z381 * AH381 * 20</f>
        <v>21.527999999999999</v>
      </c>
      <c r="AM381" s="2"/>
      <c r="AN381" s="9">
        <f>(AL381-AL$380)</f>
        <v>5.5120000000000005</v>
      </c>
      <c r="AO381" s="9">
        <f>(AN381/AL$380)*100</f>
        <v>34.415584415584419</v>
      </c>
      <c r="AP381" s="2"/>
      <c r="AQ381" s="34">
        <f>Z381-Z$380</f>
        <v>1.3000000000000007</v>
      </c>
      <c r="AR381" s="34">
        <f>(AQ381/Z$380)*100</f>
        <v>23.21428571428573</v>
      </c>
      <c r="AS381" s="2"/>
      <c r="AT381" s="2"/>
      <c r="AU381" s="2"/>
      <c r="AV381" s="2" t="s">
        <v>583</v>
      </c>
      <c r="AW381" s="9">
        <v>83</v>
      </c>
      <c r="AX381" s="2" t="s">
        <v>497</v>
      </c>
      <c r="AY381" s="2"/>
      <c r="AZ381" s="2" t="s">
        <v>252</v>
      </c>
      <c r="BA381" s="2" t="s">
        <v>132</v>
      </c>
      <c r="BB381" s="2" t="s">
        <v>422</v>
      </c>
      <c r="BC381" s="6"/>
      <c r="BD381" s="2"/>
      <c r="BE381" s="2">
        <v>0</v>
      </c>
    </row>
    <row r="382" spans="1:57" ht="13" hidden="1" x14ac:dyDescent="0.15">
      <c r="A382" s="57" t="s">
        <v>570</v>
      </c>
      <c r="B382" s="21" t="s">
        <v>159</v>
      </c>
      <c r="C382" s="34">
        <v>2021</v>
      </c>
      <c r="D382" s="21" t="s">
        <v>579</v>
      </c>
      <c r="E382" s="21" t="s">
        <v>143</v>
      </c>
      <c r="F382" s="21" t="s">
        <v>135</v>
      </c>
      <c r="G382" s="21" t="s">
        <v>238</v>
      </c>
      <c r="H382" s="21" t="s">
        <v>200</v>
      </c>
      <c r="I382" s="2" t="s">
        <v>576</v>
      </c>
      <c r="J382" s="2" t="s">
        <v>115</v>
      </c>
      <c r="K382" s="9">
        <v>400</v>
      </c>
      <c r="L382" s="9">
        <v>23</v>
      </c>
      <c r="M382" s="2"/>
      <c r="N382" s="2"/>
      <c r="O382" s="2"/>
      <c r="P382" s="9">
        <v>253</v>
      </c>
      <c r="Q382" s="11">
        <v>5</v>
      </c>
      <c r="R382" s="9">
        <v>10</v>
      </c>
      <c r="S382" s="2"/>
      <c r="T382" s="9">
        <v>2002</v>
      </c>
      <c r="U382" s="55">
        <v>45369</v>
      </c>
      <c r="V382" s="9">
        <v>192</v>
      </c>
      <c r="W382" s="2"/>
      <c r="X382" s="2"/>
      <c r="Y382" s="2"/>
      <c r="Z382" s="9">
        <v>6.6</v>
      </c>
      <c r="AA382" s="9">
        <v>2.6</v>
      </c>
      <c r="AB382" s="2"/>
      <c r="AC382" s="2"/>
      <c r="AD382" s="2"/>
      <c r="AE382" s="2"/>
      <c r="AF382" s="2"/>
      <c r="AG382" s="2"/>
      <c r="AH382" s="9">
        <v>1.5</v>
      </c>
      <c r="AI382" s="9">
        <v>0.11</v>
      </c>
      <c r="AJ382" s="2"/>
      <c r="AK382" s="2"/>
      <c r="AL382" s="9">
        <f>0.1 * Z382 * AH382 * 20</f>
        <v>19.8</v>
      </c>
      <c r="AM382" s="2"/>
      <c r="AN382" s="9">
        <f>(AL382-AL$380)</f>
        <v>3.7840000000000025</v>
      </c>
      <c r="AO382" s="9">
        <f>(AN382/AL$380)*100</f>
        <v>23.626373626373645</v>
      </c>
      <c r="AP382" s="2"/>
      <c r="AQ382" s="34">
        <f>Z382-Z$380</f>
        <v>1</v>
      </c>
      <c r="AR382" s="34">
        <f>(AQ382/Z$380)*100</f>
        <v>17.857142857142858</v>
      </c>
      <c r="AS382" s="2"/>
      <c r="AT382" s="2"/>
      <c r="AU382" s="2"/>
      <c r="AV382" s="2" t="s">
        <v>583</v>
      </c>
      <c r="AW382" s="9">
        <v>86</v>
      </c>
      <c r="AX382" s="2" t="s">
        <v>497</v>
      </c>
      <c r="AY382" s="2"/>
      <c r="AZ382" s="2" t="s">
        <v>252</v>
      </c>
      <c r="BA382" s="2" t="s">
        <v>132</v>
      </c>
      <c r="BB382" s="2" t="s">
        <v>422</v>
      </c>
      <c r="BC382" s="6"/>
      <c r="BD382" s="2"/>
      <c r="BE382" s="2">
        <v>0</v>
      </c>
    </row>
    <row r="383" spans="1:57" ht="13" hidden="1" x14ac:dyDescent="0.15">
      <c r="A383" s="68" t="s">
        <v>570</v>
      </c>
      <c r="B383" s="50" t="s">
        <v>159</v>
      </c>
      <c r="C383" s="49">
        <v>2021</v>
      </c>
      <c r="D383" s="50" t="s">
        <v>584</v>
      </c>
      <c r="E383" s="50" t="s">
        <v>143</v>
      </c>
      <c r="F383" s="50" t="s">
        <v>135</v>
      </c>
      <c r="G383" s="50" t="s">
        <v>113</v>
      </c>
      <c r="H383" s="50"/>
      <c r="I383" s="50" t="s">
        <v>585</v>
      </c>
      <c r="J383" s="50" t="s">
        <v>115</v>
      </c>
      <c r="K383" s="49">
        <v>820</v>
      </c>
      <c r="L383" s="49">
        <v>16</v>
      </c>
      <c r="M383" s="50"/>
      <c r="N383" s="50"/>
      <c r="O383" s="50"/>
      <c r="P383" s="49">
        <v>840</v>
      </c>
      <c r="Q383" s="52">
        <v>5</v>
      </c>
      <c r="R383" s="49">
        <v>6</v>
      </c>
      <c r="S383" s="49">
        <v>252</v>
      </c>
      <c r="T383" s="49">
        <v>1950</v>
      </c>
      <c r="U383" s="69">
        <v>45643</v>
      </c>
      <c r="V383" s="49">
        <v>804</v>
      </c>
      <c r="W383" s="50"/>
      <c r="X383" s="50"/>
      <c r="Y383" s="50"/>
      <c r="Z383" s="49">
        <v>29.3</v>
      </c>
      <c r="AA383" s="49">
        <v>4.2</v>
      </c>
      <c r="AB383" s="50"/>
      <c r="AC383" s="50"/>
      <c r="AD383" s="50"/>
      <c r="AE383" s="50"/>
      <c r="AF383" s="50"/>
      <c r="AG383" s="50"/>
      <c r="AH383" s="49">
        <v>1.04</v>
      </c>
      <c r="AI383" s="49">
        <v>0.13</v>
      </c>
      <c r="AJ383" s="50"/>
      <c r="AK383" s="50"/>
      <c r="AL383" s="49">
        <f>0.1 * Z383 * AH383 * 20</f>
        <v>60.944000000000003</v>
      </c>
      <c r="AM383" s="50"/>
      <c r="AN383" s="50"/>
      <c r="AO383" s="50"/>
      <c r="AP383" s="50"/>
      <c r="AQ383" s="50"/>
      <c r="AR383" s="50"/>
      <c r="AS383" s="50"/>
      <c r="AT383" s="50"/>
      <c r="AU383" s="50"/>
      <c r="AV383" s="50" t="s">
        <v>586</v>
      </c>
      <c r="AW383" s="49">
        <v>44</v>
      </c>
      <c r="AX383" s="50" t="s">
        <v>497</v>
      </c>
      <c r="AY383" s="50"/>
      <c r="AZ383" s="50" t="s">
        <v>252</v>
      </c>
      <c r="BA383" s="50" t="s">
        <v>132</v>
      </c>
      <c r="BB383" s="50" t="s">
        <v>422</v>
      </c>
      <c r="BC383" s="54"/>
      <c r="BD383" s="50"/>
      <c r="BE383" s="2">
        <v>0</v>
      </c>
    </row>
    <row r="384" spans="1:57" ht="13" hidden="1" x14ac:dyDescent="0.15">
      <c r="A384" s="57" t="s">
        <v>570</v>
      </c>
      <c r="B384" s="21" t="s">
        <v>159</v>
      </c>
      <c r="C384" s="34">
        <v>2021</v>
      </c>
      <c r="D384" s="21" t="s">
        <v>584</v>
      </c>
      <c r="E384" s="21" t="s">
        <v>143</v>
      </c>
      <c r="F384" s="21"/>
      <c r="G384" s="21" t="s">
        <v>238</v>
      </c>
      <c r="H384" s="21"/>
      <c r="I384" s="2" t="s">
        <v>587</v>
      </c>
      <c r="J384" s="2" t="s">
        <v>115</v>
      </c>
      <c r="K384" s="9">
        <v>820</v>
      </c>
      <c r="L384" s="9">
        <v>16</v>
      </c>
      <c r="M384" s="2"/>
      <c r="N384" s="2"/>
      <c r="O384" s="2"/>
      <c r="P384" s="9">
        <v>840</v>
      </c>
      <c r="Q384" s="11">
        <v>5</v>
      </c>
      <c r="R384" s="9">
        <v>6</v>
      </c>
      <c r="S384" s="9">
        <v>252</v>
      </c>
      <c r="T384" s="9">
        <v>1950</v>
      </c>
      <c r="U384" s="55">
        <v>45643</v>
      </c>
      <c r="V384" s="9">
        <v>804</v>
      </c>
      <c r="W384" s="2"/>
      <c r="X384" s="2"/>
      <c r="Y384" s="2"/>
      <c r="Z384" s="9">
        <v>29</v>
      </c>
      <c r="AA384" s="9">
        <v>2.8</v>
      </c>
      <c r="AB384" s="2"/>
      <c r="AC384" s="2"/>
      <c r="AD384" s="2"/>
      <c r="AE384" s="2"/>
      <c r="AF384" s="2"/>
      <c r="AG384" s="2"/>
      <c r="AH384" s="9">
        <v>1.1200000000000001</v>
      </c>
      <c r="AI384" s="9">
        <v>0.11</v>
      </c>
      <c r="AJ384" s="2"/>
      <c r="AK384" s="2"/>
      <c r="AL384" s="9">
        <f>0.1 * Z384 * AH384 * 20</f>
        <v>64.960000000000008</v>
      </c>
      <c r="AM384" s="2"/>
      <c r="AN384" s="9">
        <f>AL384-AL$384</f>
        <v>0</v>
      </c>
      <c r="AO384" s="9">
        <f>(AN384/AL$384)*100</f>
        <v>0</v>
      </c>
      <c r="AP384" s="2"/>
      <c r="AQ384" s="34">
        <f>Z384-Z$384</f>
        <v>0</v>
      </c>
      <c r="AR384" s="34">
        <f>(AQ384/Z$384)*100</f>
        <v>0</v>
      </c>
      <c r="AS384" s="2"/>
      <c r="AT384" s="2"/>
      <c r="AU384" s="2"/>
      <c r="AV384" s="2" t="s">
        <v>586</v>
      </c>
      <c r="AW384" s="9">
        <v>43</v>
      </c>
      <c r="AX384" s="2" t="s">
        <v>497</v>
      </c>
      <c r="AY384" s="2"/>
      <c r="AZ384" s="2" t="s">
        <v>252</v>
      </c>
      <c r="BA384" s="2" t="s">
        <v>132</v>
      </c>
      <c r="BB384" s="2" t="s">
        <v>422</v>
      </c>
      <c r="BC384" s="6"/>
      <c r="BD384" s="2"/>
      <c r="BE384" s="2">
        <v>0</v>
      </c>
    </row>
    <row r="385" spans="1:57" ht="14" hidden="1" x14ac:dyDescent="0.15">
      <c r="A385" s="57" t="s">
        <v>570</v>
      </c>
      <c r="B385" s="21" t="s">
        <v>159</v>
      </c>
      <c r="C385" s="34">
        <v>2021</v>
      </c>
      <c r="D385" s="21" t="s">
        <v>584</v>
      </c>
      <c r="E385" s="21" t="s">
        <v>135</v>
      </c>
      <c r="F385" s="21"/>
      <c r="G385" s="8" t="s">
        <v>200</v>
      </c>
      <c r="H385" s="21"/>
      <c r="I385" s="2" t="s">
        <v>588</v>
      </c>
      <c r="J385" s="2" t="s">
        <v>115</v>
      </c>
      <c r="K385" s="9">
        <v>820</v>
      </c>
      <c r="L385" s="9">
        <v>16</v>
      </c>
      <c r="M385" s="2"/>
      <c r="N385" s="2"/>
      <c r="O385" s="2"/>
      <c r="P385" s="9">
        <v>840</v>
      </c>
      <c r="Q385" s="11">
        <v>5</v>
      </c>
      <c r="R385" s="9">
        <v>6</v>
      </c>
      <c r="S385" s="9">
        <v>252</v>
      </c>
      <c r="T385" s="9">
        <v>1950</v>
      </c>
      <c r="U385" s="55">
        <v>45643</v>
      </c>
      <c r="V385" s="9">
        <v>804</v>
      </c>
      <c r="W385" s="2"/>
      <c r="X385" s="2"/>
      <c r="Y385" s="2"/>
      <c r="Z385" s="9">
        <v>32.6</v>
      </c>
      <c r="AA385" s="9">
        <v>4.5</v>
      </c>
      <c r="AB385" s="2"/>
      <c r="AC385" s="2"/>
      <c r="AD385" s="2"/>
      <c r="AE385" s="2"/>
      <c r="AF385" s="2"/>
      <c r="AG385" s="2"/>
      <c r="AH385" s="9">
        <v>1.05</v>
      </c>
      <c r="AI385" s="9">
        <v>0.02</v>
      </c>
      <c r="AJ385" s="2"/>
      <c r="AK385" s="2"/>
      <c r="AL385" s="9">
        <f>0.1 * Z385 * AH385 * 20</f>
        <v>68.460000000000008</v>
      </c>
      <c r="AM385" s="2"/>
      <c r="AN385" s="9">
        <f>AL385-AL$384</f>
        <v>3.5</v>
      </c>
      <c r="AO385" s="9">
        <f>(AN385/AL$384)*100</f>
        <v>5.387931034482758</v>
      </c>
      <c r="AP385" s="2"/>
      <c r="AQ385" s="34">
        <f>Z385-Z$384</f>
        <v>3.6000000000000014</v>
      </c>
      <c r="AR385" s="34">
        <f>(AQ385/Z$384)*100</f>
        <v>12.413793103448281</v>
      </c>
      <c r="AS385" s="2"/>
      <c r="AT385" s="2"/>
      <c r="AU385" s="2"/>
      <c r="AV385" s="2" t="s">
        <v>586</v>
      </c>
      <c r="AW385" s="9">
        <v>47</v>
      </c>
      <c r="AX385" s="2" t="s">
        <v>497</v>
      </c>
      <c r="AY385" s="2"/>
      <c r="AZ385" s="2" t="s">
        <v>252</v>
      </c>
      <c r="BA385" s="2" t="s">
        <v>132</v>
      </c>
      <c r="BB385" s="2" t="s">
        <v>422</v>
      </c>
      <c r="BC385" s="6"/>
      <c r="BD385" s="2"/>
      <c r="BE385" s="2">
        <v>0</v>
      </c>
    </row>
    <row r="386" spans="1:57" ht="13" hidden="1" x14ac:dyDescent="0.15">
      <c r="A386" s="57" t="s">
        <v>570</v>
      </c>
      <c r="B386" s="21" t="s">
        <v>159</v>
      </c>
      <c r="C386" s="34">
        <v>2021</v>
      </c>
      <c r="D386" s="21" t="s">
        <v>584</v>
      </c>
      <c r="E386" s="21" t="s">
        <v>143</v>
      </c>
      <c r="F386" s="21" t="s">
        <v>135</v>
      </c>
      <c r="G386" s="21" t="s">
        <v>238</v>
      </c>
      <c r="H386" s="21" t="s">
        <v>200</v>
      </c>
      <c r="I386" s="2" t="s">
        <v>576</v>
      </c>
      <c r="J386" s="2" t="s">
        <v>115</v>
      </c>
      <c r="K386" s="9">
        <v>820</v>
      </c>
      <c r="L386" s="9">
        <v>16</v>
      </c>
      <c r="M386" s="2"/>
      <c r="N386" s="2"/>
      <c r="O386" s="2"/>
      <c r="P386" s="9">
        <v>840</v>
      </c>
      <c r="Q386" s="11">
        <v>5</v>
      </c>
      <c r="R386" s="9">
        <v>6</v>
      </c>
      <c r="S386" s="9">
        <v>252</v>
      </c>
      <c r="T386" s="9">
        <v>1950</v>
      </c>
      <c r="U386" s="55">
        <v>45643</v>
      </c>
      <c r="V386" s="9">
        <v>804</v>
      </c>
      <c r="W386" s="2"/>
      <c r="X386" s="2"/>
      <c r="Y386" s="2"/>
      <c r="Z386" s="9">
        <v>33.700000000000003</v>
      </c>
      <c r="AA386" s="9">
        <v>3.9</v>
      </c>
      <c r="AB386" s="2"/>
      <c r="AC386" s="2"/>
      <c r="AD386" s="2"/>
      <c r="AE386" s="2"/>
      <c r="AF386" s="2"/>
      <c r="AG386" s="2"/>
      <c r="AH386" s="9">
        <v>1.22</v>
      </c>
      <c r="AI386" s="9">
        <v>0.18</v>
      </c>
      <c r="AJ386" s="2"/>
      <c r="AK386" s="2"/>
      <c r="AL386" s="9">
        <f>0.1 * Z386 * AH386 * 20</f>
        <v>82.228000000000009</v>
      </c>
      <c r="AM386" s="2"/>
      <c r="AN386" s="9">
        <f>AL386-AL$384</f>
        <v>17.268000000000001</v>
      </c>
      <c r="AO386" s="9">
        <f>(AN386/AL$384)*100</f>
        <v>26.582512315270932</v>
      </c>
      <c r="AP386" s="2"/>
      <c r="AQ386" s="34">
        <f>Z386-Z$384</f>
        <v>4.7000000000000028</v>
      </c>
      <c r="AR386" s="34">
        <f>(AQ386/Z$384)*100</f>
        <v>16.206896551724149</v>
      </c>
      <c r="AS386" s="2"/>
      <c r="AT386" s="2"/>
      <c r="AU386" s="2"/>
      <c r="AV386" s="2" t="s">
        <v>586</v>
      </c>
      <c r="AW386" s="9">
        <v>37</v>
      </c>
      <c r="AX386" s="2" t="s">
        <v>497</v>
      </c>
      <c r="AY386" s="2"/>
      <c r="AZ386" s="2" t="s">
        <v>252</v>
      </c>
      <c r="BA386" s="2" t="s">
        <v>132</v>
      </c>
      <c r="BB386" s="2" t="s">
        <v>422</v>
      </c>
      <c r="BC386" s="6"/>
      <c r="BD386" s="2"/>
      <c r="BE386" s="2">
        <v>0</v>
      </c>
    </row>
    <row r="387" spans="1:57" ht="13" x14ac:dyDescent="0.15">
      <c r="A387" s="68" t="s">
        <v>570</v>
      </c>
      <c r="B387" s="50" t="s">
        <v>159</v>
      </c>
      <c r="C387" s="49">
        <v>2021</v>
      </c>
      <c r="D387" s="50" t="s">
        <v>589</v>
      </c>
      <c r="E387" s="50" t="s">
        <v>112</v>
      </c>
      <c r="F387" s="50" t="s">
        <v>135</v>
      </c>
      <c r="G387" s="50" t="s">
        <v>113</v>
      </c>
      <c r="H387" s="50"/>
      <c r="I387" s="50" t="s">
        <v>590</v>
      </c>
      <c r="J387" s="50" t="s">
        <v>115</v>
      </c>
      <c r="K387" s="49">
        <v>1075</v>
      </c>
      <c r="L387" s="49">
        <v>15</v>
      </c>
      <c r="M387" s="50"/>
      <c r="N387" s="50"/>
      <c r="O387" s="50"/>
      <c r="P387" s="49">
        <v>1890</v>
      </c>
      <c r="Q387" s="52">
        <v>5</v>
      </c>
      <c r="R387" s="49">
        <v>6</v>
      </c>
      <c r="S387" s="49">
        <v>625</v>
      </c>
      <c r="T387" s="49">
        <v>1980</v>
      </c>
      <c r="U387" s="69">
        <v>45309</v>
      </c>
      <c r="V387" s="49">
        <v>456</v>
      </c>
      <c r="W387" s="50"/>
      <c r="X387" s="50"/>
      <c r="Y387" s="50"/>
      <c r="Z387" s="49">
        <v>78</v>
      </c>
      <c r="AA387" s="49">
        <v>6.3</v>
      </c>
      <c r="AB387" s="50"/>
      <c r="AC387" s="50"/>
      <c r="AD387" s="50"/>
      <c r="AE387" s="50"/>
      <c r="AF387" s="50"/>
      <c r="AG387" s="50"/>
      <c r="AH387" s="49">
        <v>0.66</v>
      </c>
      <c r="AI387" s="49">
        <v>0.04</v>
      </c>
      <c r="AJ387" s="50"/>
      <c r="AK387" s="50"/>
      <c r="AL387" s="49">
        <f>0.1 * Z387 * AH387 * 20</f>
        <v>102.96000000000001</v>
      </c>
      <c r="AM387" s="50"/>
      <c r="AN387" s="50"/>
      <c r="AO387" s="50"/>
      <c r="AP387" s="50"/>
      <c r="AQ387" s="50"/>
      <c r="AR387" s="50"/>
      <c r="AS387" s="50"/>
      <c r="AT387" s="50"/>
      <c r="AU387" s="50"/>
      <c r="AV387" s="50" t="s">
        <v>591</v>
      </c>
      <c r="AW387" s="49">
        <v>40</v>
      </c>
      <c r="AX387" s="50" t="s">
        <v>497</v>
      </c>
      <c r="AY387" s="50"/>
      <c r="AZ387" s="50" t="s">
        <v>252</v>
      </c>
      <c r="BA387" s="50" t="s">
        <v>132</v>
      </c>
      <c r="BB387" s="50" t="s">
        <v>422</v>
      </c>
      <c r="BC387" s="54"/>
      <c r="BD387" s="50"/>
      <c r="BE387" s="2">
        <v>0</v>
      </c>
    </row>
    <row r="388" spans="1:57" ht="13" hidden="1" x14ac:dyDescent="0.15">
      <c r="A388" s="57" t="s">
        <v>570</v>
      </c>
      <c r="B388" s="21" t="s">
        <v>159</v>
      </c>
      <c r="C388" s="34">
        <v>2021</v>
      </c>
      <c r="D388" s="21" t="s">
        <v>589</v>
      </c>
      <c r="E388" s="21" t="s">
        <v>143</v>
      </c>
      <c r="F388" s="21"/>
      <c r="G388" s="21" t="s">
        <v>238</v>
      </c>
      <c r="H388" s="21"/>
      <c r="I388" s="2" t="s">
        <v>587</v>
      </c>
      <c r="J388" s="2" t="s">
        <v>115</v>
      </c>
      <c r="K388" s="9">
        <v>1075</v>
      </c>
      <c r="L388" s="9">
        <v>15</v>
      </c>
      <c r="M388" s="2"/>
      <c r="N388" s="2"/>
      <c r="O388" s="2"/>
      <c r="P388" s="9">
        <v>1890</v>
      </c>
      <c r="Q388" s="11">
        <v>5</v>
      </c>
      <c r="R388" s="9">
        <v>6</v>
      </c>
      <c r="S388" s="9">
        <v>625</v>
      </c>
      <c r="T388" s="9">
        <v>1980</v>
      </c>
      <c r="U388" s="55">
        <v>45309</v>
      </c>
      <c r="V388" s="9">
        <v>456</v>
      </c>
      <c r="W388" s="2"/>
      <c r="X388" s="2"/>
      <c r="Y388" s="2"/>
      <c r="Z388" s="9">
        <v>93.5</v>
      </c>
      <c r="AA388" s="9">
        <v>5.0999999999999996</v>
      </c>
      <c r="AB388" s="2"/>
      <c r="AC388" s="2"/>
      <c r="AD388" s="2"/>
      <c r="AE388" s="2"/>
      <c r="AF388" s="2"/>
      <c r="AG388" s="2"/>
      <c r="AH388" s="9">
        <v>0.56000000000000005</v>
      </c>
      <c r="AI388" s="9">
        <v>0.03</v>
      </c>
      <c r="AJ388" s="2"/>
      <c r="AK388" s="2"/>
      <c r="AL388" s="9">
        <f t="shared" ref="AL367:AL389" si="0">0.1 * Z388 * AH388 * 20</f>
        <v>104.72000000000001</v>
      </c>
      <c r="AM388" s="2"/>
      <c r="AN388" s="9">
        <f t="shared" ref="AN388:AN389" si="1">AL388-AL$388</f>
        <v>0</v>
      </c>
      <c r="AO388" s="9">
        <f t="shared" ref="AO388:AO389" si="2">(AN388/AL$388)*100</f>
        <v>0</v>
      </c>
      <c r="AP388" s="2"/>
      <c r="AQ388" s="34">
        <f t="shared" ref="AQ388:AQ389" si="3">Z388-Z$388</f>
        <v>0</v>
      </c>
      <c r="AR388" s="34">
        <f t="shared" ref="AR388:AR389" si="4">(AQ388/Z$388)*100</f>
        <v>0</v>
      </c>
      <c r="AS388" s="2"/>
      <c r="AT388" s="2"/>
      <c r="AU388" s="2"/>
      <c r="AV388" s="2" t="s">
        <v>591</v>
      </c>
      <c r="AW388" s="9">
        <v>40</v>
      </c>
      <c r="AX388" s="2" t="s">
        <v>497</v>
      </c>
      <c r="AY388" s="2"/>
      <c r="AZ388" s="2" t="s">
        <v>252</v>
      </c>
      <c r="BA388" s="2" t="s">
        <v>132</v>
      </c>
      <c r="BB388" s="2" t="s">
        <v>422</v>
      </c>
      <c r="BC388" s="6"/>
      <c r="BD388" s="2"/>
      <c r="BE388" s="2">
        <v>0</v>
      </c>
    </row>
    <row r="389" spans="1:57" ht="13" hidden="1" x14ac:dyDescent="0.15">
      <c r="A389" s="57" t="s">
        <v>570</v>
      </c>
      <c r="B389" s="21" t="s">
        <v>159</v>
      </c>
      <c r="C389" s="34">
        <v>2021</v>
      </c>
      <c r="D389" s="21" t="s">
        <v>589</v>
      </c>
      <c r="E389" s="21" t="s">
        <v>143</v>
      </c>
      <c r="F389" s="21" t="s">
        <v>135</v>
      </c>
      <c r="G389" s="21" t="s">
        <v>238</v>
      </c>
      <c r="H389" s="21" t="s">
        <v>200</v>
      </c>
      <c r="I389" s="2" t="s">
        <v>592</v>
      </c>
      <c r="J389" s="2" t="s">
        <v>115</v>
      </c>
      <c r="K389" s="9">
        <v>1075</v>
      </c>
      <c r="L389" s="9">
        <v>15</v>
      </c>
      <c r="M389" s="2"/>
      <c r="N389" s="2"/>
      <c r="O389" s="2"/>
      <c r="P389" s="9">
        <v>1890</v>
      </c>
      <c r="Q389" s="11">
        <v>5</v>
      </c>
      <c r="R389" s="9">
        <v>6</v>
      </c>
      <c r="S389" s="9">
        <v>625</v>
      </c>
      <c r="T389" s="9">
        <v>1980</v>
      </c>
      <c r="U389" s="55">
        <v>45309</v>
      </c>
      <c r="V389" s="9">
        <v>456</v>
      </c>
      <c r="W389" s="2"/>
      <c r="X389" s="2"/>
      <c r="Y389" s="2"/>
      <c r="Z389" s="9">
        <v>81.3</v>
      </c>
      <c r="AA389" s="9">
        <v>9.9</v>
      </c>
      <c r="AB389" s="2"/>
      <c r="AC389" s="2"/>
      <c r="AD389" s="2"/>
      <c r="AE389" s="2"/>
      <c r="AF389" s="2"/>
      <c r="AG389" s="2"/>
      <c r="AH389" s="9">
        <v>0.63</v>
      </c>
      <c r="AI389" s="9">
        <v>0.05</v>
      </c>
      <c r="AJ389" s="2"/>
      <c r="AK389" s="2"/>
      <c r="AL389" s="9">
        <f t="shared" si="0"/>
        <v>102.438</v>
      </c>
      <c r="AM389" s="2"/>
      <c r="AN389" s="9">
        <f t="shared" si="1"/>
        <v>-2.2820000000000107</v>
      </c>
      <c r="AO389" s="9">
        <f t="shared" si="2"/>
        <v>-2.1791443850267478</v>
      </c>
      <c r="AP389" s="2"/>
      <c r="AQ389" s="34">
        <f t="shared" si="3"/>
        <v>-12.200000000000003</v>
      </c>
      <c r="AR389" s="34">
        <f t="shared" si="4"/>
        <v>-13.048128342245993</v>
      </c>
      <c r="AS389" s="2"/>
      <c r="AT389" s="2"/>
      <c r="AU389" s="2"/>
      <c r="AV389" s="2" t="s">
        <v>591</v>
      </c>
      <c r="AW389" s="9">
        <v>43</v>
      </c>
      <c r="AX389" s="2" t="s">
        <v>497</v>
      </c>
      <c r="AY389" s="2"/>
      <c r="AZ389" s="2" t="s">
        <v>252</v>
      </c>
      <c r="BA389" s="2" t="s">
        <v>132</v>
      </c>
      <c r="BB389" s="2" t="s">
        <v>422</v>
      </c>
      <c r="BC389" s="6"/>
      <c r="BD389" s="2"/>
      <c r="BE389" s="2">
        <v>0</v>
      </c>
    </row>
    <row r="390" spans="1:57" ht="13" hidden="1" x14ac:dyDescent="0.15">
      <c r="A390" s="39" t="s">
        <v>593</v>
      </c>
      <c r="B390" s="2" t="s">
        <v>110</v>
      </c>
      <c r="C390" s="2">
        <v>2018</v>
      </c>
      <c r="D390" s="2" t="s">
        <v>594</v>
      </c>
      <c r="E390" s="2" t="s">
        <v>143</v>
      </c>
      <c r="F390" s="2"/>
      <c r="G390" s="21" t="s">
        <v>238</v>
      </c>
      <c r="H390" s="2"/>
      <c r="I390" s="2" t="s">
        <v>595</v>
      </c>
      <c r="J390" s="2" t="s">
        <v>130</v>
      </c>
      <c r="K390" s="2">
        <v>633</v>
      </c>
      <c r="L390" s="2"/>
      <c r="M390" s="2"/>
      <c r="N390" s="2"/>
      <c r="O390" s="2"/>
      <c r="P390" s="2"/>
      <c r="Q390" s="17">
        <v>3</v>
      </c>
      <c r="R390" s="2">
        <v>10</v>
      </c>
      <c r="S390" s="2">
        <v>100</v>
      </c>
      <c r="T390" s="2">
        <v>1999</v>
      </c>
      <c r="U390" s="2">
        <v>2017</v>
      </c>
      <c r="V390" s="2">
        <v>216</v>
      </c>
      <c r="W390" s="2"/>
      <c r="X390" s="2"/>
      <c r="Y390" s="2"/>
      <c r="Z390" s="2"/>
      <c r="AA390" s="2"/>
      <c r="AB390" s="2"/>
      <c r="AC390" s="2"/>
      <c r="AD390" s="2"/>
      <c r="AE390" s="2"/>
      <c r="AF390" s="2"/>
      <c r="AG390" s="2"/>
      <c r="AH390" s="2"/>
      <c r="AI390" s="2"/>
      <c r="AJ390" s="2"/>
      <c r="AK390" s="2"/>
      <c r="AL390" s="2">
        <v>58.9</v>
      </c>
      <c r="AM390" s="2">
        <v>2.5299999999999998</v>
      </c>
      <c r="AN390" s="2">
        <v>20.5</v>
      </c>
      <c r="AO390" s="2">
        <v>53.39</v>
      </c>
      <c r="AP390" s="2"/>
      <c r="AQ390" s="2"/>
      <c r="AR390" s="2"/>
      <c r="AS390" s="2"/>
      <c r="AT390" s="2"/>
      <c r="AU390" s="2"/>
      <c r="AV390" s="2" t="s">
        <v>478</v>
      </c>
      <c r="AW390" s="2">
        <v>74.3</v>
      </c>
      <c r="AX390" s="2" t="s">
        <v>497</v>
      </c>
      <c r="AY390" s="2"/>
      <c r="AZ390" s="2" t="s">
        <v>252</v>
      </c>
      <c r="BA390" s="2" t="s">
        <v>132</v>
      </c>
      <c r="BB390" s="2" t="s">
        <v>422</v>
      </c>
      <c r="BC390" s="6"/>
      <c r="BD390" s="2"/>
      <c r="BE390" s="2">
        <v>0</v>
      </c>
    </row>
    <row r="391" spans="1:57" ht="13" hidden="1" x14ac:dyDescent="0.15">
      <c r="A391" s="39" t="s">
        <v>593</v>
      </c>
      <c r="B391" s="2" t="s">
        <v>110</v>
      </c>
      <c r="C391" s="2">
        <v>2019</v>
      </c>
      <c r="D391" s="2" t="s">
        <v>594</v>
      </c>
      <c r="E391" s="2" t="s">
        <v>143</v>
      </c>
      <c r="F391" s="2"/>
      <c r="G391" s="21" t="s">
        <v>113</v>
      </c>
      <c r="H391" s="2"/>
      <c r="I391" s="2" t="s">
        <v>596</v>
      </c>
      <c r="J391" s="2" t="s">
        <v>130</v>
      </c>
      <c r="K391" s="2">
        <v>633</v>
      </c>
      <c r="L391" s="2"/>
      <c r="M391" s="2"/>
      <c r="N391" s="2"/>
      <c r="O391" s="2"/>
      <c r="P391" s="2"/>
      <c r="Q391" s="17">
        <v>3</v>
      </c>
      <c r="R391" s="2">
        <v>10</v>
      </c>
      <c r="S391" s="2">
        <v>100</v>
      </c>
      <c r="T391" s="2">
        <v>1999</v>
      </c>
      <c r="U391" s="2">
        <v>2017</v>
      </c>
      <c r="V391" s="2">
        <v>216</v>
      </c>
      <c r="W391" s="2"/>
      <c r="X391" s="2"/>
      <c r="Y391" s="2"/>
      <c r="Z391" s="2"/>
      <c r="AA391" s="2"/>
      <c r="AB391" s="2"/>
      <c r="AC391" s="2"/>
      <c r="AD391" s="2"/>
      <c r="AE391" s="2"/>
      <c r="AF391" s="2"/>
      <c r="AG391" s="2"/>
      <c r="AH391" s="2"/>
      <c r="AI391" s="2"/>
      <c r="AJ391" s="2"/>
      <c r="AK391" s="2"/>
      <c r="AL391" s="2">
        <v>38.4</v>
      </c>
      <c r="AM391" s="2">
        <v>1.6</v>
      </c>
      <c r="AN391" s="2"/>
      <c r="AO391" s="2"/>
      <c r="AP391" s="2"/>
      <c r="AQ391" s="2"/>
      <c r="AR391" s="2"/>
      <c r="AS391" s="2"/>
      <c r="AT391" s="2"/>
      <c r="AU391" s="2"/>
      <c r="AV391" s="2" t="s">
        <v>478</v>
      </c>
      <c r="AW391" s="2">
        <v>74.3</v>
      </c>
      <c r="AX391" s="2" t="s">
        <v>497</v>
      </c>
      <c r="AY391" s="2"/>
      <c r="AZ391" s="2" t="s">
        <v>252</v>
      </c>
      <c r="BA391" s="2" t="s">
        <v>132</v>
      </c>
      <c r="BB391" s="2" t="s">
        <v>422</v>
      </c>
      <c r="BC391" s="6"/>
      <c r="BD391" s="71"/>
      <c r="BE391" s="2">
        <v>0</v>
      </c>
    </row>
    <row r="392" spans="1:57" ht="13" hidden="1" x14ac:dyDescent="0.15">
      <c r="A392" s="39" t="s">
        <v>593</v>
      </c>
      <c r="B392" s="2" t="s">
        <v>110</v>
      </c>
      <c r="C392" s="2">
        <v>2020</v>
      </c>
      <c r="D392" s="2" t="s">
        <v>594</v>
      </c>
      <c r="E392" s="2" t="s">
        <v>143</v>
      </c>
      <c r="F392" s="2"/>
      <c r="G392" s="21" t="s">
        <v>238</v>
      </c>
      <c r="H392" s="2"/>
      <c r="I392" s="2" t="s">
        <v>595</v>
      </c>
      <c r="J392" s="2" t="s">
        <v>358</v>
      </c>
      <c r="K392" s="2">
        <v>633</v>
      </c>
      <c r="L392" s="2"/>
      <c r="M392" s="2"/>
      <c r="N392" s="2"/>
      <c r="O392" s="2"/>
      <c r="P392" s="2"/>
      <c r="Q392" s="17">
        <v>3</v>
      </c>
      <c r="R392" s="2">
        <v>10</v>
      </c>
      <c r="S392" s="2">
        <v>100</v>
      </c>
      <c r="T392" s="2">
        <v>1999</v>
      </c>
      <c r="U392" s="2">
        <v>2017</v>
      </c>
      <c r="V392" s="2">
        <v>216</v>
      </c>
      <c r="W392" s="2"/>
      <c r="X392" s="2">
        <v>11.4</v>
      </c>
      <c r="Y392" s="2">
        <v>0.7</v>
      </c>
      <c r="Z392" s="2">
        <v>15.1</v>
      </c>
      <c r="AA392" s="2">
        <v>0.9</v>
      </c>
      <c r="AB392" s="2"/>
      <c r="AC392" s="2"/>
      <c r="AD392" s="2"/>
      <c r="AE392" s="2"/>
      <c r="AF392" s="2"/>
      <c r="AG392" s="2"/>
      <c r="AH392" s="2"/>
      <c r="AI392" s="2"/>
      <c r="AJ392" s="2"/>
      <c r="AK392" s="2"/>
      <c r="AL392" s="2"/>
      <c r="AM392" s="2"/>
      <c r="AN392" s="2"/>
      <c r="AO392" s="2"/>
      <c r="AP392" s="2"/>
      <c r="AQ392" s="2">
        <v>3.7</v>
      </c>
      <c r="AR392" s="2">
        <v>32.46</v>
      </c>
      <c r="AS392" s="2"/>
      <c r="AT392" s="2"/>
      <c r="AU392" s="2"/>
      <c r="AV392" s="2" t="s">
        <v>478</v>
      </c>
      <c r="AW392" s="2">
        <v>74.3</v>
      </c>
      <c r="AX392" s="2" t="s">
        <v>497</v>
      </c>
      <c r="AY392" s="2"/>
      <c r="AZ392" s="2" t="s">
        <v>252</v>
      </c>
      <c r="BA392" s="2" t="s">
        <v>132</v>
      </c>
      <c r="BB392" s="2" t="s">
        <v>422</v>
      </c>
      <c r="BC392" s="6"/>
      <c r="BD392" s="71"/>
      <c r="BE392" s="2">
        <v>0</v>
      </c>
    </row>
    <row r="393" spans="1:57" ht="13" hidden="1" x14ac:dyDescent="0.15">
      <c r="A393" s="39" t="s">
        <v>593</v>
      </c>
      <c r="B393" s="2" t="s">
        <v>110</v>
      </c>
      <c r="C393" s="2">
        <v>2020</v>
      </c>
      <c r="D393" s="2" t="s">
        <v>594</v>
      </c>
      <c r="E393" s="2" t="s">
        <v>143</v>
      </c>
      <c r="F393" s="2"/>
      <c r="G393" s="21" t="s">
        <v>113</v>
      </c>
      <c r="H393" s="2"/>
      <c r="I393" s="2" t="s">
        <v>596</v>
      </c>
      <c r="J393" s="2" t="s">
        <v>358</v>
      </c>
      <c r="K393" s="2">
        <v>633</v>
      </c>
      <c r="L393" s="2"/>
      <c r="M393" s="2"/>
      <c r="N393" s="2"/>
      <c r="O393" s="2"/>
      <c r="P393" s="2"/>
      <c r="Q393" s="17">
        <v>3</v>
      </c>
      <c r="R393" s="2">
        <v>10</v>
      </c>
      <c r="S393" s="2">
        <v>100</v>
      </c>
      <c r="T393" s="2">
        <v>1999</v>
      </c>
      <c r="U393" s="2">
        <v>2017</v>
      </c>
      <c r="V393" s="2">
        <v>216</v>
      </c>
      <c r="W393" s="2"/>
      <c r="X393" s="2">
        <v>9.3000000000000007</v>
      </c>
      <c r="Y393" s="2">
        <v>0.4</v>
      </c>
      <c r="Z393" s="2">
        <v>9.3000000000000007</v>
      </c>
      <c r="AA393" s="2">
        <v>0.5</v>
      </c>
      <c r="AB393" s="2"/>
      <c r="AC393" s="2"/>
      <c r="AD393" s="2"/>
      <c r="AE393" s="2"/>
      <c r="AF393" s="2"/>
      <c r="AG393" s="2"/>
      <c r="AH393" s="2"/>
      <c r="AI393" s="2"/>
      <c r="AJ393" s="2"/>
      <c r="AK393" s="2"/>
      <c r="AL393" s="2"/>
      <c r="AM393" s="2"/>
      <c r="AN393" s="2"/>
      <c r="AO393" s="2"/>
      <c r="AP393" s="2"/>
      <c r="AQ393" s="2"/>
      <c r="AR393" s="2"/>
      <c r="AS393" s="2"/>
      <c r="AT393" s="2"/>
      <c r="AU393" s="2"/>
      <c r="AV393" s="2" t="s">
        <v>478</v>
      </c>
      <c r="AW393" s="2">
        <v>74.3</v>
      </c>
      <c r="AX393" s="2" t="s">
        <v>497</v>
      </c>
      <c r="AY393" s="2"/>
      <c r="AZ393" s="2" t="s">
        <v>252</v>
      </c>
      <c r="BA393" s="2" t="s">
        <v>132</v>
      </c>
      <c r="BB393" s="2" t="s">
        <v>422</v>
      </c>
      <c r="BC393" s="6"/>
      <c r="BD393" s="71"/>
      <c r="BE393" s="2">
        <v>0</v>
      </c>
    </row>
    <row r="394" spans="1:57" ht="13" hidden="1" x14ac:dyDescent="0.15">
      <c r="A394" s="39" t="s">
        <v>593</v>
      </c>
      <c r="B394" s="2" t="s">
        <v>110</v>
      </c>
      <c r="C394" s="2">
        <v>2020</v>
      </c>
      <c r="D394" s="2" t="s">
        <v>594</v>
      </c>
      <c r="E394" s="2" t="s">
        <v>143</v>
      </c>
      <c r="F394" s="2"/>
      <c r="G394" s="21" t="s">
        <v>238</v>
      </c>
      <c r="H394" s="2"/>
      <c r="I394" s="2" t="s">
        <v>595</v>
      </c>
      <c r="J394" s="2" t="s">
        <v>179</v>
      </c>
      <c r="K394" s="2">
        <v>633</v>
      </c>
      <c r="L394" s="2"/>
      <c r="M394" s="2"/>
      <c r="N394" s="2"/>
      <c r="O394" s="2"/>
      <c r="P394" s="2"/>
      <c r="Q394" s="17">
        <v>3</v>
      </c>
      <c r="R394" s="2">
        <v>10</v>
      </c>
      <c r="S394" s="2">
        <v>100</v>
      </c>
      <c r="T394" s="2">
        <v>1999</v>
      </c>
      <c r="U394" s="2">
        <v>2017</v>
      </c>
      <c r="V394" s="2">
        <v>216</v>
      </c>
      <c r="W394" s="2"/>
      <c r="X394" s="2"/>
      <c r="Y394" s="2"/>
      <c r="Z394" s="2">
        <v>15.2</v>
      </c>
      <c r="AA394" s="2">
        <v>1</v>
      </c>
      <c r="AB394" s="2"/>
      <c r="AC394" s="2"/>
      <c r="AD394" s="2"/>
      <c r="AE394" s="2"/>
      <c r="AF394" s="2"/>
      <c r="AG394" s="2"/>
      <c r="AH394" s="2"/>
      <c r="AI394" s="2"/>
      <c r="AJ394" s="2"/>
      <c r="AK394" s="2"/>
      <c r="AL394" s="2"/>
      <c r="AM394" s="2"/>
      <c r="AN394" s="2"/>
      <c r="AO394" s="2"/>
      <c r="AP394" s="2"/>
      <c r="AQ394" s="2">
        <v>5.0999999999999996</v>
      </c>
      <c r="AR394" s="2">
        <v>50.5</v>
      </c>
      <c r="AS394" s="2"/>
      <c r="AT394" s="2"/>
      <c r="AU394" s="2"/>
      <c r="AV394" s="2" t="s">
        <v>478</v>
      </c>
      <c r="AW394" s="2">
        <v>74.3</v>
      </c>
      <c r="AX394" s="2" t="s">
        <v>497</v>
      </c>
      <c r="AY394" s="2"/>
      <c r="AZ394" s="2" t="s">
        <v>252</v>
      </c>
      <c r="BA394" s="2" t="s">
        <v>132</v>
      </c>
      <c r="BB394" s="2" t="s">
        <v>422</v>
      </c>
      <c r="BC394" s="6"/>
      <c r="BD394" s="71"/>
      <c r="BE394" s="2">
        <v>0</v>
      </c>
    </row>
    <row r="395" spans="1:57" ht="13" hidden="1" x14ac:dyDescent="0.15">
      <c r="A395" s="39" t="s">
        <v>593</v>
      </c>
      <c r="B395" s="2" t="s">
        <v>110</v>
      </c>
      <c r="C395" s="2">
        <v>2020</v>
      </c>
      <c r="D395" s="2" t="s">
        <v>594</v>
      </c>
      <c r="E395" s="2" t="s">
        <v>143</v>
      </c>
      <c r="F395" s="2"/>
      <c r="G395" s="21" t="s">
        <v>238</v>
      </c>
      <c r="H395" s="2"/>
      <c r="I395" s="2" t="s">
        <v>595</v>
      </c>
      <c r="J395" s="20">
        <v>45580</v>
      </c>
      <c r="K395" s="2">
        <v>633</v>
      </c>
      <c r="L395" s="2"/>
      <c r="M395" s="2"/>
      <c r="N395" s="2"/>
      <c r="O395" s="2"/>
      <c r="P395" s="2"/>
      <c r="Q395" s="17">
        <v>3</v>
      </c>
      <c r="R395" s="2">
        <v>10</v>
      </c>
      <c r="S395" s="2">
        <v>100</v>
      </c>
      <c r="T395" s="2">
        <v>1999</v>
      </c>
      <c r="U395" s="2">
        <v>2017</v>
      </c>
      <c r="V395" s="2">
        <v>216</v>
      </c>
      <c r="W395" s="2"/>
      <c r="X395" s="2"/>
      <c r="Y395" s="2"/>
      <c r="Z395" s="2">
        <v>12.9</v>
      </c>
      <c r="AA395" s="2">
        <v>0.7</v>
      </c>
      <c r="AB395" s="2"/>
      <c r="AC395" s="2"/>
      <c r="AD395" s="2"/>
      <c r="AE395" s="2"/>
      <c r="AF395" s="2"/>
      <c r="AG395" s="2"/>
      <c r="AH395" s="2"/>
      <c r="AI395" s="2"/>
      <c r="AJ395" s="2"/>
      <c r="AK395" s="2"/>
      <c r="AL395" s="2"/>
      <c r="AM395" s="2"/>
      <c r="AN395" s="2"/>
      <c r="AO395" s="2"/>
      <c r="AP395" s="2"/>
      <c r="AQ395" s="2">
        <v>3.6</v>
      </c>
      <c r="AR395" s="2">
        <v>38.71</v>
      </c>
      <c r="AS395" s="2"/>
      <c r="AT395" s="2"/>
      <c r="AU395" s="2"/>
      <c r="AV395" s="2" t="s">
        <v>478</v>
      </c>
      <c r="AW395" s="2">
        <v>74.3</v>
      </c>
      <c r="AX395" s="2" t="s">
        <v>497</v>
      </c>
      <c r="AY395" s="2"/>
      <c r="AZ395" s="2" t="s">
        <v>252</v>
      </c>
      <c r="BA395" s="2" t="s">
        <v>132</v>
      </c>
      <c r="BB395" s="2" t="s">
        <v>422</v>
      </c>
      <c r="BC395" s="6"/>
      <c r="BD395" s="71"/>
      <c r="BE395" s="2">
        <v>0</v>
      </c>
    </row>
    <row r="396" spans="1:57" ht="13" hidden="1" x14ac:dyDescent="0.15">
      <c r="A396" s="39" t="s">
        <v>593</v>
      </c>
      <c r="B396" s="2" t="s">
        <v>110</v>
      </c>
      <c r="C396" s="2">
        <v>2020</v>
      </c>
      <c r="D396" s="2" t="s">
        <v>594</v>
      </c>
      <c r="E396" s="2" t="s">
        <v>143</v>
      </c>
      <c r="F396" s="2"/>
      <c r="G396" s="21" t="s">
        <v>238</v>
      </c>
      <c r="H396" s="2"/>
      <c r="I396" s="2" t="s">
        <v>595</v>
      </c>
      <c r="J396" s="2" t="s">
        <v>597</v>
      </c>
      <c r="K396" s="2">
        <v>633</v>
      </c>
      <c r="L396" s="2"/>
      <c r="M396" s="2"/>
      <c r="N396" s="2"/>
      <c r="O396" s="2"/>
      <c r="P396" s="2"/>
      <c r="Q396" s="17">
        <v>3</v>
      </c>
      <c r="R396" s="2">
        <v>10</v>
      </c>
      <c r="S396" s="2">
        <v>100</v>
      </c>
      <c r="T396" s="2">
        <v>1999</v>
      </c>
      <c r="U396" s="2">
        <v>2017</v>
      </c>
      <c r="V396" s="2">
        <v>216</v>
      </c>
      <c r="W396" s="2"/>
      <c r="X396" s="2"/>
      <c r="Y396" s="2"/>
      <c r="Z396" s="2">
        <v>11.5</v>
      </c>
      <c r="AA396" s="2">
        <v>0.6</v>
      </c>
      <c r="AB396" s="2"/>
      <c r="AC396" s="2"/>
      <c r="AD396" s="2"/>
      <c r="AE396" s="2"/>
      <c r="AF396" s="2"/>
      <c r="AG396" s="2"/>
      <c r="AH396" s="2"/>
      <c r="AI396" s="2"/>
      <c r="AJ396" s="2"/>
      <c r="AK396" s="2"/>
      <c r="AL396" s="2"/>
      <c r="AM396" s="2"/>
      <c r="AN396" s="2"/>
      <c r="AO396" s="2"/>
      <c r="AP396" s="2"/>
      <c r="AQ396" s="2">
        <v>2.8</v>
      </c>
      <c r="AR396" s="2">
        <v>32.18</v>
      </c>
      <c r="AS396" s="2"/>
      <c r="AT396" s="2"/>
      <c r="AU396" s="2"/>
      <c r="AV396" s="2" t="s">
        <v>478</v>
      </c>
      <c r="AW396" s="2">
        <v>74.3</v>
      </c>
      <c r="AX396" s="2" t="s">
        <v>497</v>
      </c>
      <c r="AY396" s="2"/>
      <c r="AZ396" s="2" t="s">
        <v>252</v>
      </c>
      <c r="BA396" s="2" t="s">
        <v>132</v>
      </c>
      <c r="BB396" s="2" t="s">
        <v>422</v>
      </c>
      <c r="BC396" s="6"/>
      <c r="BD396" s="71"/>
      <c r="BE396" s="2">
        <v>0</v>
      </c>
    </row>
    <row r="397" spans="1:57" ht="13" hidden="1" x14ac:dyDescent="0.15">
      <c r="A397" s="39" t="s">
        <v>593</v>
      </c>
      <c r="B397" s="2" t="s">
        <v>110</v>
      </c>
      <c r="C397" s="2">
        <v>2020</v>
      </c>
      <c r="D397" s="2" t="s">
        <v>594</v>
      </c>
      <c r="E397" s="2" t="s">
        <v>143</v>
      </c>
      <c r="F397" s="2"/>
      <c r="G397" s="21" t="s">
        <v>113</v>
      </c>
      <c r="H397" s="2"/>
      <c r="I397" s="2" t="s">
        <v>596</v>
      </c>
      <c r="J397" s="2" t="s">
        <v>179</v>
      </c>
      <c r="K397" s="2">
        <v>633</v>
      </c>
      <c r="L397" s="2"/>
      <c r="M397" s="2"/>
      <c r="N397" s="2"/>
      <c r="O397" s="2"/>
      <c r="P397" s="2"/>
      <c r="Q397" s="17">
        <v>3</v>
      </c>
      <c r="R397" s="2">
        <v>10</v>
      </c>
      <c r="S397" s="2">
        <v>100</v>
      </c>
      <c r="T397" s="2">
        <v>1999</v>
      </c>
      <c r="U397" s="2">
        <v>2017</v>
      </c>
      <c r="V397" s="2">
        <v>216</v>
      </c>
      <c r="W397" s="2"/>
      <c r="X397" s="2"/>
      <c r="Y397" s="2"/>
      <c r="Z397" s="2">
        <v>10.1</v>
      </c>
      <c r="AA397" s="2">
        <v>0.7</v>
      </c>
      <c r="AB397" s="2"/>
      <c r="AC397" s="2"/>
      <c r="AD397" s="2"/>
      <c r="AE397" s="2"/>
      <c r="AF397" s="2"/>
      <c r="AG397" s="2"/>
      <c r="AH397" s="2"/>
      <c r="AI397" s="2"/>
      <c r="AJ397" s="2"/>
      <c r="AK397" s="2"/>
      <c r="AL397" s="2"/>
      <c r="AM397" s="2"/>
      <c r="AN397" s="2"/>
      <c r="AO397" s="2"/>
      <c r="AP397" s="2"/>
      <c r="AQ397" s="2"/>
      <c r="AR397" s="2"/>
      <c r="AS397" s="2"/>
      <c r="AT397" s="2"/>
      <c r="AU397" s="2"/>
      <c r="AV397" s="2" t="s">
        <v>478</v>
      </c>
      <c r="AW397" s="2">
        <v>74.3</v>
      </c>
      <c r="AX397" s="2" t="s">
        <v>497</v>
      </c>
      <c r="AY397" s="2"/>
      <c r="AZ397" s="2" t="s">
        <v>252</v>
      </c>
      <c r="BA397" s="2" t="s">
        <v>132</v>
      </c>
      <c r="BB397" s="2" t="s">
        <v>422</v>
      </c>
      <c r="BC397" s="6"/>
      <c r="BD397" s="71"/>
      <c r="BE397" s="2">
        <v>0</v>
      </c>
    </row>
    <row r="398" spans="1:57" ht="13" hidden="1" x14ac:dyDescent="0.15">
      <c r="A398" s="39" t="s">
        <v>593</v>
      </c>
      <c r="B398" s="2" t="s">
        <v>110</v>
      </c>
      <c r="C398" s="2">
        <v>2020</v>
      </c>
      <c r="D398" s="2" t="s">
        <v>594</v>
      </c>
      <c r="E398" s="2" t="s">
        <v>143</v>
      </c>
      <c r="F398" s="2"/>
      <c r="G398" s="21" t="s">
        <v>113</v>
      </c>
      <c r="H398" s="2"/>
      <c r="I398" s="2" t="s">
        <v>596</v>
      </c>
      <c r="J398" s="20">
        <v>45580</v>
      </c>
      <c r="K398" s="2">
        <v>633</v>
      </c>
      <c r="L398" s="2"/>
      <c r="M398" s="2"/>
      <c r="N398" s="2"/>
      <c r="O398" s="2"/>
      <c r="P398" s="2"/>
      <c r="Q398" s="17">
        <v>3</v>
      </c>
      <c r="R398" s="2">
        <v>10</v>
      </c>
      <c r="S398" s="2">
        <v>100</v>
      </c>
      <c r="T398" s="2">
        <v>1999</v>
      </c>
      <c r="U398" s="2">
        <v>2017</v>
      </c>
      <c r="V398" s="2">
        <v>216</v>
      </c>
      <c r="W398" s="2"/>
      <c r="X398" s="2"/>
      <c r="Y398" s="2"/>
      <c r="Z398" s="2">
        <v>9.3000000000000007</v>
      </c>
      <c r="AA398" s="2">
        <v>0.4</v>
      </c>
      <c r="AB398" s="2"/>
      <c r="AC398" s="2"/>
      <c r="AD398" s="2"/>
      <c r="AE398" s="2"/>
      <c r="AF398" s="2"/>
      <c r="AG398" s="2"/>
      <c r="AH398" s="2"/>
      <c r="AI398" s="2"/>
      <c r="AJ398" s="2"/>
      <c r="AK398" s="2"/>
      <c r="AL398" s="2"/>
      <c r="AM398" s="2"/>
      <c r="AN398" s="2"/>
      <c r="AO398" s="2"/>
      <c r="AP398" s="2"/>
      <c r="AQ398" s="2"/>
      <c r="AR398" s="2"/>
      <c r="AS398" s="2"/>
      <c r="AT398" s="2"/>
      <c r="AU398" s="2"/>
      <c r="AV398" s="2" t="s">
        <v>478</v>
      </c>
      <c r="AW398" s="2">
        <v>74.3</v>
      </c>
      <c r="AX398" s="2" t="s">
        <v>497</v>
      </c>
      <c r="AY398" s="2"/>
      <c r="AZ398" s="2" t="s">
        <v>252</v>
      </c>
      <c r="BA398" s="2" t="s">
        <v>132</v>
      </c>
      <c r="BB398" s="2" t="s">
        <v>422</v>
      </c>
      <c r="BC398" s="6"/>
      <c r="BD398" s="71"/>
      <c r="BE398" s="2">
        <v>0</v>
      </c>
    </row>
    <row r="399" spans="1:57" ht="13" hidden="1" x14ac:dyDescent="0.15">
      <c r="A399" s="39" t="s">
        <v>593</v>
      </c>
      <c r="B399" s="2" t="s">
        <v>110</v>
      </c>
      <c r="C399" s="2">
        <v>2020</v>
      </c>
      <c r="D399" s="2" t="s">
        <v>594</v>
      </c>
      <c r="E399" s="2" t="s">
        <v>143</v>
      </c>
      <c r="F399" s="2"/>
      <c r="G399" s="21" t="s">
        <v>113</v>
      </c>
      <c r="H399" s="2"/>
      <c r="I399" s="2" t="s">
        <v>596</v>
      </c>
      <c r="J399" s="2" t="s">
        <v>597</v>
      </c>
      <c r="K399" s="2">
        <v>633</v>
      </c>
      <c r="L399" s="2"/>
      <c r="M399" s="2"/>
      <c r="N399" s="2"/>
      <c r="O399" s="2"/>
      <c r="P399" s="2"/>
      <c r="Q399" s="17">
        <v>3</v>
      </c>
      <c r="R399" s="2">
        <v>10</v>
      </c>
      <c r="S399" s="2">
        <v>100</v>
      </c>
      <c r="T399" s="2">
        <v>1999</v>
      </c>
      <c r="U399" s="2">
        <v>2017</v>
      </c>
      <c r="V399" s="2">
        <v>216</v>
      </c>
      <c r="W399" s="2"/>
      <c r="X399" s="2"/>
      <c r="Y399" s="2"/>
      <c r="Z399" s="2">
        <v>8.6999999999999993</v>
      </c>
      <c r="AA399" s="2">
        <v>0.5</v>
      </c>
      <c r="AB399" s="2"/>
      <c r="AC399" s="2"/>
      <c r="AD399" s="2"/>
      <c r="AE399" s="2"/>
      <c r="AF399" s="2"/>
      <c r="AG399" s="2"/>
      <c r="AH399" s="2"/>
      <c r="AI399" s="2"/>
      <c r="AJ399" s="2"/>
      <c r="AK399" s="2"/>
      <c r="AL399" s="2"/>
      <c r="AM399" s="2"/>
      <c r="AN399" s="2"/>
      <c r="AO399" s="2"/>
      <c r="AP399" s="2"/>
      <c r="AQ399" s="2"/>
      <c r="AR399" s="2"/>
      <c r="AS399" s="2"/>
      <c r="AT399" s="2"/>
      <c r="AU399" s="2"/>
      <c r="AV399" s="2" t="s">
        <v>478</v>
      </c>
      <c r="AW399" s="2">
        <v>74.3</v>
      </c>
      <c r="AX399" s="2" t="s">
        <v>497</v>
      </c>
      <c r="AY399" s="2"/>
      <c r="AZ399" s="2" t="s">
        <v>252</v>
      </c>
      <c r="BA399" s="2" t="s">
        <v>132</v>
      </c>
      <c r="BB399" s="2" t="s">
        <v>422</v>
      </c>
      <c r="BC399" s="6"/>
      <c r="BD399" s="2"/>
      <c r="BE399" s="2">
        <v>0</v>
      </c>
    </row>
    <row r="400" spans="1:57" ht="13" x14ac:dyDescent="0.15">
      <c r="BC400" s="72"/>
      <c r="BD400" s="72"/>
      <c r="BE400" s="2"/>
    </row>
    <row r="401" spans="55:57" ht="13" x14ac:dyDescent="0.15">
      <c r="BC401" s="72"/>
      <c r="BD401" s="72"/>
      <c r="BE401" s="2"/>
    </row>
    <row r="402" spans="55:57" ht="13" x14ac:dyDescent="0.15">
      <c r="BC402" s="72"/>
      <c r="BD402" s="72"/>
      <c r="BE402" s="2"/>
    </row>
    <row r="403" spans="55:57" ht="13" x14ac:dyDescent="0.15">
      <c r="BC403" s="72"/>
      <c r="BD403" s="72"/>
    </row>
    <row r="404" spans="55:57" ht="13" x14ac:dyDescent="0.15">
      <c r="BC404" s="72"/>
      <c r="BD404" s="72"/>
    </row>
    <row r="405" spans="55:57" ht="13" x14ac:dyDescent="0.15">
      <c r="BC405" s="72"/>
      <c r="BD405" s="72"/>
    </row>
    <row r="406" spans="55:57" ht="13" x14ac:dyDescent="0.15">
      <c r="BC406" s="72"/>
      <c r="BD406" s="72"/>
    </row>
    <row r="407" spans="55:57" ht="13" x14ac:dyDescent="0.15">
      <c r="BC407" s="72"/>
      <c r="BD407" s="72"/>
    </row>
    <row r="408" spans="55:57" ht="13" x14ac:dyDescent="0.15">
      <c r="BC408" s="72"/>
      <c r="BD408" s="72"/>
    </row>
    <row r="409" spans="55:57" ht="13" x14ac:dyDescent="0.15">
      <c r="BC409" s="72"/>
      <c r="BD409" s="72"/>
    </row>
    <row r="410" spans="55:57" ht="13" x14ac:dyDescent="0.15">
      <c r="BC410" s="72"/>
      <c r="BD410" s="72"/>
    </row>
    <row r="411" spans="55:57" ht="13" x14ac:dyDescent="0.15">
      <c r="BC411" s="72"/>
      <c r="BD411" s="72"/>
    </row>
    <row r="412" spans="55:57" ht="13" x14ac:dyDescent="0.15">
      <c r="BC412" s="72"/>
      <c r="BD412" s="72"/>
    </row>
    <row r="413" spans="55:57" ht="13" x14ac:dyDescent="0.15">
      <c r="BC413" s="72"/>
      <c r="BD413" s="72"/>
    </row>
    <row r="414" spans="55:57" ht="13" x14ac:dyDescent="0.15">
      <c r="BC414" s="72"/>
      <c r="BD414" s="72"/>
    </row>
    <row r="415" spans="55:57" ht="13" x14ac:dyDescent="0.15">
      <c r="BC415" s="72"/>
      <c r="BD415" s="72"/>
    </row>
    <row r="416" spans="55:57" ht="13" x14ac:dyDescent="0.15">
      <c r="BC416" s="72"/>
      <c r="BD416" s="72"/>
    </row>
    <row r="417" spans="55:56" ht="13" x14ac:dyDescent="0.15">
      <c r="BC417" s="72"/>
      <c r="BD417" s="72"/>
    </row>
    <row r="418" spans="55:56" ht="13" x14ac:dyDescent="0.15">
      <c r="BC418" s="72"/>
      <c r="BD418" s="72"/>
    </row>
    <row r="419" spans="55:56" ht="13" x14ac:dyDescent="0.15">
      <c r="BC419" s="72"/>
      <c r="BD419" s="72"/>
    </row>
    <row r="420" spans="55:56" ht="13" x14ac:dyDescent="0.15">
      <c r="BC420" s="72"/>
      <c r="BD420" s="72"/>
    </row>
    <row r="421" spans="55:56" ht="13" x14ac:dyDescent="0.15">
      <c r="BC421" s="72"/>
      <c r="BD421" s="72"/>
    </row>
    <row r="422" spans="55:56" ht="13" x14ac:dyDescent="0.15">
      <c r="BC422" s="72"/>
      <c r="BD422" s="72"/>
    </row>
    <row r="423" spans="55:56" ht="13" x14ac:dyDescent="0.15">
      <c r="BC423" s="72"/>
      <c r="BD423" s="72"/>
    </row>
    <row r="424" spans="55:56" ht="13" x14ac:dyDescent="0.15">
      <c r="BC424" s="72"/>
      <c r="BD424" s="72"/>
    </row>
    <row r="425" spans="55:56" ht="13" x14ac:dyDescent="0.15">
      <c r="BC425" s="72"/>
      <c r="BD425" s="72"/>
    </row>
    <row r="426" spans="55:56" ht="13" x14ac:dyDescent="0.15">
      <c r="BC426" s="72"/>
      <c r="BD426" s="72"/>
    </row>
    <row r="427" spans="55:56" ht="13" x14ac:dyDescent="0.15">
      <c r="BC427" s="72"/>
      <c r="BD427" s="72"/>
    </row>
    <row r="428" spans="55:56" ht="13" x14ac:dyDescent="0.15">
      <c r="BC428" s="72"/>
      <c r="BD428" s="72"/>
    </row>
    <row r="429" spans="55:56" ht="13" x14ac:dyDescent="0.15">
      <c r="BC429" s="72"/>
      <c r="BD429" s="72"/>
    </row>
    <row r="430" spans="55:56" ht="13" x14ac:dyDescent="0.15">
      <c r="BC430" s="72"/>
      <c r="BD430" s="72"/>
    </row>
    <row r="431" spans="55:56" ht="13" x14ac:dyDescent="0.15">
      <c r="BC431" s="72"/>
      <c r="BD431" s="72"/>
    </row>
    <row r="432" spans="55:56" ht="13" x14ac:dyDescent="0.15">
      <c r="BC432" s="72"/>
      <c r="BD432" s="72"/>
    </row>
    <row r="433" spans="55:56" ht="13" x14ac:dyDescent="0.15">
      <c r="BC433" s="72"/>
      <c r="BD433" s="72"/>
    </row>
    <row r="434" spans="55:56" ht="13" x14ac:dyDescent="0.15">
      <c r="BC434" s="72"/>
      <c r="BD434" s="72"/>
    </row>
    <row r="435" spans="55:56" ht="13" x14ac:dyDescent="0.15">
      <c r="BC435" s="72"/>
      <c r="BD435" s="72"/>
    </row>
    <row r="436" spans="55:56" ht="13" x14ac:dyDescent="0.15">
      <c r="BC436" s="72"/>
      <c r="BD436" s="72"/>
    </row>
    <row r="437" spans="55:56" ht="13" x14ac:dyDescent="0.15">
      <c r="BC437" s="72"/>
      <c r="BD437" s="72"/>
    </row>
    <row r="438" spans="55:56" ht="13" x14ac:dyDescent="0.15">
      <c r="BC438" s="72"/>
      <c r="BD438" s="72"/>
    </row>
    <row r="439" spans="55:56" ht="13" x14ac:dyDescent="0.15">
      <c r="BC439" s="72"/>
      <c r="BD439" s="72"/>
    </row>
    <row r="440" spans="55:56" ht="13" x14ac:dyDescent="0.15">
      <c r="BC440" s="72"/>
      <c r="BD440" s="72"/>
    </row>
    <row r="441" spans="55:56" ht="13" x14ac:dyDescent="0.15">
      <c r="BC441" s="72"/>
      <c r="BD441" s="72"/>
    </row>
    <row r="442" spans="55:56" ht="13" x14ac:dyDescent="0.15">
      <c r="BC442" s="72"/>
      <c r="BD442" s="72"/>
    </row>
    <row r="443" spans="55:56" ht="13" x14ac:dyDescent="0.15">
      <c r="BC443" s="72"/>
      <c r="BD443" s="72"/>
    </row>
    <row r="444" spans="55:56" ht="13" x14ac:dyDescent="0.15">
      <c r="BC444" s="72"/>
      <c r="BD444" s="72"/>
    </row>
    <row r="445" spans="55:56" ht="13" x14ac:dyDescent="0.15">
      <c r="BC445" s="72"/>
      <c r="BD445" s="72"/>
    </row>
    <row r="446" spans="55:56" ht="13" x14ac:dyDescent="0.15">
      <c r="BC446" s="72"/>
      <c r="BD446" s="72"/>
    </row>
    <row r="447" spans="55:56" ht="13" x14ac:dyDescent="0.15">
      <c r="BC447" s="72"/>
      <c r="BD447" s="72"/>
    </row>
    <row r="448" spans="55:56" ht="13" x14ac:dyDescent="0.15">
      <c r="BC448" s="72"/>
      <c r="BD448" s="72"/>
    </row>
    <row r="449" spans="55:56" ht="13" x14ac:dyDescent="0.15">
      <c r="BC449" s="72"/>
      <c r="BD449" s="72"/>
    </row>
    <row r="450" spans="55:56" ht="13" x14ac:dyDescent="0.15">
      <c r="BC450" s="72"/>
      <c r="BD450" s="72"/>
    </row>
    <row r="451" spans="55:56" ht="13" x14ac:dyDescent="0.15">
      <c r="BC451" s="72"/>
      <c r="BD451" s="72"/>
    </row>
    <row r="452" spans="55:56" ht="13" x14ac:dyDescent="0.15">
      <c r="BC452" s="72"/>
      <c r="BD452" s="72"/>
    </row>
    <row r="453" spans="55:56" ht="13" x14ac:dyDescent="0.15">
      <c r="BC453" s="72"/>
      <c r="BD453" s="72"/>
    </row>
    <row r="454" spans="55:56" ht="13" x14ac:dyDescent="0.15">
      <c r="BC454" s="72"/>
      <c r="BD454" s="72"/>
    </row>
    <row r="455" spans="55:56" ht="13" x14ac:dyDescent="0.15">
      <c r="BC455" s="72"/>
      <c r="BD455" s="72"/>
    </row>
    <row r="456" spans="55:56" ht="13" x14ac:dyDescent="0.15">
      <c r="BC456" s="72"/>
      <c r="BD456" s="72"/>
    </row>
    <row r="457" spans="55:56" ht="13" x14ac:dyDescent="0.15">
      <c r="BC457" s="72"/>
      <c r="BD457" s="72"/>
    </row>
    <row r="458" spans="55:56" ht="13" x14ac:dyDescent="0.15">
      <c r="BC458" s="72"/>
      <c r="BD458" s="72"/>
    </row>
    <row r="459" spans="55:56" ht="13" x14ac:dyDescent="0.15">
      <c r="BC459" s="72"/>
      <c r="BD459" s="72"/>
    </row>
    <row r="460" spans="55:56" ht="13" x14ac:dyDescent="0.15">
      <c r="BC460" s="72"/>
      <c r="BD460" s="72"/>
    </row>
    <row r="461" spans="55:56" ht="13" x14ac:dyDescent="0.15">
      <c r="BC461" s="72"/>
      <c r="BD461" s="72"/>
    </row>
    <row r="462" spans="55:56" ht="13" x14ac:dyDescent="0.15">
      <c r="BC462" s="72"/>
      <c r="BD462" s="72"/>
    </row>
    <row r="463" spans="55:56" ht="13" x14ac:dyDescent="0.15">
      <c r="BC463" s="72"/>
      <c r="BD463" s="72"/>
    </row>
    <row r="464" spans="55:56" ht="13" x14ac:dyDescent="0.15">
      <c r="BC464" s="72"/>
      <c r="BD464" s="72"/>
    </row>
    <row r="465" spans="55:56" ht="13" x14ac:dyDescent="0.15">
      <c r="BC465" s="72"/>
      <c r="BD465" s="72"/>
    </row>
    <row r="466" spans="55:56" ht="13" x14ac:dyDescent="0.15">
      <c r="BC466" s="72"/>
      <c r="BD466" s="72"/>
    </row>
    <row r="467" spans="55:56" ht="13" x14ac:dyDescent="0.15">
      <c r="BC467" s="72"/>
      <c r="BD467" s="72"/>
    </row>
    <row r="468" spans="55:56" ht="13" x14ac:dyDescent="0.15">
      <c r="BC468" s="72"/>
      <c r="BD468" s="72"/>
    </row>
    <row r="469" spans="55:56" ht="13" x14ac:dyDescent="0.15">
      <c r="BC469" s="72"/>
      <c r="BD469" s="72"/>
    </row>
    <row r="470" spans="55:56" ht="13" x14ac:dyDescent="0.15">
      <c r="BC470" s="72"/>
      <c r="BD470" s="72"/>
    </row>
    <row r="471" spans="55:56" ht="13" x14ac:dyDescent="0.15">
      <c r="BC471" s="72"/>
      <c r="BD471" s="72"/>
    </row>
    <row r="472" spans="55:56" ht="13" x14ac:dyDescent="0.15">
      <c r="BC472" s="72"/>
      <c r="BD472" s="72"/>
    </row>
    <row r="473" spans="55:56" ht="13" x14ac:dyDescent="0.15">
      <c r="BC473" s="72"/>
      <c r="BD473" s="72"/>
    </row>
    <row r="474" spans="55:56" ht="13" x14ac:dyDescent="0.15">
      <c r="BC474" s="72"/>
      <c r="BD474" s="72"/>
    </row>
    <row r="475" spans="55:56" ht="13" x14ac:dyDescent="0.15">
      <c r="BC475" s="72"/>
      <c r="BD475" s="72"/>
    </row>
    <row r="476" spans="55:56" ht="13" x14ac:dyDescent="0.15">
      <c r="BC476" s="72"/>
      <c r="BD476" s="72"/>
    </row>
    <row r="477" spans="55:56" ht="13" x14ac:dyDescent="0.15">
      <c r="BC477" s="72"/>
      <c r="BD477" s="72"/>
    </row>
    <row r="478" spans="55:56" ht="13" x14ac:dyDescent="0.15">
      <c r="BC478" s="72"/>
      <c r="BD478" s="72"/>
    </row>
    <row r="479" spans="55:56" ht="13" x14ac:dyDescent="0.15">
      <c r="BC479" s="72"/>
      <c r="BD479" s="72"/>
    </row>
    <row r="480" spans="55:56" ht="13" x14ac:dyDescent="0.15">
      <c r="BC480" s="72"/>
      <c r="BD480" s="72"/>
    </row>
    <row r="481" spans="55:56" ht="13" x14ac:dyDescent="0.15">
      <c r="BC481" s="72"/>
      <c r="BD481" s="72"/>
    </row>
    <row r="482" spans="55:56" ht="13" x14ac:dyDescent="0.15">
      <c r="BC482" s="72"/>
      <c r="BD482" s="72"/>
    </row>
    <row r="483" spans="55:56" ht="13" x14ac:dyDescent="0.15">
      <c r="BC483" s="72"/>
      <c r="BD483" s="72"/>
    </row>
    <row r="484" spans="55:56" ht="13" x14ac:dyDescent="0.15">
      <c r="BC484" s="72"/>
      <c r="BD484" s="72"/>
    </row>
    <row r="485" spans="55:56" ht="13" x14ac:dyDescent="0.15">
      <c r="BC485" s="72"/>
      <c r="BD485" s="72"/>
    </row>
    <row r="486" spans="55:56" ht="13" x14ac:dyDescent="0.15">
      <c r="BC486" s="72"/>
      <c r="BD486" s="72"/>
    </row>
    <row r="487" spans="55:56" ht="13" x14ac:dyDescent="0.15">
      <c r="BC487" s="72"/>
      <c r="BD487" s="72"/>
    </row>
    <row r="488" spans="55:56" ht="13" x14ac:dyDescent="0.15">
      <c r="BC488" s="72"/>
      <c r="BD488" s="72"/>
    </row>
    <row r="489" spans="55:56" ht="13" x14ac:dyDescent="0.15">
      <c r="BC489" s="72"/>
      <c r="BD489" s="72"/>
    </row>
    <row r="490" spans="55:56" ht="13" x14ac:dyDescent="0.15">
      <c r="BC490" s="72"/>
      <c r="BD490" s="72"/>
    </row>
    <row r="491" spans="55:56" ht="13" x14ac:dyDescent="0.15">
      <c r="BC491" s="72"/>
      <c r="BD491" s="72"/>
    </row>
    <row r="492" spans="55:56" ht="13" x14ac:dyDescent="0.15">
      <c r="BC492" s="72"/>
      <c r="BD492" s="72"/>
    </row>
    <row r="493" spans="55:56" ht="13" x14ac:dyDescent="0.15">
      <c r="BC493" s="72"/>
      <c r="BD493" s="72"/>
    </row>
    <row r="494" spans="55:56" ht="13" x14ac:dyDescent="0.15">
      <c r="BC494" s="72"/>
      <c r="BD494" s="72"/>
    </row>
    <row r="495" spans="55:56" ht="13" x14ac:dyDescent="0.15">
      <c r="BC495" s="72"/>
      <c r="BD495" s="72"/>
    </row>
    <row r="496" spans="55:56" ht="13" x14ac:dyDescent="0.15">
      <c r="BC496" s="72"/>
      <c r="BD496" s="72"/>
    </row>
    <row r="497" spans="55:56" ht="13" x14ac:dyDescent="0.15">
      <c r="BC497" s="72"/>
      <c r="BD497" s="72"/>
    </row>
    <row r="498" spans="55:56" ht="13" x14ac:dyDescent="0.15">
      <c r="BC498" s="72"/>
      <c r="BD498" s="72"/>
    </row>
    <row r="499" spans="55:56" ht="13" x14ac:dyDescent="0.15">
      <c r="BC499" s="72"/>
      <c r="BD499" s="72"/>
    </row>
    <row r="500" spans="55:56" ht="13" x14ac:dyDescent="0.15">
      <c r="BC500" s="72"/>
      <c r="BD500" s="72"/>
    </row>
    <row r="501" spans="55:56" ht="13" x14ac:dyDescent="0.15">
      <c r="BC501" s="72"/>
      <c r="BD501" s="72"/>
    </row>
    <row r="502" spans="55:56" ht="13" x14ac:dyDescent="0.15">
      <c r="BC502" s="72"/>
      <c r="BD502" s="72"/>
    </row>
    <row r="503" spans="55:56" ht="13" x14ac:dyDescent="0.15">
      <c r="BC503" s="72"/>
      <c r="BD503" s="72"/>
    </row>
    <row r="504" spans="55:56" ht="13" x14ac:dyDescent="0.15">
      <c r="BC504" s="72"/>
      <c r="BD504" s="72"/>
    </row>
    <row r="505" spans="55:56" ht="13" x14ac:dyDescent="0.15">
      <c r="BC505" s="72"/>
      <c r="BD505" s="72"/>
    </row>
    <row r="506" spans="55:56" ht="13" x14ac:dyDescent="0.15">
      <c r="BC506" s="72"/>
      <c r="BD506" s="72"/>
    </row>
    <row r="507" spans="55:56" ht="13" x14ac:dyDescent="0.15">
      <c r="BC507" s="72"/>
      <c r="BD507" s="72"/>
    </row>
    <row r="508" spans="55:56" ht="13" x14ac:dyDescent="0.15">
      <c r="BC508" s="72"/>
      <c r="BD508" s="72"/>
    </row>
    <row r="509" spans="55:56" ht="13" x14ac:dyDescent="0.15">
      <c r="BC509" s="72"/>
      <c r="BD509" s="72"/>
    </row>
    <row r="510" spans="55:56" ht="13" x14ac:dyDescent="0.15">
      <c r="BC510" s="72"/>
      <c r="BD510" s="72"/>
    </row>
    <row r="511" spans="55:56" ht="13" x14ac:dyDescent="0.15">
      <c r="BC511" s="72"/>
      <c r="BD511" s="72"/>
    </row>
    <row r="512" spans="55:56" ht="13" x14ac:dyDescent="0.15">
      <c r="BC512" s="72"/>
      <c r="BD512" s="72"/>
    </row>
    <row r="513" spans="55:56" ht="13" x14ac:dyDescent="0.15">
      <c r="BC513" s="72"/>
      <c r="BD513" s="72"/>
    </row>
    <row r="514" spans="55:56" ht="13" x14ac:dyDescent="0.15">
      <c r="BC514" s="72"/>
      <c r="BD514" s="72"/>
    </row>
    <row r="515" spans="55:56" ht="13" x14ac:dyDescent="0.15">
      <c r="BC515" s="72"/>
      <c r="BD515" s="72"/>
    </row>
    <row r="516" spans="55:56" ht="13" x14ac:dyDescent="0.15">
      <c r="BC516" s="72"/>
      <c r="BD516" s="72"/>
    </row>
    <row r="517" spans="55:56" ht="13" x14ac:dyDescent="0.15">
      <c r="BC517" s="72"/>
      <c r="BD517" s="72"/>
    </row>
    <row r="518" spans="55:56" ht="13" x14ac:dyDescent="0.15">
      <c r="BC518" s="72"/>
      <c r="BD518" s="72"/>
    </row>
    <row r="519" spans="55:56" ht="13" x14ac:dyDescent="0.15">
      <c r="BC519" s="72"/>
      <c r="BD519" s="72"/>
    </row>
    <row r="520" spans="55:56" ht="13" x14ac:dyDescent="0.15">
      <c r="BC520" s="72"/>
      <c r="BD520" s="72"/>
    </row>
    <row r="521" spans="55:56" ht="13" x14ac:dyDescent="0.15">
      <c r="BC521" s="72"/>
      <c r="BD521" s="72"/>
    </row>
    <row r="522" spans="55:56" ht="13" x14ac:dyDescent="0.15">
      <c r="BC522" s="72"/>
      <c r="BD522" s="72"/>
    </row>
    <row r="523" spans="55:56" ht="13" x14ac:dyDescent="0.15">
      <c r="BC523" s="72"/>
      <c r="BD523" s="72"/>
    </row>
    <row r="524" spans="55:56" ht="13" x14ac:dyDescent="0.15">
      <c r="BC524" s="72"/>
      <c r="BD524" s="72"/>
    </row>
    <row r="525" spans="55:56" ht="13" x14ac:dyDescent="0.15">
      <c r="BC525" s="72"/>
      <c r="BD525" s="72"/>
    </row>
    <row r="526" spans="55:56" ht="13" x14ac:dyDescent="0.15">
      <c r="BC526" s="72"/>
      <c r="BD526" s="72"/>
    </row>
    <row r="527" spans="55:56" ht="13" x14ac:dyDescent="0.15">
      <c r="BC527" s="72"/>
      <c r="BD527" s="72"/>
    </row>
    <row r="528" spans="55:56" ht="13" x14ac:dyDescent="0.15">
      <c r="BC528" s="72"/>
      <c r="BD528" s="72"/>
    </row>
    <row r="529" spans="55:56" ht="13" x14ac:dyDescent="0.15">
      <c r="BC529" s="72"/>
      <c r="BD529" s="72"/>
    </row>
    <row r="530" spans="55:56" ht="13" x14ac:dyDescent="0.15">
      <c r="BC530" s="72"/>
      <c r="BD530" s="72"/>
    </row>
    <row r="531" spans="55:56" ht="13" x14ac:dyDescent="0.15">
      <c r="BC531" s="72"/>
      <c r="BD531" s="72"/>
    </row>
    <row r="532" spans="55:56" ht="13" x14ac:dyDescent="0.15">
      <c r="BC532" s="72"/>
      <c r="BD532" s="72"/>
    </row>
    <row r="533" spans="55:56" ht="13" x14ac:dyDescent="0.15">
      <c r="BC533" s="72"/>
      <c r="BD533" s="72"/>
    </row>
    <row r="534" spans="55:56" ht="13" x14ac:dyDescent="0.15">
      <c r="BC534" s="72"/>
      <c r="BD534" s="72"/>
    </row>
    <row r="535" spans="55:56" ht="13" x14ac:dyDescent="0.15">
      <c r="BC535" s="72"/>
      <c r="BD535" s="72"/>
    </row>
    <row r="536" spans="55:56" ht="13" x14ac:dyDescent="0.15">
      <c r="BC536" s="72"/>
      <c r="BD536" s="72"/>
    </row>
    <row r="537" spans="55:56" ht="13" x14ac:dyDescent="0.15">
      <c r="BC537" s="72"/>
      <c r="BD537" s="72"/>
    </row>
    <row r="538" spans="55:56" ht="13" x14ac:dyDescent="0.15">
      <c r="BC538" s="72"/>
      <c r="BD538" s="72"/>
    </row>
    <row r="539" spans="55:56" ht="13" x14ac:dyDescent="0.15">
      <c r="BC539" s="72"/>
      <c r="BD539" s="72"/>
    </row>
    <row r="540" spans="55:56" ht="13" x14ac:dyDescent="0.15">
      <c r="BC540" s="72"/>
      <c r="BD540" s="72"/>
    </row>
    <row r="541" spans="55:56" ht="13" x14ac:dyDescent="0.15">
      <c r="BC541" s="72"/>
      <c r="BD541" s="72"/>
    </row>
    <row r="542" spans="55:56" ht="13" x14ac:dyDescent="0.15">
      <c r="BC542" s="72"/>
      <c r="BD542" s="72"/>
    </row>
    <row r="543" spans="55:56" ht="13" x14ac:dyDescent="0.15">
      <c r="BC543" s="72"/>
      <c r="BD543" s="72"/>
    </row>
    <row r="544" spans="55:56" ht="13" x14ac:dyDescent="0.15">
      <c r="BC544" s="72"/>
      <c r="BD544" s="72"/>
    </row>
    <row r="545" spans="55:56" ht="13" x14ac:dyDescent="0.15">
      <c r="BC545" s="72"/>
      <c r="BD545" s="72"/>
    </row>
    <row r="546" spans="55:56" ht="13" x14ac:dyDescent="0.15">
      <c r="BC546" s="72"/>
      <c r="BD546" s="72"/>
    </row>
    <row r="547" spans="55:56" ht="13" x14ac:dyDescent="0.15">
      <c r="BC547" s="72"/>
      <c r="BD547" s="72"/>
    </row>
    <row r="548" spans="55:56" ht="13" x14ac:dyDescent="0.15">
      <c r="BC548" s="72"/>
      <c r="BD548" s="72"/>
    </row>
    <row r="549" spans="55:56" ht="13" x14ac:dyDescent="0.15">
      <c r="BC549" s="72"/>
      <c r="BD549" s="72"/>
    </row>
    <row r="550" spans="55:56" ht="13" x14ac:dyDescent="0.15">
      <c r="BC550" s="72"/>
      <c r="BD550" s="72"/>
    </row>
    <row r="551" spans="55:56" ht="13" x14ac:dyDescent="0.15">
      <c r="BC551" s="72"/>
      <c r="BD551" s="72"/>
    </row>
    <row r="552" spans="55:56" ht="13" x14ac:dyDescent="0.15">
      <c r="BC552" s="72"/>
      <c r="BD552" s="72"/>
    </row>
    <row r="553" spans="55:56" ht="13" x14ac:dyDescent="0.15">
      <c r="BC553" s="72"/>
      <c r="BD553" s="72"/>
    </row>
    <row r="554" spans="55:56" ht="13" x14ac:dyDescent="0.15">
      <c r="BC554" s="72"/>
      <c r="BD554" s="72"/>
    </row>
    <row r="555" spans="55:56" ht="13" x14ac:dyDescent="0.15">
      <c r="BC555" s="72"/>
      <c r="BD555" s="72"/>
    </row>
    <row r="556" spans="55:56" ht="13" x14ac:dyDescent="0.15">
      <c r="BC556" s="72"/>
      <c r="BD556" s="72"/>
    </row>
    <row r="557" spans="55:56" ht="13" x14ac:dyDescent="0.15">
      <c r="BC557" s="72"/>
      <c r="BD557" s="72"/>
    </row>
    <row r="558" spans="55:56" ht="13" x14ac:dyDescent="0.15">
      <c r="BC558" s="72"/>
      <c r="BD558" s="72"/>
    </row>
    <row r="559" spans="55:56" ht="13" x14ac:dyDescent="0.15">
      <c r="BC559" s="72"/>
      <c r="BD559" s="72"/>
    </row>
    <row r="560" spans="55:56" ht="13" x14ac:dyDescent="0.15">
      <c r="BC560" s="72"/>
      <c r="BD560" s="72"/>
    </row>
    <row r="561" spans="55:56" ht="13" x14ac:dyDescent="0.15">
      <c r="BC561" s="72"/>
      <c r="BD561" s="72"/>
    </row>
    <row r="562" spans="55:56" ht="13" x14ac:dyDescent="0.15">
      <c r="BC562" s="72"/>
      <c r="BD562" s="72"/>
    </row>
    <row r="563" spans="55:56" ht="13" x14ac:dyDescent="0.15">
      <c r="BC563" s="72"/>
      <c r="BD563" s="72"/>
    </row>
    <row r="564" spans="55:56" ht="13" x14ac:dyDescent="0.15">
      <c r="BC564" s="72"/>
      <c r="BD564" s="72"/>
    </row>
    <row r="565" spans="55:56" ht="13" x14ac:dyDescent="0.15">
      <c r="BC565" s="72"/>
      <c r="BD565" s="72"/>
    </row>
    <row r="566" spans="55:56" ht="13" x14ac:dyDescent="0.15">
      <c r="BC566" s="72"/>
      <c r="BD566" s="72"/>
    </row>
    <row r="567" spans="55:56" ht="13" x14ac:dyDescent="0.15">
      <c r="BC567" s="72"/>
      <c r="BD567" s="72"/>
    </row>
    <row r="568" spans="55:56" ht="13" x14ac:dyDescent="0.15">
      <c r="BC568" s="72"/>
      <c r="BD568" s="72"/>
    </row>
    <row r="569" spans="55:56" ht="13" x14ac:dyDescent="0.15">
      <c r="BC569" s="72"/>
      <c r="BD569" s="72"/>
    </row>
    <row r="570" spans="55:56" ht="13" x14ac:dyDescent="0.15">
      <c r="BC570" s="72"/>
      <c r="BD570" s="72"/>
    </row>
    <row r="571" spans="55:56" ht="13" x14ac:dyDescent="0.15">
      <c r="BC571" s="72"/>
      <c r="BD571" s="72"/>
    </row>
    <row r="572" spans="55:56" ht="13" x14ac:dyDescent="0.15">
      <c r="BC572" s="72"/>
      <c r="BD572" s="72"/>
    </row>
    <row r="573" spans="55:56" ht="13" x14ac:dyDescent="0.15">
      <c r="BC573" s="72"/>
      <c r="BD573" s="72"/>
    </row>
    <row r="574" spans="55:56" ht="13" x14ac:dyDescent="0.15">
      <c r="BC574" s="72"/>
      <c r="BD574" s="72"/>
    </row>
    <row r="575" spans="55:56" ht="13" x14ac:dyDescent="0.15">
      <c r="BC575" s="72"/>
      <c r="BD575" s="72"/>
    </row>
    <row r="576" spans="55:56" ht="13" x14ac:dyDescent="0.15">
      <c r="BC576" s="72"/>
      <c r="BD576" s="72"/>
    </row>
    <row r="577" spans="55:56" ht="13" x14ac:dyDescent="0.15">
      <c r="BC577" s="72"/>
      <c r="BD577" s="72"/>
    </row>
    <row r="578" spans="55:56" ht="13" x14ac:dyDescent="0.15">
      <c r="BC578" s="72"/>
      <c r="BD578" s="72"/>
    </row>
    <row r="579" spans="55:56" ht="13" x14ac:dyDescent="0.15">
      <c r="BC579" s="72"/>
      <c r="BD579" s="72"/>
    </row>
    <row r="580" spans="55:56" ht="13" x14ac:dyDescent="0.15">
      <c r="BC580" s="72"/>
      <c r="BD580" s="72"/>
    </row>
    <row r="581" spans="55:56" ht="13" x14ac:dyDescent="0.15">
      <c r="BC581" s="72"/>
      <c r="BD581" s="72"/>
    </row>
    <row r="582" spans="55:56" ht="13" x14ac:dyDescent="0.15">
      <c r="BC582" s="72"/>
      <c r="BD582" s="72"/>
    </row>
    <row r="583" spans="55:56" ht="13" x14ac:dyDescent="0.15">
      <c r="BC583" s="72"/>
      <c r="BD583" s="72"/>
    </row>
    <row r="584" spans="55:56" ht="13" x14ac:dyDescent="0.15">
      <c r="BC584" s="72"/>
      <c r="BD584" s="72"/>
    </row>
    <row r="585" spans="55:56" ht="13" x14ac:dyDescent="0.15">
      <c r="BC585" s="72"/>
      <c r="BD585" s="72"/>
    </row>
    <row r="586" spans="55:56" ht="13" x14ac:dyDescent="0.15">
      <c r="BC586" s="72"/>
      <c r="BD586" s="72"/>
    </row>
    <row r="587" spans="55:56" ht="13" x14ac:dyDescent="0.15">
      <c r="BC587" s="72"/>
      <c r="BD587" s="72"/>
    </row>
    <row r="588" spans="55:56" ht="13" x14ac:dyDescent="0.15">
      <c r="BC588" s="72"/>
      <c r="BD588" s="72"/>
    </row>
    <row r="589" spans="55:56" ht="13" x14ac:dyDescent="0.15">
      <c r="BC589" s="72"/>
      <c r="BD589" s="72"/>
    </row>
    <row r="590" spans="55:56" ht="13" x14ac:dyDescent="0.15">
      <c r="BC590" s="72"/>
      <c r="BD590" s="72"/>
    </row>
    <row r="591" spans="55:56" ht="13" x14ac:dyDescent="0.15">
      <c r="BC591" s="72"/>
      <c r="BD591" s="72"/>
    </row>
    <row r="592" spans="55:56" ht="13" x14ac:dyDescent="0.15">
      <c r="BC592" s="72"/>
      <c r="BD592" s="72"/>
    </row>
    <row r="593" spans="55:56" ht="13" x14ac:dyDescent="0.15">
      <c r="BC593" s="72"/>
      <c r="BD593" s="72"/>
    </row>
    <row r="594" spans="55:56" ht="13" x14ac:dyDescent="0.15">
      <c r="BC594" s="72"/>
      <c r="BD594" s="72"/>
    </row>
    <row r="595" spans="55:56" ht="13" x14ac:dyDescent="0.15">
      <c r="BC595" s="72"/>
      <c r="BD595" s="72"/>
    </row>
    <row r="596" spans="55:56" ht="13" x14ac:dyDescent="0.15">
      <c r="BC596" s="72"/>
      <c r="BD596" s="72"/>
    </row>
    <row r="597" spans="55:56" ht="13" x14ac:dyDescent="0.15">
      <c r="BC597" s="72"/>
      <c r="BD597" s="72"/>
    </row>
    <row r="598" spans="55:56" ht="13" x14ac:dyDescent="0.15">
      <c r="BC598" s="72"/>
      <c r="BD598" s="72"/>
    </row>
    <row r="599" spans="55:56" ht="13" x14ac:dyDescent="0.15">
      <c r="BC599" s="72"/>
      <c r="BD599" s="72"/>
    </row>
    <row r="600" spans="55:56" ht="13" x14ac:dyDescent="0.15">
      <c r="BC600" s="72"/>
      <c r="BD600" s="72"/>
    </row>
    <row r="601" spans="55:56" ht="13" x14ac:dyDescent="0.15">
      <c r="BC601" s="72"/>
      <c r="BD601" s="72"/>
    </row>
    <row r="602" spans="55:56" ht="13" x14ac:dyDescent="0.15">
      <c r="BC602" s="72"/>
      <c r="BD602" s="72"/>
    </row>
    <row r="603" spans="55:56" ht="13" x14ac:dyDescent="0.15">
      <c r="BC603" s="72"/>
      <c r="BD603" s="72"/>
    </row>
    <row r="604" spans="55:56" ht="13" x14ac:dyDescent="0.15">
      <c r="BC604" s="72"/>
      <c r="BD604" s="72"/>
    </row>
    <row r="605" spans="55:56" ht="13" x14ac:dyDescent="0.15">
      <c r="BC605" s="72"/>
      <c r="BD605" s="72"/>
    </row>
    <row r="606" spans="55:56" ht="13" x14ac:dyDescent="0.15">
      <c r="BC606" s="72"/>
      <c r="BD606" s="72"/>
    </row>
    <row r="607" spans="55:56" ht="13" x14ac:dyDescent="0.15">
      <c r="BC607" s="72"/>
      <c r="BD607" s="72"/>
    </row>
    <row r="608" spans="55:56" ht="13" x14ac:dyDescent="0.15">
      <c r="BC608" s="72"/>
      <c r="BD608" s="72"/>
    </row>
    <row r="609" spans="55:56" ht="13" x14ac:dyDescent="0.15">
      <c r="BC609" s="72"/>
      <c r="BD609" s="72"/>
    </row>
    <row r="610" spans="55:56" ht="13" x14ac:dyDescent="0.15">
      <c r="BC610" s="72"/>
      <c r="BD610" s="72"/>
    </row>
    <row r="611" spans="55:56" ht="13" x14ac:dyDescent="0.15">
      <c r="BC611" s="72"/>
      <c r="BD611" s="72"/>
    </row>
    <row r="612" spans="55:56" ht="13" x14ac:dyDescent="0.15">
      <c r="BC612" s="72"/>
      <c r="BD612" s="72"/>
    </row>
    <row r="613" spans="55:56" ht="13" x14ac:dyDescent="0.15">
      <c r="BC613" s="72"/>
      <c r="BD613" s="72"/>
    </row>
    <row r="614" spans="55:56" ht="13" x14ac:dyDescent="0.15">
      <c r="BC614" s="72"/>
      <c r="BD614" s="72"/>
    </row>
    <row r="615" spans="55:56" ht="13" x14ac:dyDescent="0.15">
      <c r="BC615" s="72"/>
      <c r="BD615" s="72"/>
    </row>
    <row r="616" spans="55:56" ht="13" x14ac:dyDescent="0.15">
      <c r="BC616" s="72"/>
      <c r="BD616" s="72"/>
    </row>
    <row r="617" spans="55:56" ht="13" x14ac:dyDescent="0.15">
      <c r="BC617" s="72"/>
      <c r="BD617" s="72"/>
    </row>
    <row r="618" spans="55:56" ht="13" x14ac:dyDescent="0.15">
      <c r="BC618" s="72"/>
      <c r="BD618" s="72"/>
    </row>
    <row r="619" spans="55:56" ht="13" x14ac:dyDescent="0.15">
      <c r="BC619" s="72"/>
      <c r="BD619" s="72"/>
    </row>
    <row r="620" spans="55:56" ht="13" x14ac:dyDescent="0.15">
      <c r="BC620" s="72"/>
      <c r="BD620" s="72"/>
    </row>
    <row r="621" spans="55:56" ht="13" x14ac:dyDescent="0.15">
      <c r="BC621" s="72"/>
      <c r="BD621" s="72"/>
    </row>
    <row r="622" spans="55:56" ht="13" x14ac:dyDescent="0.15">
      <c r="BC622" s="72"/>
      <c r="BD622" s="72"/>
    </row>
    <row r="623" spans="55:56" ht="13" x14ac:dyDescent="0.15">
      <c r="BC623" s="72"/>
      <c r="BD623" s="72"/>
    </row>
    <row r="624" spans="55:56" ht="13" x14ac:dyDescent="0.15">
      <c r="BC624" s="72"/>
      <c r="BD624" s="72"/>
    </row>
    <row r="625" spans="55:56" ht="13" x14ac:dyDescent="0.15">
      <c r="BC625" s="72"/>
      <c r="BD625" s="72"/>
    </row>
    <row r="626" spans="55:56" ht="13" x14ac:dyDescent="0.15">
      <c r="BC626" s="72"/>
      <c r="BD626" s="72"/>
    </row>
    <row r="627" spans="55:56" ht="13" x14ac:dyDescent="0.15">
      <c r="BC627" s="72"/>
      <c r="BD627" s="72"/>
    </row>
    <row r="628" spans="55:56" ht="13" x14ac:dyDescent="0.15">
      <c r="BC628" s="72"/>
      <c r="BD628" s="72"/>
    </row>
    <row r="629" spans="55:56" ht="13" x14ac:dyDescent="0.15">
      <c r="BC629" s="72"/>
      <c r="BD629" s="72"/>
    </row>
    <row r="630" spans="55:56" ht="13" x14ac:dyDescent="0.15">
      <c r="BC630" s="72"/>
      <c r="BD630" s="72"/>
    </row>
    <row r="631" spans="55:56" ht="13" x14ac:dyDescent="0.15">
      <c r="BC631" s="72"/>
      <c r="BD631" s="72"/>
    </row>
    <row r="632" spans="55:56" ht="13" x14ac:dyDescent="0.15">
      <c r="BC632" s="72"/>
      <c r="BD632" s="72"/>
    </row>
    <row r="633" spans="55:56" ht="13" x14ac:dyDescent="0.15">
      <c r="BC633" s="72"/>
      <c r="BD633" s="72"/>
    </row>
    <row r="634" spans="55:56" ht="13" x14ac:dyDescent="0.15">
      <c r="BC634" s="72"/>
      <c r="BD634" s="72"/>
    </row>
    <row r="635" spans="55:56" ht="13" x14ac:dyDescent="0.15">
      <c r="BC635" s="72"/>
      <c r="BD635" s="72"/>
    </row>
    <row r="636" spans="55:56" ht="13" x14ac:dyDescent="0.15">
      <c r="BC636" s="72"/>
      <c r="BD636" s="72"/>
    </row>
    <row r="637" spans="55:56" ht="13" x14ac:dyDescent="0.15">
      <c r="BC637" s="72"/>
      <c r="BD637" s="72"/>
    </row>
    <row r="638" spans="55:56" ht="13" x14ac:dyDescent="0.15">
      <c r="BC638" s="72"/>
      <c r="BD638" s="72"/>
    </row>
    <row r="639" spans="55:56" ht="13" x14ac:dyDescent="0.15">
      <c r="BC639" s="72"/>
      <c r="BD639" s="72"/>
    </row>
    <row r="640" spans="55:56" ht="13" x14ac:dyDescent="0.15">
      <c r="BC640" s="72"/>
      <c r="BD640" s="72"/>
    </row>
    <row r="641" spans="55:56" ht="13" x14ac:dyDescent="0.15">
      <c r="BC641" s="72"/>
      <c r="BD641" s="72"/>
    </row>
    <row r="642" spans="55:56" ht="13" x14ac:dyDescent="0.15">
      <c r="BC642" s="72"/>
      <c r="BD642" s="72"/>
    </row>
    <row r="643" spans="55:56" ht="13" x14ac:dyDescent="0.15">
      <c r="BC643" s="72"/>
      <c r="BD643" s="72"/>
    </row>
    <row r="644" spans="55:56" ht="13" x14ac:dyDescent="0.15">
      <c r="BC644" s="72"/>
      <c r="BD644" s="72"/>
    </row>
    <row r="645" spans="55:56" ht="13" x14ac:dyDescent="0.15">
      <c r="BC645" s="72"/>
      <c r="BD645" s="72"/>
    </row>
    <row r="646" spans="55:56" ht="13" x14ac:dyDescent="0.15">
      <c r="BC646" s="72"/>
      <c r="BD646" s="72"/>
    </row>
    <row r="647" spans="55:56" ht="13" x14ac:dyDescent="0.15">
      <c r="BC647" s="72"/>
      <c r="BD647" s="72"/>
    </row>
    <row r="648" spans="55:56" ht="13" x14ac:dyDescent="0.15">
      <c r="BC648" s="72"/>
      <c r="BD648" s="72"/>
    </row>
    <row r="649" spans="55:56" ht="13" x14ac:dyDescent="0.15">
      <c r="BC649" s="72"/>
      <c r="BD649" s="72"/>
    </row>
    <row r="650" spans="55:56" ht="13" x14ac:dyDescent="0.15">
      <c r="BC650" s="72"/>
      <c r="BD650" s="72"/>
    </row>
    <row r="651" spans="55:56" ht="13" x14ac:dyDescent="0.15">
      <c r="BC651" s="72"/>
      <c r="BD651" s="72"/>
    </row>
    <row r="652" spans="55:56" ht="13" x14ac:dyDescent="0.15">
      <c r="BC652" s="72"/>
      <c r="BD652" s="72"/>
    </row>
    <row r="653" spans="55:56" ht="13" x14ac:dyDescent="0.15">
      <c r="BC653" s="72"/>
      <c r="BD653" s="72"/>
    </row>
    <row r="654" spans="55:56" ht="13" x14ac:dyDescent="0.15">
      <c r="BC654" s="72"/>
      <c r="BD654" s="72"/>
    </row>
    <row r="655" spans="55:56" ht="13" x14ac:dyDescent="0.15">
      <c r="BC655" s="72"/>
      <c r="BD655" s="72"/>
    </row>
    <row r="656" spans="55:56" ht="13" x14ac:dyDescent="0.15">
      <c r="BC656" s="72"/>
      <c r="BD656" s="72"/>
    </row>
    <row r="657" spans="55:56" ht="13" x14ac:dyDescent="0.15">
      <c r="BC657" s="72"/>
      <c r="BD657" s="72"/>
    </row>
    <row r="658" spans="55:56" ht="13" x14ac:dyDescent="0.15">
      <c r="BC658" s="72"/>
      <c r="BD658" s="72"/>
    </row>
    <row r="659" spans="55:56" ht="13" x14ac:dyDescent="0.15">
      <c r="BC659" s="72"/>
      <c r="BD659" s="72"/>
    </row>
    <row r="660" spans="55:56" ht="13" x14ac:dyDescent="0.15">
      <c r="BC660" s="72"/>
      <c r="BD660" s="72"/>
    </row>
    <row r="661" spans="55:56" ht="13" x14ac:dyDescent="0.15">
      <c r="BC661" s="72"/>
      <c r="BD661" s="72"/>
    </row>
    <row r="662" spans="55:56" ht="13" x14ac:dyDescent="0.15">
      <c r="BC662" s="72"/>
      <c r="BD662" s="72"/>
    </row>
    <row r="663" spans="55:56" ht="13" x14ac:dyDescent="0.15">
      <c r="BC663" s="72"/>
      <c r="BD663" s="72"/>
    </row>
    <row r="664" spans="55:56" ht="13" x14ac:dyDescent="0.15">
      <c r="BC664" s="72"/>
      <c r="BD664" s="72"/>
    </row>
    <row r="665" spans="55:56" ht="13" x14ac:dyDescent="0.15">
      <c r="BC665" s="72"/>
      <c r="BD665" s="72"/>
    </row>
    <row r="666" spans="55:56" ht="13" x14ac:dyDescent="0.15">
      <c r="BC666" s="72"/>
      <c r="BD666" s="72"/>
    </row>
    <row r="667" spans="55:56" ht="13" x14ac:dyDescent="0.15">
      <c r="BC667" s="72"/>
      <c r="BD667" s="72"/>
    </row>
    <row r="668" spans="55:56" ht="13" x14ac:dyDescent="0.15">
      <c r="BC668" s="72"/>
      <c r="BD668" s="72"/>
    </row>
    <row r="669" spans="55:56" ht="13" x14ac:dyDescent="0.15">
      <c r="BC669" s="72"/>
      <c r="BD669" s="72"/>
    </row>
    <row r="670" spans="55:56" ht="13" x14ac:dyDescent="0.15">
      <c r="BC670" s="72"/>
      <c r="BD670" s="72"/>
    </row>
    <row r="671" spans="55:56" ht="13" x14ac:dyDescent="0.15">
      <c r="BC671" s="72"/>
      <c r="BD671" s="72"/>
    </row>
    <row r="672" spans="55:56" ht="13" x14ac:dyDescent="0.15">
      <c r="BC672" s="72"/>
      <c r="BD672" s="72"/>
    </row>
    <row r="673" spans="55:56" ht="13" x14ac:dyDescent="0.15">
      <c r="BC673" s="72"/>
      <c r="BD673" s="72"/>
    </row>
    <row r="674" spans="55:56" ht="13" x14ac:dyDescent="0.15">
      <c r="BC674" s="72"/>
      <c r="BD674" s="72"/>
    </row>
    <row r="675" spans="55:56" ht="13" x14ac:dyDescent="0.15">
      <c r="BC675" s="72"/>
      <c r="BD675" s="72"/>
    </row>
    <row r="676" spans="55:56" ht="13" x14ac:dyDescent="0.15">
      <c r="BC676" s="72"/>
      <c r="BD676" s="72"/>
    </row>
    <row r="677" spans="55:56" ht="13" x14ac:dyDescent="0.15">
      <c r="BC677" s="72"/>
      <c r="BD677" s="72"/>
    </row>
    <row r="678" spans="55:56" ht="13" x14ac:dyDescent="0.15">
      <c r="BC678" s="72"/>
      <c r="BD678" s="72"/>
    </row>
    <row r="679" spans="55:56" ht="13" x14ac:dyDescent="0.15">
      <c r="BC679" s="72"/>
      <c r="BD679" s="72"/>
    </row>
    <row r="680" spans="55:56" ht="13" x14ac:dyDescent="0.15">
      <c r="BC680" s="72"/>
      <c r="BD680" s="72"/>
    </row>
    <row r="681" spans="55:56" ht="13" x14ac:dyDescent="0.15">
      <c r="BC681" s="72"/>
      <c r="BD681" s="72"/>
    </row>
    <row r="682" spans="55:56" ht="13" x14ac:dyDescent="0.15">
      <c r="BC682" s="72"/>
      <c r="BD682" s="72"/>
    </row>
    <row r="683" spans="55:56" ht="13" x14ac:dyDescent="0.15">
      <c r="BC683" s="72"/>
      <c r="BD683" s="72"/>
    </row>
    <row r="684" spans="55:56" ht="13" x14ac:dyDescent="0.15">
      <c r="BC684" s="72"/>
      <c r="BD684" s="72"/>
    </row>
    <row r="685" spans="55:56" ht="13" x14ac:dyDescent="0.15">
      <c r="BC685" s="72"/>
      <c r="BD685" s="72"/>
    </row>
    <row r="686" spans="55:56" ht="13" x14ac:dyDescent="0.15">
      <c r="BC686" s="72"/>
      <c r="BD686" s="72"/>
    </row>
    <row r="687" spans="55:56" ht="13" x14ac:dyDescent="0.15">
      <c r="BC687" s="72"/>
      <c r="BD687" s="72"/>
    </row>
    <row r="688" spans="55:56" ht="13" x14ac:dyDescent="0.15">
      <c r="BC688" s="72"/>
      <c r="BD688" s="72"/>
    </row>
    <row r="689" spans="55:56" ht="13" x14ac:dyDescent="0.15">
      <c r="BC689" s="72"/>
      <c r="BD689" s="72"/>
    </row>
    <row r="690" spans="55:56" ht="13" x14ac:dyDescent="0.15">
      <c r="BC690" s="72"/>
      <c r="BD690" s="72"/>
    </row>
    <row r="691" spans="55:56" ht="13" x14ac:dyDescent="0.15">
      <c r="BC691" s="72"/>
      <c r="BD691" s="72"/>
    </row>
    <row r="692" spans="55:56" ht="13" x14ac:dyDescent="0.15">
      <c r="BC692" s="72"/>
      <c r="BD692" s="72"/>
    </row>
    <row r="693" spans="55:56" ht="13" x14ac:dyDescent="0.15">
      <c r="BC693" s="72"/>
      <c r="BD693" s="72"/>
    </row>
    <row r="694" spans="55:56" ht="13" x14ac:dyDescent="0.15">
      <c r="BC694" s="72"/>
      <c r="BD694" s="72"/>
    </row>
    <row r="695" spans="55:56" ht="13" x14ac:dyDescent="0.15">
      <c r="BC695" s="72"/>
      <c r="BD695" s="72"/>
    </row>
    <row r="696" spans="55:56" ht="13" x14ac:dyDescent="0.15">
      <c r="BC696" s="72"/>
      <c r="BD696" s="72"/>
    </row>
    <row r="697" spans="55:56" ht="13" x14ac:dyDescent="0.15">
      <c r="BC697" s="72"/>
      <c r="BD697" s="72"/>
    </row>
    <row r="698" spans="55:56" ht="13" x14ac:dyDescent="0.15">
      <c r="BC698" s="72"/>
      <c r="BD698" s="72"/>
    </row>
    <row r="699" spans="55:56" ht="13" x14ac:dyDescent="0.15">
      <c r="BC699" s="72"/>
      <c r="BD699" s="72"/>
    </row>
    <row r="700" spans="55:56" ht="13" x14ac:dyDescent="0.15">
      <c r="BC700" s="72"/>
      <c r="BD700" s="72"/>
    </row>
    <row r="701" spans="55:56" ht="13" x14ac:dyDescent="0.15">
      <c r="BC701" s="72"/>
      <c r="BD701" s="72"/>
    </row>
    <row r="702" spans="55:56" ht="13" x14ac:dyDescent="0.15">
      <c r="BC702" s="72"/>
      <c r="BD702" s="72"/>
    </row>
    <row r="703" spans="55:56" ht="13" x14ac:dyDescent="0.15">
      <c r="BC703" s="72"/>
      <c r="BD703" s="72"/>
    </row>
    <row r="704" spans="55:56" ht="13" x14ac:dyDescent="0.15">
      <c r="BC704" s="72"/>
      <c r="BD704" s="72"/>
    </row>
    <row r="705" spans="55:56" ht="13" x14ac:dyDescent="0.15">
      <c r="BC705" s="72"/>
      <c r="BD705" s="72"/>
    </row>
    <row r="706" spans="55:56" ht="13" x14ac:dyDescent="0.15">
      <c r="BC706" s="72"/>
      <c r="BD706" s="72"/>
    </row>
    <row r="707" spans="55:56" ht="13" x14ac:dyDescent="0.15">
      <c r="BC707" s="72"/>
      <c r="BD707" s="72"/>
    </row>
    <row r="708" spans="55:56" ht="13" x14ac:dyDescent="0.15">
      <c r="BC708" s="72"/>
      <c r="BD708" s="72"/>
    </row>
    <row r="709" spans="55:56" ht="13" x14ac:dyDescent="0.15">
      <c r="BC709" s="72"/>
      <c r="BD709" s="72"/>
    </row>
    <row r="710" spans="55:56" ht="13" x14ac:dyDescent="0.15">
      <c r="BC710" s="72"/>
      <c r="BD710" s="72"/>
    </row>
    <row r="711" spans="55:56" ht="13" x14ac:dyDescent="0.15">
      <c r="BC711" s="72"/>
      <c r="BD711" s="72"/>
    </row>
    <row r="712" spans="55:56" ht="13" x14ac:dyDescent="0.15">
      <c r="BC712" s="72"/>
      <c r="BD712" s="72"/>
    </row>
    <row r="713" spans="55:56" ht="13" x14ac:dyDescent="0.15">
      <c r="BC713" s="72"/>
      <c r="BD713" s="72"/>
    </row>
    <row r="714" spans="55:56" ht="13" x14ac:dyDescent="0.15">
      <c r="BC714" s="72"/>
      <c r="BD714" s="72"/>
    </row>
    <row r="715" spans="55:56" ht="13" x14ac:dyDescent="0.15">
      <c r="BC715" s="72"/>
      <c r="BD715" s="72"/>
    </row>
    <row r="716" spans="55:56" ht="13" x14ac:dyDescent="0.15">
      <c r="BC716" s="72"/>
      <c r="BD716" s="72"/>
    </row>
    <row r="717" spans="55:56" ht="13" x14ac:dyDescent="0.15">
      <c r="BC717" s="72"/>
      <c r="BD717" s="72"/>
    </row>
    <row r="718" spans="55:56" ht="13" x14ac:dyDescent="0.15">
      <c r="BC718" s="72"/>
      <c r="BD718" s="72"/>
    </row>
    <row r="719" spans="55:56" ht="13" x14ac:dyDescent="0.15">
      <c r="BC719" s="72"/>
      <c r="BD719" s="72"/>
    </row>
    <row r="720" spans="55:56" ht="13" x14ac:dyDescent="0.15">
      <c r="BC720" s="72"/>
      <c r="BD720" s="72"/>
    </row>
    <row r="721" spans="55:56" ht="13" x14ac:dyDescent="0.15">
      <c r="BC721" s="72"/>
      <c r="BD721" s="72"/>
    </row>
    <row r="722" spans="55:56" ht="13" x14ac:dyDescent="0.15">
      <c r="BC722" s="72"/>
      <c r="BD722" s="72"/>
    </row>
    <row r="723" spans="55:56" ht="13" x14ac:dyDescent="0.15">
      <c r="BC723" s="72"/>
      <c r="BD723" s="72"/>
    </row>
    <row r="724" spans="55:56" ht="13" x14ac:dyDescent="0.15">
      <c r="BC724" s="72"/>
      <c r="BD724" s="72"/>
    </row>
    <row r="725" spans="55:56" ht="13" x14ac:dyDescent="0.15">
      <c r="BC725" s="72"/>
      <c r="BD725" s="72"/>
    </row>
    <row r="726" spans="55:56" ht="13" x14ac:dyDescent="0.15">
      <c r="BC726" s="72"/>
      <c r="BD726" s="72"/>
    </row>
    <row r="727" spans="55:56" ht="13" x14ac:dyDescent="0.15">
      <c r="BC727" s="72"/>
      <c r="BD727" s="72"/>
    </row>
    <row r="728" spans="55:56" ht="13" x14ac:dyDescent="0.15">
      <c r="BC728" s="72"/>
      <c r="BD728" s="72"/>
    </row>
    <row r="729" spans="55:56" ht="13" x14ac:dyDescent="0.15">
      <c r="BC729" s="72"/>
      <c r="BD729" s="72"/>
    </row>
    <row r="730" spans="55:56" ht="13" x14ac:dyDescent="0.15">
      <c r="BC730" s="72"/>
      <c r="BD730" s="72"/>
    </row>
    <row r="731" spans="55:56" ht="13" x14ac:dyDescent="0.15">
      <c r="BC731" s="72"/>
      <c r="BD731" s="72"/>
    </row>
    <row r="732" spans="55:56" ht="13" x14ac:dyDescent="0.15">
      <c r="BC732" s="72"/>
      <c r="BD732" s="72"/>
    </row>
    <row r="733" spans="55:56" ht="13" x14ac:dyDescent="0.15">
      <c r="BC733" s="72"/>
      <c r="BD733" s="72"/>
    </row>
    <row r="734" spans="55:56" ht="13" x14ac:dyDescent="0.15">
      <c r="BC734" s="72"/>
      <c r="BD734" s="72"/>
    </row>
    <row r="735" spans="55:56" ht="13" x14ac:dyDescent="0.15">
      <c r="BC735" s="72"/>
      <c r="BD735" s="72"/>
    </row>
    <row r="736" spans="55:56" ht="13" x14ac:dyDescent="0.15">
      <c r="BC736" s="72"/>
      <c r="BD736" s="72"/>
    </row>
    <row r="737" spans="55:56" ht="13" x14ac:dyDescent="0.15">
      <c r="BC737" s="72"/>
      <c r="BD737" s="72"/>
    </row>
    <row r="738" spans="55:56" ht="13" x14ac:dyDescent="0.15">
      <c r="BC738" s="72"/>
      <c r="BD738" s="72"/>
    </row>
    <row r="739" spans="55:56" ht="13" x14ac:dyDescent="0.15">
      <c r="BC739" s="72"/>
      <c r="BD739" s="72"/>
    </row>
    <row r="740" spans="55:56" ht="13" x14ac:dyDescent="0.15">
      <c r="BC740" s="72"/>
      <c r="BD740" s="72"/>
    </row>
    <row r="741" spans="55:56" ht="13" x14ac:dyDescent="0.15">
      <c r="BC741" s="72"/>
      <c r="BD741" s="72"/>
    </row>
    <row r="742" spans="55:56" ht="13" x14ac:dyDescent="0.15">
      <c r="BC742" s="72"/>
      <c r="BD742" s="72"/>
    </row>
    <row r="743" spans="55:56" ht="13" x14ac:dyDescent="0.15">
      <c r="BC743" s="72"/>
      <c r="BD743" s="72"/>
    </row>
    <row r="744" spans="55:56" ht="13" x14ac:dyDescent="0.15">
      <c r="BC744" s="72"/>
      <c r="BD744" s="72"/>
    </row>
    <row r="745" spans="55:56" ht="13" x14ac:dyDescent="0.15">
      <c r="BC745" s="72"/>
      <c r="BD745" s="72"/>
    </row>
    <row r="746" spans="55:56" ht="13" x14ac:dyDescent="0.15">
      <c r="BC746" s="72"/>
      <c r="BD746" s="72"/>
    </row>
    <row r="747" spans="55:56" ht="13" x14ac:dyDescent="0.15">
      <c r="BC747" s="72"/>
      <c r="BD747" s="72"/>
    </row>
    <row r="748" spans="55:56" ht="13" x14ac:dyDescent="0.15">
      <c r="BC748" s="72"/>
      <c r="BD748" s="72"/>
    </row>
    <row r="749" spans="55:56" ht="13" x14ac:dyDescent="0.15">
      <c r="BC749" s="72"/>
      <c r="BD749" s="72"/>
    </row>
    <row r="750" spans="55:56" ht="13" x14ac:dyDescent="0.15">
      <c r="BC750" s="72"/>
      <c r="BD750" s="72"/>
    </row>
    <row r="751" spans="55:56" ht="13" x14ac:dyDescent="0.15">
      <c r="BC751" s="72"/>
      <c r="BD751" s="72"/>
    </row>
    <row r="752" spans="55:56" ht="13" x14ac:dyDescent="0.15">
      <c r="BC752" s="72"/>
      <c r="BD752" s="72"/>
    </row>
    <row r="753" spans="55:56" ht="13" x14ac:dyDescent="0.15">
      <c r="BC753" s="72"/>
      <c r="BD753" s="72"/>
    </row>
    <row r="754" spans="55:56" ht="13" x14ac:dyDescent="0.15">
      <c r="BC754" s="72"/>
      <c r="BD754" s="72"/>
    </row>
    <row r="755" spans="55:56" ht="13" x14ac:dyDescent="0.15">
      <c r="BC755" s="72"/>
      <c r="BD755" s="72"/>
    </row>
    <row r="756" spans="55:56" ht="13" x14ac:dyDescent="0.15">
      <c r="BC756" s="72"/>
      <c r="BD756" s="72"/>
    </row>
    <row r="757" spans="55:56" ht="13" x14ac:dyDescent="0.15">
      <c r="BC757" s="72"/>
      <c r="BD757" s="72"/>
    </row>
    <row r="758" spans="55:56" ht="13" x14ac:dyDescent="0.15">
      <c r="BC758" s="72"/>
      <c r="BD758" s="72"/>
    </row>
    <row r="759" spans="55:56" ht="13" x14ac:dyDescent="0.15">
      <c r="BC759" s="72"/>
      <c r="BD759" s="72"/>
    </row>
    <row r="760" spans="55:56" ht="13" x14ac:dyDescent="0.15">
      <c r="BC760" s="72"/>
      <c r="BD760" s="72"/>
    </row>
    <row r="761" spans="55:56" ht="13" x14ac:dyDescent="0.15">
      <c r="BC761" s="72"/>
      <c r="BD761" s="72"/>
    </row>
    <row r="762" spans="55:56" ht="13" x14ac:dyDescent="0.15">
      <c r="BC762" s="72"/>
      <c r="BD762" s="72"/>
    </row>
    <row r="763" spans="55:56" ht="13" x14ac:dyDescent="0.15">
      <c r="BC763" s="72"/>
      <c r="BD763" s="72"/>
    </row>
    <row r="764" spans="55:56" ht="13" x14ac:dyDescent="0.15">
      <c r="BC764" s="72"/>
      <c r="BD764" s="72"/>
    </row>
    <row r="765" spans="55:56" ht="13" x14ac:dyDescent="0.15">
      <c r="BC765" s="72"/>
      <c r="BD765" s="72"/>
    </row>
    <row r="766" spans="55:56" ht="13" x14ac:dyDescent="0.15">
      <c r="BC766" s="72"/>
      <c r="BD766" s="72"/>
    </row>
    <row r="767" spans="55:56" ht="13" x14ac:dyDescent="0.15">
      <c r="BC767" s="72"/>
      <c r="BD767" s="72"/>
    </row>
    <row r="768" spans="55:56" ht="13" x14ac:dyDescent="0.15">
      <c r="BC768" s="72"/>
      <c r="BD768" s="72"/>
    </row>
    <row r="769" spans="55:56" ht="13" x14ac:dyDescent="0.15">
      <c r="BC769" s="72"/>
      <c r="BD769" s="72"/>
    </row>
    <row r="770" spans="55:56" ht="13" x14ac:dyDescent="0.15">
      <c r="BC770" s="72"/>
      <c r="BD770" s="72"/>
    </row>
    <row r="771" spans="55:56" ht="13" x14ac:dyDescent="0.15">
      <c r="BC771" s="72"/>
      <c r="BD771" s="72"/>
    </row>
    <row r="772" spans="55:56" ht="13" x14ac:dyDescent="0.15">
      <c r="BC772" s="72"/>
      <c r="BD772" s="72"/>
    </row>
    <row r="773" spans="55:56" ht="13" x14ac:dyDescent="0.15">
      <c r="BC773" s="72"/>
      <c r="BD773" s="72"/>
    </row>
    <row r="774" spans="55:56" ht="13" x14ac:dyDescent="0.15">
      <c r="BC774" s="72"/>
      <c r="BD774" s="72"/>
    </row>
    <row r="775" spans="55:56" ht="13" x14ac:dyDescent="0.15">
      <c r="BC775" s="72"/>
      <c r="BD775" s="72"/>
    </row>
    <row r="776" spans="55:56" ht="13" x14ac:dyDescent="0.15">
      <c r="BC776" s="72"/>
      <c r="BD776" s="72"/>
    </row>
    <row r="777" spans="55:56" ht="13" x14ac:dyDescent="0.15">
      <c r="BC777" s="72"/>
      <c r="BD777" s="72"/>
    </row>
    <row r="778" spans="55:56" ht="13" x14ac:dyDescent="0.15">
      <c r="BC778" s="72"/>
      <c r="BD778" s="72"/>
    </row>
    <row r="779" spans="55:56" ht="13" x14ac:dyDescent="0.15">
      <c r="BC779" s="72"/>
      <c r="BD779" s="72"/>
    </row>
    <row r="780" spans="55:56" ht="13" x14ac:dyDescent="0.15">
      <c r="BC780" s="72"/>
      <c r="BD780" s="72"/>
    </row>
    <row r="781" spans="55:56" ht="13" x14ac:dyDescent="0.15">
      <c r="BC781" s="72"/>
      <c r="BD781" s="72"/>
    </row>
    <row r="782" spans="55:56" ht="13" x14ac:dyDescent="0.15">
      <c r="BC782" s="72"/>
      <c r="BD782" s="72"/>
    </row>
    <row r="783" spans="55:56" ht="13" x14ac:dyDescent="0.15">
      <c r="BC783" s="72"/>
      <c r="BD783" s="72"/>
    </row>
    <row r="784" spans="55:56" ht="13" x14ac:dyDescent="0.15">
      <c r="BC784" s="72"/>
      <c r="BD784" s="72"/>
    </row>
    <row r="785" spans="55:56" ht="13" x14ac:dyDescent="0.15">
      <c r="BC785" s="72"/>
      <c r="BD785" s="72"/>
    </row>
    <row r="786" spans="55:56" ht="13" x14ac:dyDescent="0.15">
      <c r="BC786" s="72"/>
      <c r="BD786" s="72"/>
    </row>
    <row r="787" spans="55:56" ht="13" x14ac:dyDescent="0.15">
      <c r="BC787" s="72"/>
      <c r="BD787" s="72"/>
    </row>
    <row r="788" spans="55:56" ht="13" x14ac:dyDescent="0.15">
      <c r="BC788" s="72"/>
      <c r="BD788" s="72"/>
    </row>
    <row r="789" spans="55:56" ht="13" x14ac:dyDescent="0.15">
      <c r="BC789" s="72"/>
      <c r="BD789" s="72"/>
    </row>
    <row r="790" spans="55:56" ht="13" x14ac:dyDescent="0.15">
      <c r="BC790" s="72"/>
      <c r="BD790" s="72"/>
    </row>
    <row r="791" spans="55:56" ht="13" x14ac:dyDescent="0.15">
      <c r="BC791" s="72"/>
      <c r="BD791" s="72"/>
    </row>
    <row r="792" spans="55:56" ht="13" x14ac:dyDescent="0.15">
      <c r="BC792" s="72"/>
      <c r="BD792" s="72"/>
    </row>
    <row r="793" spans="55:56" ht="13" x14ac:dyDescent="0.15">
      <c r="BC793" s="72"/>
      <c r="BD793" s="72"/>
    </row>
    <row r="794" spans="55:56" ht="13" x14ac:dyDescent="0.15">
      <c r="BC794" s="72"/>
      <c r="BD794" s="72"/>
    </row>
    <row r="795" spans="55:56" ht="13" x14ac:dyDescent="0.15">
      <c r="BC795" s="72"/>
      <c r="BD795" s="72"/>
    </row>
    <row r="796" spans="55:56" ht="13" x14ac:dyDescent="0.15">
      <c r="BC796" s="72"/>
      <c r="BD796" s="72"/>
    </row>
    <row r="797" spans="55:56" ht="13" x14ac:dyDescent="0.15">
      <c r="BC797" s="72"/>
      <c r="BD797" s="72"/>
    </row>
    <row r="798" spans="55:56" ht="13" x14ac:dyDescent="0.15">
      <c r="BC798" s="72"/>
      <c r="BD798" s="72"/>
    </row>
    <row r="799" spans="55:56" ht="13" x14ac:dyDescent="0.15">
      <c r="BC799" s="72"/>
      <c r="BD799" s="72"/>
    </row>
    <row r="800" spans="55:56" ht="13" x14ac:dyDescent="0.15">
      <c r="BC800" s="72"/>
      <c r="BD800" s="72"/>
    </row>
    <row r="801" spans="55:56" ht="13" x14ac:dyDescent="0.15">
      <c r="BC801" s="72"/>
      <c r="BD801" s="72"/>
    </row>
    <row r="802" spans="55:56" ht="13" x14ac:dyDescent="0.15">
      <c r="BC802" s="72"/>
      <c r="BD802" s="72"/>
    </row>
    <row r="803" spans="55:56" ht="13" x14ac:dyDescent="0.15">
      <c r="BC803" s="72"/>
      <c r="BD803" s="72"/>
    </row>
    <row r="804" spans="55:56" ht="13" x14ac:dyDescent="0.15">
      <c r="BC804" s="72"/>
      <c r="BD804" s="72"/>
    </row>
    <row r="805" spans="55:56" ht="13" x14ac:dyDescent="0.15">
      <c r="BC805" s="72"/>
      <c r="BD805" s="72"/>
    </row>
    <row r="806" spans="55:56" ht="13" x14ac:dyDescent="0.15">
      <c r="BC806" s="72"/>
      <c r="BD806" s="72"/>
    </row>
    <row r="807" spans="55:56" ht="13" x14ac:dyDescent="0.15">
      <c r="BC807" s="72"/>
      <c r="BD807" s="72"/>
    </row>
    <row r="808" spans="55:56" ht="13" x14ac:dyDescent="0.15">
      <c r="BC808" s="72"/>
      <c r="BD808" s="72"/>
    </row>
    <row r="809" spans="55:56" ht="13" x14ac:dyDescent="0.15">
      <c r="BC809" s="72"/>
      <c r="BD809" s="72"/>
    </row>
    <row r="810" spans="55:56" ht="13" x14ac:dyDescent="0.15">
      <c r="BC810" s="72"/>
      <c r="BD810" s="72"/>
    </row>
    <row r="811" spans="55:56" ht="13" x14ac:dyDescent="0.15">
      <c r="BC811" s="72"/>
      <c r="BD811" s="72"/>
    </row>
    <row r="812" spans="55:56" ht="13" x14ac:dyDescent="0.15">
      <c r="BC812" s="72"/>
      <c r="BD812" s="72"/>
    </row>
    <row r="813" spans="55:56" ht="13" x14ac:dyDescent="0.15">
      <c r="BC813" s="72"/>
      <c r="BD813" s="72"/>
    </row>
    <row r="814" spans="55:56" ht="13" x14ac:dyDescent="0.15">
      <c r="BC814" s="72"/>
      <c r="BD814" s="72"/>
    </row>
    <row r="815" spans="55:56" ht="13" x14ac:dyDescent="0.15">
      <c r="BC815" s="72"/>
      <c r="BD815" s="72"/>
    </row>
    <row r="816" spans="55:56" ht="13" x14ac:dyDescent="0.15">
      <c r="BC816" s="72"/>
      <c r="BD816" s="72"/>
    </row>
    <row r="817" spans="55:56" ht="13" x14ac:dyDescent="0.15">
      <c r="BC817" s="72"/>
      <c r="BD817" s="72"/>
    </row>
    <row r="818" spans="55:56" ht="13" x14ac:dyDescent="0.15">
      <c r="BC818" s="72"/>
      <c r="BD818" s="72"/>
    </row>
    <row r="819" spans="55:56" ht="13" x14ac:dyDescent="0.15">
      <c r="BC819" s="72"/>
      <c r="BD819" s="72"/>
    </row>
    <row r="820" spans="55:56" ht="13" x14ac:dyDescent="0.15">
      <c r="BC820" s="72"/>
      <c r="BD820" s="72"/>
    </row>
    <row r="821" spans="55:56" ht="13" x14ac:dyDescent="0.15">
      <c r="BC821" s="72"/>
      <c r="BD821" s="72"/>
    </row>
    <row r="822" spans="55:56" ht="13" x14ac:dyDescent="0.15">
      <c r="BC822" s="72"/>
      <c r="BD822" s="72"/>
    </row>
    <row r="823" spans="55:56" ht="13" x14ac:dyDescent="0.15">
      <c r="BC823" s="72"/>
      <c r="BD823" s="72"/>
    </row>
    <row r="824" spans="55:56" ht="13" x14ac:dyDescent="0.15">
      <c r="BC824" s="72"/>
      <c r="BD824" s="72"/>
    </row>
    <row r="825" spans="55:56" ht="13" x14ac:dyDescent="0.15">
      <c r="BC825" s="72"/>
      <c r="BD825" s="72"/>
    </row>
    <row r="826" spans="55:56" ht="13" x14ac:dyDescent="0.15">
      <c r="BC826" s="72"/>
      <c r="BD826" s="72"/>
    </row>
    <row r="827" spans="55:56" ht="13" x14ac:dyDescent="0.15">
      <c r="BC827" s="72"/>
      <c r="BD827" s="72"/>
    </row>
    <row r="828" spans="55:56" ht="13" x14ac:dyDescent="0.15">
      <c r="BC828" s="72"/>
      <c r="BD828" s="72"/>
    </row>
    <row r="829" spans="55:56" ht="13" x14ac:dyDescent="0.15">
      <c r="BC829" s="72"/>
      <c r="BD829" s="72"/>
    </row>
    <row r="830" spans="55:56" ht="13" x14ac:dyDescent="0.15">
      <c r="BC830" s="72"/>
      <c r="BD830" s="72"/>
    </row>
    <row r="831" spans="55:56" ht="13" x14ac:dyDescent="0.15">
      <c r="BC831" s="72"/>
      <c r="BD831" s="72"/>
    </row>
    <row r="832" spans="55:56" ht="13" x14ac:dyDescent="0.15">
      <c r="BC832" s="72"/>
      <c r="BD832" s="72"/>
    </row>
    <row r="833" spans="55:56" ht="13" x14ac:dyDescent="0.15">
      <c r="BC833" s="72"/>
      <c r="BD833" s="72"/>
    </row>
    <row r="834" spans="55:56" ht="13" x14ac:dyDescent="0.15">
      <c r="BC834" s="72"/>
      <c r="BD834" s="72"/>
    </row>
    <row r="835" spans="55:56" ht="13" x14ac:dyDescent="0.15">
      <c r="BC835" s="72"/>
      <c r="BD835" s="72"/>
    </row>
    <row r="836" spans="55:56" ht="13" x14ac:dyDescent="0.15">
      <c r="BC836" s="72"/>
      <c r="BD836" s="72"/>
    </row>
    <row r="837" spans="55:56" ht="13" x14ac:dyDescent="0.15">
      <c r="BC837" s="72"/>
      <c r="BD837" s="72"/>
    </row>
    <row r="838" spans="55:56" ht="13" x14ac:dyDescent="0.15">
      <c r="BC838" s="72"/>
      <c r="BD838" s="72"/>
    </row>
    <row r="839" spans="55:56" ht="13" x14ac:dyDescent="0.15">
      <c r="BC839" s="72"/>
      <c r="BD839" s="72"/>
    </row>
    <row r="840" spans="55:56" ht="13" x14ac:dyDescent="0.15">
      <c r="BC840" s="72"/>
      <c r="BD840" s="72"/>
    </row>
    <row r="841" spans="55:56" ht="13" x14ac:dyDescent="0.15">
      <c r="BC841" s="72"/>
      <c r="BD841" s="72"/>
    </row>
    <row r="842" spans="55:56" ht="13" x14ac:dyDescent="0.15">
      <c r="BC842" s="72"/>
      <c r="BD842" s="72"/>
    </row>
    <row r="843" spans="55:56" ht="13" x14ac:dyDescent="0.15">
      <c r="BC843" s="72"/>
      <c r="BD843" s="72"/>
    </row>
    <row r="844" spans="55:56" ht="13" x14ac:dyDescent="0.15">
      <c r="BC844" s="72"/>
      <c r="BD844" s="72"/>
    </row>
    <row r="845" spans="55:56" ht="13" x14ac:dyDescent="0.15">
      <c r="BC845" s="72"/>
      <c r="BD845" s="72"/>
    </row>
    <row r="846" spans="55:56" ht="13" x14ac:dyDescent="0.15">
      <c r="BC846" s="72"/>
      <c r="BD846" s="72"/>
    </row>
    <row r="847" spans="55:56" ht="13" x14ac:dyDescent="0.15">
      <c r="BC847" s="72"/>
      <c r="BD847" s="72"/>
    </row>
    <row r="848" spans="55:56" ht="13" x14ac:dyDescent="0.15">
      <c r="BC848" s="72"/>
      <c r="BD848" s="72"/>
    </row>
    <row r="849" spans="55:56" ht="13" x14ac:dyDescent="0.15">
      <c r="BC849" s="72"/>
      <c r="BD849" s="72"/>
    </row>
    <row r="850" spans="55:56" ht="13" x14ac:dyDescent="0.15">
      <c r="BC850" s="72"/>
      <c r="BD850" s="72"/>
    </row>
    <row r="851" spans="55:56" ht="13" x14ac:dyDescent="0.15">
      <c r="BC851" s="72"/>
      <c r="BD851" s="72"/>
    </row>
    <row r="852" spans="55:56" ht="13" x14ac:dyDescent="0.15">
      <c r="BC852" s="72"/>
      <c r="BD852" s="72"/>
    </row>
    <row r="853" spans="55:56" ht="13" x14ac:dyDescent="0.15">
      <c r="BC853" s="72"/>
      <c r="BD853" s="72"/>
    </row>
    <row r="854" spans="55:56" ht="13" x14ac:dyDescent="0.15">
      <c r="BC854" s="72"/>
      <c r="BD854" s="72"/>
    </row>
    <row r="855" spans="55:56" ht="13" x14ac:dyDescent="0.15">
      <c r="BC855" s="72"/>
      <c r="BD855" s="72"/>
    </row>
    <row r="856" spans="55:56" ht="13" x14ac:dyDescent="0.15">
      <c r="BC856" s="72"/>
      <c r="BD856" s="72"/>
    </row>
    <row r="857" spans="55:56" ht="13" x14ac:dyDescent="0.15">
      <c r="BC857" s="72"/>
      <c r="BD857" s="72"/>
    </row>
    <row r="858" spans="55:56" ht="13" x14ac:dyDescent="0.15">
      <c r="BC858" s="72"/>
      <c r="BD858" s="72"/>
    </row>
    <row r="859" spans="55:56" ht="13" x14ac:dyDescent="0.15">
      <c r="BC859" s="72"/>
      <c r="BD859" s="72"/>
    </row>
    <row r="860" spans="55:56" ht="13" x14ac:dyDescent="0.15">
      <c r="BC860" s="72"/>
      <c r="BD860" s="72"/>
    </row>
    <row r="861" spans="55:56" ht="13" x14ac:dyDescent="0.15">
      <c r="BC861" s="72"/>
      <c r="BD861" s="72"/>
    </row>
    <row r="862" spans="55:56" ht="13" x14ac:dyDescent="0.15">
      <c r="BC862" s="72"/>
      <c r="BD862" s="72"/>
    </row>
    <row r="863" spans="55:56" ht="13" x14ac:dyDescent="0.15">
      <c r="BC863" s="72"/>
      <c r="BD863" s="72"/>
    </row>
    <row r="864" spans="55:56" ht="13" x14ac:dyDescent="0.15">
      <c r="BC864" s="72"/>
      <c r="BD864" s="72"/>
    </row>
    <row r="865" spans="55:56" ht="13" x14ac:dyDescent="0.15">
      <c r="BC865" s="72"/>
      <c r="BD865" s="72"/>
    </row>
    <row r="866" spans="55:56" ht="13" x14ac:dyDescent="0.15">
      <c r="BC866" s="72"/>
      <c r="BD866" s="72"/>
    </row>
    <row r="867" spans="55:56" ht="13" x14ac:dyDescent="0.15">
      <c r="BC867" s="72"/>
      <c r="BD867" s="72"/>
    </row>
    <row r="868" spans="55:56" ht="13" x14ac:dyDescent="0.15">
      <c r="BC868" s="72"/>
      <c r="BD868" s="72"/>
    </row>
    <row r="869" spans="55:56" ht="13" x14ac:dyDescent="0.15">
      <c r="BC869" s="72"/>
      <c r="BD869" s="72"/>
    </row>
    <row r="870" spans="55:56" ht="13" x14ac:dyDescent="0.15">
      <c r="BC870" s="72"/>
      <c r="BD870" s="72"/>
    </row>
    <row r="871" spans="55:56" ht="13" x14ac:dyDescent="0.15">
      <c r="BC871" s="72"/>
      <c r="BD871" s="72"/>
    </row>
    <row r="872" spans="55:56" ht="13" x14ac:dyDescent="0.15">
      <c r="BC872" s="72"/>
      <c r="BD872" s="72"/>
    </row>
    <row r="873" spans="55:56" ht="13" x14ac:dyDescent="0.15">
      <c r="BC873" s="72"/>
      <c r="BD873" s="72"/>
    </row>
    <row r="874" spans="55:56" ht="13" x14ac:dyDescent="0.15">
      <c r="BC874" s="72"/>
      <c r="BD874" s="72"/>
    </row>
    <row r="875" spans="55:56" ht="13" x14ac:dyDescent="0.15">
      <c r="BC875" s="72"/>
      <c r="BD875" s="72"/>
    </row>
    <row r="876" spans="55:56" ht="13" x14ac:dyDescent="0.15">
      <c r="BC876" s="72"/>
      <c r="BD876" s="72"/>
    </row>
    <row r="877" spans="55:56" ht="13" x14ac:dyDescent="0.15">
      <c r="BC877" s="72"/>
      <c r="BD877" s="72"/>
    </row>
    <row r="878" spans="55:56" ht="13" x14ac:dyDescent="0.15">
      <c r="BC878" s="72"/>
      <c r="BD878" s="72"/>
    </row>
    <row r="879" spans="55:56" ht="13" x14ac:dyDescent="0.15">
      <c r="BC879" s="72"/>
      <c r="BD879" s="72"/>
    </row>
    <row r="880" spans="55:56" ht="13" x14ac:dyDescent="0.15">
      <c r="BC880" s="72"/>
      <c r="BD880" s="72"/>
    </row>
    <row r="881" spans="55:56" ht="13" x14ac:dyDescent="0.15">
      <c r="BC881" s="72"/>
      <c r="BD881" s="72"/>
    </row>
    <row r="882" spans="55:56" ht="13" x14ac:dyDescent="0.15">
      <c r="BC882" s="72"/>
      <c r="BD882" s="72"/>
    </row>
    <row r="883" spans="55:56" ht="13" x14ac:dyDescent="0.15">
      <c r="BC883" s="72"/>
      <c r="BD883" s="72"/>
    </row>
    <row r="884" spans="55:56" ht="13" x14ac:dyDescent="0.15">
      <c r="BC884" s="72"/>
      <c r="BD884" s="72"/>
    </row>
    <row r="885" spans="55:56" ht="13" x14ac:dyDescent="0.15">
      <c r="BC885" s="72"/>
      <c r="BD885" s="72"/>
    </row>
    <row r="886" spans="55:56" ht="13" x14ac:dyDescent="0.15">
      <c r="BC886" s="72"/>
      <c r="BD886" s="72"/>
    </row>
    <row r="887" spans="55:56" ht="13" x14ac:dyDescent="0.15">
      <c r="BC887" s="72"/>
      <c r="BD887" s="72"/>
    </row>
    <row r="888" spans="55:56" ht="13" x14ac:dyDescent="0.15">
      <c r="BC888" s="72"/>
      <c r="BD888" s="72"/>
    </row>
    <row r="889" spans="55:56" ht="13" x14ac:dyDescent="0.15">
      <c r="BC889" s="72"/>
      <c r="BD889" s="72"/>
    </row>
    <row r="890" spans="55:56" ht="13" x14ac:dyDescent="0.15">
      <c r="BC890" s="72"/>
      <c r="BD890" s="72"/>
    </row>
    <row r="891" spans="55:56" ht="13" x14ac:dyDescent="0.15">
      <c r="BC891" s="72"/>
      <c r="BD891" s="72"/>
    </row>
    <row r="892" spans="55:56" ht="13" x14ac:dyDescent="0.15">
      <c r="BC892" s="72"/>
      <c r="BD892" s="72"/>
    </row>
    <row r="893" spans="55:56" ht="13" x14ac:dyDescent="0.15">
      <c r="BC893" s="72"/>
      <c r="BD893" s="72"/>
    </row>
    <row r="894" spans="55:56" ht="13" x14ac:dyDescent="0.15">
      <c r="BC894" s="72"/>
      <c r="BD894" s="72"/>
    </row>
    <row r="895" spans="55:56" ht="13" x14ac:dyDescent="0.15">
      <c r="BC895" s="72"/>
      <c r="BD895" s="72"/>
    </row>
    <row r="896" spans="55:56" ht="13" x14ac:dyDescent="0.15">
      <c r="BC896" s="72"/>
      <c r="BD896" s="72"/>
    </row>
    <row r="897" spans="55:56" ht="13" x14ac:dyDescent="0.15">
      <c r="BC897" s="72"/>
      <c r="BD897" s="72"/>
    </row>
    <row r="898" spans="55:56" ht="13" x14ac:dyDescent="0.15">
      <c r="BC898" s="72"/>
      <c r="BD898" s="72"/>
    </row>
    <row r="899" spans="55:56" ht="13" x14ac:dyDescent="0.15">
      <c r="BC899" s="72"/>
      <c r="BD899" s="72"/>
    </row>
    <row r="900" spans="55:56" ht="13" x14ac:dyDescent="0.15">
      <c r="BC900" s="72"/>
      <c r="BD900" s="72"/>
    </row>
    <row r="901" spans="55:56" ht="13" x14ac:dyDescent="0.15">
      <c r="BC901" s="72"/>
      <c r="BD901" s="72"/>
    </row>
    <row r="902" spans="55:56" ht="13" x14ac:dyDescent="0.15">
      <c r="BC902" s="72"/>
      <c r="BD902" s="72"/>
    </row>
    <row r="903" spans="55:56" ht="13" x14ac:dyDescent="0.15">
      <c r="BC903" s="72"/>
      <c r="BD903" s="72"/>
    </row>
    <row r="904" spans="55:56" ht="13" x14ac:dyDescent="0.15">
      <c r="BC904" s="72"/>
      <c r="BD904" s="72"/>
    </row>
    <row r="905" spans="55:56" ht="13" x14ac:dyDescent="0.15">
      <c r="BC905" s="72"/>
      <c r="BD905" s="72"/>
    </row>
    <row r="906" spans="55:56" ht="13" x14ac:dyDescent="0.15">
      <c r="BC906" s="72"/>
      <c r="BD906" s="72"/>
    </row>
    <row r="907" spans="55:56" ht="13" x14ac:dyDescent="0.15">
      <c r="BC907" s="72"/>
      <c r="BD907" s="72"/>
    </row>
    <row r="908" spans="55:56" ht="13" x14ac:dyDescent="0.15">
      <c r="BC908" s="72"/>
      <c r="BD908" s="72"/>
    </row>
    <row r="909" spans="55:56" ht="13" x14ac:dyDescent="0.15">
      <c r="BC909" s="72"/>
      <c r="BD909" s="72"/>
    </row>
    <row r="910" spans="55:56" ht="13" x14ac:dyDescent="0.15">
      <c r="BC910" s="72"/>
      <c r="BD910" s="72"/>
    </row>
    <row r="911" spans="55:56" ht="13" x14ac:dyDescent="0.15">
      <c r="BC911" s="72"/>
      <c r="BD911" s="72"/>
    </row>
    <row r="912" spans="55:56" ht="13" x14ac:dyDescent="0.15">
      <c r="BC912" s="72"/>
      <c r="BD912" s="72"/>
    </row>
    <row r="913" spans="55:56" ht="13" x14ac:dyDescent="0.15">
      <c r="BC913" s="72"/>
      <c r="BD913" s="72"/>
    </row>
    <row r="914" spans="55:56" ht="13" x14ac:dyDescent="0.15">
      <c r="BC914" s="72"/>
      <c r="BD914" s="72"/>
    </row>
    <row r="915" spans="55:56" ht="13" x14ac:dyDescent="0.15">
      <c r="BC915" s="72"/>
      <c r="BD915" s="72"/>
    </row>
    <row r="916" spans="55:56" ht="13" x14ac:dyDescent="0.15">
      <c r="BC916" s="72"/>
      <c r="BD916" s="72"/>
    </row>
    <row r="917" spans="55:56" ht="13" x14ac:dyDescent="0.15">
      <c r="BC917" s="72"/>
      <c r="BD917" s="72"/>
    </row>
    <row r="918" spans="55:56" ht="13" x14ac:dyDescent="0.15">
      <c r="BC918" s="72"/>
      <c r="BD918" s="72"/>
    </row>
    <row r="919" spans="55:56" ht="13" x14ac:dyDescent="0.15">
      <c r="BC919" s="72"/>
      <c r="BD919" s="72"/>
    </row>
    <row r="920" spans="55:56" ht="13" x14ac:dyDescent="0.15">
      <c r="BC920" s="72"/>
      <c r="BD920" s="72"/>
    </row>
    <row r="921" spans="55:56" ht="13" x14ac:dyDescent="0.15">
      <c r="BC921" s="72"/>
      <c r="BD921" s="72"/>
    </row>
    <row r="922" spans="55:56" ht="13" x14ac:dyDescent="0.15">
      <c r="BC922" s="72"/>
      <c r="BD922" s="72"/>
    </row>
    <row r="923" spans="55:56" ht="13" x14ac:dyDescent="0.15">
      <c r="BC923" s="72"/>
      <c r="BD923" s="72"/>
    </row>
    <row r="924" spans="55:56" ht="13" x14ac:dyDescent="0.15">
      <c r="BC924" s="72"/>
      <c r="BD924" s="72"/>
    </row>
    <row r="925" spans="55:56" ht="13" x14ac:dyDescent="0.15">
      <c r="BC925" s="72"/>
      <c r="BD925" s="72"/>
    </row>
    <row r="926" spans="55:56" ht="13" x14ac:dyDescent="0.15">
      <c r="BC926" s="72"/>
      <c r="BD926" s="72"/>
    </row>
    <row r="927" spans="55:56" ht="13" x14ac:dyDescent="0.15">
      <c r="BC927" s="72"/>
      <c r="BD927" s="72"/>
    </row>
    <row r="928" spans="55:56" ht="13" x14ac:dyDescent="0.15">
      <c r="BC928" s="72"/>
      <c r="BD928" s="72"/>
    </row>
    <row r="929" spans="55:56" ht="13" x14ac:dyDescent="0.15">
      <c r="BC929" s="72"/>
      <c r="BD929" s="72"/>
    </row>
    <row r="930" spans="55:56" ht="13" x14ac:dyDescent="0.15">
      <c r="BC930" s="72"/>
      <c r="BD930" s="72"/>
    </row>
    <row r="931" spans="55:56" ht="13" x14ac:dyDescent="0.15">
      <c r="BC931" s="72"/>
      <c r="BD931" s="72"/>
    </row>
    <row r="932" spans="55:56" ht="13" x14ac:dyDescent="0.15">
      <c r="BC932" s="72"/>
      <c r="BD932" s="72"/>
    </row>
    <row r="933" spans="55:56" ht="13" x14ac:dyDescent="0.15">
      <c r="BC933" s="72"/>
      <c r="BD933" s="72"/>
    </row>
    <row r="934" spans="55:56" ht="13" x14ac:dyDescent="0.15">
      <c r="BC934" s="72"/>
      <c r="BD934" s="72"/>
    </row>
    <row r="935" spans="55:56" ht="13" x14ac:dyDescent="0.15">
      <c r="BC935" s="72"/>
      <c r="BD935" s="72"/>
    </row>
    <row r="936" spans="55:56" ht="13" x14ac:dyDescent="0.15">
      <c r="BC936" s="72"/>
      <c r="BD936" s="72"/>
    </row>
    <row r="937" spans="55:56" ht="13" x14ac:dyDescent="0.15">
      <c r="BC937" s="72"/>
      <c r="BD937" s="72"/>
    </row>
    <row r="938" spans="55:56" ht="13" x14ac:dyDescent="0.15">
      <c r="BC938" s="72"/>
      <c r="BD938" s="72"/>
    </row>
    <row r="939" spans="55:56" ht="13" x14ac:dyDescent="0.15">
      <c r="BC939" s="72"/>
      <c r="BD939" s="72"/>
    </row>
    <row r="940" spans="55:56" ht="13" x14ac:dyDescent="0.15">
      <c r="BC940" s="72"/>
      <c r="BD940" s="72"/>
    </row>
    <row r="941" spans="55:56" ht="13" x14ac:dyDescent="0.15">
      <c r="BC941" s="72"/>
      <c r="BD941" s="72"/>
    </row>
    <row r="942" spans="55:56" ht="13" x14ac:dyDescent="0.15">
      <c r="BC942" s="72"/>
      <c r="BD942" s="72"/>
    </row>
    <row r="943" spans="55:56" ht="13" x14ac:dyDescent="0.15">
      <c r="BC943" s="72"/>
      <c r="BD943" s="72"/>
    </row>
    <row r="944" spans="55:56" ht="13" x14ac:dyDescent="0.15">
      <c r="BC944" s="72"/>
      <c r="BD944" s="72"/>
    </row>
    <row r="945" spans="55:56" ht="13" x14ac:dyDescent="0.15">
      <c r="BC945" s="72"/>
      <c r="BD945" s="72"/>
    </row>
    <row r="946" spans="55:56" ht="13" x14ac:dyDescent="0.15">
      <c r="BC946" s="72"/>
      <c r="BD946" s="72"/>
    </row>
    <row r="947" spans="55:56" ht="13" x14ac:dyDescent="0.15">
      <c r="BC947" s="72"/>
      <c r="BD947" s="72"/>
    </row>
    <row r="948" spans="55:56" ht="13" x14ac:dyDescent="0.15">
      <c r="BC948" s="72"/>
      <c r="BD948" s="72"/>
    </row>
    <row r="949" spans="55:56" ht="13" x14ac:dyDescent="0.15">
      <c r="BC949" s="72"/>
      <c r="BD949" s="72"/>
    </row>
    <row r="950" spans="55:56" ht="13" x14ac:dyDescent="0.15">
      <c r="BC950" s="72"/>
      <c r="BD950" s="72"/>
    </row>
    <row r="951" spans="55:56" ht="13" x14ac:dyDescent="0.15">
      <c r="BC951" s="72"/>
      <c r="BD951" s="72"/>
    </row>
    <row r="952" spans="55:56" ht="13" x14ac:dyDescent="0.15">
      <c r="BC952" s="72"/>
      <c r="BD952" s="72"/>
    </row>
    <row r="953" spans="55:56" ht="13" x14ac:dyDescent="0.15">
      <c r="BC953" s="72"/>
      <c r="BD953" s="72"/>
    </row>
    <row r="954" spans="55:56" ht="13" x14ac:dyDescent="0.15">
      <c r="BC954" s="72"/>
      <c r="BD954" s="72"/>
    </row>
    <row r="955" spans="55:56" ht="13" x14ac:dyDescent="0.15">
      <c r="BC955" s="72"/>
      <c r="BD955" s="72"/>
    </row>
    <row r="956" spans="55:56" ht="13" x14ac:dyDescent="0.15">
      <c r="BC956" s="72"/>
      <c r="BD956" s="72"/>
    </row>
    <row r="957" spans="55:56" ht="13" x14ac:dyDescent="0.15">
      <c r="BC957" s="72"/>
      <c r="BD957" s="72"/>
    </row>
    <row r="958" spans="55:56" ht="13" x14ac:dyDescent="0.15">
      <c r="BC958" s="72"/>
      <c r="BD958" s="72"/>
    </row>
    <row r="959" spans="55:56" ht="13" x14ac:dyDescent="0.15">
      <c r="BC959" s="72"/>
      <c r="BD959" s="72"/>
    </row>
    <row r="960" spans="55:56" ht="13" x14ac:dyDescent="0.15">
      <c r="BC960" s="72"/>
      <c r="BD960" s="72"/>
    </row>
    <row r="961" spans="55:56" ht="13" x14ac:dyDescent="0.15">
      <c r="BC961" s="72"/>
      <c r="BD961" s="72"/>
    </row>
    <row r="962" spans="55:56" ht="13" x14ac:dyDescent="0.15">
      <c r="BC962" s="72"/>
      <c r="BD962" s="72"/>
    </row>
    <row r="963" spans="55:56" ht="13" x14ac:dyDescent="0.15">
      <c r="BC963" s="72"/>
      <c r="BD963" s="72"/>
    </row>
    <row r="964" spans="55:56" ht="13" x14ac:dyDescent="0.15">
      <c r="BC964" s="72"/>
      <c r="BD964" s="72"/>
    </row>
    <row r="965" spans="55:56" ht="13" x14ac:dyDescent="0.15">
      <c r="BC965" s="72"/>
      <c r="BD965" s="72"/>
    </row>
    <row r="966" spans="55:56" ht="13" x14ac:dyDescent="0.15">
      <c r="BC966" s="72"/>
      <c r="BD966" s="72"/>
    </row>
    <row r="967" spans="55:56" ht="13" x14ac:dyDescent="0.15">
      <c r="BC967" s="72"/>
      <c r="BD967" s="72"/>
    </row>
    <row r="968" spans="55:56" ht="13" x14ac:dyDescent="0.15">
      <c r="BC968" s="72"/>
      <c r="BD968" s="72"/>
    </row>
    <row r="969" spans="55:56" ht="13" x14ac:dyDescent="0.15">
      <c r="BC969" s="72"/>
      <c r="BD969" s="72"/>
    </row>
    <row r="970" spans="55:56" ht="13" x14ac:dyDescent="0.15">
      <c r="BC970" s="72"/>
      <c r="BD970" s="72"/>
    </row>
    <row r="971" spans="55:56" ht="13" x14ac:dyDescent="0.15">
      <c r="BC971" s="72"/>
      <c r="BD971" s="72"/>
    </row>
    <row r="972" spans="55:56" ht="13" x14ac:dyDescent="0.15">
      <c r="BC972" s="72"/>
      <c r="BD972" s="72"/>
    </row>
    <row r="973" spans="55:56" ht="13" x14ac:dyDescent="0.15">
      <c r="BC973" s="72"/>
      <c r="BD973" s="72"/>
    </row>
    <row r="974" spans="55:56" ht="13" x14ac:dyDescent="0.15">
      <c r="BC974" s="72"/>
      <c r="BD974" s="72"/>
    </row>
    <row r="975" spans="55:56" ht="13" x14ac:dyDescent="0.15">
      <c r="BC975" s="72"/>
      <c r="BD975" s="72"/>
    </row>
    <row r="976" spans="55:56" ht="13" x14ac:dyDescent="0.15">
      <c r="BC976" s="72"/>
      <c r="BD976" s="72"/>
    </row>
    <row r="977" spans="55:56" ht="13" x14ac:dyDescent="0.15">
      <c r="BC977" s="72"/>
      <c r="BD977" s="72"/>
    </row>
    <row r="978" spans="55:56" ht="13" x14ac:dyDescent="0.15">
      <c r="BC978" s="72"/>
      <c r="BD978" s="72"/>
    </row>
    <row r="979" spans="55:56" ht="13" x14ac:dyDescent="0.15">
      <c r="BC979" s="72"/>
      <c r="BD979" s="72"/>
    </row>
    <row r="980" spans="55:56" ht="13" x14ac:dyDescent="0.15">
      <c r="BC980" s="72"/>
      <c r="BD980" s="72"/>
    </row>
    <row r="981" spans="55:56" ht="13" x14ac:dyDescent="0.15">
      <c r="BC981" s="72"/>
      <c r="BD981" s="72"/>
    </row>
    <row r="982" spans="55:56" ht="13" x14ac:dyDescent="0.15">
      <c r="BC982" s="72"/>
      <c r="BD982" s="72"/>
    </row>
    <row r="983" spans="55:56" ht="13" x14ac:dyDescent="0.15">
      <c r="BC983" s="72"/>
      <c r="BD983" s="72"/>
    </row>
    <row r="984" spans="55:56" ht="13" x14ac:dyDescent="0.15">
      <c r="BC984" s="72"/>
      <c r="BD984" s="72"/>
    </row>
    <row r="985" spans="55:56" ht="13" x14ac:dyDescent="0.15">
      <c r="BC985" s="72"/>
      <c r="BD985" s="72"/>
    </row>
    <row r="986" spans="55:56" ht="13" x14ac:dyDescent="0.15">
      <c r="BC986" s="72"/>
      <c r="BD986" s="72"/>
    </row>
    <row r="987" spans="55:56" ht="13" x14ac:dyDescent="0.15">
      <c r="BC987" s="72"/>
      <c r="BD987" s="72"/>
    </row>
    <row r="988" spans="55:56" ht="13" x14ac:dyDescent="0.15">
      <c r="BC988" s="72"/>
      <c r="BD988" s="72"/>
    </row>
    <row r="989" spans="55:56" ht="13" x14ac:dyDescent="0.15">
      <c r="BC989" s="72"/>
      <c r="BD989" s="72"/>
    </row>
    <row r="990" spans="55:56" ht="13" x14ac:dyDescent="0.15">
      <c r="BC990" s="72"/>
      <c r="BD990" s="72"/>
    </row>
    <row r="991" spans="55:56" ht="13" x14ac:dyDescent="0.15">
      <c r="BC991" s="72"/>
      <c r="BD991" s="72"/>
    </row>
    <row r="992" spans="55:56" ht="13" x14ac:dyDescent="0.15">
      <c r="BC992" s="72"/>
      <c r="BD992" s="72"/>
    </row>
    <row r="993" spans="55:56" ht="13" x14ac:dyDescent="0.15">
      <c r="BC993" s="72"/>
      <c r="BD993" s="72"/>
    </row>
    <row r="994" spans="55:56" ht="13" x14ac:dyDescent="0.15">
      <c r="BC994" s="72"/>
      <c r="BD994" s="72"/>
    </row>
    <row r="995" spans="55:56" ht="13" x14ac:dyDescent="0.15">
      <c r="BC995" s="72"/>
      <c r="BD995" s="72"/>
    </row>
    <row r="996" spans="55:56" ht="13" x14ac:dyDescent="0.15">
      <c r="BC996" s="72"/>
      <c r="BD996" s="72"/>
    </row>
    <row r="997" spans="55:56" ht="13" x14ac:dyDescent="0.15">
      <c r="BC997" s="72"/>
      <c r="BD997" s="72"/>
    </row>
    <row r="998" spans="55:56" ht="13" x14ac:dyDescent="0.15">
      <c r="BC998" s="72"/>
      <c r="BD998" s="72"/>
    </row>
    <row r="999" spans="55:56" ht="13" x14ac:dyDescent="0.15">
      <c r="BC999" s="72"/>
      <c r="BD999" s="72"/>
    </row>
    <row r="1000" spans="55:56" ht="13" x14ac:dyDescent="0.15">
      <c r="BC1000" s="72"/>
      <c r="BD1000" s="72"/>
    </row>
    <row r="1001" spans="55:56" ht="13" x14ac:dyDescent="0.15">
      <c r="BC1001" s="72"/>
      <c r="BD1001" s="72"/>
    </row>
    <row r="1002" spans="55:56" ht="13" x14ac:dyDescent="0.15">
      <c r="BC1002" s="72"/>
      <c r="BD1002" s="72"/>
    </row>
    <row r="1003" spans="55:56" ht="13" x14ac:dyDescent="0.15">
      <c r="BC1003" s="72"/>
      <c r="BD1003" s="72"/>
    </row>
    <row r="1004" spans="55:56" ht="13" x14ac:dyDescent="0.15">
      <c r="BC1004" s="72"/>
      <c r="BD1004" s="72"/>
    </row>
    <row r="1005" spans="55:56" ht="13" x14ac:dyDescent="0.15">
      <c r="BC1005" s="72"/>
      <c r="BD1005" s="72"/>
    </row>
    <row r="1006" spans="55:56" ht="13" x14ac:dyDescent="0.15">
      <c r="BC1006" s="72"/>
      <c r="BD1006" s="72"/>
    </row>
    <row r="1007" spans="55:56" ht="13" x14ac:dyDescent="0.15">
      <c r="BC1007" s="72"/>
      <c r="BD1007" s="72"/>
    </row>
    <row r="1008" spans="55:56" ht="13" x14ac:dyDescent="0.15">
      <c r="BC1008" s="72"/>
      <c r="BD1008" s="72"/>
    </row>
    <row r="1009" spans="55:56" ht="13" x14ac:dyDescent="0.15">
      <c r="BC1009" s="72"/>
      <c r="BD1009" s="72"/>
    </row>
    <row r="1010" spans="55:56" ht="13" x14ac:dyDescent="0.15">
      <c r="BC1010" s="72"/>
      <c r="BD1010" s="72"/>
    </row>
    <row r="1011" spans="55:56" ht="13" x14ac:dyDescent="0.15">
      <c r="BC1011" s="72"/>
      <c r="BD1011" s="72"/>
    </row>
    <row r="1012" spans="55:56" ht="13" x14ac:dyDescent="0.15">
      <c r="BC1012" s="72"/>
      <c r="BD1012" s="72"/>
    </row>
    <row r="1013" spans="55:56" ht="13" x14ac:dyDescent="0.15">
      <c r="BC1013" s="72"/>
      <c r="BD1013" s="72"/>
    </row>
    <row r="1014" spans="55:56" ht="13" x14ac:dyDescent="0.15">
      <c r="BC1014" s="72"/>
      <c r="BD1014" s="72"/>
    </row>
    <row r="1015" spans="55:56" ht="13" x14ac:dyDescent="0.15">
      <c r="BC1015" s="72"/>
      <c r="BD1015" s="72"/>
    </row>
    <row r="1016" spans="55:56" ht="13" x14ac:dyDescent="0.15">
      <c r="BC1016" s="72"/>
      <c r="BD1016" s="72"/>
    </row>
    <row r="1017" spans="55:56" ht="13" x14ac:dyDescent="0.15">
      <c r="BC1017" s="72"/>
      <c r="BD1017" s="72"/>
    </row>
    <row r="1018" spans="55:56" ht="13" x14ac:dyDescent="0.15">
      <c r="BC1018" s="72"/>
      <c r="BD1018" s="72"/>
    </row>
    <row r="1019" spans="55:56" ht="13" x14ac:dyDescent="0.15">
      <c r="BC1019" s="72"/>
      <c r="BD1019" s="72"/>
    </row>
    <row r="1020" spans="55:56" ht="13" x14ac:dyDescent="0.15">
      <c r="BC1020" s="72"/>
      <c r="BD1020" s="72"/>
    </row>
    <row r="1021" spans="55:56" ht="13" x14ac:dyDescent="0.15">
      <c r="BC1021" s="72"/>
      <c r="BD1021" s="72"/>
    </row>
    <row r="1022" spans="55:56" ht="13" x14ac:dyDescent="0.15">
      <c r="BC1022" s="72"/>
      <c r="BD1022" s="72"/>
    </row>
    <row r="1023" spans="55:56" ht="13" x14ac:dyDescent="0.15">
      <c r="BC1023" s="72"/>
      <c r="BD1023" s="72"/>
    </row>
    <row r="1024" spans="55:56" ht="13" x14ac:dyDescent="0.15">
      <c r="BC1024" s="72"/>
      <c r="BD1024" s="72"/>
    </row>
    <row r="1025" spans="55:56" ht="13" x14ac:dyDescent="0.15">
      <c r="BC1025" s="72"/>
      <c r="BD1025" s="72"/>
    </row>
    <row r="1026" spans="55:56" ht="13" x14ac:dyDescent="0.15">
      <c r="BC1026" s="72"/>
      <c r="BD1026" s="72"/>
    </row>
    <row r="1027" spans="55:56" ht="13" x14ac:dyDescent="0.15">
      <c r="BC1027" s="72"/>
      <c r="BD1027" s="72"/>
    </row>
    <row r="1028" spans="55:56" ht="13" x14ac:dyDescent="0.15">
      <c r="BC1028" s="72"/>
      <c r="BD1028" s="72"/>
    </row>
    <row r="1029" spans="55:56" ht="13" x14ac:dyDescent="0.15">
      <c r="BC1029" s="72"/>
      <c r="BD1029" s="72"/>
    </row>
    <row r="1030" spans="55:56" ht="13" x14ac:dyDescent="0.15">
      <c r="BC1030" s="72"/>
      <c r="BD1030" s="72"/>
    </row>
    <row r="1031" spans="55:56" ht="13" x14ac:dyDescent="0.15">
      <c r="BC1031" s="72"/>
      <c r="BD1031" s="72"/>
    </row>
    <row r="1032" spans="55:56" ht="13" x14ac:dyDescent="0.15">
      <c r="BC1032" s="72"/>
      <c r="BD1032" s="72"/>
    </row>
    <row r="1033" spans="55:56" ht="13" x14ac:dyDescent="0.15">
      <c r="BC1033" s="72"/>
      <c r="BD1033" s="72"/>
    </row>
    <row r="1034" spans="55:56" ht="13" x14ac:dyDescent="0.15">
      <c r="BC1034" s="72"/>
      <c r="BD1034" s="72"/>
    </row>
    <row r="1035" spans="55:56" ht="13" x14ac:dyDescent="0.15">
      <c r="BC1035" s="72"/>
      <c r="BD1035" s="72"/>
    </row>
    <row r="1036" spans="55:56" ht="13" x14ac:dyDescent="0.15">
      <c r="BC1036" s="72"/>
      <c r="BD1036" s="72"/>
    </row>
    <row r="1037" spans="55:56" ht="13" x14ac:dyDescent="0.15">
      <c r="BC1037" s="72"/>
      <c r="BD1037" s="72"/>
    </row>
    <row r="1038" spans="55:56" ht="13" x14ac:dyDescent="0.15">
      <c r="BC1038" s="72"/>
      <c r="BD1038" s="72"/>
    </row>
    <row r="1039" spans="55:56" ht="13" x14ac:dyDescent="0.15">
      <c r="BC1039" s="72"/>
      <c r="BD1039" s="72"/>
    </row>
    <row r="1040" spans="55:56" ht="13" x14ac:dyDescent="0.15">
      <c r="BC1040" s="72"/>
      <c r="BD1040" s="72"/>
    </row>
    <row r="1041" spans="55:56" ht="13" x14ac:dyDescent="0.15">
      <c r="BC1041" s="72"/>
      <c r="BD1041" s="72"/>
    </row>
    <row r="1042" spans="55:56" ht="13" x14ac:dyDescent="0.15">
      <c r="BC1042" s="72"/>
      <c r="BD1042" s="72"/>
    </row>
    <row r="1043" spans="55:56" ht="13" x14ac:dyDescent="0.15">
      <c r="BC1043" s="72"/>
      <c r="BD1043" s="72"/>
    </row>
    <row r="1044" spans="55:56" ht="13" x14ac:dyDescent="0.15">
      <c r="BC1044" s="72"/>
      <c r="BD1044" s="72"/>
    </row>
    <row r="1045" spans="55:56" ht="13" x14ac:dyDescent="0.15">
      <c r="BC1045" s="72"/>
      <c r="BD1045" s="72"/>
    </row>
    <row r="1046" spans="55:56" ht="13" x14ac:dyDescent="0.15">
      <c r="BC1046" s="72"/>
      <c r="BD1046" s="72"/>
    </row>
    <row r="1047" spans="55:56" ht="13" x14ac:dyDescent="0.15">
      <c r="BC1047" s="72"/>
      <c r="BD1047" s="72"/>
    </row>
    <row r="1048" spans="55:56" ht="13" x14ac:dyDescent="0.15">
      <c r="BC1048" s="72"/>
      <c r="BD1048" s="72"/>
    </row>
    <row r="1049" spans="55:56" ht="13" x14ac:dyDescent="0.15">
      <c r="BC1049" s="72"/>
      <c r="BD1049" s="72"/>
    </row>
    <row r="1050" spans="55:56" ht="13" x14ac:dyDescent="0.15">
      <c r="BC1050" s="72"/>
      <c r="BD1050" s="72"/>
    </row>
    <row r="1051" spans="55:56" ht="13" x14ac:dyDescent="0.15">
      <c r="BC1051" s="72"/>
      <c r="BD1051" s="72"/>
    </row>
    <row r="1052" spans="55:56" ht="13" x14ac:dyDescent="0.15">
      <c r="BC1052" s="72"/>
      <c r="BD1052" s="72"/>
    </row>
    <row r="1053" spans="55:56" ht="13" x14ac:dyDescent="0.15">
      <c r="BC1053" s="72"/>
      <c r="BD1053" s="72"/>
    </row>
    <row r="1054" spans="55:56" ht="13" x14ac:dyDescent="0.15">
      <c r="BC1054" s="72"/>
      <c r="BD1054" s="72"/>
    </row>
    <row r="1055" spans="55:56" ht="13" x14ac:dyDescent="0.15">
      <c r="BC1055" s="72"/>
      <c r="BD1055" s="72"/>
    </row>
    <row r="1056" spans="55:56" ht="13" x14ac:dyDescent="0.15">
      <c r="BC1056" s="72"/>
      <c r="BD1056" s="72"/>
    </row>
    <row r="1057" spans="55:56" ht="13" x14ac:dyDescent="0.15">
      <c r="BC1057" s="72"/>
      <c r="BD1057" s="72"/>
    </row>
    <row r="1058" spans="55:56" ht="13" x14ac:dyDescent="0.15">
      <c r="BC1058" s="72"/>
      <c r="BD1058" s="72"/>
    </row>
    <row r="1059" spans="55:56" ht="13" x14ac:dyDescent="0.15">
      <c r="BC1059" s="72"/>
      <c r="BD1059" s="72"/>
    </row>
    <row r="1060" spans="55:56" ht="13" x14ac:dyDescent="0.15">
      <c r="BC1060" s="72"/>
      <c r="BD1060" s="72"/>
    </row>
    <row r="1061" spans="55:56" ht="13" x14ac:dyDescent="0.15">
      <c r="BC1061" s="72"/>
      <c r="BD1061" s="72"/>
    </row>
    <row r="1062" spans="55:56" ht="13" x14ac:dyDescent="0.15">
      <c r="BC1062" s="72"/>
      <c r="BD1062" s="72"/>
    </row>
    <row r="1063" spans="55:56" ht="13" x14ac:dyDescent="0.15">
      <c r="BC1063" s="72"/>
      <c r="BD1063" s="72"/>
    </row>
    <row r="1064" spans="55:56" ht="13" x14ac:dyDescent="0.15">
      <c r="BC1064" s="72"/>
      <c r="BD1064" s="72"/>
    </row>
    <row r="1065" spans="55:56" ht="13" x14ac:dyDescent="0.15">
      <c r="BC1065" s="72"/>
      <c r="BD1065" s="72"/>
    </row>
    <row r="1066" spans="55:56" ht="13" x14ac:dyDescent="0.15">
      <c r="BC1066" s="72"/>
      <c r="BD1066" s="72"/>
    </row>
    <row r="1067" spans="55:56" ht="13" x14ac:dyDescent="0.15">
      <c r="BC1067" s="72"/>
      <c r="BD1067" s="72"/>
    </row>
    <row r="1068" spans="55:56" ht="13" x14ac:dyDescent="0.15">
      <c r="BC1068" s="72"/>
      <c r="BD1068" s="72"/>
    </row>
    <row r="1069" spans="55:56" ht="13" x14ac:dyDescent="0.15">
      <c r="BC1069" s="72"/>
      <c r="BD1069" s="72"/>
    </row>
    <row r="1070" spans="55:56" ht="13" x14ac:dyDescent="0.15">
      <c r="BC1070" s="72"/>
      <c r="BD1070" s="72"/>
    </row>
    <row r="1071" spans="55:56" ht="13" x14ac:dyDescent="0.15">
      <c r="BC1071" s="72"/>
      <c r="BD1071" s="72"/>
    </row>
    <row r="1072" spans="55:56" ht="13" x14ac:dyDescent="0.15">
      <c r="BC1072" s="72"/>
      <c r="BD1072" s="72"/>
    </row>
    <row r="1073" spans="55:56" ht="13" x14ac:dyDescent="0.15">
      <c r="BC1073" s="72"/>
      <c r="BD1073" s="72"/>
    </row>
    <row r="1074" spans="55:56" ht="13" x14ac:dyDescent="0.15">
      <c r="BC1074" s="72"/>
      <c r="BD1074" s="72"/>
    </row>
    <row r="1075" spans="55:56" ht="13" x14ac:dyDescent="0.15">
      <c r="BC1075" s="72"/>
      <c r="BD1075" s="72"/>
    </row>
    <row r="1076" spans="55:56" ht="13" x14ac:dyDescent="0.15">
      <c r="BC1076" s="72"/>
      <c r="BD1076" s="72"/>
    </row>
    <row r="1077" spans="55:56" ht="13" x14ac:dyDescent="0.15">
      <c r="BC1077" s="72"/>
      <c r="BD1077" s="72"/>
    </row>
    <row r="1078" spans="55:56" ht="13" x14ac:dyDescent="0.15">
      <c r="BC1078" s="72"/>
      <c r="BD1078" s="72"/>
    </row>
    <row r="1079" spans="55:56" ht="13" x14ac:dyDescent="0.15">
      <c r="BC1079" s="72"/>
      <c r="BD1079" s="72"/>
    </row>
    <row r="1080" spans="55:56" ht="13" x14ac:dyDescent="0.15">
      <c r="BC1080" s="72"/>
      <c r="BD1080" s="72"/>
    </row>
    <row r="1081" spans="55:56" ht="13" x14ac:dyDescent="0.15">
      <c r="BC1081" s="72"/>
      <c r="BD1081" s="72"/>
    </row>
    <row r="1082" spans="55:56" ht="13" x14ac:dyDescent="0.15">
      <c r="BC1082" s="72"/>
      <c r="BD1082" s="72"/>
    </row>
    <row r="1083" spans="55:56" ht="13" x14ac:dyDescent="0.15">
      <c r="BC1083" s="72"/>
      <c r="BD1083" s="72"/>
    </row>
    <row r="1084" spans="55:56" ht="13" x14ac:dyDescent="0.15">
      <c r="BC1084" s="72"/>
      <c r="BD1084" s="72"/>
    </row>
    <row r="1085" spans="55:56" ht="13" x14ac:dyDescent="0.15">
      <c r="BC1085" s="72"/>
      <c r="BD1085" s="72"/>
    </row>
    <row r="1086" spans="55:56" ht="13" x14ac:dyDescent="0.15">
      <c r="BC1086" s="72"/>
      <c r="BD1086" s="72"/>
    </row>
    <row r="1087" spans="55:56" ht="13" x14ac:dyDescent="0.15">
      <c r="BC1087" s="72"/>
      <c r="BD1087" s="72"/>
    </row>
    <row r="1088" spans="55:56" ht="13" x14ac:dyDescent="0.15">
      <c r="BC1088" s="72"/>
      <c r="BD1088" s="72"/>
    </row>
    <row r="1089" spans="55:56" ht="13" x14ac:dyDescent="0.15">
      <c r="BC1089" s="72"/>
      <c r="BD1089" s="72"/>
    </row>
    <row r="1090" spans="55:56" ht="13" x14ac:dyDescent="0.15">
      <c r="BC1090" s="72"/>
      <c r="BD1090" s="72"/>
    </row>
    <row r="1091" spans="55:56" ht="13" x14ac:dyDescent="0.15">
      <c r="BC1091" s="72"/>
      <c r="BD1091" s="72"/>
    </row>
    <row r="1092" spans="55:56" ht="13" x14ac:dyDescent="0.15">
      <c r="BC1092" s="72"/>
      <c r="BD1092" s="72"/>
    </row>
    <row r="1093" spans="55:56" ht="13" x14ac:dyDescent="0.15">
      <c r="BC1093" s="72"/>
      <c r="BD1093" s="72"/>
    </row>
    <row r="1094" spans="55:56" ht="13" x14ac:dyDescent="0.15">
      <c r="BC1094" s="72"/>
      <c r="BD1094" s="72"/>
    </row>
    <row r="1095" spans="55:56" ht="13" x14ac:dyDescent="0.15">
      <c r="BC1095" s="72"/>
      <c r="BD1095" s="72"/>
    </row>
    <row r="1096" spans="55:56" ht="13" x14ac:dyDescent="0.15">
      <c r="BC1096" s="72"/>
      <c r="BD1096" s="72"/>
    </row>
    <row r="1097" spans="55:56" ht="13" x14ac:dyDescent="0.15">
      <c r="BC1097" s="72"/>
      <c r="BD1097" s="72"/>
    </row>
    <row r="1098" spans="55:56" ht="13" x14ac:dyDescent="0.15">
      <c r="BC1098" s="72"/>
      <c r="BD1098" s="72"/>
    </row>
    <row r="1099" spans="55:56" ht="13" x14ac:dyDescent="0.15">
      <c r="BC1099" s="72"/>
      <c r="BD1099" s="72"/>
    </row>
    <row r="1100" spans="55:56" ht="13" x14ac:dyDescent="0.15">
      <c r="BC1100" s="72"/>
      <c r="BD1100" s="72"/>
    </row>
    <row r="1101" spans="55:56" ht="13" x14ac:dyDescent="0.15">
      <c r="BC1101" s="72"/>
      <c r="BD1101" s="72"/>
    </row>
    <row r="1102" spans="55:56" ht="13" x14ac:dyDescent="0.15">
      <c r="BC1102" s="72"/>
      <c r="BD1102" s="72"/>
    </row>
    <row r="1103" spans="55:56" ht="13" x14ac:dyDescent="0.15">
      <c r="BC1103" s="72"/>
      <c r="BD1103" s="72"/>
    </row>
    <row r="1104" spans="55:56" ht="13" x14ac:dyDescent="0.15">
      <c r="BC1104" s="72"/>
      <c r="BD1104" s="72"/>
    </row>
    <row r="1105" spans="55:56" ht="13" x14ac:dyDescent="0.15">
      <c r="BC1105" s="72"/>
      <c r="BD1105" s="72"/>
    </row>
    <row r="1106" spans="55:56" ht="13" x14ac:dyDescent="0.15">
      <c r="BC1106" s="72"/>
      <c r="BD1106" s="72"/>
    </row>
    <row r="1107" spans="55:56" ht="13" x14ac:dyDescent="0.15">
      <c r="BC1107" s="72"/>
      <c r="BD1107" s="72"/>
    </row>
    <row r="1108" spans="55:56" ht="13" x14ac:dyDescent="0.15">
      <c r="BC1108" s="72"/>
      <c r="BD1108" s="72"/>
    </row>
    <row r="1109" spans="55:56" ht="13" x14ac:dyDescent="0.15">
      <c r="BC1109" s="72"/>
      <c r="BD1109" s="72"/>
    </row>
    <row r="1110" spans="55:56" ht="13" x14ac:dyDescent="0.15">
      <c r="BC1110" s="72"/>
      <c r="BD1110" s="72"/>
    </row>
    <row r="1111" spans="55:56" ht="13" x14ac:dyDescent="0.15">
      <c r="BC1111" s="72"/>
      <c r="BD1111" s="72"/>
    </row>
    <row r="1112" spans="55:56" ht="13" x14ac:dyDescent="0.15">
      <c r="BC1112" s="72"/>
      <c r="BD1112" s="72"/>
    </row>
    <row r="1113" spans="55:56" ht="13" x14ac:dyDescent="0.15">
      <c r="BC1113" s="72"/>
      <c r="BD1113" s="72"/>
    </row>
    <row r="1114" spans="55:56" ht="13" x14ac:dyDescent="0.15">
      <c r="BC1114" s="72"/>
      <c r="BD1114" s="72"/>
    </row>
    <row r="1115" spans="55:56" ht="13" x14ac:dyDescent="0.15">
      <c r="BC1115" s="72"/>
      <c r="BD1115" s="72"/>
    </row>
    <row r="1116" spans="55:56" ht="13" x14ac:dyDescent="0.15">
      <c r="BC1116" s="72"/>
      <c r="BD1116" s="72"/>
    </row>
    <row r="1117" spans="55:56" ht="13" x14ac:dyDescent="0.15">
      <c r="BC1117" s="72"/>
      <c r="BD1117" s="72"/>
    </row>
    <row r="1118" spans="55:56" ht="13" x14ac:dyDescent="0.15">
      <c r="BC1118" s="72"/>
      <c r="BD1118" s="72"/>
    </row>
    <row r="1119" spans="55:56" ht="13" x14ac:dyDescent="0.15">
      <c r="BC1119" s="72"/>
      <c r="BD1119" s="72"/>
    </row>
    <row r="1120" spans="55:56" ht="13" x14ac:dyDescent="0.15">
      <c r="BC1120" s="72"/>
      <c r="BD1120" s="72"/>
    </row>
    <row r="1121" spans="55:56" ht="13" x14ac:dyDescent="0.15">
      <c r="BC1121" s="72"/>
      <c r="BD1121" s="72"/>
    </row>
    <row r="1122" spans="55:56" ht="13" x14ac:dyDescent="0.15">
      <c r="BC1122" s="72"/>
      <c r="BD1122" s="72"/>
    </row>
    <row r="1123" spans="55:56" ht="13" x14ac:dyDescent="0.15">
      <c r="BC1123" s="72"/>
      <c r="BD1123" s="72"/>
    </row>
    <row r="1124" spans="55:56" ht="13" x14ac:dyDescent="0.15">
      <c r="BC1124" s="72"/>
      <c r="BD1124" s="72"/>
    </row>
    <row r="1125" spans="55:56" ht="13" x14ac:dyDescent="0.15">
      <c r="BC1125" s="72"/>
      <c r="BD1125" s="72"/>
    </row>
    <row r="1126" spans="55:56" ht="13" x14ac:dyDescent="0.15">
      <c r="BC1126" s="72"/>
      <c r="BD1126" s="72"/>
    </row>
    <row r="1127" spans="55:56" ht="13" x14ac:dyDescent="0.15">
      <c r="BC1127" s="72"/>
      <c r="BD1127" s="72"/>
    </row>
    <row r="1128" spans="55:56" ht="13" x14ac:dyDescent="0.15">
      <c r="BC1128" s="72"/>
      <c r="BD1128" s="72"/>
    </row>
    <row r="1129" spans="55:56" ht="13" x14ac:dyDescent="0.15">
      <c r="BC1129" s="72"/>
      <c r="BD1129" s="72"/>
    </row>
    <row r="1130" spans="55:56" ht="13" x14ac:dyDescent="0.15">
      <c r="BC1130" s="72"/>
      <c r="BD1130" s="72"/>
    </row>
    <row r="1131" spans="55:56" ht="13" x14ac:dyDescent="0.15">
      <c r="BC1131" s="72"/>
      <c r="BD1131" s="72"/>
    </row>
    <row r="1132" spans="55:56" ht="13" x14ac:dyDescent="0.15">
      <c r="BC1132" s="72"/>
      <c r="BD1132" s="72"/>
    </row>
    <row r="1133" spans="55:56" ht="13" x14ac:dyDescent="0.15">
      <c r="BC1133" s="72"/>
      <c r="BD1133" s="72"/>
    </row>
    <row r="1134" spans="55:56" ht="13" x14ac:dyDescent="0.15">
      <c r="BC1134" s="72"/>
      <c r="BD1134" s="72"/>
    </row>
    <row r="1135" spans="55:56" ht="13" x14ac:dyDescent="0.15">
      <c r="BC1135" s="72"/>
      <c r="BD1135" s="72"/>
    </row>
    <row r="1136" spans="55:56" ht="13" x14ac:dyDescent="0.15">
      <c r="BC1136" s="72"/>
      <c r="BD1136" s="72"/>
    </row>
    <row r="1137" spans="55:56" ht="13" x14ac:dyDescent="0.15">
      <c r="BC1137" s="72"/>
      <c r="BD1137" s="72"/>
    </row>
    <row r="1138" spans="55:56" ht="13" x14ac:dyDescent="0.15">
      <c r="BC1138" s="72"/>
      <c r="BD1138" s="72"/>
    </row>
    <row r="1139" spans="55:56" ht="13" x14ac:dyDescent="0.15">
      <c r="BC1139" s="72"/>
      <c r="BD1139" s="72"/>
    </row>
    <row r="1140" spans="55:56" ht="13" x14ac:dyDescent="0.15">
      <c r="BC1140" s="72"/>
      <c r="BD1140" s="72"/>
    </row>
    <row r="1141" spans="55:56" ht="13" x14ac:dyDescent="0.15">
      <c r="BC1141" s="72"/>
      <c r="BD1141" s="72"/>
    </row>
    <row r="1142" spans="55:56" ht="13" x14ac:dyDescent="0.15">
      <c r="BC1142" s="72"/>
      <c r="BD1142" s="72"/>
    </row>
    <row r="1143" spans="55:56" ht="13" x14ac:dyDescent="0.15">
      <c r="BC1143" s="72"/>
      <c r="BD1143" s="72"/>
    </row>
    <row r="1144" spans="55:56" ht="13" x14ac:dyDescent="0.15">
      <c r="BC1144" s="72"/>
      <c r="BD1144" s="72"/>
    </row>
    <row r="1145" spans="55:56" ht="13" x14ac:dyDescent="0.15">
      <c r="BC1145" s="72"/>
      <c r="BD1145" s="72"/>
    </row>
    <row r="1146" spans="55:56" ht="13" x14ac:dyDescent="0.15">
      <c r="BC1146" s="72"/>
      <c r="BD1146" s="72"/>
    </row>
    <row r="1147" spans="55:56" ht="13" x14ac:dyDescent="0.15">
      <c r="BC1147" s="72"/>
      <c r="BD1147" s="72"/>
    </row>
    <row r="1148" spans="55:56" ht="13" x14ac:dyDescent="0.15">
      <c r="BC1148" s="72"/>
      <c r="BD1148" s="72"/>
    </row>
    <row r="1149" spans="55:56" ht="13" x14ac:dyDescent="0.15">
      <c r="BC1149" s="72"/>
      <c r="BD1149" s="72"/>
    </row>
    <row r="1150" spans="55:56" ht="13" x14ac:dyDescent="0.15">
      <c r="BC1150" s="72"/>
      <c r="BD1150" s="72"/>
    </row>
    <row r="1151" spans="55:56" ht="13" x14ac:dyDescent="0.15">
      <c r="BC1151" s="72"/>
      <c r="BD1151" s="72"/>
    </row>
    <row r="1152" spans="55:56" ht="13" x14ac:dyDescent="0.15">
      <c r="BC1152" s="72"/>
      <c r="BD1152" s="72"/>
    </row>
    <row r="1153" spans="55:56" ht="13" x14ac:dyDescent="0.15">
      <c r="BC1153" s="72"/>
      <c r="BD1153" s="72"/>
    </row>
    <row r="1154" spans="55:56" ht="13" x14ac:dyDescent="0.15">
      <c r="BC1154" s="72"/>
      <c r="BD1154" s="72"/>
    </row>
    <row r="1155" spans="55:56" ht="13" x14ac:dyDescent="0.15">
      <c r="BC1155" s="72"/>
      <c r="BD1155" s="72"/>
    </row>
    <row r="1156" spans="55:56" ht="13" x14ac:dyDescent="0.15">
      <c r="BC1156" s="72"/>
      <c r="BD1156" s="72"/>
    </row>
    <row r="1157" spans="55:56" ht="13" x14ac:dyDescent="0.15">
      <c r="BC1157" s="72"/>
      <c r="BD1157" s="72"/>
    </row>
    <row r="1158" spans="55:56" ht="13" x14ac:dyDescent="0.15">
      <c r="BC1158" s="72"/>
      <c r="BD1158" s="72"/>
    </row>
    <row r="1159" spans="55:56" ht="13" x14ac:dyDescent="0.15">
      <c r="BC1159" s="72"/>
      <c r="BD1159" s="72"/>
    </row>
    <row r="1160" spans="55:56" ht="13" x14ac:dyDescent="0.15">
      <c r="BC1160" s="72"/>
      <c r="BD1160" s="72"/>
    </row>
    <row r="1161" spans="55:56" ht="13" x14ac:dyDescent="0.15">
      <c r="BC1161" s="72"/>
      <c r="BD1161" s="72"/>
    </row>
    <row r="1162" spans="55:56" ht="13" x14ac:dyDescent="0.15">
      <c r="BC1162" s="72"/>
      <c r="BD1162" s="72"/>
    </row>
    <row r="1163" spans="55:56" ht="13" x14ac:dyDescent="0.15">
      <c r="BC1163" s="72"/>
      <c r="BD1163" s="72"/>
    </row>
    <row r="1164" spans="55:56" ht="13" x14ac:dyDescent="0.15">
      <c r="BC1164" s="72"/>
      <c r="BD1164" s="72"/>
    </row>
    <row r="1165" spans="55:56" ht="13" x14ac:dyDescent="0.15">
      <c r="BC1165" s="72"/>
      <c r="BD1165" s="72"/>
    </row>
    <row r="1166" spans="55:56" ht="13" x14ac:dyDescent="0.15">
      <c r="BC1166" s="72"/>
      <c r="BD1166" s="72"/>
    </row>
    <row r="1167" spans="55:56" ht="13" x14ac:dyDescent="0.15">
      <c r="BC1167" s="72"/>
      <c r="BD1167" s="72"/>
    </row>
    <row r="1168" spans="55:56" ht="13" x14ac:dyDescent="0.15">
      <c r="BC1168" s="72"/>
      <c r="BD1168" s="72"/>
    </row>
    <row r="1169" spans="55:56" ht="13" x14ac:dyDescent="0.15">
      <c r="BC1169" s="72"/>
      <c r="BD1169" s="72"/>
    </row>
    <row r="1170" spans="55:56" ht="13" x14ac:dyDescent="0.15">
      <c r="BC1170" s="72"/>
      <c r="BD1170" s="72"/>
    </row>
    <row r="1171" spans="55:56" ht="13" x14ac:dyDescent="0.15">
      <c r="BC1171" s="72"/>
      <c r="BD1171" s="72"/>
    </row>
    <row r="1172" spans="55:56" ht="13" x14ac:dyDescent="0.15">
      <c r="BC1172" s="72"/>
      <c r="BD1172" s="72"/>
    </row>
    <row r="1173" spans="55:56" ht="13" x14ac:dyDescent="0.15">
      <c r="BC1173" s="72"/>
      <c r="BD1173" s="72"/>
    </row>
    <row r="1174" spans="55:56" ht="13" x14ac:dyDescent="0.15">
      <c r="BC1174" s="72"/>
      <c r="BD1174" s="72"/>
    </row>
    <row r="1175" spans="55:56" ht="13" x14ac:dyDescent="0.15">
      <c r="BC1175" s="72"/>
      <c r="BD1175" s="72"/>
    </row>
    <row r="1176" spans="55:56" ht="13" x14ac:dyDescent="0.15">
      <c r="BC1176" s="72"/>
      <c r="BD1176" s="72"/>
    </row>
    <row r="1177" spans="55:56" ht="13" x14ac:dyDescent="0.15">
      <c r="BC1177" s="72"/>
      <c r="BD1177" s="72"/>
    </row>
    <row r="1178" spans="55:56" ht="13" x14ac:dyDescent="0.15">
      <c r="BC1178" s="72"/>
      <c r="BD1178" s="72"/>
    </row>
    <row r="1179" spans="55:56" ht="13" x14ac:dyDescent="0.15">
      <c r="BC1179" s="72"/>
      <c r="BD1179" s="72"/>
    </row>
    <row r="1180" spans="55:56" ht="13" x14ac:dyDescent="0.15">
      <c r="BC1180" s="72"/>
      <c r="BD1180" s="72"/>
    </row>
    <row r="1181" spans="55:56" ht="13" x14ac:dyDescent="0.15">
      <c r="BC1181" s="72"/>
      <c r="BD1181" s="72"/>
    </row>
    <row r="1182" spans="55:56" ht="13" x14ac:dyDescent="0.15">
      <c r="BC1182" s="72"/>
      <c r="BD1182" s="72"/>
    </row>
    <row r="1183" spans="55:56" ht="13" x14ac:dyDescent="0.15">
      <c r="BC1183" s="72"/>
      <c r="BD1183" s="72"/>
    </row>
    <row r="1184" spans="55:56" ht="13" x14ac:dyDescent="0.15">
      <c r="BC1184" s="72"/>
      <c r="BD1184" s="72"/>
    </row>
    <row r="1185" spans="55:56" ht="13" x14ac:dyDescent="0.15">
      <c r="BC1185" s="72"/>
      <c r="BD1185" s="72"/>
    </row>
    <row r="1186" spans="55:56" ht="13" x14ac:dyDescent="0.15">
      <c r="BC1186" s="72"/>
      <c r="BD1186" s="72"/>
    </row>
    <row r="1187" spans="55:56" ht="13" x14ac:dyDescent="0.15">
      <c r="BC1187" s="72"/>
      <c r="BD1187" s="72"/>
    </row>
    <row r="1188" spans="55:56" ht="13" x14ac:dyDescent="0.15">
      <c r="BC1188" s="72"/>
      <c r="BD1188" s="72"/>
    </row>
    <row r="1189" spans="55:56" ht="13" x14ac:dyDescent="0.15">
      <c r="BC1189" s="72"/>
      <c r="BD1189" s="72"/>
    </row>
    <row r="1190" spans="55:56" ht="13" x14ac:dyDescent="0.15">
      <c r="BC1190" s="72"/>
      <c r="BD1190" s="72"/>
    </row>
    <row r="1191" spans="55:56" ht="13" x14ac:dyDescent="0.15">
      <c r="BC1191" s="72"/>
      <c r="BD1191" s="72"/>
    </row>
    <row r="1192" spans="55:56" ht="13" x14ac:dyDescent="0.15">
      <c r="BC1192" s="72"/>
      <c r="BD1192" s="72"/>
    </row>
    <row r="1193" spans="55:56" ht="13" x14ac:dyDescent="0.15">
      <c r="BC1193" s="72"/>
      <c r="BD1193" s="72"/>
    </row>
    <row r="1194" spans="55:56" ht="13" x14ac:dyDescent="0.15">
      <c r="BC1194" s="72"/>
      <c r="BD1194" s="72"/>
    </row>
    <row r="1195" spans="55:56" ht="13" x14ac:dyDescent="0.15">
      <c r="BC1195" s="72"/>
      <c r="BD1195" s="72"/>
    </row>
    <row r="1196" spans="55:56" ht="13" x14ac:dyDescent="0.15">
      <c r="BC1196" s="72"/>
      <c r="BD1196" s="72"/>
    </row>
    <row r="1197" spans="55:56" ht="13" x14ac:dyDescent="0.15">
      <c r="BC1197" s="72"/>
      <c r="BD1197" s="72"/>
    </row>
    <row r="1198" spans="55:56" ht="13" x14ac:dyDescent="0.15">
      <c r="BC1198" s="72"/>
      <c r="BD1198" s="72"/>
    </row>
    <row r="1199" spans="55:56" ht="13" x14ac:dyDescent="0.15">
      <c r="BC1199" s="72"/>
      <c r="BD1199" s="72"/>
    </row>
    <row r="1200" spans="55:56" ht="13" x14ac:dyDescent="0.15">
      <c r="BC1200" s="72"/>
      <c r="BD1200" s="72"/>
    </row>
    <row r="1201" spans="55:56" ht="13" x14ac:dyDescent="0.15">
      <c r="BC1201" s="72"/>
      <c r="BD1201" s="72"/>
    </row>
    <row r="1202" spans="55:56" ht="13" x14ac:dyDescent="0.15">
      <c r="BC1202" s="72"/>
      <c r="BD1202" s="72"/>
    </row>
    <row r="1203" spans="55:56" ht="13" x14ac:dyDescent="0.15">
      <c r="BC1203" s="72"/>
      <c r="BD1203" s="72"/>
    </row>
    <row r="1204" spans="55:56" ht="13" x14ac:dyDescent="0.15">
      <c r="BC1204" s="72"/>
      <c r="BD1204" s="72"/>
    </row>
    <row r="1205" spans="55:56" ht="13" x14ac:dyDescent="0.15">
      <c r="BC1205" s="72"/>
      <c r="BD1205" s="72"/>
    </row>
    <row r="1206" spans="55:56" ht="13" x14ac:dyDescent="0.15">
      <c r="BC1206" s="72"/>
      <c r="BD1206" s="72"/>
    </row>
    <row r="1207" spans="55:56" ht="13" x14ac:dyDescent="0.15">
      <c r="BC1207" s="72"/>
      <c r="BD1207" s="72"/>
    </row>
    <row r="1208" spans="55:56" ht="13" x14ac:dyDescent="0.15">
      <c r="BC1208" s="72"/>
      <c r="BD1208" s="72"/>
    </row>
    <row r="1209" spans="55:56" ht="13" x14ac:dyDescent="0.15">
      <c r="BC1209" s="72"/>
      <c r="BD1209" s="72"/>
    </row>
    <row r="1210" spans="55:56" ht="13" x14ac:dyDescent="0.15">
      <c r="BC1210" s="72"/>
      <c r="BD1210" s="72"/>
    </row>
    <row r="1211" spans="55:56" ht="13" x14ac:dyDescent="0.15">
      <c r="BC1211" s="72"/>
      <c r="BD1211" s="72"/>
    </row>
    <row r="1212" spans="55:56" ht="13" x14ac:dyDescent="0.15">
      <c r="BC1212" s="72"/>
      <c r="BD1212" s="72"/>
    </row>
    <row r="1213" spans="55:56" ht="13" x14ac:dyDescent="0.15">
      <c r="BC1213" s="72"/>
      <c r="BD1213" s="72"/>
    </row>
    <row r="1214" spans="55:56" ht="13" x14ac:dyDescent="0.15">
      <c r="BC1214" s="72"/>
      <c r="BD1214" s="72"/>
    </row>
    <row r="1215" spans="55:56" ht="13" x14ac:dyDescent="0.15">
      <c r="BC1215" s="72"/>
      <c r="BD1215" s="72"/>
    </row>
    <row r="1216" spans="55:56" ht="13" x14ac:dyDescent="0.15">
      <c r="BC1216" s="72"/>
      <c r="BD1216" s="72"/>
    </row>
    <row r="1217" spans="55:56" ht="13" x14ac:dyDescent="0.15">
      <c r="BC1217" s="72"/>
      <c r="BD1217" s="72"/>
    </row>
    <row r="1218" spans="55:56" ht="13" x14ac:dyDescent="0.15">
      <c r="BC1218" s="72"/>
      <c r="BD1218" s="72"/>
    </row>
    <row r="1219" spans="55:56" ht="13" x14ac:dyDescent="0.15">
      <c r="BC1219" s="72"/>
      <c r="BD1219" s="72"/>
    </row>
    <row r="1220" spans="55:56" ht="13" x14ac:dyDescent="0.15">
      <c r="BC1220" s="72"/>
      <c r="BD1220" s="72"/>
    </row>
    <row r="1221" spans="55:56" ht="13" x14ac:dyDescent="0.15">
      <c r="BC1221" s="72"/>
      <c r="BD1221" s="72"/>
    </row>
    <row r="1222" spans="55:56" ht="13" x14ac:dyDescent="0.15">
      <c r="BC1222" s="72"/>
      <c r="BD1222" s="72"/>
    </row>
    <row r="1223" spans="55:56" ht="13" x14ac:dyDescent="0.15">
      <c r="BC1223" s="72"/>
      <c r="BD1223" s="72"/>
    </row>
    <row r="1224" spans="55:56" ht="13" x14ac:dyDescent="0.15">
      <c r="BC1224" s="72"/>
      <c r="BD1224" s="72"/>
    </row>
    <row r="1225" spans="55:56" ht="13" x14ac:dyDescent="0.15">
      <c r="BC1225" s="72"/>
      <c r="BD1225" s="72"/>
    </row>
    <row r="1226" spans="55:56" ht="13" x14ac:dyDescent="0.15">
      <c r="BC1226" s="72"/>
      <c r="BD1226" s="72"/>
    </row>
    <row r="1227" spans="55:56" ht="13" x14ac:dyDescent="0.15">
      <c r="BC1227" s="72"/>
      <c r="BD1227" s="72"/>
    </row>
    <row r="1228" spans="55:56" ht="13" x14ac:dyDescent="0.15">
      <c r="BC1228" s="72"/>
      <c r="BD1228" s="72"/>
    </row>
    <row r="1229" spans="55:56" ht="13" x14ac:dyDescent="0.15">
      <c r="BC1229" s="72"/>
      <c r="BD1229" s="72"/>
    </row>
    <row r="1230" spans="55:56" ht="13" x14ac:dyDescent="0.15">
      <c r="BC1230" s="72"/>
      <c r="BD1230" s="72"/>
    </row>
    <row r="1231" spans="55:56" ht="13" x14ac:dyDescent="0.15">
      <c r="BC1231" s="72"/>
      <c r="BD1231" s="72"/>
    </row>
    <row r="1232" spans="55:56" ht="13" x14ac:dyDescent="0.15">
      <c r="BC1232" s="72"/>
      <c r="BD1232" s="72"/>
    </row>
    <row r="1233" spans="55:56" ht="13" x14ac:dyDescent="0.15">
      <c r="BC1233" s="72"/>
      <c r="BD1233" s="72"/>
    </row>
    <row r="1234" spans="55:56" ht="13" x14ac:dyDescent="0.15">
      <c r="BC1234" s="72"/>
      <c r="BD1234" s="72"/>
    </row>
    <row r="1235" spans="55:56" ht="13" x14ac:dyDescent="0.15">
      <c r="BC1235" s="72"/>
      <c r="BD1235" s="72"/>
    </row>
    <row r="1236" spans="55:56" ht="13" x14ac:dyDescent="0.15">
      <c r="BC1236" s="72"/>
      <c r="BD1236" s="72"/>
    </row>
    <row r="1237" spans="55:56" ht="13" x14ac:dyDescent="0.15">
      <c r="BC1237" s="72"/>
      <c r="BD1237" s="72"/>
    </row>
    <row r="1238" spans="55:56" ht="13" x14ac:dyDescent="0.15">
      <c r="BC1238" s="72"/>
      <c r="BD1238" s="72"/>
    </row>
    <row r="1239" spans="55:56" ht="13" x14ac:dyDescent="0.15">
      <c r="BC1239" s="72"/>
      <c r="BD1239" s="72"/>
    </row>
    <row r="1240" spans="55:56" ht="13" x14ac:dyDescent="0.15">
      <c r="BC1240" s="72"/>
      <c r="BD1240" s="72"/>
    </row>
    <row r="1241" spans="55:56" ht="13" x14ac:dyDescent="0.15">
      <c r="BC1241" s="72"/>
      <c r="BD1241" s="72"/>
    </row>
    <row r="1242" spans="55:56" ht="13" x14ac:dyDescent="0.15">
      <c r="BC1242" s="72"/>
      <c r="BD1242" s="72"/>
    </row>
    <row r="1243" spans="55:56" ht="13" x14ac:dyDescent="0.15">
      <c r="BC1243" s="72"/>
      <c r="BD1243" s="72"/>
    </row>
    <row r="1244" spans="55:56" ht="13" x14ac:dyDescent="0.15">
      <c r="BC1244" s="72"/>
      <c r="BD1244" s="72"/>
    </row>
    <row r="1245" spans="55:56" ht="13" x14ac:dyDescent="0.15">
      <c r="BC1245" s="72"/>
      <c r="BD1245" s="72"/>
    </row>
    <row r="1246" spans="55:56" ht="13" x14ac:dyDescent="0.15">
      <c r="BC1246" s="72"/>
      <c r="BD1246" s="72"/>
    </row>
    <row r="1247" spans="55:56" ht="13" x14ac:dyDescent="0.15">
      <c r="BC1247" s="72"/>
      <c r="BD1247" s="72"/>
    </row>
    <row r="1248" spans="55:56" ht="13" x14ac:dyDescent="0.15">
      <c r="BC1248" s="72"/>
      <c r="BD1248" s="72"/>
    </row>
    <row r="1249" spans="55:56" ht="13" x14ac:dyDescent="0.15">
      <c r="BC1249" s="72"/>
      <c r="BD1249" s="72"/>
    </row>
    <row r="1250" spans="55:56" ht="13" x14ac:dyDescent="0.15">
      <c r="BC1250" s="72"/>
      <c r="BD1250" s="72"/>
    </row>
    <row r="1251" spans="55:56" ht="13" x14ac:dyDescent="0.15">
      <c r="BC1251" s="72"/>
      <c r="BD1251" s="72"/>
    </row>
    <row r="1252" spans="55:56" ht="13" x14ac:dyDescent="0.15">
      <c r="BC1252" s="72"/>
      <c r="BD1252" s="72"/>
    </row>
    <row r="1253" spans="55:56" ht="13" x14ac:dyDescent="0.15">
      <c r="BC1253" s="72"/>
      <c r="BD1253" s="72"/>
    </row>
    <row r="1254" spans="55:56" ht="13" x14ac:dyDescent="0.15">
      <c r="BC1254" s="72"/>
      <c r="BD1254" s="72"/>
    </row>
    <row r="1255" spans="55:56" ht="13" x14ac:dyDescent="0.15">
      <c r="BC1255" s="72"/>
      <c r="BD1255" s="72"/>
    </row>
    <row r="1256" spans="55:56" ht="13" x14ac:dyDescent="0.15">
      <c r="BC1256" s="72"/>
      <c r="BD1256" s="72"/>
    </row>
    <row r="1257" spans="55:56" ht="13" x14ac:dyDescent="0.15">
      <c r="BC1257" s="72"/>
      <c r="BD1257" s="72"/>
    </row>
    <row r="1258" spans="55:56" ht="13" x14ac:dyDescent="0.15">
      <c r="BC1258" s="72"/>
      <c r="BD1258" s="72"/>
    </row>
    <row r="1259" spans="55:56" ht="13" x14ac:dyDescent="0.15">
      <c r="BC1259" s="72"/>
      <c r="BD1259" s="72"/>
    </row>
    <row r="1260" spans="55:56" ht="13" x14ac:dyDescent="0.15">
      <c r="BC1260" s="72"/>
      <c r="BD1260" s="72"/>
    </row>
    <row r="1261" spans="55:56" ht="13" x14ac:dyDescent="0.15">
      <c r="BC1261" s="72"/>
      <c r="BD1261" s="72"/>
    </row>
    <row r="1262" spans="55:56" ht="13" x14ac:dyDescent="0.15">
      <c r="BC1262" s="72"/>
      <c r="BD1262" s="72"/>
    </row>
    <row r="1263" spans="55:56" ht="13" x14ac:dyDescent="0.15">
      <c r="BC1263" s="72"/>
      <c r="BD1263" s="72"/>
    </row>
    <row r="1264" spans="55:56" ht="13" x14ac:dyDescent="0.15">
      <c r="BC1264" s="72"/>
      <c r="BD1264" s="72"/>
    </row>
    <row r="1265" spans="55:56" ht="13" x14ac:dyDescent="0.15">
      <c r="BC1265" s="72"/>
      <c r="BD1265" s="72"/>
    </row>
    <row r="1266" spans="55:56" ht="13" x14ac:dyDescent="0.15">
      <c r="BC1266" s="72"/>
      <c r="BD1266" s="72"/>
    </row>
    <row r="1267" spans="55:56" ht="13" x14ac:dyDescent="0.15">
      <c r="BC1267" s="72"/>
      <c r="BD1267" s="72"/>
    </row>
    <row r="1268" spans="55:56" ht="13" x14ac:dyDescent="0.15">
      <c r="BC1268" s="72"/>
      <c r="BD1268" s="72"/>
    </row>
    <row r="1269" spans="55:56" ht="13" x14ac:dyDescent="0.15">
      <c r="BC1269" s="72"/>
      <c r="BD1269" s="72"/>
    </row>
    <row r="1270" spans="55:56" ht="13" x14ac:dyDescent="0.15">
      <c r="BC1270" s="72"/>
      <c r="BD1270" s="72"/>
    </row>
    <row r="1271" spans="55:56" ht="13" x14ac:dyDescent="0.15">
      <c r="BC1271" s="72"/>
      <c r="BD1271" s="72"/>
    </row>
    <row r="1272" spans="55:56" ht="13" x14ac:dyDescent="0.15">
      <c r="BC1272" s="72"/>
      <c r="BD1272" s="72"/>
    </row>
    <row r="1273" spans="55:56" ht="13" x14ac:dyDescent="0.15">
      <c r="BC1273" s="72"/>
      <c r="BD1273" s="72"/>
    </row>
    <row r="1274" spans="55:56" ht="13" x14ac:dyDescent="0.15">
      <c r="BC1274" s="72"/>
      <c r="BD1274" s="72"/>
    </row>
    <row r="1275" spans="55:56" ht="13" x14ac:dyDescent="0.15">
      <c r="BC1275" s="72"/>
      <c r="BD1275" s="72"/>
    </row>
    <row r="1276" spans="55:56" ht="13" x14ac:dyDescent="0.15">
      <c r="BC1276" s="72"/>
      <c r="BD1276" s="72"/>
    </row>
    <row r="1277" spans="55:56" ht="13" x14ac:dyDescent="0.15">
      <c r="BC1277" s="72"/>
      <c r="BD1277" s="72"/>
    </row>
    <row r="1278" spans="55:56" ht="13" x14ac:dyDescent="0.15">
      <c r="BC1278" s="72"/>
      <c r="BD1278" s="72"/>
    </row>
    <row r="1279" spans="55:56" ht="13" x14ac:dyDescent="0.15">
      <c r="BC1279" s="72"/>
      <c r="BD1279" s="72"/>
    </row>
    <row r="1280" spans="55:56" ht="13" x14ac:dyDescent="0.15">
      <c r="BC1280" s="72"/>
      <c r="BD1280" s="72"/>
    </row>
    <row r="1281" spans="55:56" ht="13" x14ac:dyDescent="0.15">
      <c r="BC1281" s="72"/>
      <c r="BD1281" s="72"/>
    </row>
    <row r="1282" spans="55:56" ht="13" x14ac:dyDescent="0.15">
      <c r="BC1282" s="72"/>
      <c r="BD1282" s="72"/>
    </row>
    <row r="1283" spans="55:56" ht="13" x14ac:dyDescent="0.15">
      <c r="BC1283" s="72"/>
      <c r="BD1283" s="72"/>
    </row>
    <row r="1284" spans="55:56" ht="13" x14ac:dyDescent="0.15">
      <c r="BC1284" s="72"/>
      <c r="BD1284" s="72"/>
    </row>
    <row r="1285" spans="55:56" ht="13" x14ac:dyDescent="0.15">
      <c r="BC1285" s="72"/>
      <c r="BD1285" s="72"/>
    </row>
    <row r="1286" spans="55:56" ht="13" x14ac:dyDescent="0.15">
      <c r="BC1286" s="72"/>
      <c r="BD1286" s="72"/>
    </row>
    <row r="1287" spans="55:56" ht="13" x14ac:dyDescent="0.15">
      <c r="BC1287" s="72"/>
      <c r="BD1287" s="72"/>
    </row>
    <row r="1288" spans="55:56" ht="13" x14ac:dyDescent="0.15">
      <c r="BC1288" s="72"/>
      <c r="BD1288" s="72"/>
    </row>
    <row r="1289" spans="55:56" ht="13" x14ac:dyDescent="0.15">
      <c r="BC1289" s="72"/>
      <c r="BD1289" s="72"/>
    </row>
    <row r="1290" spans="55:56" ht="13" x14ac:dyDescent="0.15">
      <c r="BC1290" s="72"/>
      <c r="BD1290" s="72"/>
    </row>
    <row r="1291" spans="55:56" ht="13" x14ac:dyDescent="0.15">
      <c r="BC1291" s="72"/>
      <c r="BD1291" s="72"/>
    </row>
    <row r="1292" spans="55:56" ht="13" x14ac:dyDescent="0.15">
      <c r="BC1292" s="72"/>
      <c r="BD1292" s="72"/>
    </row>
    <row r="1293" spans="55:56" ht="13" x14ac:dyDescent="0.15">
      <c r="BC1293" s="72"/>
      <c r="BD1293" s="72"/>
    </row>
    <row r="1294" spans="55:56" ht="13" x14ac:dyDescent="0.15">
      <c r="BC1294" s="72"/>
      <c r="BD1294" s="72"/>
    </row>
    <row r="1295" spans="55:56" ht="13" x14ac:dyDescent="0.15">
      <c r="BC1295" s="72"/>
      <c r="BD1295" s="72"/>
    </row>
    <row r="1296" spans="55:56" ht="13" x14ac:dyDescent="0.15">
      <c r="BC1296" s="72"/>
      <c r="BD1296" s="72"/>
    </row>
    <row r="1297" spans="55:56" ht="13" x14ac:dyDescent="0.15">
      <c r="BC1297" s="72"/>
      <c r="BD1297" s="72"/>
    </row>
    <row r="1298" spans="55:56" ht="13" x14ac:dyDescent="0.15">
      <c r="BC1298" s="72"/>
      <c r="BD1298" s="72"/>
    </row>
    <row r="1299" spans="55:56" ht="13" x14ac:dyDescent="0.15">
      <c r="BC1299" s="72"/>
      <c r="BD1299" s="72"/>
    </row>
    <row r="1300" spans="55:56" ht="13" x14ac:dyDescent="0.15">
      <c r="BC1300" s="72"/>
      <c r="BD1300" s="72"/>
    </row>
    <row r="1301" spans="55:56" ht="13" x14ac:dyDescent="0.15">
      <c r="BC1301" s="72"/>
      <c r="BD1301" s="72"/>
    </row>
    <row r="1302" spans="55:56" ht="13" x14ac:dyDescent="0.15">
      <c r="BC1302" s="72"/>
      <c r="BD1302" s="72"/>
    </row>
    <row r="1303" spans="55:56" ht="13" x14ac:dyDescent="0.15">
      <c r="BC1303" s="72"/>
      <c r="BD1303" s="72"/>
    </row>
    <row r="1304" spans="55:56" ht="13" x14ac:dyDescent="0.15">
      <c r="BC1304" s="72"/>
      <c r="BD1304" s="72"/>
    </row>
    <row r="1305" spans="55:56" ht="13" x14ac:dyDescent="0.15">
      <c r="BC1305" s="72"/>
      <c r="BD1305" s="72"/>
    </row>
    <row r="1306" spans="55:56" ht="13" x14ac:dyDescent="0.15">
      <c r="BC1306" s="72"/>
      <c r="BD1306" s="72"/>
    </row>
    <row r="1307" spans="55:56" ht="13" x14ac:dyDescent="0.15">
      <c r="BC1307" s="72"/>
      <c r="BD1307" s="72"/>
    </row>
    <row r="1308" spans="55:56" ht="13" x14ac:dyDescent="0.15">
      <c r="BC1308" s="72"/>
      <c r="BD1308" s="72"/>
    </row>
    <row r="1309" spans="55:56" ht="13" x14ac:dyDescent="0.15">
      <c r="BC1309" s="72"/>
      <c r="BD1309" s="72"/>
    </row>
    <row r="1310" spans="55:56" ht="13" x14ac:dyDescent="0.15">
      <c r="BC1310" s="72"/>
      <c r="BD1310" s="72"/>
    </row>
    <row r="1311" spans="55:56" ht="13" x14ac:dyDescent="0.15">
      <c r="BC1311" s="72"/>
      <c r="BD1311" s="72"/>
    </row>
    <row r="1312" spans="55:56" ht="13" x14ac:dyDescent="0.15">
      <c r="BC1312" s="72"/>
      <c r="BD1312" s="72"/>
    </row>
    <row r="1313" spans="55:56" ht="13" x14ac:dyDescent="0.15">
      <c r="BC1313" s="72"/>
      <c r="BD1313" s="72"/>
    </row>
    <row r="1314" spans="55:56" ht="13" x14ac:dyDescent="0.15">
      <c r="BC1314" s="72"/>
      <c r="BD1314" s="72"/>
    </row>
    <row r="1315" spans="55:56" ht="13" x14ac:dyDescent="0.15">
      <c r="BC1315" s="72"/>
      <c r="BD1315" s="72"/>
    </row>
    <row r="1316" spans="55:56" ht="13" x14ac:dyDescent="0.15">
      <c r="BC1316" s="72"/>
      <c r="BD1316" s="72"/>
    </row>
    <row r="1317" spans="55:56" ht="13" x14ac:dyDescent="0.15">
      <c r="BC1317" s="72"/>
      <c r="BD1317" s="72"/>
    </row>
    <row r="1318" spans="55:56" ht="13" x14ac:dyDescent="0.15">
      <c r="BC1318" s="72"/>
      <c r="BD1318" s="72"/>
    </row>
    <row r="1319" spans="55:56" ht="13" x14ac:dyDescent="0.15">
      <c r="BC1319" s="72"/>
      <c r="BD1319" s="72"/>
    </row>
    <row r="1320" spans="55:56" ht="13" x14ac:dyDescent="0.15">
      <c r="BC1320" s="72"/>
      <c r="BD1320" s="72"/>
    </row>
    <row r="1321" spans="55:56" ht="13" x14ac:dyDescent="0.15">
      <c r="BC1321" s="72"/>
      <c r="BD1321" s="72"/>
    </row>
    <row r="1322" spans="55:56" ht="13" x14ac:dyDescent="0.15">
      <c r="BC1322" s="72"/>
      <c r="BD1322" s="72"/>
    </row>
    <row r="1323" spans="55:56" ht="13" x14ac:dyDescent="0.15">
      <c r="BC1323" s="72"/>
      <c r="BD1323" s="72"/>
    </row>
    <row r="1324" spans="55:56" ht="13" x14ac:dyDescent="0.15">
      <c r="BC1324" s="72"/>
      <c r="BD1324" s="72"/>
    </row>
    <row r="1325" spans="55:56" ht="13" x14ac:dyDescent="0.15">
      <c r="BC1325" s="72"/>
      <c r="BD1325" s="72"/>
    </row>
    <row r="1326" spans="55:56" ht="13" x14ac:dyDescent="0.15">
      <c r="BC1326" s="72"/>
      <c r="BD1326" s="72"/>
    </row>
    <row r="1327" spans="55:56" ht="13" x14ac:dyDescent="0.15">
      <c r="BC1327" s="72"/>
      <c r="BD1327" s="72"/>
    </row>
    <row r="1328" spans="55:56" ht="13" x14ac:dyDescent="0.15">
      <c r="BC1328" s="72"/>
      <c r="BD1328" s="72"/>
    </row>
    <row r="1329" spans="55:56" ht="13" x14ac:dyDescent="0.15">
      <c r="BC1329" s="72"/>
      <c r="BD1329" s="72"/>
    </row>
    <row r="1330" spans="55:56" ht="13" x14ac:dyDescent="0.15">
      <c r="BC1330" s="72"/>
      <c r="BD1330" s="72"/>
    </row>
    <row r="1331" spans="55:56" ht="13" x14ac:dyDescent="0.15">
      <c r="BC1331" s="72"/>
      <c r="BD1331" s="72"/>
    </row>
    <row r="1332" spans="55:56" ht="13" x14ac:dyDescent="0.15">
      <c r="BC1332" s="72"/>
      <c r="BD1332" s="72"/>
    </row>
    <row r="1333" spans="55:56" ht="13" x14ac:dyDescent="0.15">
      <c r="BC1333" s="72"/>
      <c r="BD1333" s="72"/>
    </row>
    <row r="1334" spans="55:56" ht="13" x14ac:dyDescent="0.15">
      <c r="BC1334" s="72"/>
      <c r="BD1334" s="72"/>
    </row>
    <row r="1335" spans="55:56" ht="13" x14ac:dyDescent="0.15">
      <c r="BC1335" s="72"/>
      <c r="BD1335" s="72"/>
    </row>
    <row r="1336" spans="55:56" ht="13" x14ac:dyDescent="0.15">
      <c r="BC1336" s="72"/>
      <c r="BD1336" s="72"/>
    </row>
    <row r="1337" spans="55:56" ht="13" x14ac:dyDescent="0.15">
      <c r="BC1337" s="72"/>
      <c r="BD1337" s="72"/>
    </row>
    <row r="1338" spans="55:56" ht="13" x14ac:dyDescent="0.15">
      <c r="BC1338" s="72"/>
      <c r="BD1338" s="72"/>
    </row>
    <row r="1339" spans="55:56" ht="13" x14ac:dyDescent="0.15">
      <c r="BC1339" s="72"/>
      <c r="BD1339" s="72"/>
    </row>
    <row r="1340" spans="55:56" ht="13" x14ac:dyDescent="0.15">
      <c r="BC1340" s="72"/>
      <c r="BD1340" s="72"/>
    </row>
    <row r="1341" spans="55:56" ht="13" x14ac:dyDescent="0.15">
      <c r="BC1341" s="72"/>
      <c r="BD1341" s="72"/>
    </row>
    <row r="1342" spans="55:56" ht="13" x14ac:dyDescent="0.15">
      <c r="BC1342" s="72"/>
      <c r="BD1342" s="72"/>
    </row>
    <row r="1343" spans="55:56" ht="13" x14ac:dyDescent="0.15">
      <c r="BC1343" s="72"/>
      <c r="BD1343" s="72"/>
    </row>
    <row r="1344" spans="55:56" ht="13" x14ac:dyDescent="0.15">
      <c r="BC1344" s="72"/>
      <c r="BD1344" s="72"/>
    </row>
    <row r="1345" spans="55:56" ht="13" x14ac:dyDescent="0.15">
      <c r="BC1345" s="72"/>
      <c r="BD1345" s="72"/>
    </row>
    <row r="1346" spans="55:56" ht="13" x14ac:dyDescent="0.15">
      <c r="BC1346" s="72"/>
      <c r="BD1346" s="72"/>
    </row>
    <row r="1347" spans="55:56" ht="13" x14ac:dyDescent="0.15">
      <c r="BC1347" s="72"/>
      <c r="BD1347" s="72"/>
    </row>
    <row r="1348" spans="55:56" ht="13" x14ac:dyDescent="0.15">
      <c r="BC1348" s="72"/>
      <c r="BD1348" s="72"/>
    </row>
    <row r="1349" spans="55:56" ht="13" x14ac:dyDescent="0.15">
      <c r="BC1349" s="72"/>
      <c r="BD1349" s="72"/>
    </row>
    <row r="1350" spans="55:56" ht="13" x14ac:dyDescent="0.15">
      <c r="BC1350" s="72"/>
      <c r="BD1350" s="72"/>
    </row>
    <row r="1351" spans="55:56" ht="13" x14ac:dyDescent="0.15">
      <c r="BC1351" s="72"/>
      <c r="BD1351" s="72"/>
    </row>
    <row r="1352" spans="55:56" ht="13" x14ac:dyDescent="0.15">
      <c r="BC1352" s="72"/>
      <c r="BD1352" s="72"/>
    </row>
    <row r="1353" spans="55:56" ht="13" x14ac:dyDescent="0.15">
      <c r="BC1353" s="72"/>
      <c r="BD1353" s="72"/>
    </row>
    <row r="1354" spans="55:56" ht="13" x14ac:dyDescent="0.15">
      <c r="BC1354" s="72"/>
      <c r="BD1354" s="72"/>
    </row>
    <row r="1355" spans="55:56" ht="13" x14ac:dyDescent="0.15">
      <c r="BC1355" s="72"/>
      <c r="BD1355" s="72"/>
    </row>
    <row r="1356" spans="55:56" ht="13" x14ac:dyDescent="0.15">
      <c r="BC1356" s="72"/>
      <c r="BD1356" s="72"/>
    </row>
    <row r="1357" spans="55:56" ht="13" x14ac:dyDescent="0.15">
      <c r="BC1357" s="72"/>
      <c r="BD1357" s="72"/>
    </row>
    <row r="1358" spans="55:56" ht="13" x14ac:dyDescent="0.15">
      <c r="BC1358" s="72"/>
      <c r="BD1358" s="72"/>
    </row>
    <row r="1359" spans="55:56" ht="13" x14ac:dyDescent="0.15">
      <c r="BC1359" s="72"/>
      <c r="BD1359" s="72"/>
    </row>
    <row r="1360" spans="55:56" ht="13" x14ac:dyDescent="0.15">
      <c r="BC1360" s="72"/>
      <c r="BD1360" s="72"/>
    </row>
    <row r="1361" spans="55:56" ht="13" x14ac:dyDescent="0.15">
      <c r="BC1361" s="72"/>
      <c r="BD1361" s="72"/>
    </row>
    <row r="1362" spans="55:56" ht="13" x14ac:dyDescent="0.15">
      <c r="BC1362" s="72"/>
      <c r="BD1362" s="72"/>
    </row>
    <row r="1363" spans="55:56" ht="13" x14ac:dyDescent="0.15">
      <c r="BC1363" s="72"/>
      <c r="BD1363" s="72"/>
    </row>
    <row r="1364" spans="55:56" ht="13" x14ac:dyDescent="0.15">
      <c r="BC1364" s="72"/>
      <c r="BD1364" s="72"/>
    </row>
    <row r="1365" spans="55:56" ht="13" x14ac:dyDescent="0.15">
      <c r="BC1365" s="72"/>
      <c r="BD1365" s="72"/>
    </row>
    <row r="1366" spans="55:56" ht="13" x14ac:dyDescent="0.15">
      <c r="BC1366" s="72"/>
      <c r="BD1366" s="72"/>
    </row>
    <row r="1367" spans="55:56" ht="13" x14ac:dyDescent="0.15">
      <c r="BC1367" s="72"/>
      <c r="BD1367" s="72"/>
    </row>
    <row r="1368" spans="55:56" ht="13" x14ac:dyDescent="0.15">
      <c r="BC1368" s="72"/>
      <c r="BD1368" s="72"/>
    </row>
    <row r="1369" spans="55:56" ht="13" x14ac:dyDescent="0.15">
      <c r="BC1369" s="72"/>
      <c r="BD1369" s="72"/>
    </row>
    <row r="1370" spans="55:56" ht="13" x14ac:dyDescent="0.15">
      <c r="BC1370" s="72"/>
      <c r="BD1370" s="72"/>
    </row>
    <row r="1371" spans="55:56" ht="13" x14ac:dyDescent="0.15">
      <c r="BC1371" s="72"/>
      <c r="BD1371" s="72"/>
    </row>
    <row r="1372" spans="55:56" ht="13" x14ac:dyDescent="0.15">
      <c r="BC1372" s="72"/>
      <c r="BD1372" s="72"/>
    </row>
    <row r="1373" spans="55:56" ht="13" x14ac:dyDescent="0.15">
      <c r="BC1373" s="72"/>
      <c r="BD1373" s="72"/>
    </row>
    <row r="1374" spans="55:56" ht="13" x14ac:dyDescent="0.15">
      <c r="BC1374" s="72"/>
      <c r="BD1374" s="72"/>
    </row>
    <row r="1375" spans="55:56" ht="13" x14ac:dyDescent="0.15">
      <c r="BC1375" s="72"/>
      <c r="BD1375" s="72"/>
    </row>
    <row r="1376" spans="55:56" ht="13" x14ac:dyDescent="0.15">
      <c r="BC1376" s="72"/>
      <c r="BD1376" s="72"/>
    </row>
    <row r="1377" spans="55:56" ht="13" x14ac:dyDescent="0.15">
      <c r="BC1377" s="72"/>
      <c r="BD1377" s="72"/>
    </row>
    <row r="1378" spans="55:56" ht="13" x14ac:dyDescent="0.15">
      <c r="BC1378" s="72"/>
      <c r="BD1378" s="72"/>
    </row>
    <row r="1379" spans="55:56" ht="13" x14ac:dyDescent="0.15">
      <c r="BC1379" s="72"/>
      <c r="BD1379" s="72"/>
    </row>
    <row r="1380" spans="55:56" ht="13" x14ac:dyDescent="0.15">
      <c r="BC1380" s="72"/>
      <c r="BD1380" s="72"/>
    </row>
    <row r="1381" spans="55:56" ht="13" x14ac:dyDescent="0.15">
      <c r="BC1381" s="72"/>
      <c r="BD1381" s="72"/>
    </row>
    <row r="1382" spans="55:56" ht="13" x14ac:dyDescent="0.15">
      <c r="BC1382" s="72"/>
      <c r="BD1382" s="72"/>
    </row>
    <row r="1383" spans="55:56" ht="13" x14ac:dyDescent="0.15">
      <c r="BC1383" s="72"/>
      <c r="BD1383" s="72"/>
    </row>
    <row r="1384" spans="55:56" ht="13" x14ac:dyDescent="0.15">
      <c r="BC1384" s="72"/>
      <c r="BD1384" s="72"/>
    </row>
    <row r="1385" spans="55:56" ht="13" x14ac:dyDescent="0.15">
      <c r="BC1385" s="72"/>
      <c r="BD1385" s="72"/>
    </row>
    <row r="1386" spans="55:56" ht="13" x14ac:dyDescent="0.15">
      <c r="BC1386" s="72"/>
      <c r="BD1386" s="72"/>
    </row>
    <row r="1387" spans="55:56" ht="13" x14ac:dyDescent="0.15">
      <c r="BC1387" s="72"/>
      <c r="BD1387" s="72"/>
    </row>
    <row r="1388" spans="55:56" ht="13" x14ac:dyDescent="0.15">
      <c r="BC1388" s="72"/>
      <c r="BD1388" s="72"/>
    </row>
    <row r="1389" spans="55:56" ht="13" x14ac:dyDescent="0.15">
      <c r="BC1389" s="72"/>
      <c r="BD1389" s="72"/>
    </row>
    <row r="1390" spans="55:56" ht="13" x14ac:dyDescent="0.15">
      <c r="BC1390" s="72"/>
      <c r="BD1390" s="72"/>
    </row>
    <row r="1391" spans="55:56" ht="13" x14ac:dyDescent="0.15">
      <c r="BC1391" s="72"/>
      <c r="BD1391" s="72"/>
    </row>
    <row r="1392" spans="55:56" ht="13" x14ac:dyDescent="0.15">
      <c r="BC1392" s="72"/>
      <c r="BD1392" s="72"/>
    </row>
    <row r="1393" spans="55:56" ht="13" x14ac:dyDescent="0.15">
      <c r="BC1393" s="72"/>
      <c r="BD1393" s="72"/>
    </row>
    <row r="1394" spans="55:56" ht="13" x14ac:dyDescent="0.15">
      <c r="BC1394" s="72"/>
      <c r="BD1394" s="72"/>
    </row>
    <row r="1395" spans="55:56" ht="13" x14ac:dyDescent="0.15">
      <c r="BC1395" s="72"/>
      <c r="BD1395" s="72"/>
    </row>
    <row r="1396" spans="55:56" ht="13" x14ac:dyDescent="0.15">
      <c r="BC1396" s="72"/>
      <c r="BD1396" s="72"/>
    </row>
    <row r="1397" spans="55:56" ht="13" x14ac:dyDescent="0.15">
      <c r="BC1397" s="72"/>
      <c r="BD1397" s="72"/>
    </row>
    <row r="1398" spans="55:56" ht="13" x14ac:dyDescent="0.15">
      <c r="BC1398" s="72"/>
      <c r="BD1398" s="72"/>
    </row>
    <row r="1399" spans="55:56" ht="13" x14ac:dyDescent="0.15">
      <c r="BC1399" s="72"/>
      <c r="BD1399" s="72"/>
    </row>
    <row r="1400" spans="55:56" ht="13" x14ac:dyDescent="0.15">
      <c r="BC1400" s="72"/>
      <c r="BD1400" s="72"/>
    </row>
    <row r="1401" spans="55:56" ht="13" x14ac:dyDescent="0.15">
      <c r="BC1401" s="72"/>
      <c r="BD1401" s="72"/>
    </row>
    <row r="1402" spans="55:56" ht="13" x14ac:dyDescent="0.15">
      <c r="BC1402" s="72"/>
      <c r="BD1402" s="72"/>
    </row>
    <row r="1403" spans="55:56" ht="13" x14ac:dyDescent="0.15">
      <c r="BC1403" s="72"/>
      <c r="BD1403" s="72"/>
    </row>
    <row r="1404" spans="55:56" ht="13" x14ac:dyDescent="0.15">
      <c r="BC1404" s="72"/>
      <c r="BD1404" s="72"/>
    </row>
    <row r="1405" spans="55:56" ht="13" x14ac:dyDescent="0.15">
      <c r="BC1405" s="72"/>
      <c r="BD1405" s="72"/>
    </row>
    <row r="1406" spans="55:56" ht="13" x14ac:dyDescent="0.15">
      <c r="BC1406" s="72"/>
      <c r="BD1406" s="72"/>
    </row>
    <row r="1407" spans="55:56" ht="13" x14ac:dyDescent="0.15">
      <c r="BC1407" s="72"/>
      <c r="BD1407" s="72"/>
    </row>
    <row r="1408" spans="55:56" ht="13" x14ac:dyDescent="0.15">
      <c r="BC1408" s="72"/>
      <c r="BD1408" s="72"/>
    </row>
    <row r="1409" spans="55:56" ht="13" x14ac:dyDescent="0.15">
      <c r="BC1409" s="72"/>
      <c r="BD1409" s="72"/>
    </row>
    <row r="1410" spans="55:56" ht="13" x14ac:dyDescent="0.15">
      <c r="BC1410" s="72"/>
      <c r="BD1410" s="72"/>
    </row>
    <row r="1411" spans="55:56" ht="13" x14ac:dyDescent="0.15">
      <c r="BC1411" s="72"/>
      <c r="BD1411" s="72"/>
    </row>
    <row r="1412" spans="55:56" ht="13" x14ac:dyDescent="0.15">
      <c r="BC1412" s="72"/>
      <c r="BD1412" s="72"/>
    </row>
    <row r="1413" spans="55:56" ht="13" x14ac:dyDescent="0.15">
      <c r="BC1413" s="72"/>
      <c r="BD1413" s="72"/>
    </row>
    <row r="1414" spans="55:56" ht="13" x14ac:dyDescent="0.15">
      <c r="BC1414" s="72"/>
      <c r="BD1414" s="72"/>
    </row>
    <row r="1415" spans="55:56" ht="13" x14ac:dyDescent="0.15">
      <c r="BC1415" s="72"/>
      <c r="BD1415" s="72"/>
    </row>
    <row r="1416" spans="55:56" ht="13" x14ac:dyDescent="0.15">
      <c r="BC1416" s="72"/>
      <c r="BD1416" s="72"/>
    </row>
    <row r="1417" spans="55:56" ht="13" x14ac:dyDescent="0.15">
      <c r="BC1417" s="72"/>
      <c r="BD1417" s="72"/>
    </row>
    <row r="1418" spans="55:56" ht="13" x14ac:dyDescent="0.15">
      <c r="BC1418" s="72"/>
      <c r="BD1418" s="72"/>
    </row>
    <row r="1419" spans="55:56" ht="13" x14ac:dyDescent="0.15">
      <c r="BC1419" s="72"/>
      <c r="BD1419" s="72"/>
    </row>
    <row r="1420" spans="55:56" ht="13" x14ac:dyDescent="0.15">
      <c r="BC1420" s="72"/>
      <c r="BD1420" s="72"/>
    </row>
    <row r="1421" spans="55:56" ht="13" x14ac:dyDescent="0.15">
      <c r="BC1421" s="72"/>
      <c r="BD1421" s="72"/>
    </row>
    <row r="1422" spans="55:56" ht="13" x14ac:dyDescent="0.15">
      <c r="BC1422" s="72"/>
      <c r="BD1422" s="72"/>
    </row>
    <row r="1423" spans="55:56" ht="13" x14ac:dyDescent="0.15">
      <c r="BC1423" s="72"/>
      <c r="BD1423" s="72"/>
    </row>
    <row r="1424" spans="55:56" ht="13" x14ac:dyDescent="0.15">
      <c r="BC1424" s="72"/>
      <c r="BD1424" s="72"/>
    </row>
    <row r="1425" spans="55:56" ht="13" x14ac:dyDescent="0.15">
      <c r="BC1425" s="72"/>
      <c r="BD1425" s="72"/>
    </row>
    <row r="1426" spans="55:56" ht="13" x14ac:dyDescent="0.15">
      <c r="BC1426" s="72"/>
      <c r="BD1426" s="72"/>
    </row>
    <row r="1427" spans="55:56" ht="13" x14ac:dyDescent="0.15">
      <c r="BC1427" s="72"/>
      <c r="BD1427" s="72"/>
    </row>
    <row r="1428" spans="55:56" ht="13" x14ac:dyDescent="0.15">
      <c r="BC1428" s="72"/>
      <c r="BD1428" s="72"/>
    </row>
    <row r="1429" spans="55:56" ht="13" x14ac:dyDescent="0.15">
      <c r="BC1429" s="72"/>
      <c r="BD1429" s="72"/>
    </row>
    <row r="1430" spans="55:56" ht="13" x14ac:dyDescent="0.15">
      <c r="BC1430" s="72"/>
      <c r="BD1430" s="72"/>
    </row>
    <row r="1431" spans="55:56" ht="13" x14ac:dyDescent="0.15">
      <c r="BC1431" s="72"/>
      <c r="BD1431" s="72"/>
    </row>
    <row r="1432" spans="55:56" ht="13" x14ac:dyDescent="0.15">
      <c r="BC1432" s="72"/>
      <c r="BD1432" s="72"/>
    </row>
    <row r="1433" spans="55:56" ht="13" x14ac:dyDescent="0.15">
      <c r="BC1433" s="72"/>
      <c r="BD1433" s="72"/>
    </row>
    <row r="1434" spans="55:56" ht="13" x14ac:dyDescent="0.15">
      <c r="BC1434" s="72"/>
      <c r="BD1434" s="72"/>
    </row>
    <row r="1435" spans="55:56" ht="13" x14ac:dyDescent="0.15">
      <c r="BC1435" s="72"/>
      <c r="BD1435" s="72"/>
    </row>
    <row r="1436" spans="55:56" ht="13" x14ac:dyDescent="0.15">
      <c r="BC1436" s="72"/>
      <c r="BD1436" s="72"/>
    </row>
    <row r="1437" spans="55:56" ht="13" x14ac:dyDescent="0.15">
      <c r="BC1437" s="72"/>
      <c r="BD1437" s="72"/>
    </row>
    <row r="1438" spans="55:56" ht="13" x14ac:dyDescent="0.15">
      <c r="BC1438" s="72"/>
      <c r="BD1438" s="72"/>
    </row>
    <row r="1439" spans="55:56" ht="13" x14ac:dyDescent="0.15">
      <c r="BC1439" s="72"/>
      <c r="BD1439" s="72"/>
    </row>
    <row r="1440" spans="55:56" ht="13" x14ac:dyDescent="0.15">
      <c r="BC1440" s="72"/>
      <c r="BD1440" s="72"/>
    </row>
    <row r="1441" spans="55:56" ht="13" x14ac:dyDescent="0.15">
      <c r="BC1441" s="72"/>
      <c r="BD1441" s="72"/>
    </row>
    <row r="1442" spans="55:56" ht="13" x14ac:dyDescent="0.15">
      <c r="BC1442" s="72"/>
      <c r="BD1442" s="72"/>
    </row>
    <row r="1443" spans="55:56" ht="13" x14ac:dyDescent="0.15">
      <c r="BC1443" s="72"/>
      <c r="BD1443" s="72"/>
    </row>
    <row r="1444" spans="55:56" ht="13" x14ac:dyDescent="0.15">
      <c r="BC1444" s="72"/>
      <c r="BD1444" s="72"/>
    </row>
    <row r="1445" spans="55:56" ht="13" x14ac:dyDescent="0.15">
      <c r="BC1445" s="72"/>
      <c r="BD1445" s="72"/>
    </row>
    <row r="1446" spans="55:56" ht="13" x14ac:dyDescent="0.15">
      <c r="BC1446" s="72"/>
      <c r="BD1446" s="72"/>
    </row>
    <row r="1447" spans="55:56" ht="13" x14ac:dyDescent="0.15">
      <c r="BC1447" s="72"/>
      <c r="BD1447" s="72"/>
    </row>
    <row r="1448" spans="55:56" ht="13" x14ac:dyDescent="0.15">
      <c r="BC1448" s="72"/>
      <c r="BD1448" s="72"/>
    </row>
    <row r="1449" spans="55:56" ht="13" x14ac:dyDescent="0.15">
      <c r="BC1449" s="72"/>
      <c r="BD1449" s="72"/>
    </row>
    <row r="1450" spans="55:56" ht="13" x14ac:dyDescent="0.15">
      <c r="BC1450" s="72"/>
      <c r="BD1450" s="72"/>
    </row>
    <row r="1451" spans="55:56" ht="13" x14ac:dyDescent="0.15">
      <c r="BC1451" s="72"/>
      <c r="BD1451" s="72"/>
    </row>
    <row r="1452" spans="55:56" ht="13" x14ac:dyDescent="0.15">
      <c r="BC1452" s="72"/>
      <c r="BD1452" s="72"/>
    </row>
    <row r="1453" spans="55:56" ht="13" x14ac:dyDescent="0.15">
      <c r="BC1453" s="72"/>
      <c r="BD1453" s="72"/>
    </row>
    <row r="1454" spans="55:56" ht="13" x14ac:dyDescent="0.15">
      <c r="BC1454" s="72"/>
      <c r="BD1454" s="72"/>
    </row>
    <row r="1455" spans="55:56" ht="13" x14ac:dyDescent="0.15">
      <c r="BC1455" s="72"/>
      <c r="BD1455" s="72"/>
    </row>
    <row r="1456" spans="55:56" ht="13" x14ac:dyDescent="0.15">
      <c r="BC1456" s="72"/>
      <c r="BD1456" s="72"/>
    </row>
    <row r="1457" spans="55:56" ht="13" x14ac:dyDescent="0.15">
      <c r="BC1457" s="72"/>
      <c r="BD1457" s="72"/>
    </row>
    <row r="1458" spans="55:56" ht="13" x14ac:dyDescent="0.15">
      <c r="BC1458" s="72"/>
      <c r="BD1458" s="72"/>
    </row>
    <row r="1459" spans="55:56" ht="13" x14ac:dyDescent="0.15">
      <c r="BC1459" s="72"/>
      <c r="BD1459" s="72"/>
    </row>
    <row r="1460" spans="55:56" ht="13" x14ac:dyDescent="0.15">
      <c r="BC1460" s="72"/>
      <c r="BD1460" s="72"/>
    </row>
    <row r="1461" spans="55:56" ht="13" x14ac:dyDescent="0.15">
      <c r="BC1461" s="72"/>
      <c r="BD1461" s="72"/>
    </row>
    <row r="1462" spans="55:56" ht="13" x14ac:dyDescent="0.15">
      <c r="BC1462" s="72"/>
      <c r="BD1462" s="72"/>
    </row>
    <row r="1463" spans="55:56" ht="13" x14ac:dyDescent="0.15">
      <c r="BC1463" s="72"/>
      <c r="BD1463" s="72"/>
    </row>
    <row r="1464" spans="55:56" ht="13" x14ac:dyDescent="0.15">
      <c r="BC1464" s="72"/>
      <c r="BD1464" s="72"/>
    </row>
    <row r="1465" spans="55:56" ht="13" x14ac:dyDescent="0.15">
      <c r="BC1465" s="72"/>
      <c r="BD1465" s="72"/>
    </row>
    <row r="1466" spans="55:56" ht="13" x14ac:dyDescent="0.15">
      <c r="BC1466" s="72"/>
      <c r="BD1466" s="72"/>
    </row>
    <row r="1467" spans="55:56" ht="13" x14ac:dyDescent="0.15">
      <c r="BC1467" s="72"/>
      <c r="BD1467" s="72"/>
    </row>
    <row r="1468" spans="55:56" ht="13" x14ac:dyDescent="0.15">
      <c r="BC1468" s="72"/>
      <c r="BD1468" s="72"/>
    </row>
    <row r="1469" spans="55:56" ht="13" x14ac:dyDescent="0.15">
      <c r="BC1469" s="72"/>
      <c r="BD1469" s="72"/>
    </row>
    <row r="1470" spans="55:56" ht="13" x14ac:dyDescent="0.15">
      <c r="BC1470" s="72"/>
      <c r="BD1470" s="72"/>
    </row>
    <row r="1471" spans="55:56" ht="13" x14ac:dyDescent="0.15">
      <c r="BC1471" s="72"/>
      <c r="BD1471" s="72"/>
    </row>
    <row r="1472" spans="55:56" ht="13" x14ac:dyDescent="0.15">
      <c r="BC1472" s="72"/>
      <c r="BD1472" s="72"/>
    </row>
    <row r="1473" spans="55:56" ht="13" x14ac:dyDescent="0.15">
      <c r="BC1473" s="72"/>
      <c r="BD1473" s="72"/>
    </row>
    <row r="1474" spans="55:56" ht="13" x14ac:dyDescent="0.15">
      <c r="BC1474" s="72"/>
      <c r="BD1474" s="72"/>
    </row>
    <row r="1475" spans="55:56" ht="13" x14ac:dyDescent="0.15">
      <c r="BC1475" s="72"/>
      <c r="BD1475" s="72"/>
    </row>
    <row r="1476" spans="55:56" ht="13" x14ac:dyDescent="0.15">
      <c r="BC1476" s="72"/>
      <c r="BD1476" s="72"/>
    </row>
    <row r="1477" spans="55:56" ht="13" x14ac:dyDescent="0.15">
      <c r="BC1477" s="72"/>
      <c r="BD1477" s="72"/>
    </row>
    <row r="1478" spans="55:56" ht="13" x14ac:dyDescent="0.15">
      <c r="BC1478" s="72"/>
      <c r="BD1478" s="72"/>
    </row>
    <row r="1479" spans="55:56" ht="13" x14ac:dyDescent="0.15">
      <c r="BC1479" s="72"/>
      <c r="BD1479" s="72"/>
    </row>
    <row r="1480" spans="55:56" ht="13" x14ac:dyDescent="0.15">
      <c r="BC1480" s="72"/>
      <c r="BD1480" s="72"/>
    </row>
    <row r="1481" spans="55:56" ht="13" x14ac:dyDescent="0.15">
      <c r="BC1481" s="72"/>
      <c r="BD1481" s="72"/>
    </row>
    <row r="1482" spans="55:56" ht="13" x14ac:dyDescent="0.15">
      <c r="BC1482" s="72"/>
      <c r="BD1482" s="72"/>
    </row>
    <row r="1483" spans="55:56" ht="13" x14ac:dyDescent="0.15">
      <c r="BC1483" s="72"/>
      <c r="BD1483" s="72"/>
    </row>
    <row r="1484" spans="55:56" ht="13" x14ac:dyDescent="0.15">
      <c r="BC1484" s="72"/>
      <c r="BD1484" s="72"/>
    </row>
    <row r="1485" spans="55:56" ht="13" x14ac:dyDescent="0.15">
      <c r="BC1485" s="72"/>
      <c r="BD1485" s="72"/>
    </row>
    <row r="1486" spans="55:56" ht="13" x14ac:dyDescent="0.15">
      <c r="BC1486" s="72"/>
      <c r="BD1486" s="72"/>
    </row>
    <row r="1487" spans="55:56" ht="13" x14ac:dyDescent="0.15">
      <c r="BC1487" s="72"/>
      <c r="BD1487" s="72"/>
    </row>
    <row r="1488" spans="55:56" ht="13" x14ac:dyDescent="0.15">
      <c r="BC1488" s="72"/>
      <c r="BD1488" s="72"/>
    </row>
    <row r="1489" spans="55:56" ht="13" x14ac:dyDescent="0.15">
      <c r="BC1489" s="72"/>
      <c r="BD1489" s="72"/>
    </row>
    <row r="1490" spans="55:56" ht="13" x14ac:dyDescent="0.15">
      <c r="BC1490" s="72"/>
      <c r="BD1490" s="72"/>
    </row>
    <row r="1491" spans="55:56" ht="13" x14ac:dyDescent="0.15">
      <c r="BC1491" s="72"/>
      <c r="BD1491" s="72"/>
    </row>
    <row r="1492" spans="55:56" ht="13" x14ac:dyDescent="0.15">
      <c r="BC1492" s="72"/>
      <c r="BD1492" s="72"/>
    </row>
    <row r="1493" spans="55:56" ht="13" x14ac:dyDescent="0.15">
      <c r="BC1493" s="72"/>
      <c r="BD1493" s="72"/>
    </row>
    <row r="1494" spans="55:56" ht="13" x14ac:dyDescent="0.15">
      <c r="BC1494" s="72"/>
      <c r="BD1494" s="72"/>
    </row>
    <row r="1495" spans="55:56" ht="13" x14ac:dyDescent="0.15">
      <c r="BC1495" s="72"/>
      <c r="BD1495" s="72"/>
    </row>
    <row r="1496" spans="55:56" ht="13" x14ac:dyDescent="0.15">
      <c r="BC1496" s="72"/>
      <c r="BD1496" s="72"/>
    </row>
    <row r="1497" spans="55:56" ht="13" x14ac:dyDescent="0.15">
      <c r="BC1497" s="72"/>
      <c r="BD1497" s="72"/>
    </row>
    <row r="1498" spans="55:56" ht="13" x14ac:dyDescent="0.15">
      <c r="BC1498" s="72"/>
      <c r="BD1498" s="72"/>
    </row>
    <row r="1499" spans="55:56" ht="13" x14ac:dyDescent="0.15">
      <c r="BC1499" s="72"/>
      <c r="BD1499" s="72"/>
    </row>
    <row r="1500" spans="55:56" ht="13" x14ac:dyDescent="0.15">
      <c r="BC1500" s="72"/>
      <c r="BD1500" s="72"/>
    </row>
    <row r="1501" spans="55:56" ht="13" x14ac:dyDescent="0.15">
      <c r="BC1501" s="72"/>
      <c r="BD1501" s="72"/>
    </row>
    <row r="1502" spans="55:56" ht="13" x14ac:dyDescent="0.15">
      <c r="BC1502" s="72"/>
      <c r="BD1502" s="72"/>
    </row>
    <row r="1503" spans="55:56" ht="13" x14ac:dyDescent="0.15">
      <c r="BC1503" s="72"/>
      <c r="BD1503" s="72"/>
    </row>
    <row r="1504" spans="55:56" ht="13" x14ac:dyDescent="0.15">
      <c r="BC1504" s="72"/>
      <c r="BD1504" s="72"/>
    </row>
    <row r="1505" spans="55:56" ht="13" x14ac:dyDescent="0.15">
      <c r="BC1505" s="72"/>
      <c r="BD1505" s="72"/>
    </row>
    <row r="1506" spans="55:56" ht="13" x14ac:dyDescent="0.15">
      <c r="BC1506" s="72"/>
      <c r="BD1506" s="72"/>
    </row>
    <row r="1507" spans="55:56" ht="13" x14ac:dyDescent="0.15">
      <c r="BC1507" s="72"/>
      <c r="BD1507" s="72"/>
    </row>
    <row r="1508" spans="55:56" ht="13" x14ac:dyDescent="0.15">
      <c r="BC1508" s="72"/>
      <c r="BD1508" s="72"/>
    </row>
    <row r="1509" spans="55:56" ht="13" x14ac:dyDescent="0.15">
      <c r="BC1509" s="72"/>
      <c r="BD1509" s="72"/>
    </row>
    <row r="1510" spans="55:56" ht="13" x14ac:dyDescent="0.15">
      <c r="BC1510" s="72"/>
      <c r="BD1510" s="72"/>
    </row>
    <row r="1511" spans="55:56" ht="13" x14ac:dyDescent="0.15">
      <c r="BC1511" s="72"/>
      <c r="BD1511" s="72"/>
    </row>
    <row r="1512" spans="55:56" ht="13" x14ac:dyDescent="0.15">
      <c r="BC1512" s="72"/>
      <c r="BD1512" s="72"/>
    </row>
    <row r="1513" spans="55:56" ht="13" x14ac:dyDescent="0.15">
      <c r="BC1513" s="72"/>
      <c r="BD1513" s="72"/>
    </row>
    <row r="1514" spans="55:56" ht="13" x14ac:dyDescent="0.15">
      <c r="BC1514" s="72"/>
      <c r="BD1514" s="72"/>
    </row>
    <row r="1515" spans="55:56" ht="13" x14ac:dyDescent="0.15">
      <c r="BC1515" s="72"/>
      <c r="BD1515" s="72"/>
    </row>
    <row r="1516" spans="55:56" ht="13" x14ac:dyDescent="0.15">
      <c r="BC1516" s="72"/>
      <c r="BD1516" s="72"/>
    </row>
    <row r="1517" spans="55:56" ht="13" x14ac:dyDescent="0.15">
      <c r="BC1517" s="72"/>
      <c r="BD1517" s="72"/>
    </row>
    <row r="1518" spans="55:56" ht="13" x14ac:dyDescent="0.15">
      <c r="BC1518" s="72"/>
      <c r="BD1518" s="72"/>
    </row>
    <row r="1519" spans="55:56" ht="13" x14ac:dyDescent="0.15">
      <c r="BC1519" s="72"/>
      <c r="BD1519" s="72"/>
    </row>
    <row r="1520" spans="55:56" ht="13" x14ac:dyDescent="0.15">
      <c r="BC1520" s="72"/>
      <c r="BD1520" s="72"/>
    </row>
    <row r="1521" spans="55:56" ht="13" x14ac:dyDescent="0.15">
      <c r="BC1521" s="72"/>
      <c r="BD1521" s="72"/>
    </row>
    <row r="1522" spans="55:56" ht="13" x14ac:dyDescent="0.15">
      <c r="BC1522" s="72"/>
      <c r="BD1522" s="72"/>
    </row>
    <row r="1523" spans="55:56" ht="13" x14ac:dyDescent="0.15">
      <c r="BC1523" s="72"/>
      <c r="BD1523" s="72"/>
    </row>
    <row r="1524" spans="55:56" ht="13" x14ac:dyDescent="0.15">
      <c r="BC1524" s="72"/>
      <c r="BD1524" s="72"/>
    </row>
    <row r="1525" spans="55:56" ht="13" x14ac:dyDescent="0.15">
      <c r="BC1525" s="72"/>
      <c r="BD1525" s="72"/>
    </row>
    <row r="1526" spans="55:56" ht="13" x14ac:dyDescent="0.15">
      <c r="BC1526" s="72"/>
      <c r="BD1526" s="72"/>
    </row>
    <row r="1527" spans="55:56" ht="13" x14ac:dyDescent="0.15">
      <c r="BC1527" s="72"/>
      <c r="BD1527" s="72"/>
    </row>
    <row r="1528" spans="55:56" ht="13" x14ac:dyDescent="0.15">
      <c r="BC1528" s="72"/>
      <c r="BD1528" s="72"/>
    </row>
    <row r="1529" spans="55:56" ht="13" x14ac:dyDescent="0.15">
      <c r="BC1529" s="72"/>
      <c r="BD1529" s="72"/>
    </row>
    <row r="1530" spans="55:56" ht="13" x14ac:dyDescent="0.15">
      <c r="BC1530" s="72"/>
      <c r="BD1530" s="72"/>
    </row>
    <row r="1531" spans="55:56" ht="13" x14ac:dyDescent="0.15">
      <c r="BC1531" s="72"/>
      <c r="BD1531" s="72"/>
    </row>
    <row r="1532" spans="55:56" ht="13" x14ac:dyDescent="0.15">
      <c r="BC1532" s="72"/>
      <c r="BD1532" s="72"/>
    </row>
    <row r="1533" spans="55:56" ht="13" x14ac:dyDescent="0.15">
      <c r="BC1533" s="72"/>
      <c r="BD1533" s="72"/>
    </row>
    <row r="1534" spans="55:56" ht="13" x14ac:dyDescent="0.15">
      <c r="BC1534" s="72"/>
      <c r="BD1534" s="72"/>
    </row>
    <row r="1535" spans="55:56" ht="13" x14ac:dyDescent="0.15">
      <c r="BC1535" s="72"/>
      <c r="BD1535" s="72"/>
    </row>
    <row r="1536" spans="55:56" ht="13" x14ac:dyDescent="0.15">
      <c r="BC1536" s="72"/>
      <c r="BD1536" s="72"/>
    </row>
    <row r="1537" spans="55:56" ht="13" x14ac:dyDescent="0.15">
      <c r="BC1537" s="72"/>
      <c r="BD1537" s="72"/>
    </row>
    <row r="1538" spans="55:56" ht="13" x14ac:dyDescent="0.15">
      <c r="BC1538" s="72"/>
      <c r="BD1538" s="72"/>
    </row>
    <row r="1539" spans="55:56" ht="13" x14ac:dyDescent="0.15">
      <c r="BC1539" s="72"/>
      <c r="BD1539" s="72"/>
    </row>
    <row r="1540" spans="55:56" ht="13" x14ac:dyDescent="0.15">
      <c r="BC1540" s="72"/>
      <c r="BD1540" s="72"/>
    </row>
    <row r="1541" spans="55:56" ht="13" x14ac:dyDescent="0.15">
      <c r="BC1541" s="72"/>
      <c r="BD1541" s="72"/>
    </row>
    <row r="1542" spans="55:56" ht="13" x14ac:dyDescent="0.15">
      <c r="BC1542" s="72"/>
      <c r="BD1542" s="72"/>
    </row>
    <row r="1543" spans="55:56" ht="13" x14ac:dyDescent="0.15">
      <c r="BC1543" s="72"/>
      <c r="BD1543" s="72"/>
    </row>
    <row r="1544" spans="55:56" ht="13" x14ac:dyDescent="0.15">
      <c r="BC1544" s="72"/>
      <c r="BD1544" s="72"/>
    </row>
    <row r="1545" spans="55:56" ht="13" x14ac:dyDescent="0.15">
      <c r="BC1545" s="72"/>
      <c r="BD1545" s="72"/>
    </row>
    <row r="1546" spans="55:56" ht="13" x14ac:dyDescent="0.15">
      <c r="BC1546" s="72"/>
      <c r="BD1546" s="72"/>
    </row>
    <row r="1547" spans="55:56" ht="13" x14ac:dyDescent="0.15">
      <c r="BC1547" s="72"/>
      <c r="BD1547" s="72"/>
    </row>
    <row r="1548" spans="55:56" ht="13" x14ac:dyDescent="0.15">
      <c r="BC1548" s="72"/>
      <c r="BD1548" s="72"/>
    </row>
    <row r="1549" spans="55:56" ht="13" x14ac:dyDescent="0.15">
      <c r="BC1549" s="72"/>
      <c r="BD1549" s="72"/>
    </row>
    <row r="1550" spans="55:56" ht="13" x14ac:dyDescent="0.15">
      <c r="BC1550" s="72"/>
      <c r="BD1550" s="72"/>
    </row>
    <row r="1551" spans="55:56" ht="13" x14ac:dyDescent="0.15">
      <c r="BC1551" s="72"/>
      <c r="BD1551" s="72"/>
    </row>
    <row r="1552" spans="55:56" ht="13" x14ac:dyDescent="0.15">
      <c r="BC1552" s="72"/>
      <c r="BD1552" s="72"/>
    </row>
    <row r="1553" spans="55:56" ht="13" x14ac:dyDescent="0.15">
      <c r="BC1553" s="72"/>
      <c r="BD1553" s="72"/>
    </row>
    <row r="1554" spans="55:56" ht="13" x14ac:dyDescent="0.15">
      <c r="BC1554" s="72"/>
      <c r="BD1554" s="72"/>
    </row>
    <row r="1555" spans="55:56" ht="13" x14ac:dyDescent="0.15">
      <c r="BC1555" s="72"/>
      <c r="BD1555" s="72"/>
    </row>
    <row r="1556" spans="55:56" ht="13" x14ac:dyDescent="0.15">
      <c r="BC1556" s="72"/>
      <c r="BD1556" s="72"/>
    </row>
    <row r="1557" spans="55:56" ht="13" x14ac:dyDescent="0.15">
      <c r="BC1557" s="72"/>
      <c r="BD1557" s="72"/>
    </row>
    <row r="1558" spans="55:56" ht="13" x14ac:dyDescent="0.15">
      <c r="BC1558" s="72"/>
      <c r="BD1558" s="72"/>
    </row>
    <row r="1559" spans="55:56" ht="13" x14ac:dyDescent="0.15">
      <c r="BC1559" s="72"/>
      <c r="BD1559" s="72"/>
    </row>
    <row r="1560" spans="55:56" ht="13" x14ac:dyDescent="0.15">
      <c r="BC1560" s="72"/>
      <c r="BD1560" s="72"/>
    </row>
    <row r="1561" spans="55:56" ht="13" x14ac:dyDescent="0.15">
      <c r="BC1561" s="72"/>
      <c r="BD1561" s="72"/>
    </row>
    <row r="1562" spans="55:56" ht="13" x14ac:dyDescent="0.15">
      <c r="BC1562" s="72"/>
      <c r="BD1562" s="72"/>
    </row>
    <row r="1563" spans="55:56" ht="13" x14ac:dyDescent="0.15">
      <c r="BC1563" s="72"/>
      <c r="BD1563" s="72"/>
    </row>
    <row r="1564" spans="55:56" ht="13" x14ac:dyDescent="0.15">
      <c r="BC1564" s="72"/>
      <c r="BD1564" s="72"/>
    </row>
    <row r="1565" spans="55:56" ht="13" x14ac:dyDescent="0.15">
      <c r="BC1565" s="72"/>
      <c r="BD1565" s="72"/>
    </row>
    <row r="1566" spans="55:56" ht="13" x14ac:dyDescent="0.15">
      <c r="BC1566" s="72"/>
      <c r="BD1566" s="72"/>
    </row>
    <row r="1567" spans="55:56" ht="13" x14ac:dyDescent="0.15">
      <c r="BC1567" s="72"/>
      <c r="BD1567" s="72"/>
    </row>
    <row r="1568" spans="55:56" ht="13" x14ac:dyDescent="0.15">
      <c r="BC1568" s="72"/>
      <c r="BD1568" s="72"/>
    </row>
    <row r="1569" spans="55:56" ht="13" x14ac:dyDescent="0.15">
      <c r="BC1569" s="72"/>
      <c r="BD1569" s="72"/>
    </row>
    <row r="1570" spans="55:56" ht="13" x14ac:dyDescent="0.15">
      <c r="BC1570" s="72"/>
      <c r="BD1570" s="72"/>
    </row>
    <row r="1571" spans="55:56" ht="13" x14ac:dyDescent="0.15">
      <c r="BC1571" s="72"/>
      <c r="BD1571" s="72"/>
    </row>
    <row r="1572" spans="55:56" ht="13" x14ac:dyDescent="0.15">
      <c r="BC1572" s="72"/>
      <c r="BD1572" s="72"/>
    </row>
    <row r="1573" spans="55:56" ht="13" x14ac:dyDescent="0.15">
      <c r="BC1573" s="72"/>
      <c r="BD1573" s="72"/>
    </row>
    <row r="1574" spans="55:56" ht="13" x14ac:dyDescent="0.15">
      <c r="BC1574" s="72"/>
      <c r="BD1574" s="72"/>
    </row>
    <row r="1575" spans="55:56" ht="13" x14ac:dyDescent="0.15">
      <c r="BC1575" s="72"/>
      <c r="BD1575" s="72"/>
    </row>
    <row r="1576" spans="55:56" ht="13" x14ac:dyDescent="0.15">
      <c r="BC1576" s="72"/>
      <c r="BD1576" s="72"/>
    </row>
    <row r="1577" spans="55:56" ht="13" x14ac:dyDescent="0.15">
      <c r="BC1577" s="72"/>
      <c r="BD1577" s="72"/>
    </row>
    <row r="1578" spans="55:56" ht="13" x14ac:dyDescent="0.15">
      <c r="BC1578" s="72"/>
      <c r="BD1578" s="72"/>
    </row>
    <row r="1579" spans="55:56" ht="13" x14ac:dyDescent="0.15">
      <c r="BC1579" s="72"/>
      <c r="BD1579" s="72"/>
    </row>
    <row r="1580" spans="55:56" ht="13" x14ac:dyDescent="0.15">
      <c r="BC1580" s="72"/>
      <c r="BD1580" s="72"/>
    </row>
    <row r="1581" spans="55:56" ht="13" x14ac:dyDescent="0.15">
      <c r="BC1581" s="72"/>
      <c r="BD1581" s="72"/>
    </row>
    <row r="1582" spans="55:56" ht="13" x14ac:dyDescent="0.15">
      <c r="BC1582" s="72"/>
      <c r="BD1582" s="72"/>
    </row>
    <row r="1583" spans="55:56" ht="13" x14ac:dyDescent="0.15">
      <c r="BC1583" s="72"/>
      <c r="BD1583" s="72"/>
    </row>
    <row r="1584" spans="55:56" ht="13" x14ac:dyDescent="0.15">
      <c r="BC1584" s="72"/>
      <c r="BD1584" s="72"/>
    </row>
    <row r="1585" spans="55:56" ht="13" x14ac:dyDescent="0.15">
      <c r="BC1585" s="72"/>
      <c r="BD1585" s="72"/>
    </row>
    <row r="1586" spans="55:56" ht="13" x14ac:dyDescent="0.15">
      <c r="BC1586" s="72"/>
      <c r="BD1586" s="72"/>
    </row>
    <row r="1587" spans="55:56" ht="13" x14ac:dyDescent="0.15">
      <c r="BC1587" s="72"/>
      <c r="BD1587" s="72"/>
    </row>
    <row r="1588" spans="55:56" ht="13" x14ac:dyDescent="0.15">
      <c r="BC1588" s="72"/>
      <c r="BD1588" s="72"/>
    </row>
    <row r="1589" spans="55:56" ht="13" x14ac:dyDescent="0.15">
      <c r="BC1589" s="72"/>
      <c r="BD1589" s="72"/>
    </row>
    <row r="1590" spans="55:56" ht="13" x14ac:dyDescent="0.15">
      <c r="BC1590" s="72"/>
      <c r="BD1590" s="72"/>
    </row>
    <row r="1591" spans="55:56" ht="13" x14ac:dyDescent="0.15">
      <c r="BC1591" s="72"/>
      <c r="BD1591" s="72"/>
    </row>
    <row r="1592" spans="55:56" ht="13" x14ac:dyDescent="0.15">
      <c r="BC1592" s="72"/>
      <c r="BD1592" s="72"/>
    </row>
    <row r="1593" spans="55:56" ht="13" x14ac:dyDescent="0.15">
      <c r="BC1593" s="72"/>
      <c r="BD1593" s="72"/>
    </row>
    <row r="1594" spans="55:56" ht="13" x14ac:dyDescent="0.15">
      <c r="BC1594" s="72"/>
      <c r="BD1594" s="72"/>
    </row>
    <row r="1595" spans="55:56" ht="13" x14ac:dyDescent="0.15">
      <c r="BC1595" s="72"/>
      <c r="BD1595" s="72"/>
    </row>
    <row r="1596" spans="55:56" ht="13" x14ac:dyDescent="0.15">
      <c r="BC1596" s="72"/>
      <c r="BD1596" s="72"/>
    </row>
    <row r="1597" spans="55:56" ht="13" x14ac:dyDescent="0.15">
      <c r="BC1597" s="72"/>
      <c r="BD1597" s="72"/>
    </row>
    <row r="1598" spans="55:56" ht="13" x14ac:dyDescent="0.15">
      <c r="BC1598" s="72"/>
      <c r="BD1598" s="72"/>
    </row>
    <row r="1599" spans="55:56" ht="13" x14ac:dyDescent="0.15">
      <c r="BC1599" s="72"/>
      <c r="BD1599" s="72"/>
    </row>
    <row r="1600" spans="55:56" ht="13" x14ac:dyDescent="0.15">
      <c r="BC1600" s="72"/>
      <c r="BD1600" s="72"/>
    </row>
    <row r="1601" spans="55:56" ht="13" x14ac:dyDescent="0.15">
      <c r="BC1601" s="72"/>
      <c r="BD1601" s="72"/>
    </row>
    <row r="1602" spans="55:56" ht="13" x14ac:dyDescent="0.15">
      <c r="BC1602" s="72"/>
      <c r="BD1602" s="72"/>
    </row>
    <row r="1603" spans="55:56" ht="13" x14ac:dyDescent="0.15">
      <c r="BC1603" s="72"/>
      <c r="BD1603" s="72"/>
    </row>
    <row r="1604" spans="55:56" ht="13" x14ac:dyDescent="0.15">
      <c r="BC1604" s="72"/>
      <c r="BD1604" s="72"/>
    </row>
    <row r="1605" spans="55:56" ht="13" x14ac:dyDescent="0.15">
      <c r="BC1605" s="72"/>
      <c r="BD1605" s="72"/>
    </row>
    <row r="1606" spans="55:56" ht="13" x14ac:dyDescent="0.15">
      <c r="BC1606" s="72"/>
      <c r="BD1606" s="72"/>
    </row>
    <row r="1607" spans="55:56" ht="13" x14ac:dyDescent="0.15">
      <c r="BC1607" s="72"/>
      <c r="BD1607" s="72"/>
    </row>
    <row r="1608" spans="55:56" ht="13" x14ac:dyDescent="0.15">
      <c r="BC1608" s="72"/>
      <c r="BD1608" s="72"/>
    </row>
    <row r="1609" spans="55:56" ht="13" x14ac:dyDescent="0.15">
      <c r="BC1609" s="72"/>
      <c r="BD1609" s="72"/>
    </row>
    <row r="1610" spans="55:56" ht="13" x14ac:dyDescent="0.15">
      <c r="BC1610" s="72"/>
      <c r="BD1610" s="72"/>
    </row>
    <row r="1611" spans="55:56" ht="13" x14ac:dyDescent="0.15">
      <c r="BC1611" s="72"/>
      <c r="BD1611" s="72"/>
    </row>
    <row r="1612" spans="55:56" ht="13" x14ac:dyDescent="0.15">
      <c r="BC1612" s="72"/>
      <c r="BD1612" s="72"/>
    </row>
    <row r="1613" spans="55:56" ht="13" x14ac:dyDescent="0.15">
      <c r="BC1613" s="72"/>
      <c r="BD1613" s="72"/>
    </row>
    <row r="1614" spans="55:56" ht="13" x14ac:dyDescent="0.15">
      <c r="BC1614" s="72"/>
      <c r="BD1614" s="72"/>
    </row>
    <row r="1615" spans="55:56" ht="13" x14ac:dyDescent="0.15">
      <c r="BC1615" s="72"/>
      <c r="BD1615" s="72"/>
    </row>
    <row r="1616" spans="55:56" ht="13" x14ac:dyDescent="0.15">
      <c r="BC1616" s="72"/>
      <c r="BD1616" s="72"/>
    </row>
    <row r="1617" spans="55:56" ht="13" x14ac:dyDescent="0.15">
      <c r="BC1617" s="72"/>
      <c r="BD1617" s="72"/>
    </row>
    <row r="1618" spans="55:56" ht="13" x14ac:dyDescent="0.15">
      <c r="BC1618" s="72"/>
      <c r="BD1618" s="72"/>
    </row>
    <row r="1619" spans="55:56" ht="13" x14ac:dyDescent="0.15">
      <c r="BC1619" s="72"/>
      <c r="BD1619" s="72"/>
    </row>
    <row r="1620" spans="55:56" ht="13" x14ac:dyDescent="0.15">
      <c r="BC1620" s="72"/>
      <c r="BD1620" s="72"/>
    </row>
    <row r="1621" spans="55:56" ht="13" x14ac:dyDescent="0.15">
      <c r="BC1621" s="72"/>
      <c r="BD1621" s="72"/>
    </row>
    <row r="1622" spans="55:56" ht="13" x14ac:dyDescent="0.15">
      <c r="BC1622" s="72"/>
      <c r="BD1622" s="72"/>
    </row>
    <row r="1623" spans="55:56" ht="13" x14ac:dyDescent="0.15">
      <c r="BC1623" s="72"/>
      <c r="BD1623" s="72"/>
    </row>
    <row r="1624" spans="55:56" ht="13" x14ac:dyDescent="0.15">
      <c r="BC1624" s="72"/>
      <c r="BD1624" s="72"/>
    </row>
    <row r="1625" spans="55:56" ht="13" x14ac:dyDescent="0.15">
      <c r="BC1625" s="72"/>
      <c r="BD1625" s="72"/>
    </row>
    <row r="1626" spans="55:56" ht="13" x14ac:dyDescent="0.15">
      <c r="BC1626" s="72"/>
      <c r="BD1626" s="72"/>
    </row>
    <row r="1627" spans="55:56" ht="13" x14ac:dyDescent="0.15">
      <c r="BC1627" s="72"/>
      <c r="BD1627" s="72"/>
    </row>
    <row r="1628" spans="55:56" ht="13" x14ac:dyDescent="0.15">
      <c r="BC1628" s="72"/>
      <c r="BD1628" s="72"/>
    </row>
    <row r="1629" spans="55:56" ht="13" x14ac:dyDescent="0.15">
      <c r="BC1629" s="72"/>
      <c r="BD1629" s="72"/>
    </row>
    <row r="1630" spans="55:56" ht="13" x14ac:dyDescent="0.15">
      <c r="BC1630" s="72"/>
      <c r="BD1630" s="72"/>
    </row>
    <row r="1631" spans="55:56" ht="13" x14ac:dyDescent="0.15">
      <c r="BC1631" s="72"/>
      <c r="BD1631" s="72"/>
    </row>
    <row r="1632" spans="55:56" ht="13" x14ac:dyDescent="0.15">
      <c r="BC1632" s="72"/>
      <c r="BD1632" s="72"/>
    </row>
    <row r="1633" spans="55:56" ht="13" x14ac:dyDescent="0.15">
      <c r="BC1633" s="72"/>
      <c r="BD1633" s="72"/>
    </row>
    <row r="1634" spans="55:56" ht="13" x14ac:dyDescent="0.15">
      <c r="BC1634" s="72"/>
      <c r="BD1634" s="72"/>
    </row>
    <row r="1635" spans="55:56" ht="13" x14ac:dyDescent="0.15">
      <c r="BC1635" s="72"/>
      <c r="BD1635" s="72"/>
    </row>
    <row r="1636" spans="55:56" ht="13" x14ac:dyDescent="0.15">
      <c r="BC1636" s="72"/>
      <c r="BD1636" s="72"/>
    </row>
    <row r="1637" spans="55:56" ht="13" x14ac:dyDescent="0.15">
      <c r="BC1637" s="72"/>
      <c r="BD1637" s="72"/>
    </row>
    <row r="1638" spans="55:56" ht="13" x14ac:dyDescent="0.15">
      <c r="BC1638" s="72"/>
      <c r="BD1638" s="72"/>
    </row>
    <row r="1639" spans="55:56" ht="13" x14ac:dyDescent="0.15">
      <c r="BC1639" s="72"/>
      <c r="BD1639" s="72"/>
    </row>
    <row r="1640" spans="55:56" ht="13" x14ac:dyDescent="0.15">
      <c r="BC1640" s="72"/>
      <c r="BD1640" s="72"/>
    </row>
    <row r="1641" spans="55:56" ht="13" x14ac:dyDescent="0.15">
      <c r="BC1641" s="72"/>
      <c r="BD1641" s="72"/>
    </row>
    <row r="1642" spans="55:56" ht="13" x14ac:dyDescent="0.15">
      <c r="BC1642" s="72"/>
      <c r="BD1642" s="72"/>
    </row>
    <row r="1643" spans="55:56" ht="13" x14ac:dyDescent="0.15">
      <c r="BC1643" s="72"/>
      <c r="BD1643" s="72"/>
    </row>
    <row r="1644" spans="55:56" ht="13" x14ac:dyDescent="0.15">
      <c r="BC1644" s="72"/>
      <c r="BD1644" s="72"/>
    </row>
    <row r="1645" spans="55:56" ht="13" x14ac:dyDescent="0.15">
      <c r="BC1645" s="72"/>
      <c r="BD1645" s="72"/>
    </row>
    <row r="1646" spans="55:56" ht="13" x14ac:dyDescent="0.15">
      <c r="BC1646" s="72"/>
      <c r="BD1646" s="72"/>
    </row>
    <row r="1647" spans="55:56" ht="13" x14ac:dyDescent="0.15">
      <c r="BC1647" s="72"/>
      <c r="BD1647" s="72"/>
    </row>
    <row r="1648" spans="55:56" ht="13" x14ac:dyDescent="0.15">
      <c r="BC1648" s="72"/>
      <c r="BD1648" s="72"/>
    </row>
    <row r="1649" spans="55:56" ht="13" x14ac:dyDescent="0.15">
      <c r="BC1649" s="72"/>
      <c r="BD1649" s="72"/>
    </row>
    <row r="1650" spans="55:56" ht="13" x14ac:dyDescent="0.15">
      <c r="BC1650" s="72"/>
      <c r="BD1650" s="72"/>
    </row>
    <row r="1651" spans="55:56" ht="13" x14ac:dyDescent="0.15">
      <c r="BC1651" s="72"/>
      <c r="BD1651" s="72"/>
    </row>
    <row r="1652" spans="55:56" ht="13" x14ac:dyDescent="0.15">
      <c r="BC1652" s="72"/>
      <c r="BD1652" s="72"/>
    </row>
    <row r="1653" spans="55:56" ht="13" x14ac:dyDescent="0.15">
      <c r="BC1653" s="72"/>
      <c r="BD1653" s="72"/>
    </row>
    <row r="1654" spans="55:56" ht="13" x14ac:dyDescent="0.15">
      <c r="BC1654" s="72"/>
      <c r="BD1654" s="72"/>
    </row>
    <row r="1655" spans="55:56" ht="13" x14ac:dyDescent="0.15">
      <c r="BC1655" s="72"/>
      <c r="BD1655" s="72"/>
    </row>
    <row r="1656" spans="55:56" ht="13" x14ac:dyDescent="0.15">
      <c r="BC1656" s="72"/>
      <c r="BD1656" s="72"/>
    </row>
    <row r="1657" spans="55:56" ht="13" x14ac:dyDescent="0.15">
      <c r="BC1657" s="72"/>
      <c r="BD1657" s="72"/>
    </row>
    <row r="1658" spans="55:56" ht="13" x14ac:dyDescent="0.15">
      <c r="BC1658" s="72"/>
      <c r="BD1658" s="72"/>
    </row>
    <row r="1659" spans="55:56" ht="13" x14ac:dyDescent="0.15">
      <c r="BC1659" s="72"/>
      <c r="BD1659" s="72"/>
    </row>
    <row r="1660" spans="55:56" ht="13" x14ac:dyDescent="0.15">
      <c r="BC1660" s="72"/>
      <c r="BD1660" s="72"/>
    </row>
    <row r="1661" spans="55:56" ht="13" x14ac:dyDescent="0.15">
      <c r="BC1661" s="72"/>
      <c r="BD1661" s="72"/>
    </row>
    <row r="1662" spans="55:56" ht="13" x14ac:dyDescent="0.15">
      <c r="BC1662" s="72"/>
      <c r="BD1662" s="72"/>
    </row>
    <row r="1663" spans="55:56" ht="13" x14ac:dyDescent="0.15">
      <c r="BC1663" s="72"/>
      <c r="BD1663" s="72"/>
    </row>
    <row r="1664" spans="55:56" ht="13" x14ac:dyDescent="0.15">
      <c r="BC1664" s="72"/>
      <c r="BD1664" s="72"/>
    </row>
    <row r="1665" spans="55:56" ht="13" x14ac:dyDescent="0.15">
      <c r="BC1665" s="72"/>
      <c r="BD1665" s="72"/>
    </row>
    <row r="1666" spans="55:56" ht="13" x14ac:dyDescent="0.15">
      <c r="BC1666" s="72"/>
      <c r="BD1666" s="72"/>
    </row>
    <row r="1667" spans="55:56" ht="13" x14ac:dyDescent="0.15">
      <c r="BC1667" s="72"/>
      <c r="BD1667" s="72"/>
    </row>
    <row r="1668" spans="55:56" ht="13" x14ac:dyDescent="0.15">
      <c r="BC1668" s="72"/>
      <c r="BD1668" s="72"/>
    </row>
    <row r="1669" spans="55:56" ht="13" x14ac:dyDescent="0.15">
      <c r="BC1669" s="72"/>
      <c r="BD1669" s="72"/>
    </row>
    <row r="1670" spans="55:56" ht="13" x14ac:dyDescent="0.15">
      <c r="BC1670" s="72"/>
      <c r="BD1670" s="72"/>
    </row>
    <row r="1671" spans="55:56" ht="13" x14ac:dyDescent="0.15">
      <c r="BC1671" s="72"/>
      <c r="BD1671" s="72"/>
    </row>
    <row r="1672" spans="55:56" ht="13" x14ac:dyDescent="0.15">
      <c r="BC1672" s="72"/>
      <c r="BD1672" s="72"/>
    </row>
    <row r="1673" spans="55:56" ht="13" x14ac:dyDescent="0.15">
      <c r="BC1673" s="72"/>
      <c r="BD1673" s="72"/>
    </row>
    <row r="1674" spans="55:56" ht="13" x14ac:dyDescent="0.15">
      <c r="BC1674" s="72"/>
      <c r="BD1674" s="72"/>
    </row>
    <row r="1675" spans="55:56" ht="13" x14ac:dyDescent="0.15">
      <c r="BC1675" s="72"/>
      <c r="BD1675" s="72"/>
    </row>
    <row r="1676" spans="55:56" ht="13" x14ac:dyDescent="0.15">
      <c r="BC1676" s="72"/>
      <c r="BD1676" s="72"/>
    </row>
    <row r="1677" spans="55:56" ht="13" x14ac:dyDescent="0.15">
      <c r="BC1677" s="72"/>
      <c r="BD1677" s="72"/>
    </row>
    <row r="1678" spans="55:56" ht="13" x14ac:dyDescent="0.15">
      <c r="BC1678" s="72"/>
      <c r="BD1678" s="72"/>
    </row>
    <row r="1679" spans="55:56" ht="13" x14ac:dyDescent="0.15">
      <c r="BC1679" s="72"/>
      <c r="BD1679" s="72"/>
    </row>
    <row r="1680" spans="55:56" ht="13" x14ac:dyDescent="0.15">
      <c r="BC1680" s="72"/>
      <c r="BD1680" s="72"/>
    </row>
    <row r="1681" spans="55:56" ht="13" x14ac:dyDescent="0.15">
      <c r="BC1681" s="72"/>
      <c r="BD1681" s="72"/>
    </row>
    <row r="1682" spans="55:56" ht="13" x14ac:dyDescent="0.15">
      <c r="BC1682" s="72"/>
      <c r="BD1682" s="72"/>
    </row>
    <row r="1683" spans="55:56" ht="13" x14ac:dyDescent="0.15">
      <c r="BC1683" s="72"/>
      <c r="BD1683" s="72"/>
    </row>
    <row r="1684" spans="55:56" ht="13" x14ac:dyDescent="0.15">
      <c r="BC1684" s="72"/>
      <c r="BD1684" s="72"/>
    </row>
    <row r="1685" spans="55:56" ht="13" x14ac:dyDescent="0.15">
      <c r="BC1685" s="72"/>
      <c r="BD1685" s="72"/>
    </row>
    <row r="1686" spans="55:56" ht="13" x14ac:dyDescent="0.15">
      <c r="BC1686" s="72"/>
      <c r="BD1686" s="72"/>
    </row>
    <row r="1687" spans="55:56" ht="13" x14ac:dyDescent="0.15">
      <c r="BC1687" s="72"/>
      <c r="BD1687" s="72"/>
    </row>
    <row r="1688" spans="55:56" ht="13" x14ac:dyDescent="0.15">
      <c r="BC1688" s="72"/>
      <c r="BD1688" s="72"/>
    </row>
    <row r="1689" spans="55:56" ht="13" x14ac:dyDescent="0.15">
      <c r="BC1689" s="72"/>
      <c r="BD1689" s="72"/>
    </row>
    <row r="1690" spans="55:56" ht="13" x14ac:dyDescent="0.15">
      <c r="BC1690" s="72"/>
      <c r="BD1690" s="72"/>
    </row>
    <row r="1691" spans="55:56" ht="13" x14ac:dyDescent="0.15">
      <c r="BC1691" s="72"/>
      <c r="BD1691" s="72"/>
    </row>
    <row r="1692" spans="55:56" ht="13" x14ac:dyDescent="0.15">
      <c r="BC1692" s="72"/>
      <c r="BD1692" s="72"/>
    </row>
    <row r="1693" spans="55:56" ht="13" x14ac:dyDescent="0.15">
      <c r="BC1693" s="72"/>
      <c r="BD1693" s="72"/>
    </row>
    <row r="1694" spans="55:56" ht="13" x14ac:dyDescent="0.15">
      <c r="BC1694" s="72"/>
      <c r="BD1694" s="72"/>
    </row>
    <row r="1695" spans="55:56" ht="13" x14ac:dyDescent="0.15">
      <c r="BC1695" s="72"/>
      <c r="BD1695" s="72"/>
    </row>
    <row r="1696" spans="55:56" ht="13" x14ac:dyDescent="0.15">
      <c r="BC1696" s="72"/>
      <c r="BD1696" s="72"/>
    </row>
    <row r="1697" spans="55:56" ht="13" x14ac:dyDescent="0.15">
      <c r="BC1697" s="72"/>
      <c r="BD1697" s="72"/>
    </row>
    <row r="1698" spans="55:56" ht="13" x14ac:dyDescent="0.15">
      <c r="BC1698" s="72"/>
      <c r="BD1698" s="72"/>
    </row>
    <row r="1699" spans="55:56" ht="13" x14ac:dyDescent="0.15">
      <c r="BC1699" s="72"/>
      <c r="BD1699" s="72"/>
    </row>
    <row r="1700" spans="55:56" ht="13" x14ac:dyDescent="0.15">
      <c r="BC1700" s="72"/>
      <c r="BD1700" s="72"/>
    </row>
    <row r="1701" spans="55:56" ht="13" x14ac:dyDescent="0.15">
      <c r="BC1701" s="72"/>
      <c r="BD1701" s="72"/>
    </row>
    <row r="1702" spans="55:56" ht="13" x14ac:dyDescent="0.15">
      <c r="BC1702" s="72"/>
      <c r="BD1702" s="72"/>
    </row>
    <row r="1703" spans="55:56" ht="13" x14ac:dyDescent="0.15">
      <c r="BC1703" s="72"/>
      <c r="BD1703" s="72"/>
    </row>
    <row r="1704" spans="55:56" ht="13" x14ac:dyDescent="0.15">
      <c r="BC1704" s="72"/>
      <c r="BD1704" s="72"/>
    </row>
    <row r="1705" spans="55:56" ht="13" x14ac:dyDescent="0.15">
      <c r="BC1705" s="72"/>
      <c r="BD1705" s="72"/>
    </row>
    <row r="1706" spans="55:56" ht="13" x14ac:dyDescent="0.15">
      <c r="BC1706" s="72"/>
      <c r="BD1706" s="72"/>
    </row>
    <row r="1707" spans="55:56" ht="13" x14ac:dyDescent="0.15">
      <c r="BC1707" s="72"/>
      <c r="BD1707" s="72"/>
    </row>
    <row r="1708" spans="55:56" ht="13" x14ac:dyDescent="0.15">
      <c r="BC1708" s="72"/>
      <c r="BD1708" s="72"/>
    </row>
    <row r="1709" spans="55:56" ht="13" x14ac:dyDescent="0.15">
      <c r="BC1709" s="72"/>
      <c r="BD1709" s="72"/>
    </row>
    <row r="1710" spans="55:56" ht="13" x14ac:dyDescent="0.15">
      <c r="BC1710" s="72"/>
      <c r="BD1710" s="72"/>
    </row>
    <row r="1711" spans="55:56" ht="13" x14ac:dyDescent="0.15">
      <c r="BC1711" s="72"/>
      <c r="BD1711" s="72"/>
    </row>
    <row r="1712" spans="55:56" ht="13" x14ac:dyDescent="0.15">
      <c r="BC1712" s="72"/>
      <c r="BD1712" s="72"/>
    </row>
    <row r="1713" spans="55:56" ht="13" x14ac:dyDescent="0.15">
      <c r="BC1713" s="72"/>
      <c r="BD1713" s="72"/>
    </row>
    <row r="1714" spans="55:56" ht="13" x14ac:dyDescent="0.15">
      <c r="BC1714" s="72"/>
      <c r="BD1714" s="72"/>
    </row>
    <row r="1715" spans="55:56" ht="13" x14ac:dyDescent="0.15">
      <c r="BC1715" s="72"/>
      <c r="BD1715" s="72"/>
    </row>
    <row r="1716" spans="55:56" ht="13" x14ac:dyDescent="0.15">
      <c r="BC1716" s="72"/>
      <c r="BD1716" s="72"/>
    </row>
    <row r="1717" spans="55:56" ht="13" x14ac:dyDescent="0.15">
      <c r="BC1717" s="72"/>
      <c r="BD1717" s="72"/>
    </row>
    <row r="1718" spans="55:56" ht="13" x14ac:dyDescent="0.15">
      <c r="BC1718" s="72"/>
      <c r="BD1718" s="72"/>
    </row>
    <row r="1719" spans="55:56" ht="13" x14ac:dyDescent="0.15">
      <c r="BC1719" s="72"/>
      <c r="BD1719" s="72"/>
    </row>
    <row r="1720" spans="55:56" ht="13" x14ac:dyDescent="0.15">
      <c r="BC1720" s="72"/>
      <c r="BD1720" s="72"/>
    </row>
    <row r="1721" spans="55:56" ht="13" x14ac:dyDescent="0.15">
      <c r="BC1721" s="72"/>
      <c r="BD1721" s="72"/>
    </row>
    <row r="1722" spans="55:56" ht="13" x14ac:dyDescent="0.15">
      <c r="BC1722" s="72"/>
      <c r="BD1722" s="72"/>
    </row>
    <row r="1723" spans="55:56" ht="13" x14ac:dyDescent="0.15">
      <c r="BC1723" s="72"/>
      <c r="BD1723" s="72"/>
    </row>
    <row r="1724" spans="55:56" ht="13" x14ac:dyDescent="0.15">
      <c r="BC1724" s="72"/>
      <c r="BD1724" s="72"/>
    </row>
    <row r="1725" spans="55:56" ht="13" x14ac:dyDescent="0.15">
      <c r="BC1725" s="72"/>
      <c r="BD1725" s="72"/>
    </row>
    <row r="1726" spans="55:56" ht="13" x14ac:dyDescent="0.15">
      <c r="BC1726" s="72"/>
      <c r="BD1726" s="72"/>
    </row>
    <row r="1727" spans="55:56" ht="13" x14ac:dyDescent="0.15">
      <c r="BC1727" s="72"/>
      <c r="BD1727" s="72"/>
    </row>
    <row r="1728" spans="55:56" ht="13" x14ac:dyDescent="0.15">
      <c r="BC1728" s="72"/>
      <c r="BD1728" s="72"/>
    </row>
    <row r="1729" spans="55:56" ht="13" x14ac:dyDescent="0.15">
      <c r="BC1729" s="72"/>
      <c r="BD1729" s="72"/>
    </row>
    <row r="1730" spans="55:56" ht="13" x14ac:dyDescent="0.15">
      <c r="BC1730" s="72"/>
      <c r="BD1730" s="72"/>
    </row>
    <row r="1731" spans="55:56" ht="13" x14ac:dyDescent="0.15">
      <c r="BC1731" s="72"/>
      <c r="BD1731" s="72"/>
    </row>
    <row r="1732" spans="55:56" ht="13" x14ac:dyDescent="0.15">
      <c r="BC1732" s="72"/>
      <c r="BD1732" s="72"/>
    </row>
    <row r="1733" spans="55:56" ht="13" x14ac:dyDescent="0.15">
      <c r="BC1733" s="72"/>
      <c r="BD1733" s="72"/>
    </row>
    <row r="1734" spans="55:56" ht="13" x14ac:dyDescent="0.15">
      <c r="BC1734" s="72"/>
      <c r="BD1734" s="72"/>
    </row>
    <row r="1735" spans="55:56" ht="13" x14ac:dyDescent="0.15">
      <c r="BC1735" s="72"/>
      <c r="BD1735" s="72"/>
    </row>
    <row r="1736" spans="55:56" ht="13" x14ac:dyDescent="0.15">
      <c r="BC1736" s="72"/>
      <c r="BD1736" s="72"/>
    </row>
    <row r="1737" spans="55:56" ht="13" x14ac:dyDescent="0.15">
      <c r="BC1737" s="72"/>
      <c r="BD1737" s="72"/>
    </row>
    <row r="1738" spans="55:56" ht="13" x14ac:dyDescent="0.15">
      <c r="BC1738" s="72"/>
      <c r="BD1738" s="72"/>
    </row>
    <row r="1739" spans="55:56" ht="13" x14ac:dyDescent="0.15">
      <c r="BC1739" s="72"/>
      <c r="BD1739" s="72"/>
    </row>
    <row r="1740" spans="55:56" ht="13" x14ac:dyDescent="0.15">
      <c r="BC1740" s="72"/>
      <c r="BD1740" s="72"/>
    </row>
    <row r="1741" spans="55:56" ht="13" x14ac:dyDescent="0.15">
      <c r="BC1741" s="72"/>
      <c r="BD1741" s="72"/>
    </row>
    <row r="1742" spans="55:56" ht="13" x14ac:dyDescent="0.15">
      <c r="BC1742" s="72"/>
      <c r="BD1742" s="72"/>
    </row>
    <row r="1743" spans="55:56" ht="13" x14ac:dyDescent="0.15">
      <c r="BC1743" s="72"/>
      <c r="BD1743" s="72"/>
    </row>
    <row r="1744" spans="55:56" ht="13" x14ac:dyDescent="0.15">
      <c r="BC1744" s="72"/>
      <c r="BD1744" s="72"/>
    </row>
    <row r="1745" spans="55:56" ht="13" x14ac:dyDescent="0.15">
      <c r="BC1745" s="72"/>
      <c r="BD1745" s="72"/>
    </row>
    <row r="1746" spans="55:56" ht="13" x14ac:dyDescent="0.15">
      <c r="BC1746" s="72"/>
      <c r="BD1746" s="72"/>
    </row>
    <row r="1747" spans="55:56" ht="13" x14ac:dyDescent="0.15">
      <c r="BC1747" s="72"/>
      <c r="BD1747" s="72"/>
    </row>
    <row r="1748" spans="55:56" ht="13" x14ac:dyDescent="0.15">
      <c r="BC1748" s="72"/>
      <c r="BD1748" s="72"/>
    </row>
    <row r="1749" spans="55:56" ht="13" x14ac:dyDescent="0.15">
      <c r="BC1749" s="72"/>
      <c r="BD1749" s="72"/>
    </row>
    <row r="1750" spans="55:56" ht="13" x14ac:dyDescent="0.15">
      <c r="BC1750" s="72"/>
      <c r="BD1750" s="72"/>
    </row>
    <row r="1751" spans="55:56" ht="13" x14ac:dyDescent="0.15">
      <c r="BC1751" s="72"/>
      <c r="BD1751" s="72"/>
    </row>
    <row r="1752" spans="55:56" ht="13" x14ac:dyDescent="0.15">
      <c r="BC1752" s="72"/>
      <c r="BD1752" s="72"/>
    </row>
    <row r="1753" spans="55:56" ht="13" x14ac:dyDescent="0.15">
      <c r="BC1753" s="72"/>
      <c r="BD1753" s="72"/>
    </row>
    <row r="1754" spans="55:56" ht="13" x14ac:dyDescent="0.15">
      <c r="BC1754" s="72"/>
      <c r="BD1754" s="72"/>
    </row>
    <row r="1755" spans="55:56" ht="13" x14ac:dyDescent="0.15">
      <c r="BC1755" s="72"/>
      <c r="BD1755" s="72"/>
    </row>
    <row r="1756" spans="55:56" ht="13" x14ac:dyDescent="0.15">
      <c r="BC1756" s="72"/>
      <c r="BD1756" s="72"/>
    </row>
    <row r="1757" spans="55:56" ht="13" x14ac:dyDescent="0.15">
      <c r="BC1757" s="72"/>
      <c r="BD1757" s="72"/>
    </row>
    <row r="1758" spans="55:56" ht="13" x14ac:dyDescent="0.15">
      <c r="BC1758" s="72"/>
      <c r="BD1758" s="72"/>
    </row>
    <row r="1759" spans="55:56" ht="13" x14ac:dyDescent="0.15">
      <c r="BC1759" s="72"/>
      <c r="BD1759" s="72"/>
    </row>
    <row r="1760" spans="55:56" ht="13" x14ac:dyDescent="0.15">
      <c r="BC1760" s="72"/>
      <c r="BD1760" s="72"/>
    </row>
    <row r="1761" spans="55:56" ht="13" x14ac:dyDescent="0.15">
      <c r="BC1761" s="72"/>
      <c r="BD1761" s="72"/>
    </row>
    <row r="1762" spans="55:56" ht="13" x14ac:dyDescent="0.15">
      <c r="BC1762" s="72"/>
      <c r="BD1762" s="72"/>
    </row>
    <row r="1763" spans="55:56" ht="13" x14ac:dyDescent="0.15">
      <c r="BC1763" s="72"/>
      <c r="BD1763" s="72"/>
    </row>
    <row r="1764" spans="55:56" ht="13" x14ac:dyDescent="0.15">
      <c r="BC1764" s="72"/>
      <c r="BD1764" s="72"/>
    </row>
    <row r="1765" spans="55:56" ht="13" x14ac:dyDescent="0.15">
      <c r="BC1765" s="72"/>
      <c r="BD1765" s="72"/>
    </row>
    <row r="1766" spans="55:56" ht="13" x14ac:dyDescent="0.15">
      <c r="BC1766" s="72"/>
      <c r="BD1766" s="72"/>
    </row>
    <row r="1767" spans="55:56" ht="13" x14ac:dyDescent="0.15">
      <c r="BC1767" s="72"/>
      <c r="BD1767" s="72"/>
    </row>
    <row r="1768" spans="55:56" ht="13" x14ac:dyDescent="0.15">
      <c r="BC1768" s="72"/>
      <c r="BD1768" s="72"/>
    </row>
    <row r="1769" spans="55:56" ht="13" x14ac:dyDescent="0.15">
      <c r="BC1769" s="72"/>
      <c r="BD1769" s="72"/>
    </row>
    <row r="1770" spans="55:56" ht="13" x14ac:dyDescent="0.15">
      <c r="BC1770" s="72"/>
      <c r="BD1770" s="72"/>
    </row>
    <row r="1771" spans="55:56" ht="13" x14ac:dyDescent="0.15">
      <c r="BC1771" s="72"/>
      <c r="BD1771" s="72"/>
    </row>
    <row r="1772" spans="55:56" ht="13" x14ac:dyDescent="0.15">
      <c r="BC1772" s="72"/>
      <c r="BD1772" s="72"/>
    </row>
    <row r="1773" spans="55:56" ht="13" x14ac:dyDescent="0.15">
      <c r="BC1773" s="72"/>
      <c r="BD1773" s="72"/>
    </row>
    <row r="1774" spans="55:56" ht="13" x14ac:dyDescent="0.15">
      <c r="BC1774" s="72"/>
      <c r="BD1774" s="72"/>
    </row>
    <row r="1775" spans="55:56" ht="13" x14ac:dyDescent="0.15">
      <c r="BC1775" s="72"/>
      <c r="BD1775" s="72"/>
    </row>
    <row r="1776" spans="55:56" ht="13" x14ac:dyDescent="0.15">
      <c r="BC1776" s="72"/>
      <c r="BD1776" s="72"/>
    </row>
    <row r="1777" spans="55:56" ht="13" x14ac:dyDescent="0.15">
      <c r="BC1777" s="72"/>
      <c r="BD1777" s="72"/>
    </row>
    <row r="1778" spans="55:56" ht="13" x14ac:dyDescent="0.15">
      <c r="BC1778" s="72"/>
      <c r="BD1778" s="72"/>
    </row>
    <row r="1779" spans="55:56" ht="13" x14ac:dyDescent="0.15">
      <c r="BC1779" s="72"/>
      <c r="BD1779" s="72"/>
    </row>
    <row r="1780" spans="55:56" ht="13" x14ac:dyDescent="0.15">
      <c r="BC1780" s="72"/>
      <c r="BD1780" s="72"/>
    </row>
    <row r="1781" spans="55:56" ht="13" x14ac:dyDescent="0.15">
      <c r="BC1781" s="72"/>
      <c r="BD1781" s="72"/>
    </row>
    <row r="1782" spans="55:56" ht="13" x14ac:dyDescent="0.15">
      <c r="BC1782" s="72"/>
      <c r="BD1782" s="72"/>
    </row>
    <row r="1783" spans="55:56" ht="13" x14ac:dyDescent="0.15">
      <c r="BC1783" s="72"/>
      <c r="BD1783" s="72"/>
    </row>
    <row r="1784" spans="55:56" ht="13" x14ac:dyDescent="0.15">
      <c r="BC1784" s="72"/>
      <c r="BD1784" s="72"/>
    </row>
    <row r="1785" spans="55:56" ht="13" x14ac:dyDescent="0.15">
      <c r="BC1785" s="72"/>
      <c r="BD1785" s="72"/>
    </row>
    <row r="1786" spans="55:56" ht="13" x14ac:dyDescent="0.15">
      <c r="BC1786" s="72"/>
      <c r="BD1786" s="72"/>
    </row>
    <row r="1787" spans="55:56" ht="13" x14ac:dyDescent="0.15">
      <c r="BC1787" s="72"/>
      <c r="BD1787" s="72"/>
    </row>
    <row r="1788" spans="55:56" ht="13" x14ac:dyDescent="0.15">
      <c r="BC1788" s="72"/>
      <c r="BD1788" s="72"/>
    </row>
    <row r="1789" spans="55:56" ht="13" x14ac:dyDescent="0.15">
      <c r="BC1789" s="72"/>
      <c r="BD1789" s="72"/>
    </row>
    <row r="1790" spans="55:56" ht="13" x14ac:dyDescent="0.15">
      <c r="BC1790" s="72"/>
      <c r="BD1790" s="72"/>
    </row>
    <row r="1791" spans="55:56" ht="13" x14ac:dyDescent="0.15">
      <c r="BC1791" s="72"/>
      <c r="BD1791" s="72"/>
    </row>
    <row r="1792" spans="55:56" ht="13" x14ac:dyDescent="0.15">
      <c r="BC1792" s="72"/>
      <c r="BD1792" s="72"/>
    </row>
    <row r="1793" spans="55:56" ht="13" x14ac:dyDescent="0.15">
      <c r="BC1793" s="72"/>
      <c r="BD1793" s="72"/>
    </row>
    <row r="1794" spans="55:56" ht="13" x14ac:dyDescent="0.15">
      <c r="BC1794" s="72"/>
      <c r="BD1794" s="72"/>
    </row>
    <row r="1795" spans="55:56" ht="13" x14ac:dyDescent="0.15">
      <c r="BC1795" s="72"/>
      <c r="BD1795" s="72"/>
    </row>
    <row r="1796" spans="55:56" ht="13" x14ac:dyDescent="0.15">
      <c r="BC1796" s="72"/>
      <c r="BD1796" s="72"/>
    </row>
    <row r="1797" spans="55:56" ht="13" x14ac:dyDescent="0.15">
      <c r="BC1797" s="72"/>
      <c r="BD1797" s="72"/>
    </row>
    <row r="1798" spans="55:56" ht="13" x14ac:dyDescent="0.15">
      <c r="BC1798" s="72"/>
      <c r="BD1798" s="72"/>
    </row>
    <row r="1799" spans="55:56" ht="13" x14ac:dyDescent="0.15">
      <c r="BC1799" s="72"/>
      <c r="BD1799" s="72"/>
    </row>
    <row r="1800" spans="55:56" ht="13" x14ac:dyDescent="0.15">
      <c r="BC1800" s="72"/>
      <c r="BD1800" s="72"/>
    </row>
    <row r="1801" spans="55:56" ht="13" x14ac:dyDescent="0.15">
      <c r="BC1801" s="72"/>
      <c r="BD1801" s="72"/>
    </row>
    <row r="1802" spans="55:56" ht="13" x14ac:dyDescent="0.15">
      <c r="BC1802" s="72"/>
      <c r="BD1802" s="72"/>
    </row>
    <row r="1803" spans="55:56" ht="13" x14ac:dyDescent="0.15">
      <c r="BC1803" s="72"/>
      <c r="BD1803" s="72"/>
    </row>
    <row r="1804" spans="55:56" ht="13" x14ac:dyDescent="0.15">
      <c r="BC1804" s="72"/>
      <c r="BD1804" s="72"/>
    </row>
    <row r="1805" spans="55:56" ht="13" x14ac:dyDescent="0.15">
      <c r="BC1805" s="72"/>
      <c r="BD1805" s="72"/>
    </row>
    <row r="1806" spans="55:56" ht="13" x14ac:dyDescent="0.15">
      <c r="BC1806" s="72"/>
      <c r="BD1806" s="72"/>
    </row>
    <row r="1807" spans="55:56" ht="13" x14ac:dyDescent="0.15">
      <c r="BC1807" s="72"/>
      <c r="BD1807" s="72"/>
    </row>
    <row r="1808" spans="55:56" ht="13" x14ac:dyDescent="0.15">
      <c r="BC1808" s="72"/>
      <c r="BD1808" s="72"/>
    </row>
    <row r="1809" spans="55:56" ht="13" x14ac:dyDescent="0.15">
      <c r="BC1809" s="72"/>
      <c r="BD1809" s="72"/>
    </row>
    <row r="1810" spans="55:56" ht="13" x14ac:dyDescent="0.15">
      <c r="BC1810" s="72"/>
      <c r="BD1810" s="72"/>
    </row>
    <row r="1811" spans="55:56" ht="13" x14ac:dyDescent="0.15">
      <c r="BC1811" s="72"/>
      <c r="BD1811" s="72"/>
    </row>
    <row r="1812" spans="55:56" ht="13" x14ac:dyDescent="0.15">
      <c r="BC1812" s="72"/>
      <c r="BD1812" s="72"/>
    </row>
    <row r="1813" spans="55:56" ht="13" x14ac:dyDescent="0.15">
      <c r="BC1813" s="72"/>
      <c r="BD1813" s="72"/>
    </row>
    <row r="1814" spans="55:56" ht="13" x14ac:dyDescent="0.15">
      <c r="BC1814" s="72"/>
      <c r="BD1814" s="72"/>
    </row>
    <row r="1815" spans="55:56" ht="13" x14ac:dyDescent="0.15">
      <c r="BC1815" s="72"/>
      <c r="BD1815" s="72"/>
    </row>
    <row r="1816" spans="55:56" ht="13" x14ac:dyDescent="0.15">
      <c r="BC1816" s="72"/>
      <c r="BD1816" s="72"/>
    </row>
    <row r="1817" spans="55:56" ht="13" x14ac:dyDescent="0.15">
      <c r="BC1817" s="72"/>
      <c r="BD1817" s="72"/>
    </row>
    <row r="1818" spans="55:56" ht="13" x14ac:dyDescent="0.15">
      <c r="BC1818" s="72"/>
      <c r="BD1818" s="72"/>
    </row>
    <row r="1819" spans="55:56" ht="13" x14ac:dyDescent="0.15">
      <c r="BC1819" s="72"/>
      <c r="BD1819" s="72"/>
    </row>
    <row r="1820" spans="55:56" ht="13" x14ac:dyDescent="0.15">
      <c r="BC1820" s="72"/>
      <c r="BD1820" s="72"/>
    </row>
    <row r="1821" spans="55:56" ht="13" x14ac:dyDescent="0.15">
      <c r="BC1821" s="72"/>
      <c r="BD1821" s="72"/>
    </row>
    <row r="1822" spans="55:56" ht="13" x14ac:dyDescent="0.15">
      <c r="BC1822" s="72"/>
      <c r="BD1822" s="72"/>
    </row>
    <row r="1823" spans="55:56" ht="13" x14ac:dyDescent="0.15">
      <c r="BC1823" s="72"/>
      <c r="BD1823" s="72"/>
    </row>
    <row r="1824" spans="55:56" ht="13" x14ac:dyDescent="0.15">
      <c r="BC1824" s="72"/>
      <c r="BD1824" s="72"/>
    </row>
    <row r="1825" spans="55:56" ht="13" x14ac:dyDescent="0.15">
      <c r="BC1825" s="72"/>
      <c r="BD1825" s="72"/>
    </row>
    <row r="1826" spans="55:56" ht="13" x14ac:dyDescent="0.15">
      <c r="BC1826" s="72"/>
      <c r="BD1826" s="72"/>
    </row>
    <row r="1827" spans="55:56" ht="13" x14ac:dyDescent="0.15">
      <c r="BC1827" s="72"/>
      <c r="BD1827" s="72"/>
    </row>
    <row r="1828" spans="55:56" ht="13" x14ac:dyDescent="0.15">
      <c r="BC1828" s="72"/>
      <c r="BD1828" s="72"/>
    </row>
    <row r="1829" spans="55:56" ht="13" x14ac:dyDescent="0.15">
      <c r="BC1829" s="72"/>
      <c r="BD1829" s="72"/>
    </row>
    <row r="1830" spans="55:56" ht="13" x14ac:dyDescent="0.15">
      <c r="BC1830" s="72"/>
      <c r="BD1830" s="72"/>
    </row>
    <row r="1831" spans="55:56" ht="13" x14ac:dyDescent="0.15">
      <c r="BC1831" s="72"/>
      <c r="BD1831" s="72"/>
    </row>
    <row r="1832" spans="55:56" ht="13" x14ac:dyDescent="0.15">
      <c r="BC1832" s="72"/>
      <c r="BD1832" s="72"/>
    </row>
    <row r="1833" spans="55:56" ht="13" x14ac:dyDescent="0.15">
      <c r="BC1833" s="72"/>
      <c r="BD1833" s="72"/>
    </row>
    <row r="1834" spans="55:56" ht="13" x14ac:dyDescent="0.15">
      <c r="BC1834" s="72"/>
      <c r="BD1834" s="72"/>
    </row>
    <row r="1835" spans="55:56" ht="13" x14ac:dyDescent="0.15">
      <c r="BC1835" s="72"/>
      <c r="BD1835" s="72"/>
    </row>
    <row r="1836" spans="55:56" ht="13" x14ac:dyDescent="0.15">
      <c r="BC1836" s="72"/>
      <c r="BD1836" s="72"/>
    </row>
    <row r="1837" spans="55:56" ht="13" x14ac:dyDescent="0.15">
      <c r="BC1837" s="72"/>
      <c r="BD1837" s="72"/>
    </row>
    <row r="1838" spans="55:56" ht="13" x14ac:dyDescent="0.15">
      <c r="BC1838" s="72"/>
      <c r="BD1838" s="72"/>
    </row>
    <row r="1839" spans="55:56" ht="13" x14ac:dyDescent="0.15">
      <c r="BC1839" s="72"/>
      <c r="BD1839" s="72"/>
    </row>
    <row r="1840" spans="55:56" ht="13" x14ac:dyDescent="0.15">
      <c r="BC1840" s="72"/>
      <c r="BD1840" s="72"/>
    </row>
    <row r="1841" spans="55:56" ht="13" x14ac:dyDescent="0.15">
      <c r="BC1841" s="72"/>
      <c r="BD1841" s="72"/>
    </row>
    <row r="1842" spans="55:56" ht="13" x14ac:dyDescent="0.15">
      <c r="BC1842" s="72"/>
      <c r="BD1842" s="72"/>
    </row>
    <row r="1843" spans="55:56" ht="13" x14ac:dyDescent="0.15">
      <c r="BC1843" s="72"/>
      <c r="BD1843" s="72"/>
    </row>
    <row r="1844" spans="55:56" ht="13" x14ac:dyDescent="0.15">
      <c r="BC1844" s="72"/>
      <c r="BD1844" s="72"/>
    </row>
    <row r="1845" spans="55:56" ht="13" x14ac:dyDescent="0.15">
      <c r="BC1845" s="72"/>
      <c r="BD1845" s="72"/>
    </row>
    <row r="1846" spans="55:56" ht="13" x14ac:dyDescent="0.15">
      <c r="BC1846" s="72"/>
      <c r="BD1846" s="72"/>
    </row>
    <row r="1847" spans="55:56" ht="13" x14ac:dyDescent="0.15">
      <c r="BC1847" s="72"/>
      <c r="BD1847" s="72"/>
    </row>
    <row r="1848" spans="55:56" ht="13" x14ac:dyDescent="0.15">
      <c r="BC1848" s="72"/>
      <c r="BD1848" s="72"/>
    </row>
    <row r="1849" spans="55:56" ht="13" x14ac:dyDescent="0.15">
      <c r="BC1849" s="72"/>
      <c r="BD1849" s="72"/>
    </row>
    <row r="1850" spans="55:56" ht="13" x14ac:dyDescent="0.15">
      <c r="BC1850" s="72"/>
      <c r="BD1850" s="72"/>
    </row>
    <row r="1851" spans="55:56" ht="13" x14ac:dyDescent="0.15">
      <c r="BC1851" s="72"/>
      <c r="BD1851" s="72"/>
    </row>
    <row r="1852" spans="55:56" ht="13" x14ac:dyDescent="0.15">
      <c r="BC1852" s="72"/>
      <c r="BD1852" s="72"/>
    </row>
    <row r="1853" spans="55:56" ht="13" x14ac:dyDescent="0.15">
      <c r="BC1853" s="72"/>
      <c r="BD1853" s="72"/>
    </row>
    <row r="1854" spans="55:56" ht="13" x14ac:dyDescent="0.15">
      <c r="BC1854" s="72"/>
      <c r="BD1854" s="72"/>
    </row>
    <row r="1855" spans="55:56" ht="13" x14ac:dyDescent="0.15">
      <c r="BC1855" s="72"/>
      <c r="BD1855" s="72"/>
    </row>
    <row r="1856" spans="55:56" ht="13" x14ac:dyDescent="0.15">
      <c r="BC1856" s="72"/>
      <c r="BD1856" s="72"/>
    </row>
    <row r="1857" spans="55:56" ht="13" x14ac:dyDescent="0.15">
      <c r="BC1857" s="72"/>
      <c r="BD1857" s="72"/>
    </row>
    <row r="1858" spans="55:56" ht="13" x14ac:dyDescent="0.15">
      <c r="BC1858" s="72"/>
      <c r="BD1858" s="72"/>
    </row>
    <row r="1859" spans="55:56" ht="13" x14ac:dyDescent="0.15">
      <c r="BC1859" s="72"/>
      <c r="BD1859" s="72"/>
    </row>
    <row r="1860" spans="55:56" ht="13" x14ac:dyDescent="0.15">
      <c r="BC1860" s="72"/>
      <c r="BD1860" s="72"/>
    </row>
    <row r="1861" spans="55:56" ht="13" x14ac:dyDescent="0.15">
      <c r="BC1861" s="72"/>
      <c r="BD1861" s="72"/>
    </row>
    <row r="1862" spans="55:56" ht="13" x14ac:dyDescent="0.15">
      <c r="BC1862" s="72"/>
      <c r="BD1862" s="72"/>
    </row>
    <row r="1863" spans="55:56" ht="13" x14ac:dyDescent="0.15">
      <c r="BC1863" s="72"/>
      <c r="BD1863" s="72"/>
    </row>
    <row r="1864" spans="55:56" ht="13" x14ac:dyDescent="0.15">
      <c r="BC1864" s="72"/>
      <c r="BD1864" s="72"/>
    </row>
    <row r="1865" spans="55:56" ht="13" x14ac:dyDescent="0.15">
      <c r="BC1865" s="72"/>
      <c r="BD1865" s="72"/>
    </row>
    <row r="1866" spans="55:56" ht="13" x14ac:dyDescent="0.15">
      <c r="BC1866" s="72"/>
      <c r="BD1866" s="72"/>
    </row>
    <row r="1867" spans="55:56" ht="13" x14ac:dyDescent="0.15">
      <c r="BC1867" s="72"/>
      <c r="BD1867" s="72"/>
    </row>
    <row r="1868" spans="55:56" ht="13" x14ac:dyDescent="0.15">
      <c r="BC1868" s="72"/>
      <c r="BD1868" s="72"/>
    </row>
    <row r="1869" spans="55:56" ht="13" x14ac:dyDescent="0.15">
      <c r="BC1869" s="72"/>
      <c r="BD1869" s="72"/>
    </row>
    <row r="1870" spans="55:56" ht="13" x14ac:dyDescent="0.15">
      <c r="BC1870" s="72"/>
      <c r="BD1870" s="72"/>
    </row>
    <row r="1871" spans="55:56" ht="13" x14ac:dyDescent="0.15">
      <c r="BC1871" s="72"/>
      <c r="BD1871" s="72"/>
    </row>
    <row r="1872" spans="55:56" ht="13" x14ac:dyDescent="0.15">
      <c r="BC1872" s="72"/>
      <c r="BD1872" s="72"/>
    </row>
    <row r="1873" spans="55:56" ht="13" x14ac:dyDescent="0.15">
      <c r="BC1873" s="72"/>
      <c r="BD1873" s="72"/>
    </row>
    <row r="1874" spans="55:56" ht="13" x14ac:dyDescent="0.15">
      <c r="BC1874" s="72"/>
      <c r="BD1874" s="72"/>
    </row>
    <row r="1875" spans="55:56" ht="13" x14ac:dyDescent="0.15">
      <c r="BC1875" s="72"/>
      <c r="BD1875" s="72"/>
    </row>
    <row r="1876" spans="55:56" ht="13" x14ac:dyDescent="0.15">
      <c r="BC1876" s="72"/>
      <c r="BD1876" s="72"/>
    </row>
    <row r="1877" spans="55:56" ht="13" x14ac:dyDescent="0.15">
      <c r="BC1877" s="72"/>
      <c r="BD1877" s="72"/>
    </row>
    <row r="1878" spans="55:56" ht="13" x14ac:dyDescent="0.15">
      <c r="BC1878" s="72"/>
      <c r="BD1878" s="72"/>
    </row>
    <row r="1879" spans="55:56" ht="13" x14ac:dyDescent="0.15">
      <c r="BC1879" s="72"/>
      <c r="BD1879" s="72"/>
    </row>
    <row r="1880" spans="55:56" ht="13" x14ac:dyDescent="0.15">
      <c r="BC1880" s="72"/>
      <c r="BD1880" s="72"/>
    </row>
    <row r="1881" spans="55:56" ht="13" x14ac:dyDescent="0.15">
      <c r="BC1881" s="72"/>
      <c r="BD1881" s="72"/>
    </row>
    <row r="1882" spans="55:56" ht="13" x14ac:dyDescent="0.15">
      <c r="BC1882" s="72"/>
      <c r="BD1882" s="72"/>
    </row>
    <row r="1883" spans="55:56" ht="13" x14ac:dyDescent="0.15">
      <c r="BC1883" s="72"/>
      <c r="BD1883" s="72"/>
    </row>
    <row r="1884" spans="55:56" ht="13" x14ac:dyDescent="0.15">
      <c r="BC1884" s="72"/>
      <c r="BD1884" s="72"/>
    </row>
    <row r="1885" spans="55:56" ht="13" x14ac:dyDescent="0.15">
      <c r="BC1885" s="72"/>
      <c r="BD1885" s="72"/>
    </row>
    <row r="1886" spans="55:56" ht="13" x14ac:dyDescent="0.15">
      <c r="BC1886" s="72"/>
      <c r="BD1886" s="72"/>
    </row>
    <row r="1887" spans="55:56" ht="13" x14ac:dyDescent="0.15">
      <c r="BC1887" s="72"/>
      <c r="BD1887" s="72"/>
    </row>
    <row r="1888" spans="55:56" ht="13" x14ac:dyDescent="0.15">
      <c r="BC1888" s="72"/>
      <c r="BD1888" s="72"/>
    </row>
    <row r="1889" spans="55:56" ht="13" x14ac:dyDescent="0.15">
      <c r="BC1889" s="72"/>
      <c r="BD1889" s="72"/>
    </row>
    <row r="1890" spans="55:56" ht="13" x14ac:dyDescent="0.15">
      <c r="BC1890" s="72"/>
      <c r="BD1890" s="72"/>
    </row>
    <row r="1891" spans="55:56" ht="13" x14ac:dyDescent="0.15">
      <c r="BC1891" s="72"/>
      <c r="BD1891" s="72"/>
    </row>
    <row r="1892" spans="55:56" ht="13" x14ac:dyDescent="0.15">
      <c r="BC1892" s="72"/>
      <c r="BD1892" s="72"/>
    </row>
    <row r="1893" spans="55:56" ht="13" x14ac:dyDescent="0.15">
      <c r="BC1893" s="72"/>
      <c r="BD1893" s="72"/>
    </row>
    <row r="1894" spans="55:56" ht="13" x14ac:dyDescent="0.15">
      <c r="BC1894" s="72"/>
      <c r="BD1894" s="72"/>
    </row>
    <row r="1895" spans="55:56" ht="13" x14ac:dyDescent="0.15">
      <c r="BC1895" s="72"/>
      <c r="BD1895" s="72"/>
    </row>
    <row r="1896" spans="55:56" ht="13" x14ac:dyDescent="0.15">
      <c r="BC1896" s="72"/>
      <c r="BD1896" s="72"/>
    </row>
    <row r="1897" spans="55:56" ht="13" x14ac:dyDescent="0.15">
      <c r="BC1897" s="72"/>
      <c r="BD1897" s="72"/>
    </row>
    <row r="1898" spans="55:56" ht="13" x14ac:dyDescent="0.15">
      <c r="BC1898" s="72"/>
      <c r="BD1898" s="72"/>
    </row>
    <row r="1899" spans="55:56" ht="13" x14ac:dyDescent="0.15">
      <c r="BC1899" s="72"/>
      <c r="BD1899" s="72"/>
    </row>
    <row r="1900" spans="55:56" ht="13" x14ac:dyDescent="0.15">
      <c r="BC1900" s="72"/>
      <c r="BD1900" s="72"/>
    </row>
    <row r="1901" spans="55:56" ht="13" x14ac:dyDescent="0.15">
      <c r="BC1901" s="72"/>
      <c r="BD1901" s="72"/>
    </row>
    <row r="1902" spans="55:56" ht="13" x14ac:dyDescent="0.15">
      <c r="BC1902" s="72"/>
      <c r="BD1902" s="72"/>
    </row>
    <row r="1903" spans="55:56" ht="13" x14ac:dyDescent="0.15">
      <c r="BC1903" s="72"/>
      <c r="BD1903" s="72"/>
    </row>
    <row r="1904" spans="55:56" ht="13" x14ac:dyDescent="0.15">
      <c r="BC1904" s="72"/>
      <c r="BD1904" s="72"/>
    </row>
    <row r="1905" spans="55:56" ht="13" x14ac:dyDescent="0.15">
      <c r="BC1905" s="72"/>
      <c r="BD1905" s="72"/>
    </row>
    <row r="1906" spans="55:56" ht="13" x14ac:dyDescent="0.15">
      <c r="BC1906" s="72"/>
      <c r="BD1906" s="72"/>
    </row>
    <row r="1907" spans="55:56" ht="13" x14ac:dyDescent="0.15">
      <c r="BC1907" s="72"/>
      <c r="BD1907" s="72"/>
    </row>
    <row r="1908" spans="55:56" ht="13" x14ac:dyDescent="0.15">
      <c r="BC1908" s="72"/>
      <c r="BD1908" s="72"/>
    </row>
    <row r="1909" spans="55:56" ht="13" x14ac:dyDescent="0.15">
      <c r="BC1909" s="72"/>
      <c r="BD1909" s="72"/>
    </row>
    <row r="1910" spans="55:56" ht="13" x14ac:dyDescent="0.15">
      <c r="BC1910" s="72"/>
      <c r="BD1910" s="72"/>
    </row>
    <row r="1911" spans="55:56" ht="13" x14ac:dyDescent="0.15">
      <c r="BC1911" s="72"/>
      <c r="BD1911" s="72"/>
    </row>
    <row r="1912" spans="55:56" ht="13" x14ac:dyDescent="0.15">
      <c r="BC1912" s="72"/>
      <c r="BD1912" s="72"/>
    </row>
    <row r="1913" spans="55:56" ht="13" x14ac:dyDescent="0.15">
      <c r="BC1913" s="72"/>
      <c r="BD1913" s="72"/>
    </row>
    <row r="1914" spans="55:56" ht="13" x14ac:dyDescent="0.15">
      <c r="BC1914" s="72"/>
      <c r="BD1914" s="72"/>
    </row>
    <row r="1915" spans="55:56" ht="13" x14ac:dyDescent="0.15">
      <c r="BC1915" s="72"/>
      <c r="BD1915" s="72"/>
    </row>
    <row r="1916" spans="55:56" ht="13" x14ac:dyDescent="0.15">
      <c r="BC1916" s="72"/>
      <c r="BD1916" s="72"/>
    </row>
    <row r="1917" spans="55:56" ht="13" x14ac:dyDescent="0.15">
      <c r="BC1917" s="72"/>
      <c r="BD1917" s="72"/>
    </row>
    <row r="1918" spans="55:56" ht="13" x14ac:dyDescent="0.15">
      <c r="BC1918" s="72"/>
      <c r="BD1918" s="72"/>
    </row>
    <row r="1919" spans="55:56" ht="13" x14ac:dyDescent="0.15">
      <c r="BC1919" s="72"/>
      <c r="BD1919" s="72"/>
    </row>
    <row r="1920" spans="55:56" ht="13" x14ac:dyDescent="0.15">
      <c r="BC1920" s="72"/>
      <c r="BD1920" s="72"/>
    </row>
    <row r="1921" spans="55:56" ht="13" x14ac:dyDescent="0.15">
      <c r="BC1921" s="72"/>
      <c r="BD1921" s="72"/>
    </row>
    <row r="1922" spans="55:56" ht="13" x14ac:dyDescent="0.15">
      <c r="BC1922" s="72"/>
      <c r="BD1922" s="72"/>
    </row>
    <row r="1923" spans="55:56" ht="13" x14ac:dyDescent="0.15">
      <c r="BC1923" s="72"/>
      <c r="BD1923" s="72"/>
    </row>
    <row r="1924" spans="55:56" ht="13" x14ac:dyDescent="0.15">
      <c r="BC1924" s="72"/>
      <c r="BD1924" s="72"/>
    </row>
    <row r="1925" spans="55:56" ht="13" x14ac:dyDescent="0.15">
      <c r="BC1925" s="72"/>
      <c r="BD1925" s="72"/>
    </row>
    <row r="1926" spans="55:56" ht="13" x14ac:dyDescent="0.15">
      <c r="BC1926" s="72"/>
      <c r="BD1926" s="72"/>
    </row>
    <row r="1927" spans="55:56" ht="13" x14ac:dyDescent="0.15">
      <c r="BC1927" s="72"/>
      <c r="BD1927" s="72"/>
    </row>
    <row r="1928" spans="55:56" ht="13" x14ac:dyDescent="0.15">
      <c r="BC1928" s="72"/>
      <c r="BD1928" s="72"/>
    </row>
    <row r="1929" spans="55:56" ht="13" x14ac:dyDescent="0.15">
      <c r="BC1929" s="72"/>
      <c r="BD1929" s="72"/>
    </row>
    <row r="1930" spans="55:56" ht="13" x14ac:dyDescent="0.15">
      <c r="BC1930" s="72"/>
      <c r="BD1930" s="72"/>
    </row>
    <row r="1931" spans="55:56" ht="13" x14ac:dyDescent="0.15">
      <c r="BC1931" s="72"/>
      <c r="BD1931" s="72"/>
    </row>
    <row r="1932" spans="55:56" ht="13" x14ac:dyDescent="0.15">
      <c r="BC1932" s="72"/>
      <c r="BD1932" s="72"/>
    </row>
    <row r="1933" spans="55:56" ht="13" x14ac:dyDescent="0.15">
      <c r="BC1933" s="72"/>
      <c r="BD1933" s="72"/>
    </row>
    <row r="1934" spans="55:56" ht="13" x14ac:dyDescent="0.15">
      <c r="BC1934" s="72"/>
      <c r="BD1934" s="72"/>
    </row>
    <row r="1935" spans="55:56" ht="13" x14ac:dyDescent="0.15">
      <c r="BC1935" s="72"/>
      <c r="BD1935" s="72"/>
    </row>
    <row r="1936" spans="55:56" ht="13" x14ac:dyDescent="0.15">
      <c r="BC1936" s="72"/>
      <c r="BD1936" s="72"/>
    </row>
    <row r="1937" spans="55:56" ht="13" x14ac:dyDescent="0.15">
      <c r="BC1937" s="72"/>
      <c r="BD1937" s="72"/>
    </row>
    <row r="1938" spans="55:56" ht="13" x14ac:dyDescent="0.15">
      <c r="BC1938" s="72"/>
      <c r="BD1938" s="72"/>
    </row>
    <row r="1939" spans="55:56" ht="13" x14ac:dyDescent="0.15">
      <c r="BC1939" s="72"/>
      <c r="BD1939" s="72"/>
    </row>
    <row r="1940" spans="55:56" ht="13" x14ac:dyDescent="0.15">
      <c r="BC1940" s="72"/>
      <c r="BD1940" s="72"/>
    </row>
    <row r="1941" spans="55:56" ht="13" x14ac:dyDescent="0.15">
      <c r="BC1941" s="72"/>
      <c r="BD1941" s="72"/>
    </row>
    <row r="1942" spans="55:56" ht="13" x14ac:dyDescent="0.15">
      <c r="BC1942" s="72"/>
      <c r="BD1942" s="72"/>
    </row>
    <row r="1943" spans="55:56" ht="13" x14ac:dyDescent="0.15">
      <c r="BC1943" s="72"/>
      <c r="BD1943" s="72"/>
    </row>
    <row r="1944" spans="55:56" ht="13" x14ac:dyDescent="0.15">
      <c r="BC1944" s="72"/>
      <c r="BD1944" s="72"/>
    </row>
    <row r="1945" spans="55:56" ht="13" x14ac:dyDescent="0.15">
      <c r="BC1945" s="72"/>
      <c r="BD1945" s="72"/>
    </row>
    <row r="1946" spans="55:56" ht="13" x14ac:dyDescent="0.15">
      <c r="BC1946" s="72"/>
      <c r="BD1946" s="72"/>
    </row>
    <row r="1947" spans="55:56" ht="13" x14ac:dyDescent="0.15">
      <c r="BC1947" s="72"/>
      <c r="BD1947" s="72"/>
    </row>
    <row r="1948" spans="55:56" ht="13" x14ac:dyDescent="0.15">
      <c r="BC1948" s="72"/>
      <c r="BD1948" s="72"/>
    </row>
    <row r="1949" spans="55:56" ht="13" x14ac:dyDescent="0.15">
      <c r="BC1949" s="72"/>
      <c r="BD1949" s="72"/>
    </row>
    <row r="1950" spans="55:56" ht="13" x14ac:dyDescent="0.15">
      <c r="BC1950" s="72"/>
      <c r="BD1950" s="72"/>
    </row>
    <row r="1951" spans="55:56" ht="13" x14ac:dyDescent="0.15">
      <c r="BC1951" s="72"/>
      <c r="BD1951" s="72"/>
    </row>
    <row r="1952" spans="55:56" ht="13" x14ac:dyDescent="0.15">
      <c r="BC1952" s="72"/>
      <c r="BD1952" s="72"/>
    </row>
    <row r="1953" spans="55:56" ht="13" x14ac:dyDescent="0.15">
      <c r="BC1953" s="72"/>
      <c r="BD1953" s="72"/>
    </row>
    <row r="1954" spans="55:56" ht="13" x14ac:dyDescent="0.15">
      <c r="BC1954" s="72"/>
      <c r="BD1954" s="72"/>
    </row>
    <row r="1955" spans="55:56" ht="13" x14ac:dyDescent="0.15">
      <c r="BC1955" s="72"/>
      <c r="BD1955" s="72"/>
    </row>
    <row r="1956" spans="55:56" ht="13" x14ac:dyDescent="0.15">
      <c r="BC1956" s="72"/>
      <c r="BD1956" s="72"/>
    </row>
    <row r="1957" spans="55:56" ht="13" x14ac:dyDescent="0.15">
      <c r="BC1957" s="72"/>
      <c r="BD1957" s="72"/>
    </row>
    <row r="1958" spans="55:56" ht="13" x14ac:dyDescent="0.15">
      <c r="BC1958" s="72"/>
      <c r="BD1958" s="72"/>
    </row>
    <row r="1959" spans="55:56" ht="13" x14ac:dyDescent="0.15">
      <c r="BC1959" s="72"/>
      <c r="BD1959" s="72"/>
    </row>
    <row r="1960" spans="55:56" ht="13" x14ac:dyDescent="0.15">
      <c r="BC1960" s="72"/>
      <c r="BD1960" s="72"/>
    </row>
    <row r="1961" spans="55:56" ht="13" x14ac:dyDescent="0.15">
      <c r="BC1961" s="72"/>
      <c r="BD1961" s="72"/>
    </row>
    <row r="1962" spans="55:56" ht="13" x14ac:dyDescent="0.15">
      <c r="BC1962" s="72"/>
      <c r="BD1962" s="72"/>
    </row>
    <row r="1963" spans="55:56" ht="13" x14ac:dyDescent="0.15">
      <c r="BC1963" s="72"/>
      <c r="BD1963" s="72"/>
    </row>
    <row r="1964" spans="55:56" ht="13" x14ac:dyDescent="0.15">
      <c r="BC1964" s="72"/>
      <c r="BD1964" s="72"/>
    </row>
    <row r="1965" spans="55:56" ht="13" x14ac:dyDescent="0.15">
      <c r="BC1965" s="72"/>
      <c r="BD1965" s="72"/>
    </row>
    <row r="1966" spans="55:56" ht="13" x14ac:dyDescent="0.15">
      <c r="BC1966" s="72"/>
      <c r="BD1966" s="72"/>
    </row>
    <row r="1967" spans="55:56" ht="13" x14ac:dyDescent="0.15">
      <c r="BC1967" s="72"/>
      <c r="BD1967" s="72"/>
    </row>
    <row r="1968" spans="55:56" ht="13" x14ac:dyDescent="0.15">
      <c r="BC1968" s="72"/>
      <c r="BD1968" s="72"/>
    </row>
    <row r="1969" spans="55:56" ht="13" x14ac:dyDescent="0.15">
      <c r="BC1969" s="72"/>
      <c r="BD1969" s="72"/>
    </row>
    <row r="1970" spans="55:56" ht="13" x14ac:dyDescent="0.15">
      <c r="BC1970" s="72"/>
      <c r="BD1970" s="72"/>
    </row>
    <row r="1971" spans="55:56" ht="13" x14ac:dyDescent="0.15">
      <c r="BC1971" s="72"/>
      <c r="BD1971" s="72"/>
    </row>
    <row r="1972" spans="55:56" ht="13" x14ac:dyDescent="0.15">
      <c r="BC1972" s="72"/>
      <c r="BD1972" s="72"/>
    </row>
    <row r="1973" spans="55:56" ht="13" x14ac:dyDescent="0.15">
      <c r="BC1973" s="72"/>
      <c r="BD1973" s="72"/>
    </row>
    <row r="1974" spans="55:56" ht="13" x14ac:dyDescent="0.15">
      <c r="BC1974" s="72"/>
      <c r="BD1974" s="72"/>
    </row>
    <row r="1975" spans="55:56" ht="13" x14ac:dyDescent="0.15">
      <c r="BC1975" s="72"/>
      <c r="BD1975" s="72"/>
    </row>
    <row r="1976" spans="55:56" ht="13" x14ac:dyDescent="0.15">
      <c r="BC1976" s="72"/>
      <c r="BD1976" s="72"/>
    </row>
    <row r="1977" spans="55:56" ht="13" x14ac:dyDescent="0.15">
      <c r="BC1977" s="72"/>
      <c r="BD1977" s="72"/>
    </row>
    <row r="1978" spans="55:56" ht="13" x14ac:dyDescent="0.15">
      <c r="BC1978" s="72"/>
      <c r="BD1978" s="72"/>
    </row>
    <row r="1979" spans="55:56" ht="13" x14ac:dyDescent="0.15">
      <c r="BC1979" s="72"/>
      <c r="BD1979" s="72"/>
    </row>
    <row r="1980" spans="55:56" ht="13" x14ac:dyDescent="0.15">
      <c r="BC1980" s="72"/>
      <c r="BD1980" s="72"/>
    </row>
    <row r="1981" spans="55:56" ht="13" x14ac:dyDescent="0.15">
      <c r="BC1981" s="72"/>
      <c r="BD1981" s="72"/>
    </row>
    <row r="1982" spans="55:56" ht="13" x14ac:dyDescent="0.15">
      <c r="BC1982" s="72"/>
      <c r="BD1982" s="72"/>
    </row>
    <row r="1983" spans="55:56" ht="13" x14ac:dyDescent="0.15">
      <c r="BC1983" s="72"/>
      <c r="BD1983" s="72"/>
    </row>
    <row r="1984" spans="55:56" ht="13" x14ac:dyDescent="0.15">
      <c r="BC1984" s="72"/>
      <c r="BD1984" s="72"/>
    </row>
    <row r="1985" spans="55:56" ht="13" x14ac:dyDescent="0.15">
      <c r="BC1985" s="72"/>
      <c r="BD1985" s="72"/>
    </row>
    <row r="1986" spans="55:56" ht="13" x14ac:dyDescent="0.15">
      <c r="BC1986" s="72"/>
      <c r="BD1986" s="72"/>
    </row>
    <row r="1987" spans="55:56" ht="13" x14ac:dyDescent="0.15">
      <c r="BC1987" s="72"/>
      <c r="BD1987" s="72"/>
    </row>
    <row r="1988" spans="55:56" ht="13" x14ac:dyDescent="0.15">
      <c r="BC1988" s="72"/>
      <c r="BD1988" s="72"/>
    </row>
    <row r="1989" spans="55:56" ht="13" x14ac:dyDescent="0.15">
      <c r="BC1989" s="72"/>
      <c r="BD1989" s="72"/>
    </row>
    <row r="1990" spans="55:56" ht="13" x14ac:dyDescent="0.15">
      <c r="BC1990" s="72"/>
      <c r="BD1990" s="72"/>
    </row>
    <row r="1991" spans="55:56" ht="13" x14ac:dyDescent="0.15">
      <c r="BC1991" s="72"/>
      <c r="BD1991" s="72"/>
    </row>
    <row r="1992" spans="55:56" ht="13" x14ac:dyDescent="0.15">
      <c r="BC1992" s="72"/>
      <c r="BD1992" s="72"/>
    </row>
    <row r="1993" spans="55:56" ht="13" x14ac:dyDescent="0.15">
      <c r="BC1993" s="72"/>
      <c r="BD1993" s="72"/>
    </row>
    <row r="1994" spans="55:56" ht="13" x14ac:dyDescent="0.15">
      <c r="BC1994" s="72"/>
      <c r="BD1994" s="72"/>
    </row>
    <row r="1995" spans="55:56" ht="13" x14ac:dyDescent="0.15">
      <c r="BC1995" s="72"/>
      <c r="BD1995" s="72"/>
    </row>
    <row r="1996" spans="55:56" ht="13" x14ac:dyDescent="0.15">
      <c r="BC1996" s="72"/>
      <c r="BD1996" s="72"/>
    </row>
    <row r="1997" spans="55:56" ht="13" x14ac:dyDescent="0.15">
      <c r="BC1997" s="72"/>
      <c r="BD1997" s="72"/>
    </row>
    <row r="1998" spans="55:56" ht="13" x14ac:dyDescent="0.15">
      <c r="BC1998" s="72"/>
      <c r="BD1998" s="72"/>
    </row>
    <row r="1999" spans="55:56" ht="13" x14ac:dyDescent="0.15">
      <c r="BC1999" s="72"/>
      <c r="BD1999" s="72"/>
    </row>
    <row r="2000" spans="55:56" ht="13" x14ac:dyDescent="0.15">
      <c r="BC2000" s="72"/>
      <c r="BD2000" s="72"/>
    </row>
    <row r="2001" spans="55:56" ht="13" x14ac:dyDescent="0.15">
      <c r="BC2001" s="72"/>
      <c r="BD2001" s="72"/>
    </row>
    <row r="2002" spans="55:56" ht="13" x14ac:dyDescent="0.15">
      <c r="BC2002" s="72"/>
      <c r="BD2002" s="72"/>
    </row>
    <row r="2003" spans="55:56" ht="13" x14ac:dyDescent="0.15">
      <c r="BC2003" s="72"/>
      <c r="BD2003" s="72"/>
    </row>
    <row r="2004" spans="55:56" ht="13" x14ac:dyDescent="0.15">
      <c r="BC2004" s="72"/>
      <c r="BD2004" s="72"/>
    </row>
    <row r="2005" spans="55:56" ht="13" x14ac:dyDescent="0.15">
      <c r="BC2005" s="72"/>
      <c r="BD2005" s="72"/>
    </row>
    <row r="2006" spans="55:56" ht="13" x14ac:dyDescent="0.15">
      <c r="BC2006" s="72"/>
      <c r="BD2006" s="72"/>
    </row>
    <row r="2007" spans="55:56" ht="13" x14ac:dyDescent="0.15">
      <c r="BC2007" s="72"/>
      <c r="BD2007" s="72"/>
    </row>
    <row r="2008" spans="55:56" ht="13" x14ac:dyDescent="0.15">
      <c r="BC2008" s="72"/>
      <c r="BD2008" s="72"/>
    </row>
    <row r="2009" spans="55:56" ht="13" x14ac:dyDescent="0.15">
      <c r="BC2009" s="72"/>
      <c r="BD2009" s="72"/>
    </row>
    <row r="2010" spans="55:56" ht="13" x14ac:dyDescent="0.15">
      <c r="BC2010" s="72"/>
      <c r="BD2010" s="72"/>
    </row>
    <row r="2011" spans="55:56" ht="13" x14ac:dyDescent="0.15">
      <c r="BC2011" s="72"/>
      <c r="BD2011" s="72"/>
    </row>
    <row r="2012" spans="55:56" ht="13" x14ac:dyDescent="0.15">
      <c r="BC2012" s="72"/>
      <c r="BD2012" s="72"/>
    </row>
    <row r="2013" spans="55:56" ht="13" x14ac:dyDescent="0.15">
      <c r="BC2013" s="72"/>
      <c r="BD2013" s="72"/>
    </row>
    <row r="2014" spans="55:56" ht="13" x14ac:dyDescent="0.15">
      <c r="BC2014" s="72"/>
      <c r="BD2014" s="72"/>
    </row>
    <row r="2015" spans="55:56" ht="13" x14ac:dyDescent="0.15">
      <c r="BC2015" s="72"/>
      <c r="BD2015" s="72"/>
    </row>
    <row r="2016" spans="55:56" ht="13" x14ac:dyDescent="0.15">
      <c r="BC2016" s="72"/>
      <c r="BD2016" s="72"/>
    </row>
    <row r="2017" spans="55:56" ht="13" x14ac:dyDescent="0.15">
      <c r="BC2017" s="72"/>
      <c r="BD2017" s="72"/>
    </row>
    <row r="2018" spans="55:56" ht="13" x14ac:dyDescent="0.15">
      <c r="BC2018" s="72"/>
      <c r="BD2018" s="72"/>
    </row>
    <row r="2019" spans="55:56" ht="13" x14ac:dyDescent="0.15">
      <c r="BC2019" s="72"/>
      <c r="BD2019" s="72"/>
    </row>
    <row r="2020" spans="55:56" ht="13" x14ac:dyDescent="0.15">
      <c r="BC2020" s="72"/>
      <c r="BD2020" s="72"/>
    </row>
    <row r="2021" spans="55:56" ht="13" x14ac:dyDescent="0.15">
      <c r="BC2021" s="72"/>
      <c r="BD2021" s="72"/>
    </row>
    <row r="2022" spans="55:56" ht="13" x14ac:dyDescent="0.15">
      <c r="BC2022" s="72"/>
      <c r="BD2022" s="72"/>
    </row>
    <row r="2023" spans="55:56" ht="13" x14ac:dyDescent="0.15">
      <c r="BC2023" s="72"/>
      <c r="BD2023" s="72"/>
    </row>
    <row r="2024" spans="55:56" ht="13" x14ac:dyDescent="0.15">
      <c r="BC2024" s="72"/>
      <c r="BD2024" s="72"/>
    </row>
    <row r="2025" spans="55:56" ht="13" x14ac:dyDescent="0.15">
      <c r="BC2025" s="72"/>
      <c r="BD2025" s="72"/>
    </row>
    <row r="2026" spans="55:56" ht="13" x14ac:dyDescent="0.15">
      <c r="BC2026" s="72"/>
      <c r="BD2026" s="72"/>
    </row>
    <row r="2027" spans="55:56" ht="13" x14ac:dyDescent="0.15">
      <c r="BC2027" s="72"/>
      <c r="BD2027" s="72"/>
    </row>
    <row r="2028" spans="55:56" ht="13" x14ac:dyDescent="0.15">
      <c r="BC2028" s="72"/>
      <c r="BD2028" s="72"/>
    </row>
    <row r="2029" spans="55:56" ht="13" x14ac:dyDescent="0.15">
      <c r="BC2029" s="72"/>
      <c r="BD2029" s="72"/>
    </row>
    <row r="2030" spans="55:56" ht="13" x14ac:dyDescent="0.15">
      <c r="BC2030" s="72"/>
      <c r="BD2030" s="72"/>
    </row>
    <row r="2031" spans="55:56" ht="13" x14ac:dyDescent="0.15">
      <c r="BC2031" s="72"/>
      <c r="BD2031" s="72"/>
    </row>
    <row r="2032" spans="55:56" ht="13" x14ac:dyDescent="0.15">
      <c r="BC2032" s="72"/>
      <c r="BD2032" s="72"/>
    </row>
    <row r="2033" spans="55:56" ht="13" x14ac:dyDescent="0.15">
      <c r="BC2033" s="72"/>
      <c r="BD2033" s="72"/>
    </row>
    <row r="2034" spans="55:56" ht="13" x14ac:dyDescent="0.15">
      <c r="BC2034" s="72"/>
      <c r="BD2034" s="72"/>
    </row>
    <row r="2035" spans="55:56" ht="13" x14ac:dyDescent="0.15">
      <c r="BC2035" s="72"/>
      <c r="BD2035" s="72"/>
    </row>
    <row r="2036" spans="55:56" ht="13" x14ac:dyDescent="0.15">
      <c r="BC2036" s="72"/>
      <c r="BD2036" s="72"/>
    </row>
    <row r="2037" spans="55:56" ht="13" x14ac:dyDescent="0.15">
      <c r="BC2037" s="72"/>
      <c r="BD2037" s="72"/>
    </row>
    <row r="2038" spans="55:56" ht="13" x14ac:dyDescent="0.15">
      <c r="BC2038" s="72"/>
      <c r="BD2038" s="72"/>
    </row>
    <row r="2039" spans="55:56" ht="13" x14ac:dyDescent="0.15">
      <c r="BC2039" s="72"/>
      <c r="BD2039" s="72"/>
    </row>
    <row r="2040" spans="55:56" ht="13" x14ac:dyDescent="0.15">
      <c r="BC2040" s="72"/>
      <c r="BD2040" s="72"/>
    </row>
    <row r="2041" spans="55:56" ht="13" x14ac:dyDescent="0.15">
      <c r="BC2041" s="72"/>
      <c r="BD2041" s="72"/>
    </row>
    <row r="2042" spans="55:56" ht="13" x14ac:dyDescent="0.15">
      <c r="BC2042" s="72"/>
      <c r="BD2042" s="72"/>
    </row>
    <row r="2043" spans="55:56" ht="13" x14ac:dyDescent="0.15">
      <c r="BC2043" s="72"/>
      <c r="BD2043" s="72"/>
    </row>
    <row r="2044" spans="55:56" ht="13" x14ac:dyDescent="0.15">
      <c r="BC2044" s="72"/>
      <c r="BD2044" s="72"/>
    </row>
    <row r="2045" spans="55:56" ht="13" x14ac:dyDescent="0.15">
      <c r="BC2045" s="72"/>
      <c r="BD2045" s="72"/>
    </row>
    <row r="2046" spans="55:56" ht="13" x14ac:dyDescent="0.15">
      <c r="BC2046" s="72"/>
      <c r="BD2046" s="72"/>
    </row>
    <row r="2047" spans="55:56" ht="13" x14ac:dyDescent="0.15">
      <c r="BC2047" s="72"/>
      <c r="BD2047" s="72"/>
    </row>
    <row r="2048" spans="55:56" ht="13" x14ac:dyDescent="0.15">
      <c r="BC2048" s="72"/>
      <c r="BD2048" s="72"/>
    </row>
    <row r="2049" spans="55:56" ht="13" x14ac:dyDescent="0.15">
      <c r="BC2049" s="72"/>
      <c r="BD2049" s="72"/>
    </row>
    <row r="2050" spans="55:56" ht="13" x14ac:dyDescent="0.15">
      <c r="BC2050" s="72"/>
      <c r="BD2050" s="72"/>
    </row>
    <row r="2051" spans="55:56" ht="13" x14ac:dyDescent="0.15">
      <c r="BC2051" s="72"/>
      <c r="BD2051" s="72"/>
    </row>
    <row r="2052" spans="55:56" ht="13" x14ac:dyDescent="0.15">
      <c r="BC2052" s="72"/>
      <c r="BD2052" s="72"/>
    </row>
    <row r="2053" spans="55:56" ht="13" x14ac:dyDescent="0.15">
      <c r="BC2053" s="72"/>
      <c r="BD2053" s="72"/>
    </row>
    <row r="2054" spans="55:56" ht="13" x14ac:dyDescent="0.15">
      <c r="BC2054" s="72"/>
      <c r="BD2054" s="72"/>
    </row>
    <row r="2055" spans="55:56" ht="13" x14ac:dyDescent="0.15">
      <c r="BC2055" s="72"/>
      <c r="BD2055" s="72"/>
    </row>
    <row r="2056" spans="55:56" ht="13" x14ac:dyDescent="0.15">
      <c r="BC2056" s="72"/>
      <c r="BD2056" s="72"/>
    </row>
    <row r="2057" spans="55:56" ht="13" x14ac:dyDescent="0.15">
      <c r="BC2057" s="72"/>
      <c r="BD2057" s="72"/>
    </row>
    <row r="2058" spans="55:56" ht="13" x14ac:dyDescent="0.15">
      <c r="BC2058" s="72"/>
      <c r="BD2058" s="72"/>
    </row>
    <row r="2059" spans="55:56" ht="13" x14ac:dyDescent="0.15">
      <c r="BC2059" s="72"/>
      <c r="BD2059" s="72"/>
    </row>
    <row r="2060" spans="55:56" ht="13" x14ac:dyDescent="0.15">
      <c r="BC2060" s="72"/>
      <c r="BD2060" s="72"/>
    </row>
    <row r="2061" spans="55:56" ht="13" x14ac:dyDescent="0.15">
      <c r="BC2061" s="72"/>
      <c r="BD2061" s="72"/>
    </row>
    <row r="2062" spans="55:56" ht="13" x14ac:dyDescent="0.15">
      <c r="BC2062" s="72"/>
      <c r="BD2062" s="72"/>
    </row>
    <row r="2063" spans="55:56" ht="13" x14ac:dyDescent="0.15">
      <c r="BC2063" s="72"/>
      <c r="BD2063" s="72"/>
    </row>
    <row r="2064" spans="55:56" ht="13" x14ac:dyDescent="0.15">
      <c r="BC2064" s="72"/>
      <c r="BD2064" s="72"/>
    </row>
    <row r="2065" spans="55:56" ht="13" x14ac:dyDescent="0.15">
      <c r="BC2065" s="72"/>
      <c r="BD2065" s="72"/>
    </row>
    <row r="2066" spans="55:56" ht="13" x14ac:dyDescent="0.15">
      <c r="BC2066" s="72"/>
      <c r="BD2066" s="72"/>
    </row>
    <row r="2067" spans="55:56" ht="13" x14ac:dyDescent="0.15">
      <c r="BC2067" s="72"/>
      <c r="BD2067" s="72"/>
    </row>
    <row r="2068" spans="55:56" ht="13" x14ac:dyDescent="0.15">
      <c r="BC2068" s="72"/>
      <c r="BD2068" s="72"/>
    </row>
    <row r="2069" spans="55:56" ht="13" x14ac:dyDescent="0.15">
      <c r="BC2069" s="72"/>
      <c r="BD2069" s="72"/>
    </row>
    <row r="2070" spans="55:56" ht="13" x14ac:dyDescent="0.15">
      <c r="BC2070" s="72"/>
      <c r="BD2070" s="72"/>
    </row>
    <row r="2071" spans="55:56" ht="13" x14ac:dyDescent="0.15">
      <c r="BC2071" s="72"/>
      <c r="BD2071" s="72"/>
    </row>
    <row r="2072" spans="55:56" ht="13" x14ac:dyDescent="0.15">
      <c r="BC2072" s="72"/>
      <c r="BD2072" s="72"/>
    </row>
    <row r="2073" spans="55:56" ht="13" x14ac:dyDescent="0.15">
      <c r="BC2073" s="72"/>
      <c r="BD2073" s="72"/>
    </row>
    <row r="2074" spans="55:56" ht="13" x14ac:dyDescent="0.15">
      <c r="BC2074" s="72"/>
      <c r="BD2074" s="72"/>
    </row>
    <row r="2075" spans="55:56" ht="13" x14ac:dyDescent="0.15">
      <c r="BC2075" s="72"/>
      <c r="BD2075" s="72"/>
    </row>
    <row r="2076" spans="55:56" ht="13" x14ac:dyDescent="0.15">
      <c r="BC2076" s="72"/>
      <c r="BD2076" s="72"/>
    </row>
    <row r="2077" spans="55:56" ht="13" x14ac:dyDescent="0.15">
      <c r="BC2077" s="72"/>
      <c r="BD2077" s="72"/>
    </row>
    <row r="2078" spans="55:56" ht="13" x14ac:dyDescent="0.15">
      <c r="BC2078" s="72"/>
      <c r="BD2078" s="72"/>
    </row>
    <row r="2079" spans="55:56" ht="13" x14ac:dyDescent="0.15">
      <c r="BC2079" s="72"/>
      <c r="BD2079" s="72"/>
    </row>
    <row r="2080" spans="55:56" ht="13" x14ac:dyDescent="0.15">
      <c r="BC2080" s="72"/>
      <c r="BD2080" s="72"/>
    </row>
    <row r="2081" spans="55:56" ht="13" x14ac:dyDescent="0.15">
      <c r="BC2081" s="72"/>
      <c r="BD2081" s="72"/>
    </row>
    <row r="2082" spans="55:56" ht="13" x14ac:dyDescent="0.15">
      <c r="BC2082" s="72"/>
      <c r="BD2082" s="72"/>
    </row>
    <row r="2083" spans="55:56" ht="13" x14ac:dyDescent="0.15">
      <c r="BC2083" s="72"/>
      <c r="BD2083" s="72"/>
    </row>
    <row r="2084" spans="55:56" ht="13" x14ac:dyDescent="0.15">
      <c r="BC2084" s="72"/>
      <c r="BD2084" s="72"/>
    </row>
    <row r="2085" spans="55:56" ht="13" x14ac:dyDescent="0.15">
      <c r="BC2085" s="72"/>
      <c r="BD2085" s="72"/>
    </row>
    <row r="2086" spans="55:56" ht="13" x14ac:dyDescent="0.15">
      <c r="BC2086" s="72"/>
      <c r="BD2086" s="72"/>
    </row>
    <row r="2087" spans="55:56" ht="13" x14ac:dyDescent="0.15">
      <c r="BC2087" s="72"/>
      <c r="BD2087" s="72"/>
    </row>
    <row r="2088" spans="55:56" ht="13" x14ac:dyDescent="0.15">
      <c r="BC2088" s="72"/>
      <c r="BD2088" s="72"/>
    </row>
    <row r="2089" spans="55:56" ht="13" x14ac:dyDescent="0.15">
      <c r="BC2089" s="72"/>
      <c r="BD2089" s="72"/>
    </row>
    <row r="2090" spans="55:56" ht="13" x14ac:dyDescent="0.15">
      <c r="BC2090" s="72"/>
      <c r="BD2090" s="72"/>
    </row>
    <row r="2091" spans="55:56" ht="13" x14ac:dyDescent="0.15">
      <c r="BC2091" s="72"/>
      <c r="BD2091" s="72"/>
    </row>
    <row r="2092" spans="55:56" ht="13" x14ac:dyDescent="0.15">
      <c r="BC2092" s="72"/>
      <c r="BD2092" s="72"/>
    </row>
    <row r="2093" spans="55:56" ht="13" x14ac:dyDescent="0.15">
      <c r="BC2093" s="72"/>
      <c r="BD2093" s="72"/>
    </row>
    <row r="2094" spans="55:56" ht="13" x14ac:dyDescent="0.15">
      <c r="BC2094" s="72"/>
      <c r="BD2094" s="72"/>
    </row>
    <row r="2095" spans="55:56" ht="13" x14ac:dyDescent="0.15">
      <c r="BC2095" s="72"/>
      <c r="BD2095" s="72"/>
    </row>
    <row r="2096" spans="55:56" ht="13" x14ac:dyDescent="0.15">
      <c r="BC2096" s="72"/>
      <c r="BD2096" s="72"/>
    </row>
    <row r="2097" spans="55:56" ht="13" x14ac:dyDescent="0.15">
      <c r="BC2097" s="72"/>
      <c r="BD2097" s="72"/>
    </row>
    <row r="2098" spans="55:56" ht="13" x14ac:dyDescent="0.15">
      <c r="BC2098" s="72"/>
      <c r="BD2098" s="72"/>
    </row>
    <row r="2099" spans="55:56" ht="13" x14ac:dyDescent="0.15">
      <c r="BC2099" s="72"/>
      <c r="BD2099" s="72"/>
    </row>
    <row r="2100" spans="55:56" ht="13" x14ac:dyDescent="0.15">
      <c r="BC2100" s="72"/>
      <c r="BD2100" s="72"/>
    </row>
    <row r="2101" spans="55:56" ht="13" x14ac:dyDescent="0.15">
      <c r="BC2101" s="72"/>
      <c r="BD2101" s="72"/>
    </row>
    <row r="2102" spans="55:56" ht="13" x14ac:dyDescent="0.15">
      <c r="BC2102" s="72"/>
      <c r="BD2102" s="72"/>
    </row>
    <row r="2103" spans="55:56" ht="13" x14ac:dyDescent="0.15">
      <c r="BC2103" s="72"/>
      <c r="BD2103" s="72"/>
    </row>
    <row r="2104" spans="55:56" ht="13" x14ac:dyDescent="0.15">
      <c r="BC2104" s="72"/>
      <c r="BD2104" s="72"/>
    </row>
    <row r="2105" spans="55:56" ht="13" x14ac:dyDescent="0.15">
      <c r="BC2105" s="72"/>
      <c r="BD2105" s="72"/>
    </row>
    <row r="2106" spans="55:56" ht="13" x14ac:dyDescent="0.15">
      <c r="BC2106" s="72"/>
      <c r="BD2106" s="72"/>
    </row>
    <row r="2107" spans="55:56" ht="13" x14ac:dyDescent="0.15">
      <c r="BC2107" s="72"/>
      <c r="BD2107" s="72"/>
    </row>
    <row r="2108" spans="55:56" ht="13" x14ac:dyDescent="0.15">
      <c r="BC2108" s="72"/>
      <c r="BD2108" s="72"/>
    </row>
    <row r="2109" spans="55:56" ht="13" x14ac:dyDescent="0.15">
      <c r="BC2109" s="72"/>
      <c r="BD2109" s="72"/>
    </row>
    <row r="2110" spans="55:56" ht="13" x14ac:dyDescent="0.15">
      <c r="BC2110" s="72"/>
      <c r="BD2110" s="72"/>
    </row>
    <row r="2111" spans="55:56" ht="13" x14ac:dyDescent="0.15">
      <c r="BC2111" s="72"/>
      <c r="BD2111" s="72"/>
    </row>
    <row r="2112" spans="55:56" ht="13" x14ac:dyDescent="0.15">
      <c r="BC2112" s="72"/>
      <c r="BD2112" s="72"/>
    </row>
    <row r="2113" spans="55:56" ht="13" x14ac:dyDescent="0.15">
      <c r="BC2113" s="72"/>
      <c r="BD2113" s="72"/>
    </row>
    <row r="2114" spans="55:56" ht="13" x14ac:dyDescent="0.15">
      <c r="BC2114" s="72"/>
      <c r="BD2114" s="72"/>
    </row>
    <row r="2115" spans="55:56" ht="13" x14ac:dyDescent="0.15">
      <c r="BC2115" s="72"/>
      <c r="BD2115" s="72"/>
    </row>
    <row r="2116" spans="55:56" ht="13" x14ac:dyDescent="0.15">
      <c r="BC2116" s="72"/>
      <c r="BD2116" s="72"/>
    </row>
    <row r="2117" spans="55:56" ht="13" x14ac:dyDescent="0.15">
      <c r="BC2117" s="72"/>
      <c r="BD2117" s="72"/>
    </row>
    <row r="2118" spans="55:56" ht="13" x14ac:dyDescent="0.15">
      <c r="BC2118" s="72"/>
      <c r="BD2118" s="72"/>
    </row>
    <row r="2119" spans="55:56" ht="13" x14ac:dyDescent="0.15">
      <c r="BC2119" s="72"/>
      <c r="BD2119" s="72"/>
    </row>
    <row r="2120" spans="55:56" ht="13" x14ac:dyDescent="0.15">
      <c r="BC2120" s="72"/>
      <c r="BD2120" s="72"/>
    </row>
    <row r="2121" spans="55:56" ht="13" x14ac:dyDescent="0.15">
      <c r="BC2121" s="72"/>
      <c r="BD2121" s="72"/>
    </row>
    <row r="2122" spans="55:56" ht="13" x14ac:dyDescent="0.15">
      <c r="BC2122" s="72"/>
      <c r="BD2122" s="72"/>
    </row>
    <row r="2123" spans="55:56" ht="13" x14ac:dyDescent="0.15">
      <c r="BC2123" s="72"/>
      <c r="BD2123" s="72"/>
    </row>
    <row r="2124" spans="55:56" ht="13" x14ac:dyDescent="0.15">
      <c r="BC2124" s="72"/>
      <c r="BD2124" s="72"/>
    </row>
    <row r="2125" spans="55:56" ht="13" x14ac:dyDescent="0.15">
      <c r="BC2125" s="72"/>
      <c r="BD2125" s="72"/>
    </row>
    <row r="2126" spans="55:56" ht="13" x14ac:dyDescent="0.15">
      <c r="BC2126" s="72"/>
      <c r="BD2126" s="72"/>
    </row>
    <row r="2127" spans="55:56" ht="13" x14ac:dyDescent="0.15">
      <c r="BC2127" s="72"/>
      <c r="BD2127" s="72"/>
    </row>
    <row r="2128" spans="55:56" ht="13" x14ac:dyDescent="0.15">
      <c r="BC2128" s="72"/>
      <c r="BD2128" s="72"/>
    </row>
    <row r="2129" spans="55:56" ht="13" x14ac:dyDescent="0.15">
      <c r="BC2129" s="72"/>
      <c r="BD2129" s="72"/>
    </row>
    <row r="2130" spans="55:56" ht="13" x14ac:dyDescent="0.15">
      <c r="BC2130" s="72"/>
      <c r="BD2130" s="72"/>
    </row>
    <row r="2131" spans="55:56" ht="13" x14ac:dyDescent="0.15">
      <c r="BC2131" s="72"/>
      <c r="BD2131" s="72"/>
    </row>
    <row r="2132" spans="55:56" ht="13" x14ac:dyDescent="0.15">
      <c r="BC2132" s="72"/>
      <c r="BD2132" s="72"/>
    </row>
    <row r="2133" spans="55:56" ht="13" x14ac:dyDescent="0.15">
      <c r="BC2133" s="72"/>
      <c r="BD2133" s="72"/>
    </row>
    <row r="2134" spans="55:56" ht="13" x14ac:dyDescent="0.15">
      <c r="BC2134" s="72"/>
      <c r="BD2134" s="72"/>
    </row>
    <row r="2135" spans="55:56" ht="13" x14ac:dyDescent="0.15">
      <c r="BC2135" s="72"/>
      <c r="BD2135" s="72"/>
    </row>
    <row r="2136" spans="55:56" ht="13" x14ac:dyDescent="0.15">
      <c r="BC2136" s="72"/>
      <c r="BD2136" s="72"/>
    </row>
    <row r="2137" spans="55:56" ht="13" x14ac:dyDescent="0.15">
      <c r="BC2137" s="72"/>
      <c r="BD2137" s="72"/>
    </row>
    <row r="2138" spans="55:56" ht="13" x14ac:dyDescent="0.15">
      <c r="BC2138" s="72"/>
      <c r="BD2138" s="72"/>
    </row>
    <row r="2139" spans="55:56" ht="13" x14ac:dyDescent="0.15">
      <c r="BC2139" s="72"/>
      <c r="BD2139" s="72"/>
    </row>
    <row r="2140" spans="55:56" ht="13" x14ac:dyDescent="0.15">
      <c r="BC2140" s="72"/>
      <c r="BD2140" s="72"/>
    </row>
    <row r="2141" spans="55:56" ht="13" x14ac:dyDescent="0.15">
      <c r="BC2141" s="72"/>
      <c r="BD2141" s="72"/>
    </row>
    <row r="2142" spans="55:56" ht="13" x14ac:dyDescent="0.15">
      <c r="BC2142" s="72"/>
      <c r="BD2142" s="72"/>
    </row>
    <row r="2143" spans="55:56" ht="13" x14ac:dyDescent="0.15">
      <c r="BC2143" s="72"/>
      <c r="BD2143" s="72"/>
    </row>
    <row r="2144" spans="55:56" ht="13" x14ac:dyDescent="0.15">
      <c r="BC2144" s="72"/>
      <c r="BD2144" s="72"/>
    </row>
    <row r="2145" spans="55:56" ht="13" x14ac:dyDescent="0.15">
      <c r="BC2145" s="72"/>
      <c r="BD2145" s="72"/>
    </row>
    <row r="2146" spans="55:56" ht="13" x14ac:dyDescent="0.15">
      <c r="BC2146" s="72"/>
      <c r="BD2146" s="72"/>
    </row>
    <row r="2147" spans="55:56" ht="13" x14ac:dyDescent="0.15">
      <c r="BC2147" s="72"/>
      <c r="BD2147" s="72"/>
    </row>
    <row r="2148" spans="55:56" ht="13" x14ac:dyDescent="0.15">
      <c r="BC2148" s="72"/>
      <c r="BD2148" s="72"/>
    </row>
    <row r="2149" spans="55:56" ht="13" x14ac:dyDescent="0.15">
      <c r="BC2149" s="72"/>
      <c r="BD2149" s="72"/>
    </row>
    <row r="2150" spans="55:56" ht="13" x14ac:dyDescent="0.15">
      <c r="BC2150" s="72"/>
      <c r="BD2150" s="72"/>
    </row>
    <row r="2151" spans="55:56" ht="13" x14ac:dyDescent="0.15">
      <c r="BC2151" s="72"/>
      <c r="BD2151" s="72"/>
    </row>
    <row r="2152" spans="55:56" ht="13" x14ac:dyDescent="0.15">
      <c r="BC2152" s="72"/>
      <c r="BD2152" s="72"/>
    </row>
    <row r="2153" spans="55:56" ht="13" x14ac:dyDescent="0.15">
      <c r="BC2153" s="72"/>
      <c r="BD2153" s="72"/>
    </row>
    <row r="2154" spans="55:56" ht="13" x14ac:dyDescent="0.15">
      <c r="BC2154" s="72"/>
      <c r="BD2154" s="72"/>
    </row>
    <row r="2155" spans="55:56" ht="13" x14ac:dyDescent="0.15">
      <c r="BC2155" s="72"/>
      <c r="BD2155" s="72"/>
    </row>
    <row r="2156" spans="55:56" ht="13" x14ac:dyDescent="0.15">
      <c r="BC2156" s="72"/>
      <c r="BD2156" s="72"/>
    </row>
    <row r="2157" spans="55:56" ht="13" x14ac:dyDescent="0.15">
      <c r="BC2157" s="72"/>
      <c r="BD2157" s="72"/>
    </row>
    <row r="2158" spans="55:56" ht="13" x14ac:dyDescent="0.15">
      <c r="BC2158" s="72"/>
      <c r="BD2158" s="72"/>
    </row>
    <row r="2159" spans="55:56" ht="13" x14ac:dyDescent="0.15">
      <c r="BC2159" s="72"/>
      <c r="BD2159" s="72"/>
    </row>
    <row r="2160" spans="55:56" ht="13" x14ac:dyDescent="0.15">
      <c r="BC2160" s="72"/>
      <c r="BD2160" s="72"/>
    </row>
    <row r="2161" spans="55:56" ht="13" x14ac:dyDescent="0.15">
      <c r="BC2161" s="72"/>
      <c r="BD2161" s="72"/>
    </row>
    <row r="2162" spans="55:56" ht="13" x14ac:dyDescent="0.15">
      <c r="BC2162" s="72"/>
      <c r="BD2162" s="72"/>
    </row>
    <row r="2163" spans="55:56" ht="13" x14ac:dyDescent="0.15">
      <c r="BC2163" s="72"/>
      <c r="BD2163" s="72"/>
    </row>
    <row r="2164" spans="55:56" ht="13" x14ac:dyDescent="0.15">
      <c r="BC2164" s="72"/>
      <c r="BD2164" s="72"/>
    </row>
    <row r="2165" spans="55:56" ht="13" x14ac:dyDescent="0.15">
      <c r="BC2165" s="72"/>
      <c r="BD2165" s="72"/>
    </row>
    <row r="2166" spans="55:56" ht="13" x14ac:dyDescent="0.15">
      <c r="BC2166" s="72"/>
      <c r="BD2166" s="72"/>
    </row>
    <row r="2167" spans="55:56" ht="13" x14ac:dyDescent="0.15">
      <c r="BC2167" s="72"/>
      <c r="BD2167" s="72"/>
    </row>
    <row r="2168" spans="55:56" ht="13" x14ac:dyDescent="0.15">
      <c r="BC2168" s="72"/>
      <c r="BD2168" s="72"/>
    </row>
    <row r="2169" spans="55:56" ht="13" x14ac:dyDescent="0.15">
      <c r="BC2169" s="72"/>
      <c r="BD2169" s="72"/>
    </row>
    <row r="2170" spans="55:56" ht="13" x14ac:dyDescent="0.15">
      <c r="BC2170" s="72"/>
      <c r="BD2170" s="72"/>
    </row>
    <row r="2171" spans="55:56" ht="13" x14ac:dyDescent="0.15">
      <c r="BC2171" s="72"/>
      <c r="BD2171" s="72"/>
    </row>
    <row r="2172" spans="55:56" ht="13" x14ac:dyDescent="0.15">
      <c r="BC2172" s="72"/>
      <c r="BD2172" s="72"/>
    </row>
    <row r="2173" spans="55:56" ht="13" x14ac:dyDescent="0.15">
      <c r="BC2173" s="72"/>
      <c r="BD2173" s="72"/>
    </row>
    <row r="2174" spans="55:56" ht="13" x14ac:dyDescent="0.15">
      <c r="BC2174" s="72"/>
      <c r="BD2174" s="72"/>
    </row>
    <row r="2175" spans="55:56" ht="13" x14ac:dyDescent="0.15">
      <c r="BC2175" s="72"/>
      <c r="BD2175" s="72"/>
    </row>
    <row r="2176" spans="55:56" ht="13" x14ac:dyDescent="0.15">
      <c r="BC2176" s="72"/>
      <c r="BD2176" s="72"/>
    </row>
    <row r="2177" spans="55:56" ht="13" x14ac:dyDescent="0.15">
      <c r="BC2177" s="72"/>
      <c r="BD2177" s="72"/>
    </row>
    <row r="2178" spans="55:56" ht="13" x14ac:dyDescent="0.15">
      <c r="BC2178" s="72"/>
      <c r="BD2178" s="72"/>
    </row>
    <row r="2179" spans="55:56" ht="13" x14ac:dyDescent="0.15">
      <c r="BC2179" s="72"/>
      <c r="BD2179" s="72"/>
    </row>
    <row r="2180" spans="55:56" ht="13" x14ac:dyDescent="0.15">
      <c r="BC2180" s="72"/>
      <c r="BD2180" s="72"/>
    </row>
    <row r="2181" spans="55:56" ht="13" x14ac:dyDescent="0.15">
      <c r="BC2181" s="72"/>
      <c r="BD2181" s="72"/>
    </row>
    <row r="2182" spans="55:56" ht="13" x14ac:dyDescent="0.15">
      <c r="BC2182" s="72"/>
      <c r="BD2182" s="72"/>
    </row>
    <row r="2183" spans="55:56" ht="13" x14ac:dyDescent="0.15">
      <c r="BC2183" s="72"/>
      <c r="BD2183" s="72"/>
    </row>
    <row r="2184" spans="55:56" ht="13" x14ac:dyDescent="0.15">
      <c r="BC2184" s="72"/>
      <c r="BD2184" s="72"/>
    </row>
    <row r="2185" spans="55:56" ht="13" x14ac:dyDescent="0.15">
      <c r="BC2185" s="72"/>
      <c r="BD2185" s="72"/>
    </row>
    <row r="2186" spans="55:56" ht="13" x14ac:dyDescent="0.15">
      <c r="BC2186" s="72"/>
      <c r="BD2186" s="72"/>
    </row>
    <row r="2187" spans="55:56" ht="13" x14ac:dyDescent="0.15">
      <c r="BC2187" s="72"/>
      <c r="BD2187" s="72"/>
    </row>
    <row r="2188" spans="55:56" ht="13" x14ac:dyDescent="0.15">
      <c r="BC2188" s="72"/>
      <c r="BD2188" s="72"/>
    </row>
    <row r="2189" spans="55:56" ht="13" x14ac:dyDescent="0.15">
      <c r="BC2189" s="72"/>
      <c r="BD2189" s="72"/>
    </row>
    <row r="2190" spans="55:56" ht="13" x14ac:dyDescent="0.15">
      <c r="BC2190" s="72"/>
      <c r="BD2190" s="72"/>
    </row>
    <row r="2191" spans="55:56" ht="13" x14ac:dyDescent="0.15">
      <c r="BC2191" s="72"/>
      <c r="BD2191" s="72"/>
    </row>
    <row r="2192" spans="55:56" ht="13" x14ac:dyDescent="0.15">
      <c r="BC2192" s="72"/>
      <c r="BD2192" s="72"/>
    </row>
    <row r="2193" spans="55:56" ht="13" x14ac:dyDescent="0.15">
      <c r="BC2193" s="72"/>
      <c r="BD2193" s="72"/>
    </row>
    <row r="2194" spans="55:56" ht="13" x14ac:dyDescent="0.15">
      <c r="BC2194" s="72"/>
      <c r="BD2194" s="72"/>
    </row>
    <row r="2195" spans="55:56" ht="13" x14ac:dyDescent="0.15">
      <c r="BC2195" s="72"/>
      <c r="BD2195" s="72"/>
    </row>
    <row r="2196" spans="55:56" ht="13" x14ac:dyDescent="0.15">
      <c r="BC2196" s="72"/>
      <c r="BD2196" s="72"/>
    </row>
    <row r="2197" spans="55:56" ht="13" x14ac:dyDescent="0.15">
      <c r="BC2197" s="72"/>
      <c r="BD2197" s="72"/>
    </row>
    <row r="2198" spans="55:56" ht="13" x14ac:dyDescent="0.15">
      <c r="BC2198" s="72"/>
      <c r="BD2198" s="72"/>
    </row>
    <row r="2199" spans="55:56" ht="13" x14ac:dyDescent="0.15">
      <c r="BC2199" s="72"/>
      <c r="BD2199" s="72"/>
    </row>
    <row r="2200" spans="55:56" ht="13" x14ac:dyDescent="0.15">
      <c r="BC2200" s="72"/>
      <c r="BD2200" s="72"/>
    </row>
    <row r="2201" spans="55:56" ht="13" x14ac:dyDescent="0.15">
      <c r="BC2201" s="72"/>
      <c r="BD2201" s="72"/>
    </row>
    <row r="2202" spans="55:56" ht="13" x14ac:dyDescent="0.15">
      <c r="BC2202" s="72"/>
      <c r="BD2202" s="72"/>
    </row>
    <row r="2203" spans="55:56" ht="13" x14ac:dyDescent="0.15">
      <c r="BC2203" s="72"/>
      <c r="BD2203" s="72"/>
    </row>
    <row r="2204" spans="55:56" ht="13" x14ac:dyDescent="0.15">
      <c r="BC2204" s="72"/>
      <c r="BD2204" s="72"/>
    </row>
    <row r="2205" spans="55:56" ht="13" x14ac:dyDescent="0.15">
      <c r="BC2205" s="72"/>
      <c r="BD2205" s="72"/>
    </row>
    <row r="2206" spans="55:56" ht="13" x14ac:dyDescent="0.15">
      <c r="BC2206" s="72"/>
      <c r="BD2206" s="72"/>
    </row>
    <row r="2207" spans="55:56" ht="13" x14ac:dyDescent="0.15">
      <c r="BC2207" s="72"/>
      <c r="BD2207" s="72"/>
    </row>
    <row r="2208" spans="55:56" ht="13" x14ac:dyDescent="0.15">
      <c r="BC2208" s="72"/>
      <c r="BD2208" s="72"/>
    </row>
    <row r="2209" spans="55:56" ht="13" x14ac:dyDescent="0.15">
      <c r="BC2209" s="72"/>
      <c r="BD2209" s="72"/>
    </row>
    <row r="2210" spans="55:56" ht="13" x14ac:dyDescent="0.15">
      <c r="BC2210" s="72"/>
      <c r="BD2210" s="72"/>
    </row>
    <row r="2211" spans="55:56" ht="13" x14ac:dyDescent="0.15">
      <c r="BC2211" s="72"/>
      <c r="BD2211" s="72"/>
    </row>
    <row r="2212" spans="55:56" ht="13" x14ac:dyDescent="0.15">
      <c r="BC2212" s="72"/>
      <c r="BD2212" s="72"/>
    </row>
    <row r="2213" spans="55:56" ht="13" x14ac:dyDescent="0.15">
      <c r="BC2213" s="72"/>
      <c r="BD2213" s="72"/>
    </row>
    <row r="2214" spans="55:56" ht="13" x14ac:dyDescent="0.15">
      <c r="BC2214" s="72"/>
      <c r="BD2214" s="72"/>
    </row>
    <row r="2215" spans="55:56" ht="13" x14ac:dyDescent="0.15">
      <c r="BC2215" s="72"/>
      <c r="BD2215" s="72"/>
    </row>
    <row r="2216" spans="55:56" ht="13" x14ac:dyDescent="0.15">
      <c r="BC2216" s="72"/>
      <c r="BD2216" s="72"/>
    </row>
    <row r="2217" spans="55:56" ht="13" x14ac:dyDescent="0.15">
      <c r="BC2217" s="72"/>
      <c r="BD2217" s="72"/>
    </row>
    <row r="2218" spans="55:56" ht="13" x14ac:dyDescent="0.15">
      <c r="BC2218" s="72"/>
      <c r="BD2218" s="72"/>
    </row>
    <row r="2219" spans="55:56" ht="13" x14ac:dyDescent="0.15">
      <c r="BC2219" s="72"/>
      <c r="BD2219" s="72"/>
    </row>
    <row r="2220" spans="55:56" ht="13" x14ac:dyDescent="0.15">
      <c r="BC2220" s="72"/>
      <c r="BD2220" s="72"/>
    </row>
    <row r="2221" spans="55:56" ht="13" x14ac:dyDescent="0.15">
      <c r="BC2221" s="72"/>
      <c r="BD2221" s="72"/>
    </row>
    <row r="2222" spans="55:56" ht="13" x14ac:dyDescent="0.15">
      <c r="BC2222" s="72"/>
      <c r="BD2222" s="72"/>
    </row>
    <row r="2223" spans="55:56" ht="13" x14ac:dyDescent="0.15">
      <c r="BC2223" s="72"/>
      <c r="BD2223" s="72"/>
    </row>
    <row r="2224" spans="55:56" ht="13" x14ac:dyDescent="0.15">
      <c r="BC2224" s="72"/>
      <c r="BD2224" s="72"/>
    </row>
    <row r="2225" spans="55:56" ht="13" x14ac:dyDescent="0.15">
      <c r="BC2225" s="72"/>
      <c r="BD2225" s="72"/>
    </row>
    <row r="2226" spans="55:56" ht="13" x14ac:dyDescent="0.15">
      <c r="BC2226" s="72"/>
      <c r="BD2226" s="72"/>
    </row>
    <row r="2227" spans="55:56" ht="13" x14ac:dyDescent="0.15">
      <c r="BC2227" s="72"/>
      <c r="BD2227" s="72"/>
    </row>
    <row r="2228" spans="55:56" ht="13" x14ac:dyDescent="0.15">
      <c r="BC2228" s="72"/>
      <c r="BD2228" s="72"/>
    </row>
    <row r="2229" spans="55:56" ht="13" x14ac:dyDescent="0.15">
      <c r="BC2229" s="72"/>
      <c r="BD2229" s="72"/>
    </row>
    <row r="2230" spans="55:56" ht="13" x14ac:dyDescent="0.15">
      <c r="BC2230" s="72"/>
      <c r="BD2230" s="72"/>
    </row>
    <row r="2231" spans="55:56" ht="13" x14ac:dyDescent="0.15">
      <c r="BC2231" s="72"/>
      <c r="BD2231" s="72"/>
    </row>
    <row r="2232" spans="55:56" ht="13" x14ac:dyDescent="0.15">
      <c r="BC2232" s="72"/>
      <c r="BD2232" s="72"/>
    </row>
    <row r="2233" spans="55:56" ht="13" x14ac:dyDescent="0.15">
      <c r="BC2233" s="72"/>
      <c r="BD2233" s="72"/>
    </row>
    <row r="2234" spans="55:56" ht="13" x14ac:dyDescent="0.15">
      <c r="BC2234" s="72"/>
      <c r="BD2234" s="72"/>
    </row>
    <row r="2235" spans="55:56" ht="13" x14ac:dyDescent="0.15">
      <c r="BC2235" s="72"/>
      <c r="BD2235" s="72"/>
    </row>
    <row r="2236" spans="55:56" ht="13" x14ac:dyDescent="0.15">
      <c r="BC2236" s="72"/>
      <c r="BD2236" s="72"/>
    </row>
    <row r="2237" spans="55:56" ht="13" x14ac:dyDescent="0.15">
      <c r="BC2237" s="72"/>
      <c r="BD2237" s="72"/>
    </row>
    <row r="2238" spans="55:56" ht="13" x14ac:dyDescent="0.15">
      <c r="BC2238" s="72"/>
      <c r="BD2238" s="72"/>
    </row>
    <row r="2239" spans="55:56" ht="13" x14ac:dyDescent="0.15">
      <c r="BC2239" s="72"/>
      <c r="BD2239" s="72"/>
    </row>
    <row r="2240" spans="55:56" ht="13" x14ac:dyDescent="0.15">
      <c r="BC2240" s="72"/>
      <c r="BD2240" s="72"/>
    </row>
    <row r="2241" spans="55:56" ht="13" x14ac:dyDescent="0.15">
      <c r="BC2241" s="72"/>
      <c r="BD2241" s="72"/>
    </row>
    <row r="2242" spans="55:56" ht="13" x14ac:dyDescent="0.15">
      <c r="BC2242" s="72"/>
      <c r="BD2242" s="72"/>
    </row>
    <row r="2243" spans="55:56" ht="13" x14ac:dyDescent="0.15">
      <c r="BC2243" s="72"/>
      <c r="BD2243" s="72"/>
    </row>
    <row r="2244" spans="55:56" ht="13" x14ac:dyDescent="0.15">
      <c r="BC2244" s="72"/>
      <c r="BD2244" s="72"/>
    </row>
    <row r="2245" spans="55:56" ht="13" x14ac:dyDescent="0.15">
      <c r="BC2245" s="72"/>
      <c r="BD2245" s="72"/>
    </row>
    <row r="2246" spans="55:56" ht="13" x14ac:dyDescent="0.15">
      <c r="BC2246" s="72"/>
      <c r="BD2246" s="72"/>
    </row>
    <row r="2247" spans="55:56" ht="13" x14ac:dyDescent="0.15">
      <c r="BC2247" s="72"/>
      <c r="BD2247" s="72"/>
    </row>
    <row r="2248" spans="55:56" ht="13" x14ac:dyDescent="0.15">
      <c r="BC2248" s="72"/>
      <c r="BD2248" s="72"/>
    </row>
    <row r="2249" spans="55:56" ht="13" x14ac:dyDescent="0.15">
      <c r="BC2249" s="72"/>
      <c r="BD2249" s="72"/>
    </row>
    <row r="2250" spans="55:56" ht="13" x14ac:dyDescent="0.15">
      <c r="BC2250" s="72"/>
      <c r="BD2250" s="72"/>
    </row>
    <row r="2251" spans="55:56" ht="13" x14ac:dyDescent="0.15">
      <c r="BC2251" s="72"/>
      <c r="BD2251" s="72"/>
    </row>
    <row r="2252" spans="55:56" ht="13" x14ac:dyDescent="0.15">
      <c r="BC2252" s="72"/>
      <c r="BD2252" s="72"/>
    </row>
    <row r="2253" spans="55:56" ht="13" x14ac:dyDescent="0.15">
      <c r="BC2253" s="72"/>
      <c r="BD2253" s="72"/>
    </row>
    <row r="2254" spans="55:56" ht="13" x14ac:dyDescent="0.15">
      <c r="BC2254" s="72"/>
      <c r="BD2254" s="72"/>
    </row>
    <row r="2255" spans="55:56" ht="13" x14ac:dyDescent="0.15">
      <c r="BC2255" s="72"/>
      <c r="BD2255" s="72"/>
    </row>
    <row r="2256" spans="55:56" ht="13" x14ac:dyDescent="0.15">
      <c r="BC2256" s="72"/>
      <c r="BD2256" s="72"/>
    </row>
    <row r="2257" spans="55:56" ht="13" x14ac:dyDescent="0.15">
      <c r="BC2257" s="72"/>
      <c r="BD2257" s="72"/>
    </row>
    <row r="2258" spans="55:56" ht="13" x14ac:dyDescent="0.15">
      <c r="BC2258" s="72"/>
      <c r="BD2258" s="72"/>
    </row>
    <row r="2259" spans="55:56" ht="13" x14ac:dyDescent="0.15">
      <c r="BC2259" s="72"/>
      <c r="BD2259" s="72"/>
    </row>
    <row r="2260" spans="55:56" ht="13" x14ac:dyDescent="0.15">
      <c r="BC2260" s="72"/>
      <c r="BD2260" s="72"/>
    </row>
    <row r="2261" spans="55:56" ht="13" x14ac:dyDescent="0.15">
      <c r="BC2261" s="72"/>
      <c r="BD2261" s="72"/>
    </row>
    <row r="2262" spans="55:56" ht="13" x14ac:dyDescent="0.15">
      <c r="BC2262" s="72"/>
      <c r="BD2262" s="72"/>
    </row>
    <row r="2263" spans="55:56" ht="13" x14ac:dyDescent="0.15">
      <c r="BC2263" s="72"/>
      <c r="BD2263" s="72"/>
    </row>
    <row r="2264" spans="55:56" ht="13" x14ac:dyDescent="0.15">
      <c r="BC2264" s="72"/>
      <c r="BD2264" s="72"/>
    </row>
    <row r="2265" spans="55:56" ht="13" x14ac:dyDescent="0.15">
      <c r="BC2265" s="72"/>
      <c r="BD2265" s="72"/>
    </row>
    <row r="2266" spans="55:56" ht="13" x14ac:dyDescent="0.15">
      <c r="BC2266" s="72"/>
      <c r="BD2266" s="72"/>
    </row>
    <row r="2267" spans="55:56" ht="13" x14ac:dyDescent="0.15">
      <c r="BC2267" s="72"/>
      <c r="BD2267" s="72"/>
    </row>
    <row r="2268" spans="55:56" ht="13" x14ac:dyDescent="0.15">
      <c r="BC2268" s="72"/>
      <c r="BD2268" s="72"/>
    </row>
    <row r="2269" spans="55:56" ht="13" x14ac:dyDescent="0.15">
      <c r="BC2269" s="72"/>
      <c r="BD2269" s="72"/>
    </row>
    <row r="2270" spans="55:56" ht="13" x14ac:dyDescent="0.15">
      <c r="BC2270" s="72"/>
      <c r="BD2270" s="72"/>
    </row>
    <row r="2271" spans="55:56" ht="13" x14ac:dyDescent="0.15">
      <c r="BC2271" s="72"/>
      <c r="BD2271" s="72"/>
    </row>
    <row r="2272" spans="55:56" ht="13" x14ac:dyDescent="0.15">
      <c r="BC2272" s="72"/>
      <c r="BD2272" s="72"/>
    </row>
    <row r="2273" spans="55:56" ht="13" x14ac:dyDescent="0.15">
      <c r="BC2273" s="72"/>
      <c r="BD2273" s="72"/>
    </row>
    <row r="2274" spans="55:56" ht="13" x14ac:dyDescent="0.15">
      <c r="BC2274" s="72"/>
      <c r="BD2274" s="72"/>
    </row>
    <row r="2275" spans="55:56" ht="13" x14ac:dyDescent="0.15">
      <c r="BC2275" s="72"/>
      <c r="BD2275" s="72"/>
    </row>
    <row r="2276" spans="55:56" ht="13" x14ac:dyDescent="0.15">
      <c r="BC2276" s="72"/>
      <c r="BD2276" s="72"/>
    </row>
    <row r="2277" spans="55:56" ht="13" x14ac:dyDescent="0.15">
      <c r="BC2277" s="72"/>
      <c r="BD2277" s="72"/>
    </row>
    <row r="2278" spans="55:56" ht="13" x14ac:dyDescent="0.15">
      <c r="BC2278" s="72"/>
      <c r="BD2278" s="72"/>
    </row>
    <row r="2279" spans="55:56" ht="13" x14ac:dyDescent="0.15">
      <c r="BC2279" s="72"/>
      <c r="BD2279" s="72"/>
    </row>
    <row r="2280" spans="55:56" ht="13" x14ac:dyDescent="0.15">
      <c r="BC2280" s="72"/>
      <c r="BD2280" s="72"/>
    </row>
    <row r="2281" spans="55:56" ht="13" x14ac:dyDescent="0.15">
      <c r="BC2281" s="72"/>
      <c r="BD2281" s="72"/>
    </row>
    <row r="2282" spans="55:56" ht="13" x14ac:dyDescent="0.15">
      <c r="BC2282" s="72"/>
      <c r="BD2282" s="72"/>
    </row>
    <row r="2283" spans="55:56" ht="13" x14ac:dyDescent="0.15">
      <c r="BC2283" s="72"/>
      <c r="BD2283" s="72"/>
    </row>
    <row r="2284" spans="55:56" ht="13" x14ac:dyDescent="0.15">
      <c r="BC2284" s="72"/>
      <c r="BD2284" s="72"/>
    </row>
    <row r="2285" spans="55:56" ht="13" x14ac:dyDescent="0.15">
      <c r="BC2285" s="72"/>
      <c r="BD2285" s="72"/>
    </row>
    <row r="2286" spans="55:56" ht="13" x14ac:dyDescent="0.15">
      <c r="BC2286" s="72"/>
      <c r="BD2286" s="72"/>
    </row>
    <row r="2287" spans="55:56" ht="13" x14ac:dyDescent="0.15">
      <c r="BC2287" s="72"/>
      <c r="BD2287" s="72"/>
    </row>
    <row r="2288" spans="55:56" ht="13" x14ac:dyDescent="0.15">
      <c r="BC2288" s="72"/>
      <c r="BD2288" s="72"/>
    </row>
    <row r="2289" spans="55:56" ht="13" x14ac:dyDescent="0.15">
      <c r="BC2289" s="72"/>
      <c r="BD2289" s="72"/>
    </row>
    <row r="2290" spans="55:56" ht="13" x14ac:dyDescent="0.15">
      <c r="BC2290" s="72"/>
      <c r="BD2290" s="72"/>
    </row>
    <row r="2291" spans="55:56" ht="13" x14ac:dyDescent="0.15">
      <c r="BC2291" s="72"/>
      <c r="BD2291" s="72"/>
    </row>
    <row r="2292" spans="55:56" ht="13" x14ac:dyDescent="0.15">
      <c r="BC2292" s="72"/>
      <c r="BD2292" s="72"/>
    </row>
    <row r="2293" spans="55:56" ht="13" x14ac:dyDescent="0.15">
      <c r="BC2293" s="72"/>
      <c r="BD2293" s="72"/>
    </row>
    <row r="2294" spans="55:56" ht="13" x14ac:dyDescent="0.15">
      <c r="BC2294" s="72"/>
      <c r="BD2294" s="72"/>
    </row>
    <row r="2295" spans="55:56" ht="13" x14ac:dyDescent="0.15">
      <c r="BC2295" s="72"/>
      <c r="BD2295" s="72"/>
    </row>
    <row r="2296" spans="55:56" ht="13" x14ac:dyDescent="0.15">
      <c r="BC2296" s="72"/>
      <c r="BD2296" s="72"/>
    </row>
    <row r="2297" spans="55:56" ht="13" x14ac:dyDescent="0.15">
      <c r="BC2297" s="72"/>
      <c r="BD2297" s="72"/>
    </row>
    <row r="2298" spans="55:56" ht="13" x14ac:dyDescent="0.15">
      <c r="BC2298" s="72"/>
      <c r="BD2298" s="72"/>
    </row>
    <row r="2299" spans="55:56" ht="13" x14ac:dyDescent="0.15">
      <c r="BC2299" s="72"/>
      <c r="BD2299" s="72"/>
    </row>
    <row r="2300" spans="55:56" ht="13" x14ac:dyDescent="0.15">
      <c r="BC2300" s="72"/>
      <c r="BD2300" s="72"/>
    </row>
    <row r="2301" spans="55:56" ht="13" x14ac:dyDescent="0.15">
      <c r="BC2301" s="72"/>
      <c r="BD2301" s="72"/>
    </row>
    <row r="2302" spans="55:56" ht="13" x14ac:dyDescent="0.15">
      <c r="BC2302" s="72"/>
      <c r="BD2302" s="72"/>
    </row>
    <row r="2303" spans="55:56" ht="13" x14ac:dyDescent="0.15">
      <c r="BC2303" s="72"/>
      <c r="BD2303" s="72"/>
    </row>
    <row r="2304" spans="55:56" ht="13" x14ac:dyDescent="0.15">
      <c r="BC2304" s="72"/>
      <c r="BD2304" s="72"/>
    </row>
    <row r="2305" spans="55:56" ht="13" x14ac:dyDescent="0.15">
      <c r="BC2305" s="72"/>
      <c r="BD2305" s="72"/>
    </row>
    <row r="2306" spans="55:56" ht="13" x14ac:dyDescent="0.15">
      <c r="BC2306" s="72"/>
      <c r="BD2306" s="72"/>
    </row>
    <row r="2307" spans="55:56" ht="13" x14ac:dyDescent="0.15">
      <c r="BC2307" s="72"/>
      <c r="BD2307" s="72"/>
    </row>
    <row r="2308" spans="55:56" ht="13" x14ac:dyDescent="0.15">
      <c r="BC2308" s="72"/>
      <c r="BD2308" s="72"/>
    </row>
    <row r="2309" spans="55:56" ht="13" x14ac:dyDescent="0.15">
      <c r="BC2309" s="72"/>
      <c r="BD2309" s="72"/>
    </row>
    <row r="2310" spans="55:56" ht="13" x14ac:dyDescent="0.15">
      <c r="BC2310" s="72"/>
      <c r="BD2310" s="72"/>
    </row>
    <row r="2311" spans="55:56" ht="13" x14ac:dyDescent="0.15">
      <c r="BC2311" s="72"/>
      <c r="BD2311" s="72"/>
    </row>
    <row r="2312" spans="55:56" ht="13" x14ac:dyDescent="0.15">
      <c r="BC2312" s="72"/>
      <c r="BD2312" s="72"/>
    </row>
    <row r="2313" spans="55:56" ht="13" x14ac:dyDescent="0.15">
      <c r="BC2313" s="72"/>
      <c r="BD2313" s="72"/>
    </row>
    <row r="2314" spans="55:56" ht="13" x14ac:dyDescent="0.15">
      <c r="BC2314" s="72"/>
      <c r="BD2314" s="72"/>
    </row>
    <row r="2315" spans="55:56" ht="13" x14ac:dyDescent="0.15">
      <c r="BC2315" s="72"/>
      <c r="BD2315" s="72"/>
    </row>
    <row r="2316" spans="55:56" ht="13" x14ac:dyDescent="0.15">
      <c r="BC2316" s="72"/>
      <c r="BD2316" s="72"/>
    </row>
    <row r="2317" spans="55:56" ht="13" x14ac:dyDescent="0.15">
      <c r="BC2317" s="72"/>
      <c r="BD2317" s="72"/>
    </row>
    <row r="2318" spans="55:56" ht="13" x14ac:dyDescent="0.15">
      <c r="BC2318" s="72"/>
      <c r="BD2318" s="72"/>
    </row>
    <row r="2319" spans="55:56" ht="13" x14ac:dyDescent="0.15">
      <c r="BC2319" s="72"/>
      <c r="BD2319" s="72"/>
    </row>
    <row r="2320" spans="55:56" ht="13" x14ac:dyDescent="0.15">
      <c r="BC2320" s="72"/>
      <c r="BD2320" s="72"/>
    </row>
    <row r="2321" spans="55:56" ht="13" x14ac:dyDescent="0.15">
      <c r="BC2321" s="72"/>
      <c r="BD2321" s="72"/>
    </row>
    <row r="2322" spans="55:56" ht="13" x14ac:dyDescent="0.15">
      <c r="BC2322" s="72"/>
      <c r="BD2322" s="72"/>
    </row>
    <row r="2323" spans="55:56" ht="13" x14ac:dyDescent="0.15">
      <c r="BC2323" s="72"/>
      <c r="BD2323" s="72"/>
    </row>
    <row r="2324" spans="55:56" ht="13" x14ac:dyDescent="0.15">
      <c r="BC2324" s="72"/>
      <c r="BD2324" s="72"/>
    </row>
    <row r="2325" spans="55:56" ht="13" x14ac:dyDescent="0.15">
      <c r="BC2325" s="72"/>
      <c r="BD2325" s="72"/>
    </row>
    <row r="2326" spans="55:56" ht="13" x14ac:dyDescent="0.15">
      <c r="BC2326" s="72"/>
      <c r="BD2326" s="72"/>
    </row>
    <row r="2327" spans="55:56" ht="13" x14ac:dyDescent="0.15">
      <c r="BC2327" s="72"/>
      <c r="BD2327" s="72"/>
    </row>
    <row r="2328" spans="55:56" ht="13" x14ac:dyDescent="0.15">
      <c r="BC2328" s="72"/>
      <c r="BD2328" s="72"/>
    </row>
    <row r="2329" spans="55:56" ht="13" x14ac:dyDescent="0.15">
      <c r="BC2329" s="72"/>
      <c r="BD2329" s="72"/>
    </row>
    <row r="2330" spans="55:56" ht="13" x14ac:dyDescent="0.15">
      <c r="BC2330" s="72"/>
      <c r="BD2330" s="72"/>
    </row>
    <row r="2331" spans="55:56" ht="13" x14ac:dyDescent="0.15">
      <c r="BC2331" s="72"/>
      <c r="BD2331" s="72"/>
    </row>
    <row r="2332" spans="55:56" ht="13" x14ac:dyDescent="0.15">
      <c r="BC2332" s="72"/>
      <c r="BD2332" s="72"/>
    </row>
    <row r="2333" spans="55:56" ht="13" x14ac:dyDescent="0.15">
      <c r="BC2333" s="72"/>
      <c r="BD2333" s="72"/>
    </row>
    <row r="2334" spans="55:56" ht="13" x14ac:dyDescent="0.15">
      <c r="BC2334" s="72"/>
      <c r="BD2334" s="72"/>
    </row>
    <row r="2335" spans="55:56" ht="13" x14ac:dyDescent="0.15">
      <c r="BC2335" s="72"/>
      <c r="BD2335" s="72"/>
    </row>
    <row r="2336" spans="55:56" ht="13" x14ac:dyDescent="0.15">
      <c r="BC2336" s="72"/>
      <c r="BD2336" s="72"/>
    </row>
    <row r="2337" spans="55:56" ht="13" x14ac:dyDescent="0.15">
      <c r="BC2337" s="72"/>
      <c r="BD2337" s="72"/>
    </row>
    <row r="2338" spans="55:56" ht="13" x14ac:dyDescent="0.15">
      <c r="BC2338" s="72"/>
      <c r="BD2338" s="72"/>
    </row>
    <row r="2339" spans="55:56" ht="13" x14ac:dyDescent="0.15">
      <c r="BC2339" s="72"/>
      <c r="BD2339" s="72"/>
    </row>
    <row r="2340" spans="55:56" ht="13" x14ac:dyDescent="0.15">
      <c r="BC2340" s="72"/>
      <c r="BD2340" s="72"/>
    </row>
    <row r="2341" spans="55:56" ht="13" x14ac:dyDescent="0.15">
      <c r="BC2341" s="72"/>
      <c r="BD2341" s="72"/>
    </row>
    <row r="2342" spans="55:56" ht="13" x14ac:dyDescent="0.15">
      <c r="BC2342" s="72"/>
      <c r="BD2342" s="72"/>
    </row>
    <row r="2343" spans="55:56" ht="13" x14ac:dyDescent="0.15">
      <c r="BC2343" s="72"/>
      <c r="BD2343" s="72"/>
    </row>
    <row r="2344" spans="55:56" ht="13" x14ac:dyDescent="0.15">
      <c r="BC2344" s="72"/>
      <c r="BD2344" s="72"/>
    </row>
    <row r="2345" spans="55:56" ht="13" x14ac:dyDescent="0.15">
      <c r="BC2345" s="72"/>
      <c r="BD2345" s="72"/>
    </row>
    <row r="2346" spans="55:56" ht="13" x14ac:dyDescent="0.15">
      <c r="BC2346" s="72"/>
      <c r="BD2346" s="72"/>
    </row>
    <row r="2347" spans="55:56" ht="13" x14ac:dyDescent="0.15">
      <c r="BC2347" s="72"/>
      <c r="BD2347" s="72"/>
    </row>
    <row r="2348" spans="55:56" ht="13" x14ac:dyDescent="0.15">
      <c r="BC2348" s="72"/>
      <c r="BD2348" s="72"/>
    </row>
    <row r="2349" spans="55:56" ht="13" x14ac:dyDescent="0.15">
      <c r="BC2349" s="72"/>
      <c r="BD2349" s="72"/>
    </row>
    <row r="2350" spans="55:56" ht="13" x14ac:dyDescent="0.15">
      <c r="BC2350" s="72"/>
      <c r="BD2350" s="72"/>
    </row>
    <row r="2351" spans="55:56" ht="13" x14ac:dyDescent="0.15">
      <c r="BC2351" s="72"/>
      <c r="BD2351" s="72"/>
    </row>
    <row r="2352" spans="55:56" ht="13" x14ac:dyDescent="0.15">
      <c r="BC2352" s="72"/>
      <c r="BD2352" s="72"/>
    </row>
    <row r="2353" spans="55:56" ht="13" x14ac:dyDescent="0.15">
      <c r="BC2353" s="72"/>
      <c r="BD2353" s="72"/>
    </row>
    <row r="2354" spans="55:56" ht="13" x14ac:dyDescent="0.15">
      <c r="BC2354" s="72"/>
      <c r="BD2354" s="72"/>
    </row>
    <row r="2355" spans="55:56" ht="13" x14ac:dyDescent="0.15">
      <c r="BC2355" s="72"/>
      <c r="BD2355" s="72"/>
    </row>
    <row r="2356" spans="55:56" ht="13" x14ac:dyDescent="0.15">
      <c r="BC2356" s="72"/>
      <c r="BD2356" s="72"/>
    </row>
    <row r="2357" spans="55:56" ht="13" x14ac:dyDescent="0.15">
      <c r="BC2357" s="72"/>
      <c r="BD2357" s="72"/>
    </row>
    <row r="2358" spans="55:56" ht="13" x14ac:dyDescent="0.15">
      <c r="BC2358" s="72"/>
      <c r="BD2358" s="72"/>
    </row>
    <row r="2359" spans="55:56" ht="13" x14ac:dyDescent="0.15">
      <c r="BC2359" s="72"/>
      <c r="BD2359" s="72"/>
    </row>
    <row r="2360" spans="55:56" ht="13" x14ac:dyDescent="0.15">
      <c r="BC2360" s="72"/>
      <c r="BD2360" s="72"/>
    </row>
    <row r="2361" spans="55:56" ht="13" x14ac:dyDescent="0.15">
      <c r="BC2361" s="72"/>
      <c r="BD2361" s="72"/>
    </row>
    <row r="2362" spans="55:56" ht="13" x14ac:dyDescent="0.15">
      <c r="BC2362" s="72"/>
      <c r="BD2362" s="72"/>
    </row>
    <row r="2363" spans="55:56" ht="13" x14ac:dyDescent="0.15">
      <c r="BC2363" s="72"/>
      <c r="BD2363" s="72"/>
    </row>
    <row r="2364" spans="55:56" ht="13" x14ac:dyDescent="0.15">
      <c r="BC2364" s="72"/>
      <c r="BD2364" s="72"/>
    </row>
    <row r="2365" spans="55:56" ht="13" x14ac:dyDescent="0.15">
      <c r="BC2365" s="72"/>
      <c r="BD2365" s="72"/>
    </row>
    <row r="2366" spans="55:56" ht="13" x14ac:dyDescent="0.15">
      <c r="BC2366" s="72"/>
      <c r="BD2366" s="72"/>
    </row>
    <row r="2367" spans="55:56" ht="13" x14ac:dyDescent="0.15">
      <c r="BC2367" s="72"/>
      <c r="BD2367" s="72"/>
    </row>
    <row r="2368" spans="55:56" ht="13" x14ac:dyDescent="0.15">
      <c r="BC2368" s="72"/>
      <c r="BD2368" s="72"/>
    </row>
    <row r="2369" spans="55:56" ht="13" x14ac:dyDescent="0.15">
      <c r="BC2369" s="72"/>
      <c r="BD2369" s="72"/>
    </row>
    <row r="2370" spans="55:56" ht="13" x14ac:dyDescent="0.15">
      <c r="BC2370" s="72"/>
      <c r="BD2370" s="72"/>
    </row>
    <row r="2371" spans="55:56" ht="13" x14ac:dyDescent="0.15">
      <c r="BC2371" s="72"/>
      <c r="BD2371" s="72"/>
    </row>
    <row r="2372" spans="55:56" ht="13" x14ac:dyDescent="0.15">
      <c r="BC2372" s="72"/>
      <c r="BD2372" s="72"/>
    </row>
    <row r="2373" spans="55:56" ht="13" x14ac:dyDescent="0.15">
      <c r="BC2373" s="72"/>
      <c r="BD2373" s="72"/>
    </row>
    <row r="2374" spans="55:56" ht="13" x14ac:dyDescent="0.15">
      <c r="BC2374" s="72"/>
      <c r="BD2374" s="72"/>
    </row>
    <row r="2375" spans="55:56" ht="13" x14ac:dyDescent="0.15">
      <c r="BC2375" s="72"/>
      <c r="BD2375" s="72"/>
    </row>
    <row r="2376" spans="55:56" ht="13" x14ac:dyDescent="0.15">
      <c r="BC2376" s="72"/>
      <c r="BD2376" s="72"/>
    </row>
    <row r="2377" spans="55:56" ht="13" x14ac:dyDescent="0.15">
      <c r="BC2377" s="72"/>
      <c r="BD2377" s="72"/>
    </row>
    <row r="2378" spans="55:56" ht="13" x14ac:dyDescent="0.15">
      <c r="BC2378" s="72"/>
      <c r="BD2378" s="72"/>
    </row>
    <row r="2379" spans="55:56" ht="13" x14ac:dyDescent="0.15">
      <c r="BC2379" s="72"/>
      <c r="BD2379" s="72"/>
    </row>
    <row r="2380" spans="55:56" ht="13" x14ac:dyDescent="0.15">
      <c r="BC2380" s="72"/>
      <c r="BD2380" s="72"/>
    </row>
    <row r="2381" spans="55:56" ht="13" x14ac:dyDescent="0.15">
      <c r="BC2381" s="72"/>
      <c r="BD2381" s="72"/>
    </row>
    <row r="2382" spans="55:56" ht="13" x14ac:dyDescent="0.15">
      <c r="BC2382" s="72"/>
      <c r="BD2382" s="72"/>
    </row>
    <row r="2383" spans="55:56" ht="13" x14ac:dyDescent="0.15">
      <c r="BC2383" s="72"/>
      <c r="BD2383" s="72"/>
    </row>
    <row r="2384" spans="55:56" ht="13" x14ac:dyDescent="0.15">
      <c r="BC2384" s="72"/>
      <c r="BD2384" s="72"/>
    </row>
    <row r="2385" spans="55:56" ht="13" x14ac:dyDescent="0.15">
      <c r="BC2385" s="72"/>
      <c r="BD2385" s="72"/>
    </row>
    <row r="2386" spans="55:56" ht="13" x14ac:dyDescent="0.15">
      <c r="BC2386" s="72"/>
      <c r="BD2386" s="72"/>
    </row>
    <row r="2387" spans="55:56" ht="13" x14ac:dyDescent="0.15">
      <c r="BC2387" s="72"/>
      <c r="BD2387" s="72"/>
    </row>
    <row r="2388" spans="55:56" ht="13" x14ac:dyDescent="0.15">
      <c r="BC2388" s="72"/>
      <c r="BD2388" s="72"/>
    </row>
    <row r="2389" spans="55:56" ht="13" x14ac:dyDescent="0.15">
      <c r="BC2389" s="72"/>
      <c r="BD2389" s="72"/>
    </row>
    <row r="2390" spans="55:56" ht="13" x14ac:dyDescent="0.15">
      <c r="BC2390" s="72"/>
      <c r="BD2390" s="72"/>
    </row>
    <row r="2391" spans="55:56" ht="13" x14ac:dyDescent="0.15">
      <c r="BC2391" s="72"/>
      <c r="BD2391" s="72"/>
    </row>
    <row r="2392" spans="55:56" ht="13" x14ac:dyDescent="0.15">
      <c r="BC2392" s="72"/>
      <c r="BD2392" s="72"/>
    </row>
    <row r="2393" spans="55:56" ht="13" x14ac:dyDescent="0.15">
      <c r="BC2393" s="72"/>
      <c r="BD2393" s="72"/>
    </row>
    <row r="2394" spans="55:56" ht="13" x14ac:dyDescent="0.15">
      <c r="BC2394" s="72"/>
      <c r="BD2394" s="72"/>
    </row>
    <row r="2395" spans="55:56" ht="13" x14ac:dyDescent="0.15">
      <c r="BC2395" s="72"/>
      <c r="BD2395" s="72"/>
    </row>
    <row r="2396" spans="55:56" ht="13" x14ac:dyDescent="0.15">
      <c r="BC2396" s="72"/>
      <c r="BD2396" s="72"/>
    </row>
    <row r="2397" spans="55:56" ht="13" x14ac:dyDescent="0.15">
      <c r="BC2397" s="72"/>
      <c r="BD2397" s="72"/>
    </row>
    <row r="2398" spans="55:56" ht="13" x14ac:dyDescent="0.15">
      <c r="BC2398" s="72"/>
      <c r="BD2398" s="72"/>
    </row>
    <row r="2399" spans="55:56" ht="13" x14ac:dyDescent="0.15">
      <c r="BC2399" s="72"/>
      <c r="BD2399" s="72"/>
    </row>
    <row r="2400" spans="55:56" ht="13" x14ac:dyDescent="0.15">
      <c r="BC2400" s="72"/>
      <c r="BD2400" s="72"/>
    </row>
    <row r="2401" spans="55:56" ht="13" x14ac:dyDescent="0.15">
      <c r="BC2401" s="72"/>
      <c r="BD2401" s="72"/>
    </row>
    <row r="2402" spans="55:56" ht="13" x14ac:dyDescent="0.15">
      <c r="BC2402" s="72"/>
      <c r="BD2402" s="72"/>
    </row>
    <row r="2403" spans="55:56" ht="13" x14ac:dyDescent="0.15">
      <c r="BC2403" s="72"/>
      <c r="BD2403" s="72"/>
    </row>
    <row r="2404" spans="55:56" ht="13" x14ac:dyDescent="0.15">
      <c r="BC2404" s="72"/>
      <c r="BD2404" s="72"/>
    </row>
    <row r="2405" spans="55:56" ht="13" x14ac:dyDescent="0.15">
      <c r="BC2405" s="72"/>
      <c r="BD2405" s="72"/>
    </row>
    <row r="2406" spans="55:56" ht="13" x14ac:dyDescent="0.15">
      <c r="BC2406" s="72"/>
      <c r="BD2406" s="72"/>
    </row>
    <row r="2407" spans="55:56" ht="13" x14ac:dyDescent="0.15">
      <c r="BC2407" s="72"/>
      <c r="BD2407" s="72"/>
    </row>
    <row r="2408" spans="55:56" ht="13" x14ac:dyDescent="0.15">
      <c r="BC2408" s="72"/>
      <c r="BD2408" s="72"/>
    </row>
    <row r="2409" spans="55:56" ht="13" x14ac:dyDescent="0.15">
      <c r="BC2409" s="72"/>
      <c r="BD2409" s="72"/>
    </row>
    <row r="2410" spans="55:56" ht="13" x14ac:dyDescent="0.15">
      <c r="BC2410" s="72"/>
      <c r="BD2410" s="72"/>
    </row>
    <row r="2411" spans="55:56" ht="13" x14ac:dyDescent="0.15">
      <c r="BC2411" s="72"/>
      <c r="BD2411" s="72"/>
    </row>
    <row r="2412" spans="55:56" ht="13" x14ac:dyDescent="0.15">
      <c r="BC2412" s="72"/>
      <c r="BD2412" s="72"/>
    </row>
    <row r="2413" spans="55:56" ht="13" x14ac:dyDescent="0.15">
      <c r="BC2413" s="72"/>
      <c r="BD2413" s="72"/>
    </row>
    <row r="2414" spans="55:56" ht="13" x14ac:dyDescent="0.15">
      <c r="BC2414" s="72"/>
      <c r="BD2414" s="72"/>
    </row>
    <row r="2415" spans="55:56" ht="13" x14ac:dyDescent="0.15">
      <c r="BC2415" s="72"/>
      <c r="BD2415" s="72"/>
    </row>
    <row r="2416" spans="55:56" ht="13" x14ac:dyDescent="0.15">
      <c r="BC2416" s="72"/>
      <c r="BD2416" s="72"/>
    </row>
    <row r="2417" spans="55:56" ht="13" x14ac:dyDescent="0.15">
      <c r="BC2417" s="72"/>
      <c r="BD2417" s="72"/>
    </row>
    <row r="2418" spans="55:56" ht="13" x14ac:dyDescent="0.15">
      <c r="BC2418" s="72"/>
      <c r="BD2418" s="72"/>
    </row>
    <row r="2419" spans="55:56" ht="13" x14ac:dyDescent="0.15">
      <c r="BC2419" s="72"/>
      <c r="BD2419" s="72"/>
    </row>
    <row r="2420" spans="55:56" ht="13" x14ac:dyDescent="0.15">
      <c r="BC2420" s="72"/>
      <c r="BD2420" s="72"/>
    </row>
    <row r="2421" spans="55:56" ht="13" x14ac:dyDescent="0.15">
      <c r="BC2421" s="72"/>
      <c r="BD2421" s="72"/>
    </row>
    <row r="2422" spans="55:56" ht="13" x14ac:dyDescent="0.15">
      <c r="BC2422" s="72"/>
      <c r="BD2422" s="72"/>
    </row>
    <row r="2423" spans="55:56" ht="13" x14ac:dyDescent="0.15">
      <c r="BC2423" s="72"/>
      <c r="BD2423" s="72"/>
    </row>
    <row r="2424" spans="55:56" ht="13" x14ac:dyDescent="0.15">
      <c r="BC2424" s="72"/>
      <c r="BD2424" s="72"/>
    </row>
    <row r="2425" spans="55:56" ht="13" x14ac:dyDescent="0.15">
      <c r="BC2425" s="72"/>
      <c r="BD2425" s="72"/>
    </row>
    <row r="2426" spans="55:56" ht="13" x14ac:dyDescent="0.15">
      <c r="BC2426" s="72"/>
      <c r="BD2426" s="72"/>
    </row>
    <row r="2427" spans="55:56" ht="13" x14ac:dyDescent="0.15">
      <c r="BC2427" s="72"/>
      <c r="BD2427" s="72"/>
    </row>
    <row r="2428" spans="55:56" ht="13" x14ac:dyDescent="0.15">
      <c r="BC2428" s="72"/>
      <c r="BD2428" s="72"/>
    </row>
    <row r="2429" spans="55:56" ht="13" x14ac:dyDescent="0.15">
      <c r="BC2429" s="72"/>
      <c r="BD2429" s="72"/>
    </row>
    <row r="2430" spans="55:56" ht="13" x14ac:dyDescent="0.15">
      <c r="BC2430" s="72"/>
      <c r="BD2430" s="72"/>
    </row>
    <row r="2431" spans="55:56" ht="13" x14ac:dyDescent="0.15">
      <c r="BC2431" s="72"/>
      <c r="BD2431" s="72"/>
    </row>
    <row r="2432" spans="55:56" ht="13" x14ac:dyDescent="0.15">
      <c r="BC2432" s="72"/>
      <c r="BD2432" s="72"/>
    </row>
    <row r="2433" spans="55:56" ht="13" x14ac:dyDescent="0.15">
      <c r="BC2433" s="72"/>
      <c r="BD2433" s="72"/>
    </row>
    <row r="2434" spans="55:56" ht="13" x14ac:dyDescent="0.15">
      <c r="BC2434" s="72"/>
      <c r="BD2434" s="72"/>
    </row>
    <row r="2435" spans="55:56" ht="13" x14ac:dyDescent="0.15">
      <c r="BC2435" s="72"/>
      <c r="BD2435" s="72"/>
    </row>
    <row r="2436" spans="55:56" ht="13" x14ac:dyDescent="0.15">
      <c r="BC2436" s="72"/>
      <c r="BD2436" s="72"/>
    </row>
    <row r="2437" spans="55:56" ht="13" x14ac:dyDescent="0.15">
      <c r="BC2437" s="72"/>
      <c r="BD2437" s="72"/>
    </row>
    <row r="2438" spans="55:56" ht="13" x14ac:dyDescent="0.15">
      <c r="BC2438" s="72"/>
      <c r="BD2438" s="72"/>
    </row>
    <row r="2439" spans="55:56" ht="13" x14ac:dyDescent="0.15">
      <c r="BC2439" s="72"/>
      <c r="BD2439" s="72"/>
    </row>
    <row r="2440" spans="55:56" ht="13" x14ac:dyDescent="0.15">
      <c r="BC2440" s="72"/>
      <c r="BD2440" s="72"/>
    </row>
    <row r="2441" spans="55:56" ht="13" x14ac:dyDescent="0.15">
      <c r="BC2441" s="72"/>
      <c r="BD2441" s="72"/>
    </row>
    <row r="2442" spans="55:56" ht="13" x14ac:dyDescent="0.15">
      <c r="BC2442" s="72"/>
      <c r="BD2442" s="72"/>
    </row>
    <row r="2443" spans="55:56" ht="13" x14ac:dyDescent="0.15">
      <c r="BC2443" s="72"/>
      <c r="BD2443" s="72"/>
    </row>
    <row r="2444" spans="55:56" ht="13" x14ac:dyDescent="0.15">
      <c r="BC2444" s="72"/>
      <c r="BD2444" s="72"/>
    </row>
    <row r="2445" spans="55:56" ht="13" x14ac:dyDescent="0.15">
      <c r="BC2445" s="72"/>
      <c r="BD2445" s="72"/>
    </row>
    <row r="2446" spans="55:56" ht="13" x14ac:dyDescent="0.15">
      <c r="BC2446" s="72"/>
      <c r="BD2446" s="72"/>
    </row>
    <row r="2447" spans="55:56" ht="13" x14ac:dyDescent="0.15">
      <c r="BC2447" s="72"/>
      <c r="BD2447" s="72"/>
    </row>
    <row r="2448" spans="55:56" ht="13" x14ac:dyDescent="0.15">
      <c r="BC2448" s="72"/>
      <c r="BD2448" s="72"/>
    </row>
    <row r="2449" spans="55:56" ht="13" x14ac:dyDescent="0.15">
      <c r="BC2449" s="72"/>
      <c r="BD2449" s="72"/>
    </row>
    <row r="2450" spans="55:56" ht="13" x14ac:dyDescent="0.15">
      <c r="BC2450" s="72"/>
      <c r="BD2450" s="72"/>
    </row>
    <row r="2451" spans="55:56" ht="13" x14ac:dyDescent="0.15">
      <c r="BC2451" s="72"/>
      <c r="BD2451" s="72"/>
    </row>
    <row r="2452" spans="55:56" ht="13" x14ac:dyDescent="0.15">
      <c r="BC2452" s="72"/>
      <c r="BD2452" s="72"/>
    </row>
    <row r="2453" spans="55:56" ht="13" x14ac:dyDescent="0.15">
      <c r="BC2453" s="72"/>
      <c r="BD2453" s="72"/>
    </row>
    <row r="2454" spans="55:56" ht="13" x14ac:dyDescent="0.15">
      <c r="BC2454" s="72"/>
      <c r="BD2454" s="72"/>
    </row>
    <row r="2455" spans="55:56" ht="13" x14ac:dyDescent="0.15">
      <c r="BC2455" s="72"/>
      <c r="BD2455" s="72"/>
    </row>
    <row r="2456" spans="55:56" ht="13" x14ac:dyDescent="0.15">
      <c r="BC2456" s="72"/>
      <c r="BD2456" s="72"/>
    </row>
    <row r="2457" spans="55:56" ht="13" x14ac:dyDescent="0.15">
      <c r="BC2457" s="72"/>
      <c r="BD2457" s="72"/>
    </row>
    <row r="2458" spans="55:56" ht="13" x14ac:dyDescent="0.15">
      <c r="BC2458" s="72"/>
      <c r="BD2458" s="72"/>
    </row>
    <row r="2459" spans="55:56" ht="13" x14ac:dyDescent="0.15">
      <c r="BC2459" s="72"/>
      <c r="BD2459" s="72"/>
    </row>
    <row r="2460" spans="55:56" ht="13" x14ac:dyDescent="0.15">
      <c r="BC2460" s="72"/>
      <c r="BD2460" s="72"/>
    </row>
    <row r="2461" spans="55:56" ht="13" x14ac:dyDescent="0.15">
      <c r="BC2461" s="72"/>
      <c r="BD2461" s="72"/>
    </row>
    <row r="2462" spans="55:56" ht="13" x14ac:dyDescent="0.15">
      <c r="BC2462" s="72"/>
      <c r="BD2462" s="72"/>
    </row>
    <row r="2463" spans="55:56" ht="13" x14ac:dyDescent="0.15">
      <c r="BC2463" s="72"/>
      <c r="BD2463" s="72"/>
    </row>
    <row r="2464" spans="55:56" ht="13" x14ac:dyDescent="0.15">
      <c r="BC2464" s="72"/>
      <c r="BD2464" s="72"/>
    </row>
    <row r="2465" spans="55:56" ht="13" x14ac:dyDescent="0.15">
      <c r="BC2465" s="72"/>
      <c r="BD2465" s="72"/>
    </row>
    <row r="2466" spans="55:56" ht="13" x14ac:dyDescent="0.15">
      <c r="BC2466" s="72"/>
      <c r="BD2466" s="72"/>
    </row>
    <row r="2467" spans="55:56" ht="13" x14ac:dyDescent="0.15">
      <c r="BC2467" s="72"/>
      <c r="BD2467" s="72"/>
    </row>
    <row r="2468" spans="55:56" ht="13" x14ac:dyDescent="0.15">
      <c r="BC2468" s="72"/>
      <c r="BD2468" s="72"/>
    </row>
    <row r="2469" spans="55:56" ht="13" x14ac:dyDescent="0.15">
      <c r="BC2469" s="72"/>
      <c r="BD2469" s="72"/>
    </row>
    <row r="2470" spans="55:56" ht="13" x14ac:dyDescent="0.15">
      <c r="BC2470" s="72"/>
      <c r="BD2470" s="72"/>
    </row>
    <row r="2471" spans="55:56" ht="13" x14ac:dyDescent="0.15">
      <c r="BC2471" s="72"/>
      <c r="BD2471" s="72"/>
    </row>
    <row r="2472" spans="55:56" ht="13" x14ac:dyDescent="0.15">
      <c r="BC2472" s="72"/>
      <c r="BD2472" s="72"/>
    </row>
    <row r="2473" spans="55:56" ht="13" x14ac:dyDescent="0.15">
      <c r="BC2473" s="72"/>
      <c r="BD2473" s="72"/>
    </row>
    <row r="2474" spans="55:56" ht="13" x14ac:dyDescent="0.15">
      <c r="BC2474" s="72"/>
      <c r="BD2474" s="72"/>
    </row>
    <row r="2475" spans="55:56" ht="13" x14ac:dyDescent="0.15">
      <c r="BC2475" s="72"/>
      <c r="BD2475" s="72"/>
    </row>
    <row r="2476" spans="55:56" ht="13" x14ac:dyDescent="0.15">
      <c r="BC2476" s="72"/>
      <c r="BD2476" s="72"/>
    </row>
    <row r="2477" spans="55:56" ht="13" x14ac:dyDescent="0.15">
      <c r="BC2477" s="72"/>
      <c r="BD2477" s="72"/>
    </row>
    <row r="2478" spans="55:56" ht="13" x14ac:dyDescent="0.15">
      <c r="BC2478" s="72"/>
      <c r="BD2478" s="72"/>
    </row>
    <row r="2479" spans="55:56" ht="13" x14ac:dyDescent="0.15">
      <c r="BC2479" s="72"/>
      <c r="BD2479" s="72"/>
    </row>
    <row r="2480" spans="55:56" ht="13" x14ac:dyDescent="0.15">
      <c r="BC2480" s="72"/>
      <c r="BD2480" s="72"/>
    </row>
    <row r="2481" spans="55:56" ht="13" x14ac:dyDescent="0.15">
      <c r="BC2481" s="72"/>
      <c r="BD2481" s="72"/>
    </row>
    <row r="2482" spans="55:56" ht="13" x14ac:dyDescent="0.15">
      <c r="BC2482" s="72"/>
      <c r="BD2482" s="72"/>
    </row>
    <row r="2483" spans="55:56" ht="13" x14ac:dyDescent="0.15">
      <c r="BC2483" s="72"/>
      <c r="BD2483" s="72"/>
    </row>
    <row r="2484" spans="55:56" ht="13" x14ac:dyDescent="0.15">
      <c r="BC2484" s="72"/>
      <c r="BD2484" s="72"/>
    </row>
    <row r="2485" spans="55:56" ht="13" x14ac:dyDescent="0.15">
      <c r="BC2485" s="72"/>
      <c r="BD2485" s="72"/>
    </row>
    <row r="2486" spans="55:56" ht="13" x14ac:dyDescent="0.15">
      <c r="BC2486" s="72"/>
      <c r="BD2486" s="72"/>
    </row>
    <row r="2487" spans="55:56" ht="13" x14ac:dyDescent="0.15">
      <c r="BC2487" s="72"/>
      <c r="BD2487" s="72"/>
    </row>
    <row r="2488" spans="55:56" ht="13" x14ac:dyDescent="0.15">
      <c r="BC2488" s="72"/>
      <c r="BD2488" s="72"/>
    </row>
    <row r="2489" spans="55:56" ht="13" x14ac:dyDescent="0.15">
      <c r="BC2489" s="72"/>
      <c r="BD2489" s="72"/>
    </row>
    <row r="2490" spans="55:56" ht="13" x14ac:dyDescent="0.15">
      <c r="BC2490" s="72"/>
      <c r="BD2490" s="72"/>
    </row>
    <row r="2491" spans="55:56" ht="13" x14ac:dyDescent="0.15">
      <c r="BC2491" s="72"/>
      <c r="BD2491" s="72"/>
    </row>
    <row r="2492" spans="55:56" ht="13" x14ac:dyDescent="0.15">
      <c r="BC2492" s="72"/>
      <c r="BD2492" s="72"/>
    </row>
    <row r="2493" spans="55:56" ht="13" x14ac:dyDescent="0.15">
      <c r="BC2493" s="72"/>
      <c r="BD2493" s="72"/>
    </row>
    <row r="2494" spans="55:56" ht="13" x14ac:dyDescent="0.15">
      <c r="BC2494" s="72"/>
      <c r="BD2494" s="72"/>
    </row>
    <row r="2495" spans="55:56" ht="13" x14ac:dyDescent="0.15">
      <c r="BC2495" s="72"/>
      <c r="BD2495" s="72"/>
    </row>
    <row r="2496" spans="55:56" ht="13" x14ac:dyDescent="0.15">
      <c r="BC2496" s="72"/>
      <c r="BD2496" s="72"/>
    </row>
    <row r="2497" spans="55:56" ht="13" x14ac:dyDescent="0.15">
      <c r="BC2497" s="72"/>
      <c r="BD2497" s="72"/>
    </row>
    <row r="2498" spans="55:56" ht="13" x14ac:dyDescent="0.15">
      <c r="BC2498" s="72"/>
      <c r="BD2498" s="72"/>
    </row>
    <row r="2499" spans="55:56" ht="13" x14ac:dyDescent="0.15">
      <c r="BC2499" s="72"/>
      <c r="BD2499" s="72"/>
    </row>
    <row r="2500" spans="55:56" ht="13" x14ac:dyDescent="0.15">
      <c r="BC2500" s="72"/>
      <c r="BD2500" s="72"/>
    </row>
    <row r="2501" spans="55:56" ht="13" x14ac:dyDescent="0.15">
      <c r="BC2501" s="72"/>
      <c r="BD2501" s="72"/>
    </row>
    <row r="2502" spans="55:56" ht="13" x14ac:dyDescent="0.15">
      <c r="BC2502" s="72"/>
      <c r="BD2502" s="72"/>
    </row>
    <row r="2503" spans="55:56" ht="13" x14ac:dyDescent="0.15">
      <c r="BC2503" s="72"/>
      <c r="BD2503" s="72"/>
    </row>
    <row r="2504" spans="55:56" ht="13" x14ac:dyDescent="0.15">
      <c r="BC2504" s="72"/>
      <c r="BD2504" s="72"/>
    </row>
    <row r="2505" spans="55:56" ht="13" x14ac:dyDescent="0.15">
      <c r="BC2505" s="72"/>
      <c r="BD2505" s="72"/>
    </row>
    <row r="2506" spans="55:56" ht="13" x14ac:dyDescent="0.15">
      <c r="BC2506" s="72"/>
      <c r="BD2506" s="72"/>
    </row>
    <row r="2507" spans="55:56" ht="13" x14ac:dyDescent="0.15">
      <c r="BC2507" s="72"/>
      <c r="BD2507" s="72"/>
    </row>
    <row r="2508" spans="55:56" ht="13" x14ac:dyDescent="0.15">
      <c r="BC2508" s="72"/>
      <c r="BD2508" s="72"/>
    </row>
    <row r="2509" spans="55:56" ht="13" x14ac:dyDescent="0.15">
      <c r="BC2509" s="72"/>
      <c r="BD2509" s="72"/>
    </row>
    <row r="2510" spans="55:56" ht="13" x14ac:dyDescent="0.15">
      <c r="BC2510" s="72"/>
      <c r="BD2510" s="72"/>
    </row>
    <row r="2511" spans="55:56" ht="13" x14ac:dyDescent="0.15">
      <c r="BC2511" s="72"/>
      <c r="BD2511" s="72"/>
    </row>
    <row r="2512" spans="55:56" ht="13" x14ac:dyDescent="0.15">
      <c r="BC2512" s="72"/>
      <c r="BD2512" s="72"/>
    </row>
    <row r="2513" spans="55:56" ht="13" x14ac:dyDescent="0.15">
      <c r="BC2513" s="72"/>
      <c r="BD2513" s="72"/>
    </row>
    <row r="2514" spans="55:56" ht="13" x14ac:dyDescent="0.15">
      <c r="BC2514" s="72"/>
      <c r="BD2514" s="72"/>
    </row>
    <row r="2515" spans="55:56" ht="13" x14ac:dyDescent="0.15">
      <c r="BC2515" s="72"/>
      <c r="BD2515" s="72"/>
    </row>
    <row r="2516" spans="55:56" ht="13" x14ac:dyDescent="0.15">
      <c r="BC2516" s="72"/>
      <c r="BD2516" s="72"/>
    </row>
    <row r="2517" spans="55:56" ht="13" x14ac:dyDescent="0.15">
      <c r="BC2517" s="72"/>
      <c r="BD2517" s="72"/>
    </row>
    <row r="2518" spans="55:56" ht="13" x14ac:dyDescent="0.15">
      <c r="BC2518" s="72"/>
      <c r="BD2518" s="72"/>
    </row>
    <row r="2519" spans="55:56" ht="13" x14ac:dyDescent="0.15">
      <c r="BC2519" s="72"/>
      <c r="BD2519" s="72"/>
    </row>
    <row r="2520" spans="55:56" ht="13" x14ac:dyDescent="0.15">
      <c r="BC2520" s="72"/>
      <c r="BD2520" s="72"/>
    </row>
    <row r="2521" spans="55:56" ht="13" x14ac:dyDescent="0.15">
      <c r="BC2521" s="72"/>
      <c r="BD2521" s="72"/>
    </row>
    <row r="2522" spans="55:56" ht="13" x14ac:dyDescent="0.15">
      <c r="BC2522" s="72"/>
      <c r="BD2522" s="72"/>
    </row>
    <row r="2523" spans="55:56" ht="13" x14ac:dyDescent="0.15">
      <c r="BC2523" s="72"/>
      <c r="BD2523" s="72"/>
    </row>
    <row r="2524" spans="55:56" ht="13" x14ac:dyDescent="0.15">
      <c r="BC2524" s="72"/>
      <c r="BD2524" s="72"/>
    </row>
    <row r="2525" spans="55:56" ht="13" x14ac:dyDescent="0.15">
      <c r="BC2525" s="72"/>
      <c r="BD2525" s="72"/>
    </row>
    <row r="2526" spans="55:56" ht="13" x14ac:dyDescent="0.15">
      <c r="BC2526" s="72"/>
      <c r="BD2526" s="72"/>
    </row>
    <row r="2527" spans="55:56" ht="13" x14ac:dyDescent="0.15">
      <c r="BC2527" s="72"/>
      <c r="BD2527" s="72"/>
    </row>
    <row r="2528" spans="55:56" ht="13" x14ac:dyDescent="0.15">
      <c r="BC2528" s="72"/>
      <c r="BD2528" s="72"/>
    </row>
    <row r="2529" spans="55:56" ht="13" x14ac:dyDescent="0.15">
      <c r="BC2529" s="72"/>
      <c r="BD2529" s="72"/>
    </row>
    <row r="2530" spans="55:56" ht="13" x14ac:dyDescent="0.15">
      <c r="BC2530" s="72"/>
      <c r="BD2530" s="72"/>
    </row>
    <row r="2531" spans="55:56" ht="13" x14ac:dyDescent="0.15">
      <c r="BC2531" s="72"/>
      <c r="BD2531" s="72"/>
    </row>
    <row r="2532" spans="55:56" ht="13" x14ac:dyDescent="0.15">
      <c r="BC2532" s="72"/>
      <c r="BD2532" s="72"/>
    </row>
    <row r="2533" spans="55:56" ht="13" x14ac:dyDescent="0.15">
      <c r="BC2533" s="72"/>
      <c r="BD2533" s="72"/>
    </row>
    <row r="2534" spans="55:56" ht="13" x14ac:dyDescent="0.15">
      <c r="BC2534" s="72"/>
      <c r="BD2534" s="72"/>
    </row>
    <row r="2535" spans="55:56" ht="13" x14ac:dyDescent="0.15">
      <c r="BC2535" s="72"/>
      <c r="BD2535" s="72"/>
    </row>
    <row r="2536" spans="55:56" ht="13" x14ac:dyDescent="0.15">
      <c r="BC2536" s="72"/>
      <c r="BD2536" s="72"/>
    </row>
    <row r="2537" spans="55:56" ht="13" x14ac:dyDescent="0.15">
      <c r="BC2537" s="72"/>
      <c r="BD2537" s="72"/>
    </row>
    <row r="2538" spans="55:56" ht="13" x14ac:dyDescent="0.15">
      <c r="BC2538" s="72"/>
      <c r="BD2538" s="72"/>
    </row>
    <row r="2539" spans="55:56" ht="13" x14ac:dyDescent="0.15">
      <c r="BC2539" s="72"/>
      <c r="BD2539" s="72"/>
    </row>
    <row r="2540" spans="55:56" ht="13" x14ac:dyDescent="0.15">
      <c r="BC2540" s="72"/>
      <c r="BD2540" s="72"/>
    </row>
    <row r="2541" spans="55:56" ht="13" x14ac:dyDescent="0.15">
      <c r="BC2541" s="72"/>
      <c r="BD2541" s="72"/>
    </row>
    <row r="2542" spans="55:56" ht="13" x14ac:dyDescent="0.15">
      <c r="BC2542" s="72"/>
      <c r="BD2542" s="72"/>
    </row>
    <row r="2543" spans="55:56" ht="13" x14ac:dyDescent="0.15">
      <c r="BC2543" s="72"/>
      <c r="BD2543" s="72"/>
    </row>
    <row r="2544" spans="55:56" ht="13" x14ac:dyDescent="0.15">
      <c r="BC2544" s="72"/>
      <c r="BD2544" s="72"/>
    </row>
    <row r="2545" spans="55:56" ht="13" x14ac:dyDescent="0.15">
      <c r="BC2545" s="72"/>
      <c r="BD2545" s="72"/>
    </row>
    <row r="2546" spans="55:56" ht="13" x14ac:dyDescent="0.15">
      <c r="BC2546" s="72"/>
      <c r="BD2546" s="72"/>
    </row>
    <row r="2547" spans="55:56" ht="13" x14ac:dyDescent="0.15">
      <c r="BC2547" s="72"/>
      <c r="BD2547" s="72"/>
    </row>
    <row r="2548" spans="55:56" ht="13" x14ac:dyDescent="0.15">
      <c r="BC2548" s="72"/>
      <c r="BD2548" s="72"/>
    </row>
    <row r="2549" spans="55:56" ht="13" x14ac:dyDescent="0.15">
      <c r="BC2549" s="72"/>
      <c r="BD2549" s="72"/>
    </row>
    <row r="2550" spans="55:56" ht="13" x14ac:dyDescent="0.15">
      <c r="BC2550" s="72"/>
      <c r="BD2550" s="72"/>
    </row>
    <row r="2551" spans="55:56" ht="13" x14ac:dyDescent="0.15">
      <c r="BC2551" s="72"/>
      <c r="BD2551" s="72"/>
    </row>
    <row r="2552" spans="55:56" ht="13" x14ac:dyDescent="0.15">
      <c r="BC2552" s="72"/>
      <c r="BD2552" s="72"/>
    </row>
    <row r="2553" spans="55:56" ht="13" x14ac:dyDescent="0.15">
      <c r="BC2553" s="72"/>
      <c r="BD2553" s="72"/>
    </row>
    <row r="2554" spans="55:56" ht="13" x14ac:dyDescent="0.15">
      <c r="BC2554" s="72"/>
      <c r="BD2554" s="72"/>
    </row>
    <row r="2555" spans="55:56" ht="13" x14ac:dyDescent="0.15">
      <c r="BC2555" s="72"/>
      <c r="BD2555" s="72"/>
    </row>
    <row r="2556" spans="55:56" ht="13" x14ac:dyDescent="0.15">
      <c r="BC2556" s="72"/>
      <c r="BD2556" s="72"/>
    </row>
    <row r="2557" spans="55:56" ht="13" x14ac:dyDescent="0.15">
      <c r="BC2557" s="72"/>
      <c r="BD2557" s="72"/>
    </row>
    <row r="2558" spans="55:56" ht="13" x14ac:dyDescent="0.15">
      <c r="BC2558" s="72"/>
      <c r="BD2558" s="72"/>
    </row>
    <row r="2559" spans="55:56" ht="13" x14ac:dyDescent="0.15">
      <c r="BC2559" s="72"/>
      <c r="BD2559" s="72"/>
    </row>
    <row r="2560" spans="55:56" ht="13" x14ac:dyDescent="0.15">
      <c r="BC2560" s="72"/>
      <c r="BD2560" s="72"/>
    </row>
    <row r="2561" spans="55:56" ht="13" x14ac:dyDescent="0.15">
      <c r="BC2561" s="72"/>
      <c r="BD2561" s="72"/>
    </row>
    <row r="2562" spans="55:56" ht="13" x14ac:dyDescent="0.15">
      <c r="BC2562" s="72"/>
      <c r="BD2562" s="72"/>
    </row>
    <row r="2563" spans="55:56" ht="13" x14ac:dyDescent="0.15">
      <c r="BC2563" s="72"/>
      <c r="BD2563" s="72"/>
    </row>
    <row r="2564" spans="55:56" ht="13" x14ac:dyDescent="0.15">
      <c r="BC2564" s="72"/>
      <c r="BD2564" s="72"/>
    </row>
    <row r="2565" spans="55:56" ht="13" x14ac:dyDescent="0.15">
      <c r="BC2565" s="72"/>
      <c r="BD2565" s="72"/>
    </row>
    <row r="2566" spans="55:56" ht="13" x14ac:dyDescent="0.15">
      <c r="BC2566" s="72"/>
      <c r="BD2566" s="72"/>
    </row>
    <row r="2567" spans="55:56" ht="13" x14ac:dyDescent="0.15">
      <c r="BC2567" s="72"/>
      <c r="BD2567" s="72"/>
    </row>
    <row r="2568" spans="55:56" ht="13" x14ac:dyDescent="0.15">
      <c r="BC2568" s="72"/>
      <c r="BD2568" s="72"/>
    </row>
    <row r="2569" spans="55:56" ht="13" x14ac:dyDescent="0.15">
      <c r="BC2569" s="72"/>
      <c r="BD2569" s="72"/>
    </row>
    <row r="2570" spans="55:56" ht="13" x14ac:dyDescent="0.15">
      <c r="BC2570" s="72"/>
      <c r="BD2570" s="72"/>
    </row>
    <row r="2571" spans="55:56" ht="13" x14ac:dyDescent="0.15">
      <c r="BC2571" s="72"/>
      <c r="BD2571" s="72"/>
    </row>
    <row r="2572" spans="55:56" ht="13" x14ac:dyDescent="0.15">
      <c r="BC2572" s="72"/>
      <c r="BD2572" s="72"/>
    </row>
    <row r="2573" spans="55:56" ht="13" x14ac:dyDescent="0.15">
      <c r="BC2573" s="72"/>
      <c r="BD2573" s="72"/>
    </row>
    <row r="2574" spans="55:56" ht="13" x14ac:dyDescent="0.15">
      <c r="BC2574" s="72"/>
      <c r="BD2574" s="72"/>
    </row>
    <row r="2575" spans="55:56" ht="13" x14ac:dyDescent="0.15">
      <c r="BC2575" s="72"/>
      <c r="BD2575" s="72"/>
    </row>
    <row r="2576" spans="55:56" ht="13" x14ac:dyDescent="0.15">
      <c r="BC2576" s="72"/>
      <c r="BD2576" s="72"/>
    </row>
    <row r="2577" spans="55:56" ht="13" x14ac:dyDescent="0.15">
      <c r="BC2577" s="72"/>
      <c r="BD2577" s="72"/>
    </row>
    <row r="2578" spans="55:56" ht="13" x14ac:dyDescent="0.15">
      <c r="BC2578" s="72"/>
      <c r="BD2578" s="72"/>
    </row>
    <row r="2579" spans="55:56" ht="13" x14ac:dyDescent="0.15">
      <c r="BC2579" s="72"/>
      <c r="BD2579" s="72"/>
    </row>
    <row r="2580" spans="55:56" ht="13" x14ac:dyDescent="0.15">
      <c r="BC2580" s="72"/>
      <c r="BD2580" s="72"/>
    </row>
    <row r="2581" spans="55:56" ht="13" x14ac:dyDescent="0.15">
      <c r="BC2581" s="72"/>
      <c r="BD2581" s="72"/>
    </row>
    <row r="2582" spans="55:56" ht="13" x14ac:dyDescent="0.15">
      <c r="BC2582" s="72"/>
      <c r="BD2582" s="72"/>
    </row>
    <row r="2583" spans="55:56" ht="13" x14ac:dyDescent="0.15">
      <c r="BC2583" s="72"/>
      <c r="BD2583" s="72"/>
    </row>
    <row r="2584" spans="55:56" ht="13" x14ac:dyDescent="0.15">
      <c r="BC2584" s="72"/>
      <c r="BD2584" s="72"/>
    </row>
    <row r="2585" spans="55:56" ht="13" x14ac:dyDescent="0.15">
      <c r="BC2585" s="72"/>
      <c r="BD2585" s="72"/>
    </row>
    <row r="2586" spans="55:56" ht="13" x14ac:dyDescent="0.15">
      <c r="BC2586" s="72"/>
      <c r="BD2586" s="72"/>
    </row>
    <row r="2587" spans="55:56" ht="13" x14ac:dyDescent="0.15">
      <c r="BC2587" s="72"/>
      <c r="BD2587" s="72"/>
    </row>
    <row r="2588" spans="55:56" ht="13" x14ac:dyDescent="0.15">
      <c r="BC2588" s="72"/>
      <c r="BD2588" s="72"/>
    </row>
    <row r="2589" spans="55:56" ht="13" x14ac:dyDescent="0.15">
      <c r="BC2589" s="72"/>
      <c r="BD2589" s="72"/>
    </row>
    <row r="2590" spans="55:56" ht="13" x14ac:dyDescent="0.15">
      <c r="BC2590" s="72"/>
      <c r="BD2590" s="72"/>
    </row>
    <row r="2591" spans="55:56" ht="13" x14ac:dyDescent="0.15">
      <c r="BC2591" s="72"/>
      <c r="BD2591" s="72"/>
    </row>
    <row r="2592" spans="55:56" ht="13" x14ac:dyDescent="0.15">
      <c r="BC2592" s="72"/>
      <c r="BD2592" s="72"/>
    </row>
    <row r="2593" spans="55:56" ht="13" x14ac:dyDescent="0.15">
      <c r="BC2593" s="72"/>
      <c r="BD2593" s="72"/>
    </row>
    <row r="2594" spans="55:56" ht="13" x14ac:dyDescent="0.15">
      <c r="BC2594" s="72"/>
      <c r="BD2594" s="72"/>
    </row>
    <row r="2595" spans="55:56" ht="13" x14ac:dyDescent="0.15">
      <c r="BC2595" s="72"/>
      <c r="BD2595" s="72"/>
    </row>
    <row r="2596" spans="55:56" ht="13" x14ac:dyDescent="0.15">
      <c r="BC2596" s="72"/>
      <c r="BD2596" s="72"/>
    </row>
    <row r="2597" spans="55:56" ht="13" x14ac:dyDescent="0.15">
      <c r="BC2597" s="72"/>
      <c r="BD2597" s="72"/>
    </row>
    <row r="2598" spans="55:56" ht="13" x14ac:dyDescent="0.15">
      <c r="BC2598" s="72"/>
      <c r="BD2598" s="72"/>
    </row>
    <row r="2599" spans="55:56" ht="13" x14ac:dyDescent="0.15">
      <c r="BC2599" s="72"/>
      <c r="BD2599" s="72"/>
    </row>
    <row r="2600" spans="55:56" ht="13" x14ac:dyDescent="0.15">
      <c r="BC2600" s="72"/>
      <c r="BD2600" s="72"/>
    </row>
    <row r="2601" spans="55:56" ht="13" x14ac:dyDescent="0.15">
      <c r="BC2601" s="72"/>
      <c r="BD2601" s="72"/>
    </row>
    <row r="2602" spans="55:56" ht="13" x14ac:dyDescent="0.15">
      <c r="BC2602" s="72"/>
      <c r="BD2602" s="72"/>
    </row>
    <row r="2603" spans="55:56" ht="13" x14ac:dyDescent="0.15">
      <c r="BC2603" s="72"/>
      <c r="BD2603" s="72"/>
    </row>
    <row r="2604" spans="55:56" ht="13" x14ac:dyDescent="0.15">
      <c r="BC2604" s="72"/>
      <c r="BD2604" s="72"/>
    </row>
    <row r="2605" spans="55:56" ht="13" x14ac:dyDescent="0.15">
      <c r="BC2605" s="72"/>
      <c r="BD2605" s="72"/>
    </row>
    <row r="2606" spans="55:56" ht="13" x14ac:dyDescent="0.15">
      <c r="BC2606" s="72"/>
      <c r="BD2606" s="72"/>
    </row>
    <row r="2607" spans="55:56" ht="13" x14ac:dyDescent="0.15">
      <c r="BC2607" s="72"/>
      <c r="BD2607" s="72"/>
    </row>
    <row r="2608" spans="55:56" ht="13" x14ac:dyDescent="0.15">
      <c r="BC2608" s="72"/>
      <c r="BD2608" s="72"/>
    </row>
    <row r="2609" spans="55:56" ht="13" x14ac:dyDescent="0.15">
      <c r="BC2609" s="72"/>
      <c r="BD2609" s="72"/>
    </row>
    <row r="2610" spans="55:56" ht="13" x14ac:dyDescent="0.15">
      <c r="BC2610" s="72"/>
      <c r="BD2610" s="72"/>
    </row>
    <row r="2611" spans="55:56" ht="13" x14ac:dyDescent="0.15">
      <c r="BC2611" s="72"/>
      <c r="BD2611" s="72"/>
    </row>
    <row r="2612" spans="55:56" ht="13" x14ac:dyDescent="0.15">
      <c r="BC2612" s="72"/>
      <c r="BD2612" s="72"/>
    </row>
    <row r="2613" spans="55:56" ht="13" x14ac:dyDescent="0.15">
      <c r="BC2613" s="72"/>
      <c r="BD2613" s="72"/>
    </row>
    <row r="2614" spans="55:56" ht="13" x14ac:dyDescent="0.15">
      <c r="BC2614" s="72"/>
      <c r="BD2614" s="72"/>
    </row>
    <row r="2615" spans="55:56" ht="13" x14ac:dyDescent="0.15">
      <c r="BC2615" s="72"/>
      <c r="BD2615" s="72"/>
    </row>
    <row r="2616" spans="55:56" ht="13" x14ac:dyDescent="0.15">
      <c r="BC2616" s="72"/>
      <c r="BD2616" s="72"/>
    </row>
    <row r="2617" spans="55:56" ht="13" x14ac:dyDescent="0.15">
      <c r="BC2617" s="72"/>
      <c r="BD2617" s="72"/>
    </row>
    <row r="2618" spans="55:56" ht="13" x14ac:dyDescent="0.15">
      <c r="BC2618" s="72"/>
      <c r="BD2618" s="72"/>
    </row>
    <row r="2619" spans="55:56" ht="13" x14ac:dyDescent="0.15">
      <c r="BC2619" s="72"/>
      <c r="BD2619" s="72"/>
    </row>
    <row r="2620" spans="55:56" ht="13" x14ac:dyDescent="0.15">
      <c r="BC2620" s="72"/>
      <c r="BD2620" s="72"/>
    </row>
    <row r="2621" spans="55:56" ht="13" x14ac:dyDescent="0.15">
      <c r="BC2621" s="72"/>
      <c r="BD2621" s="72"/>
    </row>
    <row r="2622" spans="55:56" ht="13" x14ac:dyDescent="0.15">
      <c r="BC2622" s="72"/>
      <c r="BD2622" s="72"/>
    </row>
    <row r="2623" spans="55:56" ht="13" x14ac:dyDescent="0.15">
      <c r="BC2623" s="72"/>
      <c r="BD2623" s="72"/>
    </row>
    <row r="2624" spans="55:56" ht="13" x14ac:dyDescent="0.15">
      <c r="BC2624" s="72"/>
      <c r="BD2624" s="72"/>
    </row>
    <row r="2625" spans="55:56" ht="13" x14ac:dyDescent="0.15">
      <c r="BC2625" s="72"/>
      <c r="BD2625" s="72"/>
    </row>
    <row r="2626" spans="55:56" ht="13" x14ac:dyDescent="0.15">
      <c r="BC2626" s="72"/>
      <c r="BD2626" s="72"/>
    </row>
    <row r="2627" spans="55:56" ht="13" x14ac:dyDescent="0.15">
      <c r="BC2627" s="72"/>
      <c r="BD2627" s="72"/>
    </row>
    <row r="2628" spans="55:56" ht="13" x14ac:dyDescent="0.15">
      <c r="BC2628" s="72"/>
      <c r="BD2628" s="72"/>
    </row>
    <row r="2629" spans="55:56" ht="13" x14ac:dyDescent="0.15">
      <c r="BC2629" s="72"/>
      <c r="BD2629" s="72"/>
    </row>
    <row r="2630" spans="55:56" ht="13" x14ac:dyDescent="0.15">
      <c r="BC2630" s="72"/>
      <c r="BD2630" s="72"/>
    </row>
    <row r="2631" spans="55:56" ht="13" x14ac:dyDescent="0.15">
      <c r="BC2631" s="72"/>
      <c r="BD2631" s="72"/>
    </row>
    <row r="2632" spans="55:56" ht="13" x14ac:dyDescent="0.15">
      <c r="BC2632" s="72"/>
      <c r="BD2632" s="72"/>
    </row>
    <row r="2633" spans="55:56" ht="13" x14ac:dyDescent="0.15">
      <c r="BC2633" s="72"/>
      <c r="BD2633" s="72"/>
    </row>
    <row r="2634" spans="55:56" ht="13" x14ac:dyDescent="0.15">
      <c r="BC2634" s="72"/>
      <c r="BD2634" s="72"/>
    </row>
    <row r="2635" spans="55:56" ht="13" x14ac:dyDescent="0.15">
      <c r="BC2635" s="72"/>
      <c r="BD2635" s="72"/>
    </row>
    <row r="2636" spans="55:56" ht="13" x14ac:dyDescent="0.15">
      <c r="BC2636" s="72"/>
      <c r="BD2636" s="72"/>
    </row>
    <row r="2637" spans="55:56" ht="13" x14ac:dyDescent="0.15">
      <c r="BC2637" s="72"/>
      <c r="BD2637" s="72"/>
    </row>
    <row r="2638" spans="55:56" ht="13" x14ac:dyDescent="0.15">
      <c r="BC2638" s="72"/>
      <c r="BD2638" s="72"/>
    </row>
    <row r="2639" spans="55:56" ht="13" x14ac:dyDescent="0.15">
      <c r="BC2639" s="72"/>
      <c r="BD2639" s="72"/>
    </row>
    <row r="2640" spans="55:56" ht="13" x14ac:dyDescent="0.15">
      <c r="BC2640" s="72"/>
      <c r="BD2640" s="72"/>
    </row>
    <row r="2641" spans="55:56" ht="13" x14ac:dyDescent="0.15">
      <c r="BC2641" s="72"/>
      <c r="BD2641" s="72"/>
    </row>
    <row r="2642" spans="55:56" ht="13" x14ac:dyDescent="0.15">
      <c r="BC2642" s="72"/>
      <c r="BD2642" s="72"/>
    </row>
    <row r="2643" spans="55:56" ht="13" x14ac:dyDescent="0.15">
      <c r="BC2643" s="72"/>
      <c r="BD2643" s="72"/>
    </row>
    <row r="2644" spans="55:56" ht="13" x14ac:dyDescent="0.15">
      <c r="BC2644" s="72"/>
      <c r="BD2644" s="72"/>
    </row>
    <row r="2645" spans="55:56" ht="13" x14ac:dyDescent="0.15">
      <c r="BC2645" s="72"/>
      <c r="BD2645" s="72"/>
    </row>
    <row r="2646" spans="55:56" ht="13" x14ac:dyDescent="0.15">
      <c r="BC2646" s="72"/>
      <c r="BD2646" s="72"/>
    </row>
    <row r="2647" spans="55:56" ht="13" x14ac:dyDescent="0.15">
      <c r="BC2647" s="72"/>
      <c r="BD2647" s="72"/>
    </row>
    <row r="2648" spans="55:56" ht="13" x14ac:dyDescent="0.15">
      <c r="BC2648" s="72"/>
      <c r="BD2648" s="72"/>
    </row>
    <row r="2649" spans="55:56" ht="13" x14ac:dyDescent="0.15">
      <c r="BC2649" s="72"/>
      <c r="BD2649" s="72"/>
    </row>
    <row r="2650" spans="55:56" ht="13" x14ac:dyDescent="0.15">
      <c r="BC2650" s="72"/>
      <c r="BD2650" s="72"/>
    </row>
    <row r="2651" spans="55:56" ht="13" x14ac:dyDescent="0.15">
      <c r="BC2651" s="72"/>
      <c r="BD2651" s="72"/>
    </row>
    <row r="2652" spans="55:56" ht="13" x14ac:dyDescent="0.15">
      <c r="BC2652" s="72"/>
      <c r="BD2652" s="72"/>
    </row>
    <row r="2653" spans="55:56" ht="13" x14ac:dyDescent="0.15">
      <c r="BC2653" s="72"/>
      <c r="BD2653" s="72"/>
    </row>
    <row r="2654" spans="55:56" ht="13" x14ac:dyDescent="0.15">
      <c r="BC2654" s="72"/>
      <c r="BD2654" s="72"/>
    </row>
    <row r="2655" spans="55:56" ht="13" x14ac:dyDescent="0.15">
      <c r="BC2655" s="72"/>
      <c r="BD2655" s="72"/>
    </row>
    <row r="2656" spans="55:56" ht="13" x14ac:dyDescent="0.15">
      <c r="BC2656" s="72"/>
      <c r="BD2656" s="72"/>
    </row>
    <row r="2657" spans="55:56" ht="13" x14ac:dyDescent="0.15">
      <c r="BC2657" s="72"/>
      <c r="BD2657" s="72"/>
    </row>
    <row r="2658" spans="55:56" ht="13" x14ac:dyDescent="0.15">
      <c r="BC2658" s="72"/>
      <c r="BD2658" s="72"/>
    </row>
    <row r="2659" spans="55:56" ht="13" x14ac:dyDescent="0.15">
      <c r="BC2659" s="72"/>
      <c r="BD2659" s="72"/>
    </row>
    <row r="2660" spans="55:56" ht="13" x14ac:dyDescent="0.15">
      <c r="BC2660" s="72"/>
      <c r="BD2660" s="72"/>
    </row>
    <row r="2661" spans="55:56" ht="13" x14ac:dyDescent="0.15">
      <c r="BC2661" s="72"/>
      <c r="BD2661" s="72"/>
    </row>
    <row r="2662" spans="55:56" ht="13" x14ac:dyDescent="0.15">
      <c r="BC2662" s="72"/>
      <c r="BD2662" s="72"/>
    </row>
    <row r="2663" spans="55:56" ht="13" x14ac:dyDescent="0.15">
      <c r="BC2663" s="72"/>
      <c r="BD2663" s="72"/>
    </row>
    <row r="2664" spans="55:56" ht="13" x14ac:dyDescent="0.15">
      <c r="BC2664" s="72"/>
      <c r="BD2664" s="72"/>
    </row>
    <row r="2665" spans="55:56" ht="13" x14ac:dyDescent="0.15">
      <c r="BC2665" s="72"/>
      <c r="BD2665" s="72"/>
    </row>
    <row r="2666" spans="55:56" ht="13" x14ac:dyDescent="0.15">
      <c r="BC2666" s="72"/>
      <c r="BD2666" s="72"/>
    </row>
    <row r="2667" spans="55:56" ht="13" x14ac:dyDescent="0.15">
      <c r="BC2667" s="72"/>
      <c r="BD2667" s="72"/>
    </row>
    <row r="2668" spans="55:56" ht="13" x14ac:dyDescent="0.15">
      <c r="BC2668" s="72"/>
      <c r="BD2668" s="72"/>
    </row>
    <row r="2669" spans="55:56" ht="13" x14ac:dyDescent="0.15">
      <c r="BC2669" s="72"/>
      <c r="BD2669" s="72"/>
    </row>
    <row r="2670" spans="55:56" ht="13" x14ac:dyDescent="0.15">
      <c r="BC2670" s="72"/>
      <c r="BD2670" s="72"/>
    </row>
    <row r="2671" spans="55:56" ht="13" x14ac:dyDescent="0.15">
      <c r="BC2671" s="72"/>
      <c r="BD2671" s="72"/>
    </row>
    <row r="2672" spans="55:56" ht="13" x14ac:dyDescent="0.15">
      <c r="BC2672" s="72"/>
      <c r="BD2672" s="72"/>
    </row>
    <row r="2673" spans="55:56" ht="13" x14ac:dyDescent="0.15">
      <c r="BC2673" s="72"/>
      <c r="BD2673" s="72"/>
    </row>
    <row r="2674" spans="55:56" ht="13" x14ac:dyDescent="0.15">
      <c r="BC2674" s="72"/>
      <c r="BD2674" s="72"/>
    </row>
    <row r="2675" spans="55:56" ht="13" x14ac:dyDescent="0.15">
      <c r="BC2675" s="72"/>
      <c r="BD2675" s="72"/>
    </row>
    <row r="2676" spans="55:56" ht="13" x14ac:dyDescent="0.15">
      <c r="BC2676" s="72"/>
      <c r="BD2676" s="72"/>
    </row>
    <row r="2677" spans="55:56" ht="13" x14ac:dyDescent="0.15">
      <c r="BC2677" s="72"/>
      <c r="BD2677" s="72"/>
    </row>
    <row r="2678" spans="55:56" ht="13" x14ac:dyDescent="0.15">
      <c r="BC2678" s="72"/>
      <c r="BD2678" s="72"/>
    </row>
    <row r="2679" spans="55:56" ht="13" x14ac:dyDescent="0.15">
      <c r="BC2679" s="72"/>
      <c r="BD2679" s="72"/>
    </row>
    <row r="2680" spans="55:56" ht="13" x14ac:dyDescent="0.15">
      <c r="BC2680" s="72"/>
      <c r="BD2680" s="72"/>
    </row>
    <row r="2681" spans="55:56" ht="13" x14ac:dyDescent="0.15">
      <c r="BC2681" s="72"/>
      <c r="BD2681" s="72"/>
    </row>
    <row r="2682" spans="55:56" ht="13" x14ac:dyDescent="0.15">
      <c r="BC2682" s="72"/>
      <c r="BD2682" s="72"/>
    </row>
    <row r="2683" spans="55:56" ht="13" x14ac:dyDescent="0.15">
      <c r="BC2683" s="72"/>
      <c r="BD2683" s="72"/>
    </row>
    <row r="2684" spans="55:56" ht="13" x14ac:dyDescent="0.15">
      <c r="BC2684" s="72"/>
      <c r="BD2684" s="72"/>
    </row>
    <row r="2685" spans="55:56" ht="13" x14ac:dyDescent="0.15">
      <c r="BC2685" s="72"/>
      <c r="BD2685" s="72"/>
    </row>
    <row r="2686" spans="55:56" ht="13" x14ac:dyDescent="0.15">
      <c r="BC2686" s="72"/>
      <c r="BD2686" s="72"/>
    </row>
    <row r="2687" spans="55:56" ht="13" x14ac:dyDescent="0.15">
      <c r="BC2687" s="72"/>
      <c r="BD2687" s="72"/>
    </row>
    <row r="2688" spans="55:56" ht="13" x14ac:dyDescent="0.15">
      <c r="BC2688" s="72"/>
      <c r="BD2688" s="72"/>
    </row>
    <row r="2689" spans="55:56" ht="13" x14ac:dyDescent="0.15">
      <c r="BC2689" s="72"/>
      <c r="BD2689" s="72"/>
    </row>
    <row r="2690" spans="55:56" ht="13" x14ac:dyDescent="0.15">
      <c r="BC2690" s="72"/>
      <c r="BD2690" s="72"/>
    </row>
    <row r="2691" spans="55:56" ht="13" x14ac:dyDescent="0.15">
      <c r="BC2691" s="72"/>
      <c r="BD2691" s="72"/>
    </row>
    <row r="2692" spans="55:56" ht="13" x14ac:dyDescent="0.15">
      <c r="BC2692" s="72"/>
      <c r="BD2692" s="72"/>
    </row>
    <row r="2693" spans="55:56" ht="13" x14ac:dyDescent="0.15">
      <c r="BC2693" s="72"/>
      <c r="BD2693" s="72"/>
    </row>
    <row r="2694" spans="55:56" ht="13" x14ac:dyDescent="0.15">
      <c r="BC2694" s="72"/>
      <c r="BD2694" s="72"/>
    </row>
    <row r="2695" spans="55:56" ht="13" x14ac:dyDescent="0.15">
      <c r="BC2695" s="72"/>
      <c r="BD2695" s="72"/>
    </row>
    <row r="2696" spans="55:56" ht="13" x14ac:dyDescent="0.15">
      <c r="BC2696" s="72"/>
      <c r="BD2696" s="72"/>
    </row>
    <row r="2697" spans="55:56" ht="13" x14ac:dyDescent="0.15">
      <c r="BC2697" s="72"/>
      <c r="BD2697" s="72"/>
    </row>
    <row r="2698" spans="55:56" ht="13" x14ac:dyDescent="0.15">
      <c r="BC2698" s="72"/>
      <c r="BD2698" s="72"/>
    </row>
    <row r="2699" spans="55:56" ht="13" x14ac:dyDescent="0.15">
      <c r="BC2699" s="72"/>
      <c r="BD2699" s="72"/>
    </row>
    <row r="2700" spans="55:56" ht="13" x14ac:dyDescent="0.15">
      <c r="BC2700" s="72"/>
      <c r="BD2700" s="72"/>
    </row>
    <row r="2701" spans="55:56" ht="13" x14ac:dyDescent="0.15">
      <c r="BC2701" s="72"/>
      <c r="BD2701" s="72"/>
    </row>
    <row r="2702" spans="55:56" ht="13" x14ac:dyDescent="0.15">
      <c r="BC2702" s="72"/>
      <c r="BD2702" s="72"/>
    </row>
    <row r="2703" spans="55:56" ht="13" x14ac:dyDescent="0.15">
      <c r="BC2703" s="72"/>
      <c r="BD2703" s="72"/>
    </row>
    <row r="2704" spans="55:56" ht="13" x14ac:dyDescent="0.15">
      <c r="BC2704" s="72"/>
      <c r="BD2704" s="72"/>
    </row>
    <row r="2705" spans="55:56" ht="13" x14ac:dyDescent="0.15">
      <c r="BC2705" s="72"/>
      <c r="BD2705" s="72"/>
    </row>
    <row r="2706" spans="55:56" ht="13" x14ac:dyDescent="0.15">
      <c r="BC2706" s="72"/>
      <c r="BD2706" s="72"/>
    </row>
    <row r="2707" spans="55:56" ht="13" x14ac:dyDescent="0.15">
      <c r="BC2707" s="72"/>
      <c r="BD2707" s="72"/>
    </row>
    <row r="2708" spans="55:56" ht="13" x14ac:dyDescent="0.15">
      <c r="BC2708" s="72"/>
      <c r="BD2708" s="72"/>
    </row>
    <row r="2709" spans="55:56" ht="13" x14ac:dyDescent="0.15">
      <c r="BC2709" s="72"/>
      <c r="BD2709" s="72"/>
    </row>
    <row r="2710" spans="55:56" ht="13" x14ac:dyDescent="0.15">
      <c r="BC2710" s="72"/>
      <c r="BD2710" s="72"/>
    </row>
    <row r="2711" spans="55:56" ht="13" x14ac:dyDescent="0.15">
      <c r="BC2711" s="72"/>
      <c r="BD2711" s="72"/>
    </row>
    <row r="2712" spans="55:56" ht="13" x14ac:dyDescent="0.15">
      <c r="BC2712" s="72"/>
      <c r="BD2712" s="72"/>
    </row>
    <row r="2713" spans="55:56" ht="13" x14ac:dyDescent="0.15">
      <c r="BC2713" s="72"/>
      <c r="BD2713" s="72"/>
    </row>
    <row r="2714" spans="55:56" ht="13" x14ac:dyDescent="0.15">
      <c r="BC2714" s="72"/>
      <c r="BD2714" s="72"/>
    </row>
    <row r="2715" spans="55:56" ht="13" x14ac:dyDescent="0.15">
      <c r="BC2715" s="72"/>
      <c r="BD2715" s="72"/>
    </row>
    <row r="2716" spans="55:56" ht="13" x14ac:dyDescent="0.15">
      <c r="BC2716" s="72"/>
      <c r="BD2716" s="72"/>
    </row>
    <row r="2717" spans="55:56" ht="13" x14ac:dyDescent="0.15">
      <c r="BC2717" s="72"/>
      <c r="BD2717" s="72"/>
    </row>
    <row r="2718" spans="55:56" ht="13" x14ac:dyDescent="0.15">
      <c r="BC2718" s="72"/>
      <c r="BD2718" s="72"/>
    </row>
    <row r="2719" spans="55:56" ht="13" x14ac:dyDescent="0.15">
      <c r="BC2719" s="72"/>
      <c r="BD2719" s="72"/>
    </row>
    <row r="2720" spans="55:56" ht="13" x14ac:dyDescent="0.15">
      <c r="BC2720" s="72"/>
      <c r="BD2720" s="72"/>
    </row>
    <row r="2721" spans="55:56" ht="13" x14ac:dyDescent="0.15">
      <c r="BC2721" s="72"/>
      <c r="BD2721" s="72"/>
    </row>
    <row r="2722" spans="55:56" ht="13" x14ac:dyDescent="0.15">
      <c r="BC2722" s="72"/>
      <c r="BD2722" s="72"/>
    </row>
    <row r="2723" spans="55:56" ht="13" x14ac:dyDescent="0.15">
      <c r="BC2723" s="72"/>
      <c r="BD2723" s="72"/>
    </row>
    <row r="2724" spans="55:56" ht="13" x14ac:dyDescent="0.15">
      <c r="BC2724" s="72"/>
      <c r="BD2724" s="72"/>
    </row>
    <row r="2725" spans="55:56" ht="13" x14ac:dyDescent="0.15">
      <c r="BC2725" s="72"/>
      <c r="BD2725" s="72"/>
    </row>
    <row r="2726" spans="55:56" ht="13" x14ac:dyDescent="0.15">
      <c r="BC2726" s="72"/>
      <c r="BD2726" s="72"/>
    </row>
    <row r="2727" spans="55:56" ht="13" x14ac:dyDescent="0.15">
      <c r="BC2727" s="72"/>
      <c r="BD2727" s="72"/>
    </row>
    <row r="2728" spans="55:56" ht="13" x14ac:dyDescent="0.15">
      <c r="BC2728" s="72"/>
      <c r="BD2728" s="72"/>
    </row>
    <row r="2729" spans="55:56" ht="13" x14ac:dyDescent="0.15">
      <c r="BC2729" s="72"/>
      <c r="BD2729" s="72"/>
    </row>
    <row r="2730" spans="55:56" ht="13" x14ac:dyDescent="0.15">
      <c r="BC2730" s="72"/>
      <c r="BD2730" s="72"/>
    </row>
    <row r="2731" spans="55:56" ht="13" x14ac:dyDescent="0.15">
      <c r="BC2731" s="72"/>
      <c r="BD2731" s="72"/>
    </row>
    <row r="2732" spans="55:56" ht="13" x14ac:dyDescent="0.15">
      <c r="BC2732" s="72"/>
      <c r="BD2732" s="72"/>
    </row>
    <row r="2733" spans="55:56" ht="13" x14ac:dyDescent="0.15">
      <c r="BC2733" s="72"/>
      <c r="BD2733" s="72"/>
    </row>
    <row r="2734" spans="55:56" ht="13" x14ac:dyDescent="0.15">
      <c r="BC2734" s="72"/>
      <c r="BD2734" s="72"/>
    </row>
    <row r="2735" spans="55:56" ht="13" x14ac:dyDescent="0.15">
      <c r="BC2735" s="72"/>
      <c r="BD2735" s="72"/>
    </row>
    <row r="2736" spans="55:56" ht="13" x14ac:dyDescent="0.15">
      <c r="BC2736" s="72"/>
      <c r="BD2736" s="72"/>
    </row>
    <row r="2737" spans="55:56" ht="13" x14ac:dyDescent="0.15">
      <c r="BC2737" s="72"/>
      <c r="BD2737" s="72"/>
    </row>
    <row r="2738" spans="55:56" ht="13" x14ac:dyDescent="0.15">
      <c r="BC2738" s="72"/>
      <c r="BD2738" s="72"/>
    </row>
    <row r="2739" spans="55:56" ht="13" x14ac:dyDescent="0.15">
      <c r="BC2739" s="72"/>
      <c r="BD2739" s="72"/>
    </row>
    <row r="2740" spans="55:56" ht="13" x14ac:dyDescent="0.15">
      <c r="BC2740" s="72"/>
      <c r="BD2740" s="72"/>
    </row>
    <row r="2741" spans="55:56" ht="13" x14ac:dyDescent="0.15">
      <c r="BC2741" s="72"/>
      <c r="BD2741" s="72"/>
    </row>
    <row r="2742" spans="55:56" ht="13" x14ac:dyDescent="0.15">
      <c r="BC2742" s="72"/>
      <c r="BD2742" s="72"/>
    </row>
    <row r="2743" spans="55:56" ht="13" x14ac:dyDescent="0.15">
      <c r="BC2743" s="72"/>
      <c r="BD2743" s="72"/>
    </row>
    <row r="2744" spans="55:56" ht="13" x14ac:dyDescent="0.15">
      <c r="BC2744" s="72"/>
      <c r="BD2744" s="72"/>
    </row>
    <row r="2745" spans="55:56" ht="13" x14ac:dyDescent="0.15">
      <c r="BC2745" s="72"/>
      <c r="BD2745" s="72"/>
    </row>
    <row r="2746" spans="55:56" ht="13" x14ac:dyDescent="0.15">
      <c r="BC2746" s="72"/>
      <c r="BD2746" s="72"/>
    </row>
    <row r="2747" spans="55:56" ht="13" x14ac:dyDescent="0.15">
      <c r="BC2747" s="72"/>
      <c r="BD2747" s="72"/>
    </row>
    <row r="2748" spans="55:56" ht="13" x14ac:dyDescent="0.15">
      <c r="BC2748" s="72"/>
      <c r="BD2748" s="72"/>
    </row>
    <row r="2749" spans="55:56" ht="13" x14ac:dyDescent="0.15">
      <c r="BC2749" s="72"/>
      <c r="BD2749" s="72"/>
    </row>
    <row r="2750" spans="55:56" ht="13" x14ac:dyDescent="0.15">
      <c r="BC2750" s="72"/>
      <c r="BD2750" s="72"/>
    </row>
    <row r="2751" spans="55:56" ht="13" x14ac:dyDescent="0.15">
      <c r="BC2751" s="72"/>
      <c r="BD2751" s="72"/>
    </row>
    <row r="2752" spans="55:56" ht="13" x14ac:dyDescent="0.15">
      <c r="BC2752" s="72"/>
      <c r="BD2752" s="72"/>
    </row>
    <row r="2753" spans="55:56" ht="13" x14ac:dyDescent="0.15">
      <c r="BC2753" s="72"/>
      <c r="BD2753" s="72"/>
    </row>
    <row r="2754" spans="55:56" ht="13" x14ac:dyDescent="0.15">
      <c r="BC2754" s="72"/>
      <c r="BD2754" s="72"/>
    </row>
    <row r="2755" spans="55:56" ht="13" x14ac:dyDescent="0.15">
      <c r="BC2755" s="72"/>
      <c r="BD2755" s="72"/>
    </row>
    <row r="2756" spans="55:56" ht="13" x14ac:dyDescent="0.15">
      <c r="BC2756" s="72"/>
      <c r="BD2756" s="72"/>
    </row>
    <row r="2757" spans="55:56" ht="13" x14ac:dyDescent="0.15">
      <c r="BC2757" s="72"/>
      <c r="BD2757" s="72"/>
    </row>
    <row r="2758" spans="55:56" ht="13" x14ac:dyDescent="0.15">
      <c r="BC2758" s="72"/>
      <c r="BD2758" s="72"/>
    </row>
    <row r="2759" spans="55:56" ht="13" x14ac:dyDescent="0.15">
      <c r="BC2759" s="72"/>
      <c r="BD2759" s="72"/>
    </row>
    <row r="2760" spans="55:56" ht="13" x14ac:dyDescent="0.15">
      <c r="BC2760" s="72"/>
      <c r="BD2760" s="72"/>
    </row>
    <row r="2761" spans="55:56" ht="13" x14ac:dyDescent="0.15">
      <c r="BC2761" s="72"/>
      <c r="BD2761" s="72"/>
    </row>
    <row r="2762" spans="55:56" ht="13" x14ac:dyDescent="0.15">
      <c r="BC2762" s="72"/>
      <c r="BD2762" s="72"/>
    </row>
    <row r="2763" spans="55:56" ht="13" x14ac:dyDescent="0.15">
      <c r="BC2763" s="72"/>
      <c r="BD2763" s="72"/>
    </row>
    <row r="2764" spans="55:56" ht="13" x14ac:dyDescent="0.15">
      <c r="BC2764" s="72"/>
      <c r="BD2764" s="72"/>
    </row>
    <row r="2765" spans="55:56" ht="13" x14ac:dyDescent="0.15">
      <c r="BC2765" s="72"/>
      <c r="BD2765" s="72"/>
    </row>
    <row r="2766" spans="55:56" ht="13" x14ac:dyDescent="0.15">
      <c r="BC2766" s="72"/>
      <c r="BD2766" s="72"/>
    </row>
    <row r="2767" spans="55:56" ht="13" x14ac:dyDescent="0.15">
      <c r="BC2767" s="72"/>
      <c r="BD2767" s="72"/>
    </row>
    <row r="2768" spans="55:56" ht="13" x14ac:dyDescent="0.15">
      <c r="BC2768" s="72"/>
      <c r="BD2768" s="72"/>
    </row>
    <row r="2769" spans="55:56" ht="13" x14ac:dyDescent="0.15">
      <c r="BC2769" s="72"/>
      <c r="BD2769" s="72"/>
    </row>
    <row r="2770" spans="55:56" ht="13" x14ac:dyDescent="0.15">
      <c r="BC2770" s="72"/>
      <c r="BD2770" s="72"/>
    </row>
    <row r="2771" spans="55:56" ht="13" x14ac:dyDescent="0.15">
      <c r="BC2771" s="72"/>
      <c r="BD2771" s="72"/>
    </row>
    <row r="2772" spans="55:56" ht="13" x14ac:dyDescent="0.15">
      <c r="BC2772" s="72"/>
      <c r="BD2772" s="72"/>
    </row>
    <row r="2773" spans="55:56" ht="13" x14ac:dyDescent="0.15">
      <c r="BC2773" s="72"/>
      <c r="BD2773" s="72"/>
    </row>
    <row r="2774" spans="55:56" ht="13" x14ac:dyDescent="0.15">
      <c r="BC2774" s="72"/>
      <c r="BD2774" s="72"/>
    </row>
    <row r="2775" spans="55:56" ht="13" x14ac:dyDescent="0.15">
      <c r="BC2775" s="72"/>
      <c r="BD2775" s="72"/>
    </row>
    <row r="2776" spans="55:56" ht="13" x14ac:dyDescent="0.15">
      <c r="BC2776" s="72"/>
      <c r="BD2776" s="72"/>
    </row>
    <row r="2777" spans="55:56" ht="13" x14ac:dyDescent="0.15">
      <c r="BC2777" s="72"/>
      <c r="BD2777" s="72"/>
    </row>
    <row r="2778" spans="55:56" ht="13" x14ac:dyDescent="0.15">
      <c r="BC2778" s="72"/>
      <c r="BD2778" s="72"/>
    </row>
    <row r="2779" spans="55:56" ht="13" x14ac:dyDescent="0.15">
      <c r="BC2779" s="72"/>
      <c r="BD2779" s="72"/>
    </row>
    <row r="2780" spans="55:56" ht="13" x14ac:dyDescent="0.15">
      <c r="BC2780" s="72"/>
      <c r="BD2780" s="72"/>
    </row>
    <row r="2781" spans="55:56" ht="13" x14ac:dyDescent="0.15">
      <c r="BC2781" s="72"/>
      <c r="BD2781" s="72"/>
    </row>
    <row r="2782" spans="55:56" ht="13" x14ac:dyDescent="0.15">
      <c r="BC2782" s="72"/>
      <c r="BD2782" s="72"/>
    </row>
    <row r="2783" spans="55:56" ht="13" x14ac:dyDescent="0.15">
      <c r="BC2783" s="72"/>
      <c r="BD2783" s="72"/>
    </row>
    <row r="2784" spans="55:56" ht="13" x14ac:dyDescent="0.15">
      <c r="BC2784" s="72"/>
      <c r="BD2784" s="72"/>
    </row>
    <row r="2785" spans="55:56" ht="13" x14ac:dyDescent="0.15">
      <c r="BC2785" s="72"/>
      <c r="BD2785" s="72"/>
    </row>
    <row r="2786" spans="55:56" ht="13" x14ac:dyDescent="0.15">
      <c r="BC2786" s="72"/>
      <c r="BD2786" s="72"/>
    </row>
    <row r="2787" spans="55:56" ht="13" x14ac:dyDescent="0.15">
      <c r="BC2787" s="72"/>
      <c r="BD2787" s="72"/>
    </row>
    <row r="2788" spans="55:56" ht="13" x14ac:dyDescent="0.15">
      <c r="BC2788" s="72"/>
      <c r="BD2788" s="72"/>
    </row>
    <row r="2789" spans="55:56" ht="13" x14ac:dyDescent="0.15">
      <c r="BC2789" s="72"/>
      <c r="BD2789" s="72"/>
    </row>
    <row r="2790" spans="55:56" ht="13" x14ac:dyDescent="0.15">
      <c r="BC2790" s="72"/>
      <c r="BD2790" s="72"/>
    </row>
    <row r="2791" spans="55:56" ht="13" x14ac:dyDescent="0.15">
      <c r="BC2791" s="72"/>
      <c r="BD2791" s="72"/>
    </row>
    <row r="2792" spans="55:56" ht="13" x14ac:dyDescent="0.15">
      <c r="BC2792" s="72"/>
      <c r="BD2792" s="72"/>
    </row>
    <row r="2793" spans="55:56" ht="13" x14ac:dyDescent="0.15">
      <c r="BC2793" s="72"/>
      <c r="BD2793" s="72"/>
    </row>
    <row r="2794" spans="55:56" ht="13" x14ac:dyDescent="0.15">
      <c r="BC2794" s="72"/>
      <c r="BD2794" s="72"/>
    </row>
    <row r="2795" spans="55:56" ht="13" x14ac:dyDescent="0.15">
      <c r="BC2795" s="72"/>
      <c r="BD2795" s="72"/>
    </row>
    <row r="2796" spans="55:56" ht="13" x14ac:dyDescent="0.15">
      <c r="BC2796" s="72"/>
      <c r="BD2796" s="72"/>
    </row>
    <row r="2797" spans="55:56" ht="13" x14ac:dyDescent="0.15">
      <c r="BC2797" s="72"/>
      <c r="BD2797" s="72"/>
    </row>
    <row r="2798" spans="55:56" ht="13" x14ac:dyDescent="0.15">
      <c r="BC2798" s="72"/>
      <c r="BD2798" s="72"/>
    </row>
    <row r="2799" spans="55:56" ht="13" x14ac:dyDescent="0.15">
      <c r="BC2799" s="72"/>
      <c r="BD2799" s="72"/>
    </row>
    <row r="2800" spans="55:56" ht="13" x14ac:dyDescent="0.15">
      <c r="BC2800" s="72"/>
      <c r="BD2800" s="72"/>
    </row>
    <row r="2801" spans="55:56" ht="13" x14ac:dyDescent="0.15">
      <c r="BC2801" s="72"/>
      <c r="BD2801" s="72"/>
    </row>
    <row r="2802" spans="55:56" ht="13" x14ac:dyDescent="0.15">
      <c r="BC2802" s="72"/>
      <c r="BD2802" s="72"/>
    </row>
    <row r="2803" spans="55:56" ht="13" x14ac:dyDescent="0.15">
      <c r="BC2803" s="72"/>
      <c r="BD2803" s="72"/>
    </row>
    <row r="2804" spans="55:56" ht="13" x14ac:dyDescent="0.15">
      <c r="BC2804" s="72"/>
      <c r="BD2804" s="72"/>
    </row>
    <row r="2805" spans="55:56" ht="13" x14ac:dyDescent="0.15">
      <c r="BC2805" s="72"/>
      <c r="BD2805" s="72"/>
    </row>
    <row r="2806" spans="55:56" ht="13" x14ac:dyDescent="0.15">
      <c r="BC2806" s="72"/>
      <c r="BD2806" s="72"/>
    </row>
    <row r="2807" spans="55:56" ht="13" x14ac:dyDescent="0.15">
      <c r="BC2807" s="72"/>
      <c r="BD2807" s="72"/>
    </row>
    <row r="2808" spans="55:56" ht="13" x14ac:dyDescent="0.15">
      <c r="BC2808" s="72"/>
      <c r="BD2808" s="72"/>
    </row>
    <row r="2809" spans="55:56" ht="13" x14ac:dyDescent="0.15">
      <c r="BC2809" s="72"/>
      <c r="BD2809" s="72"/>
    </row>
    <row r="2810" spans="55:56" ht="13" x14ac:dyDescent="0.15">
      <c r="BC2810" s="72"/>
      <c r="BD2810" s="72"/>
    </row>
    <row r="2811" spans="55:56" ht="13" x14ac:dyDescent="0.15">
      <c r="BC2811" s="72"/>
      <c r="BD2811" s="72"/>
    </row>
    <row r="2812" spans="55:56" ht="13" x14ac:dyDescent="0.15">
      <c r="BC2812" s="72"/>
      <c r="BD2812" s="72"/>
    </row>
    <row r="2813" spans="55:56" ht="13" x14ac:dyDescent="0.15">
      <c r="BC2813" s="72"/>
      <c r="BD2813" s="72"/>
    </row>
    <row r="2814" spans="55:56" ht="13" x14ac:dyDescent="0.15">
      <c r="BC2814" s="72"/>
      <c r="BD2814" s="72"/>
    </row>
    <row r="2815" spans="55:56" ht="13" x14ac:dyDescent="0.15">
      <c r="BC2815" s="72"/>
      <c r="BD2815" s="72"/>
    </row>
    <row r="2816" spans="55:56" ht="13" x14ac:dyDescent="0.15">
      <c r="BC2816" s="72"/>
      <c r="BD2816" s="72"/>
    </row>
    <row r="2817" spans="55:56" ht="13" x14ac:dyDescent="0.15">
      <c r="BC2817" s="72"/>
      <c r="BD2817" s="72"/>
    </row>
    <row r="2818" spans="55:56" ht="13" x14ac:dyDescent="0.15">
      <c r="BC2818" s="72"/>
      <c r="BD2818" s="72"/>
    </row>
    <row r="2819" spans="55:56" ht="13" x14ac:dyDescent="0.15">
      <c r="BC2819" s="72"/>
      <c r="BD2819" s="72"/>
    </row>
    <row r="2820" spans="55:56" ht="13" x14ac:dyDescent="0.15">
      <c r="BC2820" s="72"/>
      <c r="BD2820" s="72"/>
    </row>
    <row r="2821" spans="55:56" ht="13" x14ac:dyDescent="0.15">
      <c r="BC2821" s="72"/>
      <c r="BD2821" s="72"/>
    </row>
    <row r="2822" spans="55:56" ht="13" x14ac:dyDescent="0.15">
      <c r="BC2822" s="72"/>
      <c r="BD2822" s="72"/>
    </row>
    <row r="2823" spans="55:56" ht="13" x14ac:dyDescent="0.15">
      <c r="BC2823" s="72"/>
      <c r="BD2823" s="72"/>
    </row>
    <row r="2824" spans="55:56" ht="13" x14ac:dyDescent="0.15">
      <c r="BC2824" s="72"/>
      <c r="BD2824" s="72"/>
    </row>
    <row r="2825" spans="55:56" ht="13" x14ac:dyDescent="0.15">
      <c r="BC2825" s="72"/>
      <c r="BD2825" s="72"/>
    </row>
    <row r="2826" spans="55:56" ht="13" x14ac:dyDescent="0.15">
      <c r="BC2826" s="72"/>
      <c r="BD2826" s="72"/>
    </row>
    <row r="2827" spans="55:56" ht="13" x14ac:dyDescent="0.15">
      <c r="BC2827" s="72"/>
      <c r="BD2827" s="72"/>
    </row>
    <row r="2828" spans="55:56" ht="13" x14ac:dyDescent="0.15">
      <c r="BC2828" s="72"/>
      <c r="BD2828" s="72"/>
    </row>
    <row r="2829" spans="55:56" ht="13" x14ac:dyDescent="0.15">
      <c r="BC2829" s="72"/>
      <c r="BD2829" s="72"/>
    </row>
    <row r="2830" spans="55:56" ht="13" x14ac:dyDescent="0.15">
      <c r="BC2830" s="72"/>
      <c r="BD2830" s="72"/>
    </row>
    <row r="2831" spans="55:56" ht="13" x14ac:dyDescent="0.15">
      <c r="BC2831" s="72"/>
      <c r="BD2831" s="72"/>
    </row>
    <row r="2832" spans="55:56" ht="13" x14ac:dyDescent="0.15">
      <c r="BC2832" s="72"/>
      <c r="BD2832" s="72"/>
    </row>
    <row r="2833" spans="55:56" ht="13" x14ac:dyDescent="0.15">
      <c r="BC2833" s="72"/>
      <c r="BD2833" s="72"/>
    </row>
    <row r="2834" spans="55:56" ht="13" x14ac:dyDescent="0.15">
      <c r="BC2834" s="72"/>
      <c r="BD2834" s="72"/>
    </row>
    <row r="2835" spans="55:56" ht="13" x14ac:dyDescent="0.15">
      <c r="BC2835" s="72"/>
      <c r="BD2835" s="72"/>
    </row>
    <row r="2836" spans="55:56" ht="13" x14ac:dyDescent="0.15">
      <c r="BC2836" s="72"/>
      <c r="BD2836" s="72"/>
    </row>
    <row r="2837" spans="55:56" ht="13" x14ac:dyDescent="0.15">
      <c r="BC2837" s="72"/>
      <c r="BD2837" s="72"/>
    </row>
    <row r="2838" spans="55:56" ht="13" x14ac:dyDescent="0.15">
      <c r="BC2838" s="72"/>
      <c r="BD2838" s="72"/>
    </row>
    <row r="2839" spans="55:56" ht="13" x14ac:dyDescent="0.15">
      <c r="BC2839" s="72"/>
      <c r="BD2839" s="72"/>
    </row>
    <row r="2840" spans="55:56" ht="13" x14ac:dyDescent="0.15">
      <c r="BC2840" s="72"/>
      <c r="BD2840" s="72"/>
    </row>
    <row r="2841" spans="55:56" ht="13" x14ac:dyDescent="0.15">
      <c r="BC2841" s="72"/>
      <c r="BD2841" s="72"/>
    </row>
    <row r="2842" spans="55:56" ht="13" x14ac:dyDescent="0.15">
      <c r="BC2842" s="72"/>
      <c r="BD2842" s="72"/>
    </row>
    <row r="2843" spans="55:56" ht="13" x14ac:dyDescent="0.15">
      <c r="BC2843" s="72"/>
      <c r="BD2843" s="72"/>
    </row>
    <row r="2844" spans="55:56" ht="13" x14ac:dyDescent="0.15">
      <c r="BC2844" s="72"/>
      <c r="BD2844" s="72"/>
    </row>
    <row r="2845" spans="55:56" ht="13" x14ac:dyDescent="0.15">
      <c r="BC2845" s="72"/>
      <c r="BD2845" s="72"/>
    </row>
    <row r="2846" spans="55:56" ht="13" x14ac:dyDescent="0.15">
      <c r="BC2846" s="72"/>
      <c r="BD2846" s="72"/>
    </row>
    <row r="2847" spans="55:56" ht="13" x14ac:dyDescent="0.15">
      <c r="BC2847" s="72"/>
      <c r="BD2847" s="72"/>
    </row>
    <row r="2848" spans="55:56" ht="13" x14ac:dyDescent="0.15">
      <c r="BC2848" s="72"/>
      <c r="BD2848" s="72"/>
    </row>
    <row r="2849" spans="55:56" ht="13" x14ac:dyDescent="0.15">
      <c r="BC2849" s="72"/>
      <c r="BD2849" s="72"/>
    </row>
    <row r="2850" spans="55:56" ht="13" x14ac:dyDescent="0.15">
      <c r="BC2850" s="72"/>
      <c r="BD2850" s="72"/>
    </row>
    <row r="2851" spans="55:56" ht="13" x14ac:dyDescent="0.15">
      <c r="BC2851" s="72"/>
      <c r="BD2851" s="72"/>
    </row>
    <row r="2852" spans="55:56" ht="13" x14ac:dyDescent="0.15">
      <c r="BC2852" s="72"/>
      <c r="BD2852" s="72"/>
    </row>
    <row r="2853" spans="55:56" ht="13" x14ac:dyDescent="0.15">
      <c r="BC2853" s="72"/>
      <c r="BD2853" s="72"/>
    </row>
    <row r="2854" spans="55:56" ht="13" x14ac:dyDescent="0.15">
      <c r="BC2854" s="72"/>
      <c r="BD2854" s="72"/>
    </row>
    <row r="2855" spans="55:56" ht="13" x14ac:dyDescent="0.15">
      <c r="BC2855" s="72"/>
      <c r="BD2855" s="72"/>
    </row>
    <row r="2856" spans="55:56" ht="13" x14ac:dyDescent="0.15">
      <c r="BC2856" s="72"/>
      <c r="BD2856" s="72"/>
    </row>
    <row r="2857" spans="55:56" ht="13" x14ac:dyDescent="0.15">
      <c r="BC2857" s="72"/>
      <c r="BD2857" s="72"/>
    </row>
    <row r="2858" spans="55:56" ht="13" x14ac:dyDescent="0.15">
      <c r="BC2858" s="72"/>
      <c r="BD2858" s="72"/>
    </row>
    <row r="2859" spans="55:56" ht="13" x14ac:dyDescent="0.15">
      <c r="BC2859" s="72"/>
      <c r="BD2859" s="72"/>
    </row>
    <row r="2860" spans="55:56" ht="13" x14ac:dyDescent="0.15">
      <c r="BC2860" s="72"/>
      <c r="BD2860" s="72"/>
    </row>
    <row r="2861" spans="55:56" ht="13" x14ac:dyDescent="0.15">
      <c r="BC2861" s="72"/>
      <c r="BD2861" s="72"/>
    </row>
    <row r="2862" spans="55:56" ht="13" x14ac:dyDescent="0.15">
      <c r="BC2862" s="72"/>
      <c r="BD2862" s="72"/>
    </row>
    <row r="2863" spans="55:56" ht="13" x14ac:dyDescent="0.15">
      <c r="BC2863" s="72"/>
      <c r="BD2863" s="72"/>
    </row>
    <row r="2864" spans="55:56" ht="13" x14ac:dyDescent="0.15">
      <c r="BC2864" s="72"/>
      <c r="BD2864" s="72"/>
    </row>
    <row r="2865" spans="55:56" ht="13" x14ac:dyDescent="0.15">
      <c r="BC2865" s="72"/>
      <c r="BD2865" s="72"/>
    </row>
    <row r="2866" spans="55:56" ht="13" x14ac:dyDescent="0.15">
      <c r="BC2866" s="72"/>
      <c r="BD2866" s="72"/>
    </row>
    <row r="2867" spans="55:56" ht="13" x14ac:dyDescent="0.15">
      <c r="BC2867" s="72"/>
      <c r="BD2867" s="72"/>
    </row>
    <row r="2868" spans="55:56" ht="13" x14ac:dyDescent="0.15">
      <c r="BC2868" s="72"/>
      <c r="BD2868" s="72"/>
    </row>
    <row r="2869" spans="55:56" ht="13" x14ac:dyDescent="0.15">
      <c r="BC2869" s="72"/>
      <c r="BD2869" s="72"/>
    </row>
    <row r="2870" spans="55:56" ht="13" x14ac:dyDescent="0.15">
      <c r="BC2870" s="72"/>
      <c r="BD2870" s="72"/>
    </row>
    <row r="2871" spans="55:56" ht="13" x14ac:dyDescent="0.15">
      <c r="BC2871" s="72"/>
      <c r="BD2871" s="72"/>
    </row>
    <row r="2872" spans="55:56" ht="13" x14ac:dyDescent="0.15">
      <c r="BC2872" s="72"/>
      <c r="BD2872" s="72"/>
    </row>
    <row r="2873" spans="55:56" ht="13" x14ac:dyDescent="0.15">
      <c r="BC2873" s="72"/>
      <c r="BD2873" s="72"/>
    </row>
    <row r="2874" spans="55:56" ht="13" x14ac:dyDescent="0.15">
      <c r="BC2874" s="72"/>
      <c r="BD2874" s="72"/>
    </row>
    <row r="2875" spans="55:56" ht="13" x14ac:dyDescent="0.15">
      <c r="BC2875" s="72"/>
      <c r="BD2875" s="72"/>
    </row>
    <row r="2876" spans="55:56" ht="13" x14ac:dyDescent="0.15">
      <c r="BC2876" s="72"/>
      <c r="BD2876" s="72"/>
    </row>
    <row r="2877" spans="55:56" ht="13" x14ac:dyDescent="0.15">
      <c r="BC2877" s="72"/>
      <c r="BD2877" s="72"/>
    </row>
    <row r="2878" spans="55:56" ht="13" x14ac:dyDescent="0.15">
      <c r="BC2878" s="72"/>
      <c r="BD2878" s="72"/>
    </row>
    <row r="2879" spans="55:56" ht="13" x14ac:dyDescent="0.15">
      <c r="BC2879" s="72"/>
      <c r="BD2879" s="72"/>
    </row>
    <row r="2880" spans="55:56" ht="13" x14ac:dyDescent="0.15">
      <c r="BC2880" s="72"/>
      <c r="BD2880" s="72"/>
    </row>
    <row r="2881" spans="55:56" ht="13" x14ac:dyDescent="0.15">
      <c r="BC2881" s="72"/>
      <c r="BD2881" s="72"/>
    </row>
    <row r="2882" spans="55:56" ht="13" x14ac:dyDescent="0.15">
      <c r="BC2882" s="72"/>
      <c r="BD2882" s="72"/>
    </row>
    <row r="2883" spans="55:56" ht="13" x14ac:dyDescent="0.15">
      <c r="BC2883" s="72"/>
      <c r="BD2883" s="72"/>
    </row>
    <row r="2884" spans="55:56" ht="13" x14ac:dyDescent="0.15">
      <c r="BC2884" s="72"/>
      <c r="BD2884" s="72"/>
    </row>
    <row r="2885" spans="55:56" ht="13" x14ac:dyDescent="0.15">
      <c r="BC2885" s="72"/>
      <c r="BD2885" s="72"/>
    </row>
    <row r="2886" spans="55:56" ht="13" x14ac:dyDescent="0.15">
      <c r="BC2886" s="72"/>
      <c r="BD2886" s="72"/>
    </row>
    <row r="2887" spans="55:56" ht="13" x14ac:dyDescent="0.15">
      <c r="BC2887" s="72"/>
      <c r="BD2887" s="72"/>
    </row>
    <row r="2888" spans="55:56" ht="13" x14ac:dyDescent="0.15">
      <c r="BC2888" s="72"/>
      <c r="BD2888" s="72"/>
    </row>
    <row r="2889" spans="55:56" ht="13" x14ac:dyDescent="0.15">
      <c r="BC2889" s="72"/>
      <c r="BD2889" s="72"/>
    </row>
    <row r="2890" spans="55:56" ht="13" x14ac:dyDescent="0.15">
      <c r="BC2890" s="72"/>
      <c r="BD2890" s="72"/>
    </row>
    <row r="2891" spans="55:56" ht="13" x14ac:dyDescent="0.15">
      <c r="BC2891" s="72"/>
      <c r="BD2891" s="72"/>
    </row>
    <row r="2892" spans="55:56" ht="13" x14ac:dyDescent="0.15">
      <c r="BC2892" s="72"/>
      <c r="BD2892" s="72"/>
    </row>
    <row r="2893" spans="55:56" ht="13" x14ac:dyDescent="0.15">
      <c r="BC2893" s="72"/>
      <c r="BD2893" s="72"/>
    </row>
    <row r="2894" spans="55:56" ht="13" x14ac:dyDescent="0.15">
      <c r="BC2894" s="72"/>
      <c r="BD2894" s="72"/>
    </row>
    <row r="2895" spans="55:56" ht="13" x14ac:dyDescent="0.15">
      <c r="BC2895" s="72"/>
      <c r="BD2895" s="72"/>
    </row>
    <row r="2896" spans="55:56" ht="13" x14ac:dyDescent="0.15">
      <c r="BC2896" s="72"/>
      <c r="BD2896" s="72"/>
    </row>
    <row r="2897" spans="55:56" ht="13" x14ac:dyDescent="0.15">
      <c r="BC2897" s="72"/>
      <c r="BD2897" s="72"/>
    </row>
    <row r="2898" spans="55:56" ht="13" x14ac:dyDescent="0.15">
      <c r="BC2898" s="72"/>
      <c r="BD2898" s="72"/>
    </row>
    <row r="2899" spans="55:56" ht="13" x14ac:dyDescent="0.15">
      <c r="BC2899" s="72"/>
      <c r="BD2899" s="72"/>
    </row>
    <row r="2900" spans="55:56" ht="13" x14ac:dyDescent="0.15">
      <c r="BC2900" s="72"/>
      <c r="BD2900" s="72"/>
    </row>
    <row r="2901" spans="55:56" ht="13" x14ac:dyDescent="0.15">
      <c r="BC2901" s="72"/>
      <c r="BD2901" s="72"/>
    </row>
    <row r="2902" spans="55:56" ht="13" x14ac:dyDescent="0.15">
      <c r="BC2902" s="72"/>
      <c r="BD2902" s="72"/>
    </row>
    <row r="2903" spans="55:56" ht="13" x14ac:dyDescent="0.15">
      <c r="BC2903" s="72"/>
      <c r="BD2903" s="72"/>
    </row>
    <row r="2904" spans="55:56" ht="13" x14ac:dyDescent="0.15">
      <c r="BC2904" s="72"/>
      <c r="BD2904" s="72"/>
    </row>
    <row r="2905" spans="55:56" ht="13" x14ac:dyDescent="0.15">
      <c r="BC2905" s="72"/>
      <c r="BD2905" s="72"/>
    </row>
    <row r="2906" spans="55:56" ht="13" x14ac:dyDescent="0.15">
      <c r="BC2906" s="72"/>
      <c r="BD2906" s="72"/>
    </row>
    <row r="2907" spans="55:56" ht="13" x14ac:dyDescent="0.15">
      <c r="BC2907" s="72"/>
      <c r="BD2907" s="72"/>
    </row>
    <row r="2908" spans="55:56" ht="13" x14ac:dyDescent="0.15">
      <c r="BC2908" s="72"/>
      <c r="BD2908" s="72"/>
    </row>
    <row r="2909" spans="55:56" ht="13" x14ac:dyDescent="0.15">
      <c r="BC2909" s="72"/>
      <c r="BD2909" s="72"/>
    </row>
    <row r="2910" spans="55:56" ht="13" x14ac:dyDescent="0.15">
      <c r="BC2910" s="72"/>
      <c r="BD2910" s="72"/>
    </row>
    <row r="2911" spans="55:56" ht="13" x14ac:dyDescent="0.15">
      <c r="BC2911" s="72"/>
      <c r="BD2911" s="72"/>
    </row>
    <row r="2912" spans="55:56" ht="13" x14ac:dyDescent="0.15">
      <c r="BC2912" s="72"/>
      <c r="BD2912" s="72"/>
    </row>
    <row r="2913" spans="55:56" ht="13" x14ac:dyDescent="0.15">
      <c r="BC2913" s="72"/>
      <c r="BD2913" s="72"/>
    </row>
    <row r="2914" spans="55:56" ht="13" x14ac:dyDescent="0.15">
      <c r="BC2914" s="72"/>
      <c r="BD2914" s="72"/>
    </row>
    <row r="2915" spans="55:56" ht="13" x14ac:dyDescent="0.15">
      <c r="BC2915" s="72"/>
      <c r="BD2915" s="72"/>
    </row>
    <row r="2916" spans="55:56" ht="13" x14ac:dyDescent="0.15">
      <c r="BC2916" s="72"/>
      <c r="BD2916" s="72"/>
    </row>
    <row r="2917" spans="55:56" ht="13" x14ac:dyDescent="0.15">
      <c r="BC2917" s="72"/>
      <c r="BD2917" s="72"/>
    </row>
    <row r="2918" spans="55:56" ht="13" x14ac:dyDescent="0.15">
      <c r="BC2918" s="72"/>
      <c r="BD2918" s="72"/>
    </row>
    <row r="2919" spans="55:56" ht="13" x14ac:dyDescent="0.15">
      <c r="BC2919" s="72"/>
      <c r="BD2919" s="72"/>
    </row>
    <row r="2920" spans="55:56" ht="13" x14ac:dyDescent="0.15">
      <c r="BC2920" s="72"/>
      <c r="BD2920" s="72"/>
    </row>
    <row r="2921" spans="55:56" ht="13" x14ac:dyDescent="0.15">
      <c r="BC2921" s="72"/>
      <c r="BD2921" s="72"/>
    </row>
    <row r="2922" spans="55:56" ht="13" x14ac:dyDescent="0.15">
      <c r="BC2922" s="72"/>
      <c r="BD2922" s="72"/>
    </row>
    <row r="2923" spans="55:56" ht="13" x14ac:dyDescent="0.15">
      <c r="BC2923" s="72"/>
      <c r="BD2923" s="72"/>
    </row>
    <row r="2924" spans="55:56" ht="13" x14ac:dyDescent="0.15">
      <c r="BC2924" s="72"/>
      <c r="BD2924" s="72"/>
    </row>
    <row r="2925" spans="55:56" ht="13" x14ac:dyDescent="0.15">
      <c r="BC2925" s="72"/>
      <c r="BD2925" s="72"/>
    </row>
    <row r="2926" spans="55:56" ht="13" x14ac:dyDescent="0.15">
      <c r="BC2926" s="72"/>
      <c r="BD2926" s="72"/>
    </row>
    <row r="2927" spans="55:56" ht="13" x14ac:dyDescent="0.15">
      <c r="BC2927" s="72"/>
      <c r="BD2927" s="72"/>
    </row>
    <row r="2928" spans="55:56" ht="13" x14ac:dyDescent="0.15">
      <c r="BC2928" s="72"/>
      <c r="BD2928" s="72"/>
    </row>
    <row r="2929" spans="55:56" ht="13" x14ac:dyDescent="0.15">
      <c r="BC2929" s="72"/>
      <c r="BD2929" s="72"/>
    </row>
    <row r="2930" spans="55:56" ht="13" x14ac:dyDescent="0.15">
      <c r="BC2930" s="72"/>
      <c r="BD2930" s="72"/>
    </row>
    <row r="2931" spans="55:56" ht="13" x14ac:dyDescent="0.15">
      <c r="BC2931" s="72"/>
      <c r="BD2931" s="72"/>
    </row>
    <row r="2932" spans="55:56" ht="13" x14ac:dyDescent="0.15">
      <c r="BC2932" s="72"/>
      <c r="BD2932" s="72"/>
    </row>
    <row r="2933" spans="55:56" ht="13" x14ac:dyDescent="0.15">
      <c r="BC2933" s="72"/>
      <c r="BD2933" s="72"/>
    </row>
    <row r="2934" spans="55:56" ht="13" x14ac:dyDescent="0.15">
      <c r="BC2934" s="72"/>
      <c r="BD2934" s="72"/>
    </row>
    <row r="2935" spans="55:56" ht="13" x14ac:dyDescent="0.15">
      <c r="BC2935" s="72"/>
      <c r="BD2935" s="72"/>
    </row>
    <row r="2936" spans="55:56" ht="13" x14ac:dyDescent="0.15">
      <c r="BC2936" s="72"/>
      <c r="BD2936" s="72"/>
    </row>
    <row r="2937" spans="55:56" ht="13" x14ac:dyDescent="0.15">
      <c r="BC2937" s="72"/>
      <c r="BD2937" s="72"/>
    </row>
    <row r="2938" spans="55:56" ht="13" x14ac:dyDescent="0.15">
      <c r="BC2938" s="72"/>
      <c r="BD2938" s="72"/>
    </row>
    <row r="2939" spans="55:56" ht="13" x14ac:dyDescent="0.15">
      <c r="BC2939" s="72"/>
      <c r="BD2939" s="72"/>
    </row>
    <row r="2940" spans="55:56" ht="13" x14ac:dyDescent="0.15">
      <c r="BC2940" s="72"/>
      <c r="BD2940" s="72"/>
    </row>
    <row r="2941" spans="55:56" ht="13" x14ac:dyDescent="0.15">
      <c r="BC2941" s="72"/>
      <c r="BD2941" s="72"/>
    </row>
    <row r="2942" spans="55:56" ht="13" x14ac:dyDescent="0.15">
      <c r="BC2942" s="72"/>
      <c r="BD2942" s="72"/>
    </row>
    <row r="2943" spans="55:56" ht="13" x14ac:dyDescent="0.15">
      <c r="BC2943" s="72"/>
      <c r="BD2943" s="72"/>
    </row>
    <row r="2944" spans="55:56" ht="13" x14ac:dyDescent="0.15">
      <c r="BC2944" s="72"/>
      <c r="BD2944" s="72"/>
    </row>
    <row r="2945" spans="55:56" ht="13" x14ac:dyDescent="0.15">
      <c r="BC2945" s="72"/>
      <c r="BD2945" s="72"/>
    </row>
    <row r="2946" spans="55:56" ht="13" x14ac:dyDescent="0.15">
      <c r="BC2946" s="72"/>
      <c r="BD2946" s="72"/>
    </row>
    <row r="2947" spans="55:56" ht="13" x14ac:dyDescent="0.15">
      <c r="BC2947" s="72"/>
      <c r="BD2947" s="72"/>
    </row>
    <row r="2948" spans="55:56" ht="13" x14ac:dyDescent="0.15">
      <c r="BC2948" s="72"/>
      <c r="BD2948" s="72"/>
    </row>
    <row r="2949" spans="55:56" ht="13" x14ac:dyDescent="0.15">
      <c r="BC2949" s="72"/>
      <c r="BD2949" s="72"/>
    </row>
    <row r="2950" spans="55:56" ht="13" x14ac:dyDescent="0.15">
      <c r="BC2950" s="72"/>
      <c r="BD2950" s="72"/>
    </row>
    <row r="2951" spans="55:56" ht="13" x14ac:dyDescent="0.15">
      <c r="BC2951" s="72"/>
      <c r="BD2951" s="72"/>
    </row>
    <row r="2952" spans="55:56" ht="13" x14ac:dyDescent="0.15">
      <c r="BC2952" s="72"/>
      <c r="BD2952" s="72"/>
    </row>
    <row r="2953" spans="55:56" ht="13" x14ac:dyDescent="0.15">
      <c r="BC2953" s="72"/>
      <c r="BD2953" s="72"/>
    </row>
    <row r="2954" spans="55:56" ht="13" x14ac:dyDescent="0.15">
      <c r="BC2954" s="72"/>
      <c r="BD2954" s="72"/>
    </row>
    <row r="2955" spans="55:56" ht="13" x14ac:dyDescent="0.15">
      <c r="BC2955" s="72"/>
      <c r="BD2955" s="72"/>
    </row>
    <row r="2956" spans="55:56" ht="13" x14ac:dyDescent="0.15">
      <c r="BC2956" s="72"/>
      <c r="BD2956" s="72"/>
    </row>
    <row r="2957" spans="55:56" ht="13" x14ac:dyDescent="0.15">
      <c r="BC2957" s="72"/>
      <c r="BD2957" s="72"/>
    </row>
    <row r="2958" spans="55:56" ht="13" x14ac:dyDescent="0.15">
      <c r="BC2958" s="72"/>
      <c r="BD2958" s="72"/>
    </row>
    <row r="2959" spans="55:56" ht="13" x14ac:dyDescent="0.15">
      <c r="BC2959" s="72"/>
      <c r="BD2959" s="72"/>
    </row>
    <row r="2960" spans="55:56" ht="13" x14ac:dyDescent="0.15">
      <c r="BC2960" s="72"/>
      <c r="BD2960" s="72"/>
    </row>
    <row r="2961" spans="55:56" ht="13" x14ac:dyDescent="0.15">
      <c r="BC2961" s="72"/>
      <c r="BD2961" s="72"/>
    </row>
    <row r="2962" spans="55:56" ht="13" x14ac:dyDescent="0.15">
      <c r="BC2962" s="72"/>
      <c r="BD2962" s="72"/>
    </row>
    <row r="2963" spans="55:56" ht="13" x14ac:dyDescent="0.15">
      <c r="BC2963" s="72"/>
      <c r="BD2963" s="72"/>
    </row>
    <row r="2964" spans="55:56" ht="13" x14ac:dyDescent="0.15">
      <c r="BC2964" s="72"/>
      <c r="BD2964" s="72"/>
    </row>
    <row r="2965" spans="55:56" ht="13" x14ac:dyDescent="0.15">
      <c r="BC2965" s="72"/>
      <c r="BD2965" s="72"/>
    </row>
  </sheetData>
  <phoneticPr fontId="12" type="noConversion"/>
  <hyperlinks>
    <hyperlink ref="AV2" r:id="rId1" xr:uid="{00000000-0004-0000-0000-000000000000}"/>
  </hyperlinks>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Kleinsmann, Jasper (ICRAF)</cp:lastModifiedBy>
  <dcterms:modified xsi:type="dcterms:W3CDTF">2025-02-11T15:30:27Z</dcterms:modified>
</cp:coreProperties>
</file>