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729" activeTab="3"/>
  </bookViews>
  <sheets>
    <sheet name="RA" sheetId="1" r:id="rId1"/>
    <sheet name="VA" sheetId="2" r:id="rId2"/>
    <sheet name="planA" sheetId="3" r:id="rId3"/>
    <sheet name="planD" sheetId="7" r:id="rId4"/>
    <sheet name="circle" sheetId="8" r:id="rId5"/>
    <sheet name="loan" sheetId="9" r:id="rId6"/>
    <sheet name="lefu" sheetId="10" r:id="rId7"/>
    <sheet name="pin" sheetId="11" r:id="rId8"/>
    <sheet name="addc" sheetId="12" r:id="rId9"/>
    <sheet name="bx" sheetId="13" r:id="rId10"/>
    <sheet name="capital" sheetId="14" r:id="rId11"/>
  </sheets>
  <definedNames>
    <definedName name="_xlnm._FilterDatabase" localSheetId="6" hidden="1">lefu!$A$1:$S$21</definedName>
    <definedName name="_FilterDatabase_0" localSheetId="6">lefu!$A$1:$S$21</definedName>
  </definedNames>
  <calcPr calcId="144525"/>
</workbook>
</file>

<file path=xl/sharedStrings.xml><?xml version="1.0" encoding="utf-8"?>
<sst xmlns="http://schemas.openxmlformats.org/spreadsheetml/2006/main" count="526">
  <si>
    <t>序号</t>
  </si>
  <si>
    <t>账户用途</t>
  </si>
  <si>
    <t>开户行</t>
  </si>
  <si>
    <t>账户名称</t>
  </si>
  <si>
    <t>账户号</t>
  </si>
  <si>
    <t>用户名</t>
  </si>
  <si>
    <t>有效日期</t>
  </si>
  <si>
    <t>信用卡固额</t>
  </si>
  <si>
    <t>信用卡临额</t>
  </si>
  <si>
    <t>临额到期日</t>
  </si>
  <si>
    <t>余额</t>
  </si>
  <si>
    <t>当月账单额</t>
  </si>
  <si>
    <t>剩余可用额度</t>
  </si>
  <si>
    <t>取款计划</t>
  </si>
  <si>
    <t>账单日</t>
  </si>
  <si>
    <t>还款日</t>
  </si>
  <si>
    <t>取款密码</t>
  </si>
  <si>
    <t>查询密码</t>
  </si>
  <si>
    <t>手银密码</t>
  </si>
  <si>
    <t>电话密码</t>
  </si>
  <si>
    <t>网银密码</t>
  </si>
  <si>
    <t>其他密码</t>
  </si>
  <si>
    <r>
      <rPr>
        <sz val="10"/>
        <color rgb="FF000000"/>
        <rFont val="思源黑体 CN Regular"/>
        <charset val="1"/>
      </rPr>
      <t>其他密码</t>
    </r>
    <r>
      <rPr>
        <sz val="10"/>
        <color rgb="FF000000"/>
        <rFont val="宋体"/>
        <charset val="134"/>
      </rPr>
      <t>2</t>
    </r>
  </si>
  <si>
    <t>第三方绑定</t>
  </si>
  <si>
    <t>储蓄卡</t>
  </si>
  <si>
    <t>浦发银行</t>
  </si>
  <si>
    <t>浦发借记卡</t>
  </si>
  <si>
    <t>6217921004099753</t>
  </si>
  <si>
    <t>muminpf</t>
  </si>
  <si>
    <t>12/24</t>
  </si>
  <si>
    <t>信用卡</t>
  </si>
  <si>
    <t>浦发信用卡</t>
  </si>
  <si>
    <t>6259580001215587</t>
  </si>
  <si>
    <t>07/24</t>
  </si>
  <si>
    <t>581</t>
  </si>
  <si>
    <t>5</t>
  </si>
  <si>
    <t>mmzwpf8</t>
  </si>
  <si>
    <t>8</t>
  </si>
  <si>
    <t>中信银行</t>
  </si>
  <si>
    <t>中信借记卡</t>
  </si>
  <si>
    <t>6217714300436880</t>
  </si>
  <si>
    <t>12/25</t>
  </si>
  <si>
    <t>mmzx8</t>
  </si>
  <si>
    <t>6217730903631198</t>
  </si>
  <si>
    <t>muminzx</t>
  </si>
  <si>
    <t>11/24</t>
  </si>
  <si>
    <t>073</t>
  </si>
  <si>
    <t>mmzwzx8</t>
  </si>
  <si>
    <r>
      <rPr>
        <sz val="10"/>
        <color rgb="FF000000"/>
        <rFont val="宋体"/>
        <charset val="134"/>
      </rPr>
      <t>U</t>
    </r>
    <r>
      <rPr>
        <sz val="10"/>
        <color rgb="FF000000"/>
        <rFont val="思源黑体 CN Regular"/>
        <charset val="1"/>
      </rPr>
      <t>盾</t>
    </r>
    <r>
      <rPr>
        <sz val="10"/>
        <color rgb="FF000000"/>
        <rFont val="宋体"/>
        <charset val="134"/>
      </rPr>
      <t>123456</t>
    </r>
  </si>
  <si>
    <t>公积金贷</t>
  </si>
  <si>
    <t>中信信用卡</t>
  </si>
  <si>
    <t>6226880082011768</t>
  </si>
  <si>
    <t>05/21</t>
  </si>
  <si>
    <t>410</t>
  </si>
  <si>
    <t>广州银行</t>
  </si>
  <si>
    <t>广州借记卡</t>
  </si>
  <si>
    <t>6214633131049918104</t>
  </si>
  <si>
    <t>11/26</t>
  </si>
  <si>
    <t>421</t>
  </si>
  <si>
    <t>广州信用卡</t>
  </si>
  <si>
    <t>6228751680196814</t>
  </si>
  <si>
    <t>06/24</t>
  </si>
  <si>
    <t>036</t>
  </si>
  <si>
    <t>mmzwgz8</t>
  </si>
  <si>
    <t>民生银行</t>
  </si>
  <si>
    <t>民生借记卡</t>
  </si>
  <si>
    <t>6216910306777720</t>
  </si>
  <si>
    <t>muminms</t>
  </si>
  <si>
    <t>04/26</t>
  </si>
  <si>
    <t>mmzwms8</t>
  </si>
  <si>
    <t>民生信用卡</t>
  </si>
  <si>
    <t>5124669965833256</t>
  </si>
  <si>
    <t>06/21</t>
  </si>
  <si>
    <t>兴业银行</t>
  </si>
  <si>
    <t>兴业借记卡</t>
  </si>
  <si>
    <t>622908391558485519</t>
  </si>
  <si>
    <t>04/24</t>
  </si>
  <si>
    <t>兴业信用卡</t>
  </si>
  <si>
    <t>6229220271787109</t>
  </si>
  <si>
    <t>03/22</t>
  </si>
  <si>
    <t>807</t>
  </si>
  <si>
    <t>mmzwxy8</t>
  </si>
  <si>
    <r>
      <rPr>
        <sz val="10"/>
        <color rgb="FF000000"/>
        <rFont val="思源黑体 CN Regular"/>
        <charset val="1"/>
      </rPr>
      <t>兴业信用卡</t>
    </r>
    <r>
      <rPr>
        <sz val="10"/>
        <color rgb="FF000000"/>
        <rFont val="宋体"/>
        <charset val="134"/>
      </rPr>
      <t>2</t>
    </r>
  </si>
  <si>
    <t>6259618697548109</t>
  </si>
  <si>
    <t>07/22</t>
  </si>
  <si>
    <t>083</t>
  </si>
  <si>
    <t>工资卡</t>
  </si>
  <si>
    <t>广发银行</t>
  </si>
  <si>
    <r>
      <rPr>
        <sz val="10"/>
        <color rgb="FF000000"/>
        <rFont val="思源黑体 CN Regular"/>
        <charset val="1"/>
      </rPr>
      <t>广发借记卡</t>
    </r>
    <r>
      <rPr>
        <sz val="10"/>
        <color rgb="FF000000"/>
        <rFont val="宋体"/>
        <charset val="134"/>
      </rPr>
      <t>1</t>
    </r>
  </si>
  <si>
    <t>6225680121000164945</t>
  </si>
  <si>
    <t>mumingdb</t>
  </si>
  <si>
    <t>m</t>
  </si>
  <si>
    <t>广发证券</t>
  </si>
  <si>
    <t>房贷卡</t>
  </si>
  <si>
    <r>
      <rPr>
        <sz val="10"/>
        <color rgb="FF000000"/>
        <rFont val="思源黑体 CN Regular"/>
        <charset val="1"/>
      </rPr>
      <t>广发借记卡</t>
    </r>
    <r>
      <rPr>
        <sz val="10"/>
        <color rgb="FF000000"/>
        <rFont val="宋体"/>
        <charset val="134"/>
      </rPr>
      <t>2</t>
    </r>
  </si>
  <si>
    <t>6225681021001444057</t>
  </si>
  <si>
    <t>自信贷</t>
  </si>
  <si>
    <r>
      <rPr>
        <sz val="10"/>
        <color rgb="FF000000"/>
        <rFont val="思源黑体 CN Regular"/>
        <charset val="1"/>
      </rPr>
      <t>广发借记卡</t>
    </r>
    <r>
      <rPr>
        <sz val="10"/>
        <color rgb="FF000000"/>
        <rFont val="宋体"/>
        <charset val="134"/>
      </rPr>
      <t>3</t>
    </r>
  </si>
  <si>
    <t>6214621043000013698</t>
  </si>
  <si>
    <t>01/26</t>
  </si>
  <si>
    <t>广发信用卡</t>
  </si>
  <si>
    <t>4870131645686330</t>
  </si>
  <si>
    <t>建设银行</t>
  </si>
  <si>
    <t>建设借记卡</t>
  </si>
  <si>
    <t>6236683110002986599</t>
  </si>
  <si>
    <t>muminjs</t>
  </si>
  <si>
    <t>60/26</t>
  </si>
  <si>
    <t>建设信用卡</t>
  </si>
  <si>
    <t>6259661800925285</t>
  </si>
  <si>
    <t>03/25</t>
  </si>
  <si>
    <t>544</t>
  </si>
  <si>
    <t>mmjs8</t>
  </si>
  <si>
    <t>4835910062620706</t>
  </si>
  <si>
    <t>843</t>
  </si>
  <si>
    <t>6253624180128074</t>
  </si>
  <si>
    <t>08/23</t>
  </si>
  <si>
    <t>平安银行</t>
  </si>
  <si>
    <t>平安借记卡</t>
  </si>
  <si>
    <t>6230580000084830806</t>
  </si>
  <si>
    <t>muminpa</t>
  </si>
  <si>
    <t>mmzwpa8</t>
  </si>
  <si>
    <t>熊猫金库、京都贷、新网银行、公众理财、和运筹、虹金所</t>
  </si>
  <si>
    <t>平安信用卡</t>
  </si>
  <si>
    <t>6253610000033735</t>
  </si>
  <si>
    <t>08/21</t>
  </si>
  <si>
    <t>426</t>
  </si>
  <si>
    <t>万里通密码</t>
  </si>
  <si>
    <t>mmzwwlt8</t>
  </si>
  <si>
    <t>招商银行</t>
  </si>
  <si>
    <t>招商借记卡</t>
  </si>
  <si>
    <t>6214832009546289</t>
  </si>
  <si>
    <t>muminzs</t>
  </si>
  <si>
    <t>03/26</t>
  </si>
  <si>
    <t>mm8</t>
  </si>
  <si>
    <t>拍拍贷</t>
  </si>
  <si>
    <t>6214851203526806</t>
  </si>
  <si>
    <t>01/27</t>
  </si>
  <si>
    <t>429</t>
  </si>
  <si>
    <t>招商信用卡</t>
  </si>
  <si>
    <t>6225758107582420</t>
  </si>
  <si>
    <t>110</t>
  </si>
  <si>
    <t>生活费卡</t>
  </si>
  <si>
    <t>工商银行</t>
  </si>
  <si>
    <r>
      <rPr>
        <sz val="10"/>
        <color rgb="FF000000"/>
        <rFont val="思源黑体 CN Regular"/>
        <charset val="1"/>
      </rPr>
      <t>工行借记卡</t>
    </r>
    <r>
      <rPr>
        <sz val="10"/>
        <color rgb="FF000000"/>
        <rFont val="宋体"/>
        <charset val="134"/>
      </rPr>
      <t>1</t>
    </r>
  </si>
  <si>
    <t>6222023602060254208</t>
  </si>
  <si>
    <t>公积金卡</t>
  </si>
  <si>
    <r>
      <rPr>
        <sz val="10"/>
        <color rgb="FF000000"/>
        <rFont val="思源黑体 CN Regular"/>
        <charset val="1"/>
      </rPr>
      <t>工行借记卡</t>
    </r>
    <r>
      <rPr>
        <sz val="10"/>
        <color rgb="FF000000"/>
        <rFont val="宋体"/>
        <charset val="134"/>
      </rPr>
      <t>2</t>
    </r>
  </si>
  <si>
    <t>6222023602063190094</t>
  </si>
  <si>
    <t>mmzwgs8</t>
  </si>
  <si>
    <t>工行信用卡</t>
  </si>
  <si>
    <t>6225970050567601</t>
  </si>
  <si>
    <t>246</t>
  </si>
  <si>
    <t>农业银行</t>
  </si>
  <si>
    <t>农行借记卡</t>
  </si>
  <si>
    <t>6228481469153077678</t>
  </si>
  <si>
    <r>
      <rPr>
        <sz val="10"/>
        <color rgb="FF000000"/>
        <rFont val="宋体"/>
        <charset val="134"/>
      </rPr>
      <t>K</t>
    </r>
    <r>
      <rPr>
        <sz val="10"/>
        <color rgb="FF000000"/>
        <rFont val="思源黑体 CN Regular"/>
        <charset val="1"/>
      </rPr>
      <t>宝密码</t>
    </r>
  </si>
  <si>
    <t>光大银行</t>
  </si>
  <si>
    <t>光大借记卡</t>
  </si>
  <si>
    <t>6214921204831396</t>
  </si>
  <si>
    <t>12/26</t>
  </si>
  <si>
    <t>mmzwgd8</t>
  </si>
  <si>
    <t>渤海银行</t>
  </si>
  <si>
    <t>渤海借记卡</t>
  </si>
  <si>
    <t>6214537575015474</t>
  </si>
  <si>
    <t>837</t>
  </si>
  <si>
    <t>渤海信用卡</t>
  </si>
  <si>
    <t>6251220695342540</t>
  </si>
  <si>
    <t>07/20</t>
  </si>
  <si>
    <t>105</t>
  </si>
  <si>
    <r>
      <rPr>
        <sz val="10"/>
        <color rgb="FF000000"/>
        <rFont val="思源黑体 CN Regular"/>
        <charset val="1"/>
      </rPr>
      <t>固定收支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思源黑体 CN Regular"/>
        <charset val="1"/>
      </rPr>
      <t>年</t>
    </r>
  </si>
  <si>
    <r>
      <rPr>
        <sz val="10"/>
        <color rgb="FF000000"/>
        <rFont val="思源黑体 CN Regular"/>
        <charset val="1"/>
      </rPr>
      <t>固定收支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思源黑体 CN Regular"/>
        <charset val="1"/>
      </rPr>
      <t>月</t>
    </r>
  </si>
  <si>
    <r>
      <rPr>
        <sz val="10"/>
        <color rgb="FF000000"/>
        <rFont val="思源黑体 CN Regular"/>
        <charset val="1"/>
      </rPr>
      <t>固定收支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思源黑体 CN Regular"/>
        <charset val="1"/>
      </rPr>
      <t>日</t>
    </r>
  </si>
  <si>
    <t>固定收支金额</t>
  </si>
  <si>
    <t>固定收支起始日期</t>
  </si>
  <si>
    <t>固定收支终止日期</t>
  </si>
  <si>
    <t>固定收支对方账户</t>
  </si>
  <si>
    <t>现金</t>
  </si>
  <si>
    <t>广发工资</t>
  </si>
  <si>
    <t>广发年终奖</t>
  </si>
  <si>
    <t>广发报销</t>
  </si>
  <si>
    <t>汇龙居房租</t>
  </si>
  <si>
    <t>广发自信贷</t>
  </si>
  <si>
    <t>金融城房贷</t>
  </si>
  <si>
    <t>中信信用贷</t>
  </si>
  <si>
    <t>住房公积金</t>
  </si>
  <si>
    <t>还信用卡</t>
  </si>
  <si>
    <t>取钱</t>
  </si>
  <si>
    <t>花钱</t>
  </si>
  <si>
    <t>学位房装修</t>
  </si>
  <si>
    <t>学位房房租</t>
  </si>
  <si>
    <t>额度</t>
  </si>
  <si>
    <t>上限</t>
  </si>
  <si>
    <t>下限</t>
  </si>
  <si>
    <t>分期额</t>
  </si>
  <si>
    <t>分期费率</t>
  </si>
  <si>
    <t>分期手续费</t>
  </si>
  <si>
    <t>分期数</t>
  </si>
  <si>
    <t>分期日期</t>
  </si>
  <si>
    <t>已还期数</t>
  </si>
  <si>
    <t>分期占款</t>
  </si>
  <si>
    <t>取款</t>
  </si>
  <si>
    <t>取款比例</t>
  </si>
  <si>
    <t>每笔限额</t>
  </si>
  <si>
    <t>每日限额</t>
  </si>
  <si>
    <t>取款日</t>
  </si>
  <si>
    <t>本月计划借款</t>
  </si>
  <si>
    <t>本月应还</t>
  </si>
  <si>
    <t>上月借款</t>
  </si>
  <si>
    <t>分期还款</t>
  </si>
  <si>
    <t>日期</t>
  </si>
  <si>
    <t>星期</t>
  </si>
  <si>
    <r>
      <rPr>
        <sz val="10"/>
        <color rgb="FF000000"/>
        <rFont val="思源黑体 CN Regular"/>
        <charset val="1"/>
      </rPr>
      <t>还款额</t>
    </r>
    <r>
      <rPr>
        <sz val="10"/>
        <color rgb="FF000000"/>
        <rFont val="宋体"/>
        <charset val="134"/>
      </rPr>
      <t>1</t>
    </r>
  </si>
  <si>
    <r>
      <rPr>
        <sz val="10"/>
        <color rgb="FF000000"/>
        <rFont val="思源黑体 CN Regular"/>
        <charset val="1"/>
      </rPr>
      <t>还款户</t>
    </r>
    <r>
      <rPr>
        <sz val="10"/>
        <color rgb="FF000000"/>
        <rFont val="宋体"/>
        <charset val="134"/>
      </rPr>
      <t>1</t>
    </r>
  </si>
  <si>
    <r>
      <rPr>
        <sz val="10"/>
        <color rgb="FF000000"/>
        <rFont val="思源黑体 CN Regular"/>
        <charset val="1"/>
      </rPr>
      <t>还款额</t>
    </r>
    <r>
      <rPr>
        <sz val="10"/>
        <color rgb="FF000000"/>
        <rFont val="宋体"/>
        <charset val="134"/>
      </rPr>
      <t>2</t>
    </r>
  </si>
  <si>
    <r>
      <rPr>
        <sz val="10"/>
        <color rgb="FF000000"/>
        <rFont val="思源黑体 CN Regular"/>
        <charset val="1"/>
      </rPr>
      <t>还款户</t>
    </r>
    <r>
      <rPr>
        <sz val="10"/>
        <color rgb="FF000000"/>
        <rFont val="宋体"/>
        <charset val="134"/>
      </rPr>
      <t>2</t>
    </r>
  </si>
  <si>
    <r>
      <rPr>
        <sz val="10"/>
        <color rgb="FF000000"/>
        <rFont val="思源黑体 CN Regular"/>
        <charset val="1"/>
      </rPr>
      <t>还款额</t>
    </r>
    <r>
      <rPr>
        <sz val="10"/>
        <color rgb="FF000000"/>
        <rFont val="宋体"/>
        <charset val="134"/>
      </rPr>
      <t>3</t>
    </r>
  </si>
  <si>
    <r>
      <rPr>
        <sz val="10"/>
        <color rgb="FF000000"/>
        <rFont val="思源黑体 CN Regular"/>
        <charset val="1"/>
      </rPr>
      <t>还款户</t>
    </r>
    <r>
      <rPr>
        <sz val="10"/>
        <color rgb="FF000000"/>
        <rFont val="宋体"/>
        <charset val="134"/>
      </rPr>
      <t>3</t>
    </r>
  </si>
  <si>
    <r>
      <rPr>
        <sz val="10"/>
        <color rgb="FF000000"/>
        <rFont val="思源黑体 CN Regular"/>
        <charset val="1"/>
      </rPr>
      <t>借款额</t>
    </r>
    <r>
      <rPr>
        <sz val="10"/>
        <color rgb="FF000000"/>
        <rFont val="宋体"/>
        <charset val="134"/>
      </rPr>
      <t>1</t>
    </r>
  </si>
  <si>
    <r>
      <rPr>
        <sz val="10"/>
        <color rgb="FF000000"/>
        <rFont val="思源黑体 CN Regular"/>
        <charset val="1"/>
      </rPr>
      <t>借款户</t>
    </r>
    <r>
      <rPr>
        <sz val="10"/>
        <color rgb="FF000000"/>
        <rFont val="宋体"/>
        <charset val="134"/>
      </rPr>
      <t>1</t>
    </r>
  </si>
  <si>
    <r>
      <rPr>
        <sz val="10"/>
        <color rgb="FF000000"/>
        <rFont val="思源黑体 CN Regular"/>
        <charset val="1"/>
      </rPr>
      <t>借款额</t>
    </r>
    <r>
      <rPr>
        <sz val="10"/>
        <color rgb="FF000000"/>
        <rFont val="宋体"/>
        <charset val="134"/>
      </rPr>
      <t>2</t>
    </r>
  </si>
  <si>
    <r>
      <rPr>
        <sz val="10"/>
        <color rgb="FF000000"/>
        <rFont val="思源黑体 CN Regular"/>
        <charset val="1"/>
      </rPr>
      <t>借款户</t>
    </r>
    <r>
      <rPr>
        <sz val="10"/>
        <color rgb="FF000000"/>
        <rFont val="宋体"/>
        <charset val="134"/>
      </rPr>
      <t>2</t>
    </r>
  </si>
  <si>
    <r>
      <rPr>
        <sz val="10"/>
        <color rgb="FF000000"/>
        <rFont val="思源黑体 CN Regular"/>
        <charset val="1"/>
      </rPr>
      <t>借款额</t>
    </r>
    <r>
      <rPr>
        <sz val="10"/>
        <color rgb="FF000000"/>
        <rFont val="宋体"/>
        <charset val="134"/>
      </rPr>
      <t>3</t>
    </r>
  </si>
  <si>
    <r>
      <rPr>
        <sz val="10"/>
        <color rgb="FF000000"/>
        <rFont val="思源黑体 CN Regular"/>
        <charset val="1"/>
      </rPr>
      <t>借款户</t>
    </r>
    <r>
      <rPr>
        <sz val="10"/>
        <color rgb="FF000000"/>
        <rFont val="宋体"/>
        <charset val="134"/>
      </rPr>
      <t>3</t>
    </r>
  </si>
  <si>
    <t>还款小计</t>
  </si>
  <si>
    <t>到款小计</t>
  </si>
  <si>
    <t>操作计划</t>
  </si>
  <si>
    <t>张薇赞助</t>
  </si>
  <si>
    <t>广发工资卡</t>
  </si>
  <si>
    <t>huaxiao</t>
  </si>
  <si>
    <r>
      <rPr>
        <sz val="10"/>
        <color rgb="FF000000"/>
        <rFont val="思源黑体 CN Regular"/>
        <charset val="1"/>
      </rPr>
      <t>熊猫存</t>
    </r>
    <r>
      <rPr>
        <sz val="10"/>
        <color rgb="FF000000"/>
        <rFont val="宋体"/>
        <charset val="134"/>
      </rPr>
      <t>7W</t>
    </r>
  </si>
  <si>
    <r>
      <rPr>
        <sz val="10"/>
        <color rgb="FF000000"/>
        <rFont val="思源黑体 CN Regular"/>
        <charset val="1"/>
      </rPr>
      <t>熊猫存</t>
    </r>
    <r>
      <rPr>
        <sz val="10"/>
        <color rgb="FF000000"/>
        <rFont val="宋体"/>
        <charset val="134"/>
      </rPr>
      <t>3W</t>
    </r>
  </si>
  <si>
    <r>
      <rPr>
        <sz val="10"/>
        <color rgb="FF000000"/>
        <rFont val="思源黑体 CN Regular"/>
        <charset val="1"/>
      </rPr>
      <t>熊猫存</t>
    </r>
    <r>
      <rPr>
        <sz val="10"/>
        <color rgb="FF000000"/>
        <rFont val="宋体"/>
        <charset val="134"/>
      </rPr>
      <t>0.5W</t>
    </r>
  </si>
  <si>
    <r>
      <rPr>
        <sz val="10"/>
        <color rgb="FF000000"/>
        <rFont val="思源黑体 CN Regular"/>
        <charset val="1"/>
      </rPr>
      <t>熊猫取</t>
    </r>
    <r>
      <rPr>
        <sz val="10"/>
        <color rgb="FF000000"/>
        <rFont val="宋体"/>
        <charset val="134"/>
      </rPr>
      <t>4.5W</t>
    </r>
  </si>
  <si>
    <r>
      <rPr>
        <sz val="10"/>
        <color rgb="FF000000"/>
        <rFont val="思源黑体 CN Regular"/>
        <charset val="1"/>
      </rPr>
      <t>熊猫取</t>
    </r>
    <r>
      <rPr>
        <sz val="10"/>
        <color rgb="FF000000"/>
        <rFont val="宋体"/>
        <charset val="134"/>
      </rPr>
      <t>3.5W</t>
    </r>
  </si>
  <si>
    <r>
      <rPr>
        <sz val="10"/>
        <color rgb="FF000000"/>
        <rFont val="思源黑体 CN Regular"/>
        <charset val="1"/>
      </rPr>
      <t>熊猫取</t>
    </r>
    <r>
      <rPr>
        <sz val="10"/>
        <color rgb="FF000000"/>
        <rFont val="宋体"/>
        <charset val="134"/>
      </rPr>
      <t>5W</t>
    </r>
  </si>
  <si>
    <r>
      <rPr>
        <sz val="10"/>
        <color rgb="FF000000"/>
        <rFont val="思源黑体 CN Regular"/>
        <charset val="1"/>
      </rPr>
      <t>熊猫存</t>
    </r>
    <r>
      <rPr>
        <sz val="10"/>
        <color rgb="FF000000"/>
        <rFont val="宋体"/>
        <charset val="134"/>
      </rPr>
      <t>1.5W</t>
    </r>
  </si>
  <si>
    <r>
      <rPr>
        <sz val="10"/>
        <color rgb="FF000000"/>
        <rFont val="思源黑体 CN Regular"/>
        <charset val="1"/>
      </rPr>
      <t>熊猫取</t>
    </r>
    <r>
      <rPr>
        <sz val="10"/>
        <color rgb="FF000000"/>
        <rFont val="宋体"/>
        <charset val="134"/>
      </rPr>
      <t>1W</t>
    </r>
  </si>
  <si>
    <r>
      <rPr>
        <sz val="10"/>
        <color rgb="FF000000"/>
        <rFont val="思源黑体 CN Regular"/>
        <charset val="1"/>
      </rPr>
      <t>熊猫存</t>
    </r>
    <r>
      <rPr>
        <sz val="10"/>
        <color rgb="FF000000"/>
        <rFont val="宋体"/>
        <charset val="134"/>
      </rPr>
      <t>4W</t>
    </r>
  </si>
  <si>
    <r>
      <rPr>
        <sz val="10"/>
        <color rgb="FF000000"/>
        <rFont val="思源黑体 CN Regular"/>
        <charset val="1"/>
      </rPr>
      <t>熊猫取</t>
    </r>
    <r>
      <rPr>
        <sz val="10"/>
        <color rgb="FF000000"/>
        <rFont val="宋体"/>
        <charset val="134"/>
      </rPr>
      <t>4W</t>
    </r>
  </si>
  <si>
    <t>熊猫存1W</t>
  </si>
  <si>
    <r>
      <rPr>
        <sz val="10"/>
        <color rgb="FF000000"/>
        <rFont val="思源黑体 CN Regular"/>
        <charset val="1"/>
      </rPr>
      <t>熊猫取3</t>
    </r>
    <r>
      <rPr>
        <sz val="10"/>
        <color rgb="FF000000"/>
        <rFont val="宋体"/>
        <charset val="1"/>
      </rPr>
      <t>W</t>
    </r>
  </si>
  <si>
    <r>
      <rPr>
        <sz val="10"/>
        <color rgb="FF000000"/>
        <rFont val="思源黑体 CN Regular"/>
        <charset val="1"/>
      </rPr>
      <t>熊猫取5</t>
    </r>
    <r>
      <rPr>
        <sz val="10"/>
        <color rgb="FF000000"/>
        <rFont val="宋体"/>
        <charset val="1"/>
      </rPr>
      <t>W</t>
    </r>
  </si>
  <si>
    <r>
      <rPr>
        <sz val="10"/>
        <color rgb="FF000000"/>
        <rFont val="思源黑体 CN Regular"/>
        <charset val="1"/>
      </rPr>
      <t>熊猫存5</t>
    </r>
    <r>
      <rPr>
        <sz val="10"/>
        <color rgb="FF000000"/>
        <rFont val="宋体"/>
        <charset val="1"/>
      </rPr>
      <t>W</t>
    </r>
  </si>
  <si>
    <r>
      <rPr>
        <sz val="10"/>
        <color rgb="FF000000"/>
        <rFont val="思源黑体 CN Regular"/>
        <charset val="1"/>
      </rPr>
      <t>熊猫存4</t>
    </r>
    <r>
      <rPr>
        <sz val="10"/>
        <color rgb="FF000000"/>
        <rFont val="宋体"/>
        <charset val="1"/>
      </rPr>
      <t>W</t>
    </r>
  </si>
  <si>
    <t>京都贷</t>
  </si>
  <si>
    <t>公众理财</t>
  </si>
  <si>
    <t>和运筹</t>
  </si>
  <si>
    <t>网行金融</t>
  </si>
  <si>
    <t>拍拍贷神器</t>
  </si>
  <si>
    <t>东方车贷</t>
  </si>
  <si>
    <t>渤海</t>
  </si>
  <si>
    <t>浦发</t>
  </si>
  <si>
    <t>中信</t>
  </si>
  <si>
    <t>广州</t>
  </si>
  <si>
    <t>民生</t>
  </si>
  <si>
    <t>兴业</t>
  </si>
  <si>
    <t>工行</t>
  </si>
  <si>
    <t>广发</t>
  </si>
  <si>
    <t>招商</t>
  </si>
  <si>
    <t>平安</t>
  </si>
  <si>
    <t>建设</t>
  </si>
  <si>
    <t>gf</t>
  </si>
  <si>
    <t>zx</t>
  </si>
  <si>
    <t>曾</t>
  </si>
  <si>
    <t>MCC</t>
  </si>
  <si>
    <t>商户名</t>
  </si>
  <si>
    <t>商户编号</t>
  </si>
  <si>
    <t>费率</t>
  </si>
  <si>
    <t>收款人</t>
  </si>
  <si>
    <t>销售</t>
  </si>
  <si>
    <t>联系手机</t>
  </si>
  <si>
    <t>账号</t>
  </si>
  <si>
    <t>身份证号码</t>
  </si>
  <si>
    <t>身份证地址</t>
  </si>
  <si>
    <t>省</t>
  </si>
  <si>
    <t>市</t>
  </si>
  <si>
    <t>经营场所</t>
  </si>
  <si>
    <r>
      <rPr>
        <sz val="11"/>
        <color rgb="FF000000"/>
        <rFont val="思源黑体 CN Regular"/>
        <charset val="1"/>
      </rPr>
      <t>联系</t>
    </r>
    <r>
      <rPr>
        <sz val="11"/>
        <color rgb="FF000000"/>
        <rFont val="宋体"/>
        <charset val="134"/>
      </rPr>
      <t>QQ</t>
    </r>
  </si>
  <si>
    <t>正面</t>
  </si>
  <si>
    <t>反面</t>
  </si>
  <si>
    <t>结算卡</t>
  </si>
  <si>
    <t>手持</t>
  </si>
  <si>
    <t>5722</t>
  </si>
  <si>
    <t>广州市三好电器城</t>
  </si>
  <si>
    <t>8626118877</t>
  </si>
  <si>
    <t>0.38</t>
  </si>
  <si>
    <t>穆民</t>
  </si>
  <si>
    <t>13450486486</t>
  </si>
  <si>
    <t>农行</t>
  </si>
  <si>
    <t>210702198112131213</t>
  </si>
  <si>
    <r>
      <rPr>
        <sz val="11"/>
        <color rgb="FF000000"/>
        <rFont val="思源黑体 CN Regular"/>
        <charset val="1"/>
      </rPr>
      <t>广州市越秀区东风东路</t>
    </r>
    <r>
      <rPr>
        <sz val="11"/>
        <color rgb="FF000000"/>
        <rFont val="宋体"/>
        <charset val="134"/>
      </rPr>
      <t>713</t>
    </r>
    <r>
      <rPr>
        <sz val="11"/>
        <color rgb="FF000000"/>
        <rFont val="思源黑体 CN Regular"/>
        <charset val="1"/>
      </rPr>
      <t>号</t>
    </r>
  </si>
  <si>
    <t>广东</t>
  </si>
  <si>
    <t>广州市</t>
  </si>
  <si>
    <r>
      <rPr>
        <sz val="11"/>
        <color rgb="FF000000"/>
        <rFont val="思源黑体 CN Regular"/>
        <charset val="1"/>
      </rPr>
      <t>广州市沿江中路</t>
    </r>
    <r>
      <rPr>
        <sz val="11"/>
        <color rgb="FF000000"/>
        <rFont val="宋体"/>
        <charset val="134"/>
      </rPr>
      <t>55</t>
    </r>
    <r>
      <rPr>
        <sz val="11"/>
        <color rgb="FF000000"/>
        <rFont val="思源黑体 CN Regular"/>
        <charset val="1"/>
      </rPr>
      <t>号</t>
    </r>
  </si>
  <si>
    <t>49722079</t>
  </si>
  <si>
    <t>mm1</t>
  </si>
  <si>
    <t>mm2</t>
  </si>
  <si>
    <t>mmyh1</t>
  </si>
  <si>
    <t>mm3</t>
  </si>
  <si>
    <t>广州市易乐电器城</t>
  </si>
  <si>
    <t>8626158803</t>
  </si>
  <si>
    <r>
      <rPr>
        <sz val="11"/>
        <color rgb="FF000000"/>
        <rFont val="思源黑体 CN Regular"/>
        <charset val="1"/>
      </rPr>
      <t>广州市文德路</t>
    </r>
    <r>
      <rPr>
        <sz val="11"/>
        <color rgb="FF000000"/>
        <rFont val="宋体"/>
        <charset val="134"/>
      </rPr>
      <t>122</t>
    </r>
    <r>
      <rPr>
        <sz val="11"/>
        <color rgb="FF000000"/>
        <rFont val="思源黑体 CN Regular"/>
        <charset val="1"/>
      </rPr>
      <t>号</t>
    </r>
  </si>
  <si>
    <t>5072</t>
  </si>
  <si>
    <t>广州市家胜五金批发部</t>
  </si>
  <si>
    <t>8626188807</t>
  </si>
  <si>
    <t>26</t>
  </si>
  <si>
    <r>
      <rPr>
        <sz val="11"/>
        <color rgb="FF000000"/>
        <rFont val="思源黑体 CN Regular"/>
        <charset val="1"/>
      </rPr>
      <t>广州市环市东路</t>
    </r>
    <r>
      <rPr>
        <sz val="11"/>
        <color rgb="FF000000"/>
        <rFont val="宋体"/>
        <charset val="134"/>
      </rPr>
      <t>137</t>
    </r>
    <r>
      <rPr>
        <sz val="11"/>
        <color rgb="FF000000"/>
        <rFont val="思源黑体 CN Regular"/>
        <charset val="1"/>
      </rPr>
      <t>号</t>
    </r>
  </si>
  <si>
    <t>广州市原声美五金批发部</t>
  </si>
  <si>
    <t>8626108947</t>
  </si>
  <si>
    <r>
      <rPr>
        <sz val="11"/>
        <color rgb="FF000000"/>
        <rFont val="思源黑体 CN Regular"/>
        <charset val="1"/>
      </rPr>
      <t>广州市龙津东路</t>
    </r>
    <r>
      <rPr>
        <sz val="11"/>
        <color rgb="FF000000"/>
        <rFont val="宋体"/>
        <charset val="134"/>
      </rPr>
      <t>32</t>
    </r>
    <r>
      <rPr>
        <sz val="11"/>
        <color rgb="FF000000"/>
        <rFont val="思源黑体 CN Regular"/>
        <charset val="1"/>
      </rPr>
      <t>号</t>
    </r>
  </si>
  <si>
    <t>广州市真正点五金批发部</t>
  </si>
  <si>
    <t>8626128901</t>
  </si>
  <si>
    <r>
      <rPr>
        <sz val="11"/>
        <color rgb="FF000000"/>
        <rFont val="思源黑体 CN Regular"/>
        <charset val="1"/>
      </rPr>
      <t>广州市盐秀路</t>
    </r>
    <r>
      <rPr>
        <sz val="11"/>
        <color rgb="FF000000"/>
        <rFont val="宋体"/>
        <charset val="134"/>
      </rPr>
      <t>48</t>
    </r>
    <r>
      <rPr>
        <sz val="11"/>
        <color rgb="FF000000"/>
        <rFont val="思源黑体 CN Regular"/>
        <charset val="1"/>
      </rPr>
      <t>号</t>
    </r>
  </si>
  <si>
    <t>5411</t>
  </si>
  <si>
    <t>广州市日新超市</t>
  </si>
  <si>
    <t>8628196899</t>
  </si>
  <si>
    <r>
      <rPr>
        <sz val="11"/>
        <color rgb="FF000000"/>
        <rFont val="思源黑体 CN Regular"/>
        <charset val="1"/>
      </rPr>
      <t>广州市恒福路</t>
    </r>
    <r>
      <rPr>
        <sz val="11"/>
        <color rgb="FF000000"/>
        <rFont val="宋体"/>
        <charset val="134"/>
      </rPr>
      <t>110</t>
    </r>
    <r>
      <rPr>
        <sz val="11"/>
        <color rgb="FF000000"/>
        <rFont val="思源黑体 CN Regular"/>
        <charset val="1"/>
      </rPr>
      <t>号</t>
    </r>
  </si>
  <si>
    <t>mmyh2</t>
  </si>
  <si>
    <t>广州市好运来超市</t>
  </si>
  <si>
    <t>8628196805</t>
  </si>
  <si>
    <r>
      <rPr>
        <sz val="11"/>
        <color rgb="FF000000"/>
        <rFont val="思源黑体 CN Regular"/>
        <charset val="1"/>
      </rPr>
      <t>广州市兴联北路</t>
    </r>
    <r>
      <rPr>
        <sz val="11"/>
        <color rgb="FF000000"/>
        <rFont val="宋体"/>
        <charset val="134"/>
      </rPr>
      <t>94</t>
    </r>
    <r>
      <rPr>
        <sz val="11"/>
        <color rgb="FF000000"/>
        <rFont val="思源黑体 CN Regular"/>
        <charset val="1"/>
      </rPr>
      <t>号</t>
    </r>
  </si>
  <si>
    <t>广州市嘉欣超市</t>
  </si>
  <si>
    <t>8628196809</t>
  </si>
  <si>
    <r>
      <rPr>
        <sz val="11"/>
        <color rgb="FF000000"/>
        <rFont val="思源黑体 CN Regular"/>
        <charset val="1"/>
      </rPr>
      <t>广州市黄海路</t>
    </r>
    <r>
      <rPr>
        <sz val="11"/>
        <color rgb="FF000000"/>
        <rFont val="宋体"/>
        <charset val="134"/>
      </rPr>
      <t>68</t>
    </r>
    <r>
      <rPr>
        <sz val="11"/>
        <color rgb="FF000000"/>
        <rFont val="思源黑体 CN Regular"/>
        <charset val="1"/>
      </rPr>
      <t>号</t>
    </r>
  </si>
  <si>
    <t>广州市放心买超市</t>
  </si>
  <si>
    <t>8628196819</t>
  </si>
  <si>
    <r>
      <rPr>
        <sz val="11"/>
        <color rgb="FF000000"/>
        <rFont val="思源黑体 CN Regular"/>
        <charset val="1"/>
      </rPr>
      <t>广州市葵蓬路</t>
    </r>
    <r>
      <rPr>
        <sz val="11"/>
        <color rgb="FF000000"/>
        <rFont val="宋体"/>
        <charset val="134"/>
      </rPr>
      <t>24</t>
    </r>
    <r>
      <rPr>
        <sz val="11"/>
        <color rgb="FF000000"/>
        <rFont val="思源黑体 CN Regular"/>
        <charset val="1"/>
      </rPr>
      <t>号</t>
    </r>
  </si>
  <si>
    <t>广州鸿发超市</t>
  </si>
  <si>
    <t>8628196811</t>
  </si>
  <si>
    <r>
      <rPr>
        <sz val="11"/>
        <color rgb="FF000000"/>
        <rFont val="思源黑体 CN Regular"/>
        <charset val="1"/>
      </rPr>
      <t>广州市龙溪中路</t>
    </r>
    <r>
      <rPr>
        <sz val="11"/>
        <color rgb="FF000000"/>
        <rFont val="宋体"/>
        <charset val="134"/>
      </rPr>
      <t>28</t>
    </r>
    <r>
      <rPr>
        <sz val="11"/>
        <color rgb="FF000000"/>
        <rFont val="思源黑体 CN Regular"/>
        <charset val="1"/>
      </rPr>
      <t>号</t>
    </r>
  </si>
  <si>
    <t>广州市新发电器城</t>
  </si>
  <si>
    <t>8628196829</t>
  </si>
  <si>
    <r>
      <rPr>
        <sz val="11"/>
        <color rgb="FF000000"/>
        <rFont val="思源黑体 CN Regular"/>
        <charset val="1"/>
      </rPr>
      <t>广州市兴渔路</t>
    </r>
    <r>
      <rPr>
        <sz val="11"/>
        <color rgb="FF000000"/>
        <rFont val="宋体"/>
        <charset val="134"/>
      </rPr>
      <t>86</t>
    </r>
    <r>
      <rPr>
        <sz val="11"/>
        <color rgb="FF000000"/>
        <rFont val="思源黑体 CN Regular"/>
        <charset val="1"/>
      </rPr>
      <t>号</t>
    </r>
  </si>
  <si>
    <t>mmyh3</t>
  </si>
  <si>
    <t>广州市常青树电器城</t>
  </si>
  <si>
    <t>8628196843</t>
  </si>
  <si>
    <r>
      <rPr>
        <sz val="11"/>
        <color rgb="FF000000"/>
        <rFont val="思源黑体 CN Regular"/>
        <charset val="1"/>
      </rPr>
      <t>广州市波园路</t>
    </r>
    <r>
      <rPr>
        <sz val="11"/>
        <color rgb="FF000000"/>
        <rFont val="宋体"/>
        <charset val="134"/>
      </rPr>
      <t>12</t>
    </r>
    <r>
      <rPr>
        <sz val="11"/>
        <color rgb="FF000000"/>
        <rFont val="思源黑体 CN Regular"/>
        <charset val="1"/>
      </rPr>
      <t>号</t>
    </r>
  </si>
  <si>
    <t>广州市博世达电器城</t>
  </si>
  <si>
    <t>8628196847</t>
  </si>
  <si>
    <r>
      <rPr>
        <sz val="11"/>
        <color rgb="FF000000"/>
        <rFont val="思源黑体 CN Regular"/>
        <charset val="1"/>
      </rPr>
      <t>广州市玉兰路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思源黑体 CN Regular"/>
        <charset val="1"/>
      </rPr>
      <t>号</t>
    </r>
  </si>
  <si>
    <t>广州市诺基电器城</t>
  </si>
  <si>
    <t>8628106951</t>
  </si>
  <si>
    <r>
      <rPr>
        <sz val="11"/>
        <color rgb="FF000000"/>
        <rFont val="思源黑体 CN Regular"/>
        <charset val="1"/>
      </rPr>
      <t>广州市西乡三路</t>
    </r>
    <r>
      <rPr>
        <sz val="11"/>
        <color rgb="FF000000"/>
        <rFont val="宋体"/>
        <charset val="134"/>
      </rPr>
      <t>50</t>
    </r>
    <r>
      <rPr>
        <sz val="11"/>
        <color rgb="FF000000"/>
        <rFont val="思源黑体 CN Regular"/>
        <charset val="1"/>
      </rPr>
      <t>号</t>
    </r>
  </si>
  <si>
    <t>广州市神州红电器城</t>
  </si>
  <si>
    <t>8628106969</t>
  </si>
  <si>
    <r>
      <rPr>
        <sz val="11"/>
        <color rgb="FF000000"/>
        <rFont val="思源黑体 CN Regular"/>
        <charset val="1"/>
      </rPr>
      <t>广州市水荫路</t>
    </r>
    <r>
      <rPr>
        <sz val="11"/>
        <color rgb="FF000000"/>
        <rFont val="宋体"/>
        <charset val="134"/>
      </rPr>
      <t>23</t>
    </r>
    <r>
      <rPr>
        <sz val="11"/>
        <color rgb="FF000000"/>
        <rFont val="思源黑体 CN Regular"/>
        <charset val="1"/>
      </rPr>
      <t>号</t>
    </r>
  </si>
  <si>
    <t>广州市风尚五金批发部</t>
  </si>
  <si>
    <t>8628106975</t>
  </si>
  <si>
    <r>
      <rPr>
        <sz val="11"/>
        <color rgb="FF000000"/>
        <rFont val="思源黑体 CN Regular"/>
        <charset val="1"/>
      </rPr>
      <t>广州市禺东西路</t>
    </r>
    <r>
      <rPr>
        <sz val="11"/>
        <color rgb="FF000000"/>
        <rFont val="宋体"/>
        <charset val="134"/>
      </rPr>
      <t>65</t>
    </r>
    <r>
      <rPr>
        <sz val="11"/>
        <color rgb="FF000000"/>
        <rFont val="思源黑体 CN Regular"/>
        <charset val="1"/>
      </rPr>
      <t>号</t>
    </r>
  </si>
  <si>
    <t>mmyh4</t>
  </si>
  <si>
    <t>广州市富金五金批发部</t>
  </si>
  <si>
    <t>8628106979</t>
  </si>
  <si>
    <r>
      <rPr>
        <sz val="11"/>
        <color rgb="FF000000"/>
        <rFont val="思源黑体 CN Regular"/>
        <charset val="1"/>
      </rPr>
      <t>广州市濂泉路</t>
    </r>
    <r>
      <rPr>
        <sz val="11"/>
        <color rgb="FF000000"/>
        <rFont val="宋体"/>
        <charset val="134"/>
      </rPr>
      <t>34</t>
    </r>
    <r>
      <rPr>
        <sz val="11"/>
        <color rgb="FF000000"/>
        <rFont val="思源黑体 CN Regular"/>
        <charset val="1"/>
      </rPr>
      <t>号</t>
    </r>
  </si>
  <si>
    <t>广州市德顺五金批发部</t>
  </si>
  <si>
    <t>8628116917</t>
  </si>
  <si>
    <r>
      <rPr>
        <sz val="11"/>
        <color rgb="FF000000"/>
        <rFont val="思源黑体 CN Regular"/>
        <charset val="1"/>
      </rPr>
      <t>广州市蒲涧路</t>
    </r>
    <r>
      <rPr>
        <sz val="11"/>
        <color rgb="FF000000"/>
        <rFont val="宋体"/>
        <charset val="134"/>
      </rPr>
      <t>97</t>
    </r>
    <r>
      <rPr>
        <sz val="11"/>
        <color rgb="FF000000"/>
        <rFont val="思源黑体 CN Regular"/>
        <charset val="1"/>
      </rPr>
      <t>号</t>
    </r>
  </si>
  <si>
    <t>5311</t>
  </si>
  <si>
    <t>广州市福快来百货</t>
  </si>
  <si>
    <t>8628106909</t>
  </si>
  <si>
    <t>0.78</t>
  </si>
  <si>
    <r>
      <rPr>
        <sz val="11"/>
        <color rgb="FF000000"/>
        <rFont val="思源黑体 CN Regular"/>
        <charset val="1"/>
      </rPr>
      <t>广州市云山南路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思源黑体 CN Regular"/>
        <charset val="1"/>
      </rPr>
      <t>号</t>
    </r>
  </si>
  <si>
    <t>广州市好健康药店</t>
  </si>
  <si>
    <t>8628106923</t>
  </si>
  <si>
    <r>
      <rPr>
        <sz val="11"/>
        <color rgb="FF000000"/>
        <rFont val="思源黑体 CN Regular"/>
        <charset val="1"/>
      </rPr>
      <t>广州市麓苑路</t>
    </r>
    <r>
      <rPr>
        <sz val="11"/>
        <color rgb="FF000000"/>
        <rFont val="宋体"/>
        <charset val="134"/>
      </rPr>
      <t>67</t>
    </r>
    <r>
      <rPr>
        <sz val="11"/>
        <color rgb="FF000000"/>
        <rFont val="思源黑体 CN Regular"/>
        <charset val="1"/>
      </rPr>
      <t>号</t>
    </r>
  </si>
  <si>
    <t>KS8210EB1700B1700155201514</t>
  </si>
  <si>
    <t>https://v.lefu8.com/agent</t>
  </si>
  <si>
    <t>登录账号：</t>
  </si>
  <si>
    <t>13876005556</t>
  </si>
  <si>
    <t>密码：</t>
  </si>
  <si>
    <t>13579246810</t>
  </si>
  <si>
    <t>http://91yunpos.com</t>
  </si>
  <si>
    <t>云切机</t>
  </si>
  <si>
    <t>123456</t>
  </si>
  <si>
    <t>平台</t>
  </si>
  <si>
    <t>登录密码</t>
  </si>
  <si>
    <t>交易密码</t>
  </si>
  <si>
    <t>提现密码</t>
  </si>
  <si>
    <t>存管账号</t>
  </si>
  <si>
    <t>网址</t>
  </si>
  <si>
    <t>网贷天眼</t>
  </si>
  <si>
    <t>浅水无鱼</t>
  </si>
  <si>
    <r>
      <rPr>
        <sz val="11"/>
        <color rgb="FF000000"/>
        <rFont val="思源黑体 CN Regular"/>
        <charset val="1"/>
      </rPr>
      <t>融</t>
    </r>
    <r>
      <rPr>
        <sz val="11"/>
        <color rgb="FF000000"/>
        <rFont val="宋体"/>
        <charset val="134"/>
      </rPr>
      <t>360</t>
    </r>
  </si>
  <si>
    <t>芒果金融</t>
  </si>
  <si>
    <t>懒猫金服</t>
  </si>
  <si>
    <t>聚金资本</t>
  </si>
  <si>
    <t>私房钱</t>
  </si>
  <si>
    <t>银湖网</t>
  </si>
  <si>
    <t>qianshuiwuyu</t>
  </si>
  <si>
    <t>汇通天下</t>
  </si>
  <si>
    <t>熊猫金库</t>
  </si>
  <si>
    <t>钱满仓（易宝支付）</t>
  </si>
  <si>
    <t>微信公众号</t>
  </si>
  <si>
    <t>mumin1123</t>
  </si>
  <si>
    <t>github</t>
  </si>
  <si>
    <t>mumincgb</t>
  </si>
  <si>
    <t>Mumingit1123</t>
  </si>
  <si>
    <t>hotmail on foxmail</t>
  </si>
  <si>
    <t>1qaz</t>
  </si>
  <si>
    <t>人行征信</t>
  </si>
  <si>
    <t>MuminPMP</t>
  </si>
  <si>
    <t>广州社保</t>
  </si>
  <si>
    <t>身份证号</t>
  </si>
  <si>
    <t>123456a</t>
  </si>
  <si>
    <t>广东移动</t>
  </si>
  <si>
    <t>币看比特币</t>
  </si>
  <si>
    <t>1DxNi97A6WVJ2j1wS3ULTgi9XYSKhPxqdM</t>
  </si>
  <si>
    <t>银行业继续教育</t>
  </si>
  <si>
    <t>Mumin1123</t>
  </si>
  <si>
    <t>合子支付</t>
  </si>
  <si>
    <t>zse4xdr5</t>
  </si>
  <si>
    <t>阿里云</t>
  </si>
  <si>
    <t>广发穆民</t>
  </si>
  <si>
    <t>1qaz@WSX</t>
  </si>
  <si>
    <t>032000056971</t>
  </si>
  <si>
    <t>031100002058</t>
  </si>
  <si>
    <t>平安证券</t>
  </si>
  <si>
    <t>306000076399</t>
  </si>
  <si>
    <t>作业部落</t>
  </si>
  <si>
    <t>https://www.zybuluo.com/mdeditor#</t>
  </si>
  <si>
    <t>钱多多</t>
  </si>
  <si>
    <t>PMI</t>
  </si>
  <si>
    <t>MuMinPm</t>
  </si>
  <si>
    <t>Acclaim</t>
  </si>
  <si>
    <t>cbluetooth@hotmail.com</t>
  </si>
  <si>
    <t>Mu*min1123</t>
  </si>
  <si>
    <t>1qaz2wsxjdd</t>
  </si>
  <si>
    <t>2wsx3edc</t>
  </si>
  <si>
    <t>https://www.jingdudai.com/</t>
  </si>
  <si>
    <t>3W</t>
  </si>
  <si>
    <t>虹金所</t>
  </si>
  <si>
    <t>1qaz2wsx</t>
  </si>
  <si>
    <t>http://www.hjs360.cn/</t>
  </si>
  <si>
    <t>https://www.heyunchou.com</t>
  </si>
  <si>
    <t>汇付支付账号: gfjf_58bank18369</t>
  </si>
  <si>
    <t>有卡神建议，你按中信、光大、华夏、建设、农业、中国、工商、交通、广发、浦发、招商、平安、上海、民生、兴业、花旗这样的次序比较好。</t>
  </si>
  <si>
    <t>银行</t>
  </si>
  <si>
    <t>等级</t>
  </si>
  <si>
    <t>卡片</t>
  </si>
  <si>
    <t>卡片备选</t>
  </si>
  <si>
    <t>卡片现有</t>
  </si>
  <si>
    <t>初始额度</t>
  </si>
  <si>
    <t>额度2017</t>
  </si>
  <si>
    <t>白金卡</t>
  </si>
  <si>
    <t>兴业睿白金信用卡</t>
  </si>
  <si>
    <t>金卡</t>
  </si>
  <si>
    <t>光大炎黄白金信用卡</t>
  </si>
  <si>
    <t>光大阳光商旅白金信用卡</t>
  </si>
  <si>
    <t>无</t>
  </si>
  <si>
    <t>交通银行</t>
  </si>
  <si>
    <t>交通银行华润万家信用卡金卡</t>
  </si>
  <si>
    <t>交通银行沃尔玛信用卡</t>
  </si>
  <si>
    <t>中信白金菁英卡</t>
  </si>
  <si>
    <r>
      <rPr>
        <sz val="11"/>
        <color rgb="FF000000"/>
        <rFont val="思源黑体 CN Regular"/>
        <charset val="1"/>
      </rPr>
      <t>中信</t>
    </r>
    <r>
      <rPr>
        <sz val="11"/>
        <color rgb="FF000000"/>
        <rFont val="宋体"/>
        <charset val="134"/>
      </rPr>
      <t>i</t>
    </r>
    <r>
      <rPr>
        <sz val="11"/>
        <color rgb="FF000000"/>
        <rFont val="思源黑体 CN Regular"/>
        <charset val="1"/>
      </rPr>
      <t>白金信用卡</t>
    </r>
  </si>
  <si>
    <t>平安旅游白金</t>
  </si>
  <si>
    <t>广发臻尚白金信用卡</t>
  </si>
  <si>
    <r>
      <rPr>
        <sz val="11"/>
        <color rgb="FF000000"/>
        <rFont val="思源黑体 CN Regular"/>
        <charset val="1"/>
      </rPr>
      <t>农行金穗</t>
    </r>
    <r>
      <rPr>
        <sz val="11"/>
        <color rgb="FF000000"/>
        <rFont val="宋体"/>
        <charset val="134"/>
      </rPr>
      <t>QQ</t>
    </r>
    <r>
      <rPr>
        <sz val="11"/>
        <color rgb="FF000000"/>
        <rFont val="思源黑体 CN Regular"/>
        <charset val="1"/>
      </rPr>
      <t>联名</t>
    </r>
    <r>
      <rPr>
        <sz val="11"/>
        <color rgb="FF000000"/>
        <rFont val="宋体"/>
        <charset val="134"/>
      </rPr>
      <t>IC</t>
    </r>
    <r>
      <rPr>
        <sz val="11"/>
        <color rgb="FF000000"/>
        <rFont val="思源黑体 CN Regular"/>
        <charset val="1"/>
      </rPr>
      <t>卡</t>
    </r>
  </si>
  <si>
    <t>广州银行南航明珠白金信用卡（精英版）</t>
  </si>
  <si>
    <t>浦发尊尚白金卡</t>
  </si>
  <si>
    <r>
      <rPr>
        <sz val="11"/>
        <color rgb="FF000000"/>
        <rFont val="思源黑体 CN Regular"/>
        <charset val="1"/>
      </rPr>
      <t>浦发</t>
    </r>
    <r>
      <rPr>
        <sz val="11"/>
        <color rgb="FF000000"/>
        <rFont val="宋体"/>
        <charset val="134"/>
      </rPr>
      <t>Visa</t>
    </r>
    <r>
      <rPr>
        <sz val="11"/>
        <color rgb="FF000000"/>
        <rFont val="思源黑体 CN Regular"/>
        <charset val="1"/>
      </rPr>
      <t>白金卡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思源黑体 CN Regular"/>
        <charset val="1"/>
      </rPr>
      <t>简约版</t>
    </r>
    <r>
      <rPr>
        <sz val="11"/>
        <color rgb="FF000000"/>
        <rFont val="宋体"/>
        <charset val="134"/>
      </rPr>
      <t>)</t>
    </r>
  </si>
  <si>
    <t>花旗银行</t>
  </si>
  <si>
    <t>花旗礼程卡（黑金）</t>
  </si>
  <si>
    <t>花旗礼享卡（白金）</t>
  </si>
  <si>
    <t>华夏银行</t>
  </si>
  <si>
    <t>华夏精英•尊尚白金信用卡</t>
  </si>
  <si>
    <r>
      <rPr>
        <sz val="11"/>
        <color rgb="FF000000"/>
        <rFont val="思源黑体 CN Regular"/>
        <charset val="1"/>
      </rPr>
      <t>华夏标准</t>
    </r>
    <r>
      <rPr>
        <sz val="11"/>
        <color rgb="FF000000"/>
        <rFont val="宋体"/>
        <charset val="134"/>
      </rPr>
      <t>IC</t>
    </r>
    <r>
      <rPr>
        <sz val="11"/>
        <color rgb="FF000000"/>
        <rFont val="思源黑体 CN Regular"/>
        <charset val="1"/>
      </rPr>
      <t>银联白金信用卡</t>
    </r>
  </si>
  <si>
    <r>
      <rPr>
        <sz val="11"/>
        <color rgb="FF000000"/>
        <rFont val="思源黑体 CN Regular"/>
        <charset val="1"/>
      </rPr>
      <t>招商</t>
    </r>
    <r>
      <rPr>
        <sz val="11"/>
        <color rgb="FF000000"/>
        <rFont val="宋体"/>
        <charset val="134"/>
      </rPr>
      <t>YOUNG</t>
    </r>
    <r>
      <rPr>
        <sz val="11"/>
        <color rgb="FF000000"/>
        <rFont val="思源黑体 CN Regular"/>
        <charset val="1"/>
      </rPr>
      <t>卡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思源黑体 CN Regular"/>
        <charset val="1"/>
      </rPr>
      <t>黑</t>
    </r>
    <r>
      <rPr>
        <sz val="11"/>
        <color rgb="FF000000"/>
        <rFont val="宋体"/>
        <charset val="134"/>
      </rPr>
      <t>)</t>
    </r>
  </si>
  <si>
    <t>普卡</t>
  </si>
  <si>
    <t>渣打银行</t>
  </si>
  <si>
    <t>渣打银行臻程卡（人民币卡）</t>
  </si>
  <si>
    <t>民生国航知音联名卡</t>
  </si>
  <si>
    <t>民生南航联名信用卡</t>
  </si>
  <si>
    <t>建行龙行四海卡</t>
  </si>
  <si>
    <t>工银东航联名卡</t>
  </si>
  <si>
    <t>中国银行</t>
  </si>
  <si>
    <t>中银南航明珠卡</t>
  </si>
  <si>
    <t>包商银行</t>
  </si>
  <si>
    <t>金领标准卡</t>
  </si>
  <si>
    <t>上海银行</t>
  </si>
  <si>
    <r>
      <rPr>
        <sz val="11"/>
        <color rgb="FF000000"/>
        <rFont val="思源黑体 CN Regular"/>
        <charset val="1"/>
      </rPr>
      <t>上海银行银联标准白金信用卡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思源黑体 CN Regular"/>
        <charset val="1"/>
      </rPr>
      <t>精致版</t>
    </r>
    <r>
      <rPr>
        <sz val="11"/>
        <color rgb="FF000000"/>
        <rFont val="宋体"/>
        <charset val="134"/>
      </rPr>
      <t>)</t>
    </r>
  </si>
  <si>
    <t>重庆银行</t>
  </si>
  <si>
    <t>北京银行</t>
  </si>
  <si>
    <t>单位</t>
  </si>
  <si>
    <t>险种</t>
  </si>
  <si>
    <t>受益人</t>
  </si>
  <si>
    <t>保额</t>
  </si>
  <si>
    <t>每月缴费</t>
  </si>
  <si>
    <t>扣款账号</t>
  </si>
  <si>
    <t>扣款日</t>
  </si>
  <si>
    <t>销售工号</t>
  </si>
  <si>
    <t>咨询电话</t>
  </si>
  <si>
    <t>理赔电话</t>
  </si>
  <si>
    <t>销售主管</t>
  </si>
  <si>
    <t>主管工号</t>
  </si>
  <si>
    <t>重大意外伤害险</t>
  </si>
  <si>
    <t>法定</t>
  </si>
  <si>
    <t>20w</t>
  </si>
  <si>
    <r>
      <rPr>
        <sz val="11"/>
        <color rgb="FF000000"/>
        <rFont val="思源黑体 CN Regular"/>
        <charset val="1"/>
      </rPr>
      <t>广发借记卡</t>
    </r>
    <r>
      <rPr>
        <sz val="11"/>
        <color rgb="FF000000"/>
        <rFont val="宋体"/>
        <charset val="134"/>
      </rPr>
      <t>1</t>
    </r>
  </si>
  <si>
    <t>谢珍婷</t>
  </si>
  <si>
    <r>
      <rPr>
        <sz val="11"/>
        <color rgb="FF000000"/>
        <rFont val="宋体"/>
        <charset val="134"/>
      </rPr>
      <t>95533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0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#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</si>
  <si>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95589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0</t>
    </r>
  </si>
  <si>
    <t>杨思</t>
  </si>
  <si>
    <r>
      <rPr>
        <sz val="11"/>
        <color rgb="FF000000"/>
        <rFont val="思源黑体 CN Regular"/>
        <charset val="1"/>
      </rPr>
      <t>平安信用卡</t>
    </r>
    <r>
      <rPr>
        <sz val="11"/>
        <color rgb="FF000000"/>
        <rFont val="宋体"/>
        <charset val="134"/>
      </rPr>
      <t>1</t>
    </r>
  </si>
  <si>
    <t>孙</t>
  </si>
  <si>
    <r>
      <rPr>
        <sz val="11"/>
        <color rgb="FF000000"/>
        <rFont val="宋体"/>
        <charset val="134"/>
      </rPr>
      <t>95511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4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思源黑体 CN Regular"/>
        <charset val="1"/>
      </rPr>
      <t>，</t>
    </r>
    <r>
      <rPr>
        <sz val="11"/>
        <color rgb="FF000000"/>
        <rFont val="宋体"/>
        <charset val="134"/>
      </rPr>
      <t>9</t>
    </r>
  </si>
  <si>
    <t>PART</t>
  </si>
  <si>
    <t>TOTAL</t>
  </si>
  <si>
    <t>COST</t>
  </si>
  <si>
    <t>LOAN</t>
  </si>
  <si>
    <t>L/C</t>
  </si>
  <si>
    <t>EARN</t>
  </si>
  <si>
    <t>E/C</t>
  </si>
  <si>
    <t>YEAR</t>
  </si>
  <si>
    <t>E/Y</t>
  </si>
  <si>
    <t>E/C.Y</t>
  </si>
  <si>
    <r>
      <rPr>
        <sz val="11"/>
        <color rgb="FF000000"/>
        <rFont val="思源黑体 CN Regular"/>
        <charset val="1"/>
      </rPr>
      <t>房子</t>
    </r>
    <r>
      <rPr>
        <sz val="11"/>
        <color rgb="FF000000"/>
        <rFont val="宋体"/>
        <charset val="134"/>
      </rPr>
      <t>1</t>
    </r>
  </si>
  <si>
    <r>
      <rPr>
        <sz val="11"/>
        <color rgb="FF000000"/>
        <rFont val="思源黑体 CN Regular"/>
        <charset val="1"/>
      </rPr>
      <t>房子</t>
    </r>
    <r>
      <rPr>
        <sz val="11"/>
        <color rgb="FF000000"/>
        <rFont val="宋体"/>
        <charset val="134"/>
      </rPr>
      <t>2</t>
    </r>
  </si>
  <si>
    <r>
      <rPr>
        <sz val="11"/>
        <color rgb="FF000000"/>
        <rFont val="思源黑体 CN Regular"/>
        <charset val="1"/>
      </rPr>
      <t>房子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</si>
  <si>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思源黑体 CN Regular"/>
        <charset val="1"/>
      </rPr>
      <t>股票</t>
    </r>
    <r>
      <rPr>
        <sz val="11"/>
        <color rgb="FF000000"/>
        <rFont val="宋体"/>
        <charset val="134"/>
      </rPr>
      <t>1</t>
    </r>
  </si>
  <si>
    <r>
      <rPr>
        <sz val="11"/>
        <color rgb="FF000000"/>
        <rFont val="思源黑体 CN Regular"/>
        <charset val="1"/>
      </rPr>
      <t>股票</t>
    </r>
    <r>
      <rPr>
        <sz val="11"/>
        <color rgb="FF000000"/>
        <rFont val="宋体"/>
        <charset val="134"/>
      </rPr>
      <t>2</t>
    </r>
  </si>
  <si>
    <r>
      <rPr>
        <sz val="11"/>
        <color rgb="FF000000"/>
        <rFont val="思源黑体 CN Regular"/>
        <charset val="1"/>
      </rPr>
      <t>股票</t>
    </r>
    <r>
      <rPr>
        <sz val="11"/>
        <color rgb="FF000000"/>
        <rFont val="宋体"/>
        <charset val="134"/>
      </rPr>
      <t>3</t>
    </r>
  </si>
  <si>
    <t>熊猫</t>
  </si>
  <si>
    <t>合子</t>
  </si>
  <si>
    <t>ppd</t>
  </si>
  <si>
    <t>ppp</t>
  </si>
  <si>
    <t>TOTAL'1</t>
  </si>
  <si>
    <t>TOTAL'2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</si>
</sst>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000%"/>
    <numFmt numFmtId="178" formatCode="yyyy/m/d;@"/>
  </numFmts>
  <fonts count="35">
    <font>
      <sz val="11"/>
      <color rgb="FF000000"/>
      <name val="思源黑体 CN Regular"/>
      <charset val="1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1"/>
      <color rgb="FFFFFFFF"/>
      <name val="宋体"/>
      <charset val="134"/>
    </font>
    <font>
      <sz val="11"/>
      <color rgb="FFFF0000"/>
      <name val="思源黑体 CN Regular"/>
      <charset val="1"/>
    </font>
    <font>
      <sz val="12"/>
      <color rgb="FF000000"/>
      <name val="思源黑体 CN Regular"/>
      <charset val="1"/>
    </font>
    <font>
      <sz val="12"/>
      <color rgb="FFFF0000"/>
      <name val="思源黑体 CN Regular"/>
      <charset val="1"/>
    </font>
    <font>
      <sz val="11"/>
      <color rgb="FFFF0000"/>
      <name val="宋体"/>
      <charset val="134"/>
    </font>
    <font>
      <sz val="10"/>
      <color rgb="FF000000"/>
      <name val="思源黑体 CN Regular"/>
      <charset val="1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sz val="10"/>
      <name val="思源黑体 CN Regular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000000"/>
      <name val="宋体"/>
      <charset val="1"/>
    </font>
  </fonts>
  <fills count="4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DC3E6"/>
        <bgColor rgb="FFBFBFBF"/>
      </patternFill>
    </fill>
    <fill>
      <patternFill patternType="solid">
        <fgColor rgb="FFFFD966"/>
        <bgColor rgb="FFFFFF99"/>
      </patternFill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3366FF"/>
      </patternFill>
    </fill>
    <fill>
      <patternFill patternType="solid">
        <fgColor rgb="FFFFFF0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9" fillId="0" borderId="0" applyBorder="0" applyAlignment="0" applyProtection="0"/>
    <xf numFmtId="0" fontId="14" fillId="32" borderId="0" applyNumberFormat="0" applyBorder="0" applyAlignment="0" applyProtection="0">
      <alignment vertical="center"/>
    </xf>
    <xf numFmtId="0" fontId="18" fillId="24" borderId="2" applyNumberFormat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  <xf numFmtId="0" fontId="14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13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7" fillId="23" borderId="3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ont="1" applyFill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ont="1" applyFill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0" fillId="13" borderId="0" xfId="0" applyFont="1" applyFill="1">
      <alignment vertical="center"/>
    </xf>
    <xf numFmtId="176" fontId="8" fillId="0" borderId="0" xfId="0" applyNumberFormat="1" applyFont="1">
      <alignment vertical="center"/>
    </xf>
    <xf numFmtId="176" fontId="9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9" fillId="6" borderId="0" xfId="0" applyFont="1" applyFill="1">
      <alignment vertical="center"/>
    </xf>
    <xf numFmtId="176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9" fillId="5" borderId="0" xfId="0" applyNumberFormat="1" applyFont="1" applyFill="1">
      <alignment vertical="center"/>
    </xf>
    <xf numFmtId="0" fontId="8" fillId="5" borderId="0" xfId="0" applyFont="1" applyFill="1">
      <alignment vertical="center"/>
    </xf>
    <xf numFmtId="176" fontId="8" fillId="6" borderId="0" xfId="0" applyNumberFormat="1" applyFont="1" applyFill="1">
      <alignment vertical="center"/>
    </xf>
    <xf numFmtId="176" fontId="8" fillId="12" borderId="0" xfId="0" applyNumberFormat="1" applyFont="1" applyFill="1">
      <alignment vertical="center"/>
    </xf>
    <xf numFmtId="0" fontId="8" fillId="12" borderId="0" xfId="0" applyFont="1" applyFill="1">
      <alignment vertical="center"/>
    </xf>
    <xf numFmtId="176" fontId="10" fillId="0" borderId="0" xfId="0" applyNumberFormat="1" applyFont="1">
      <alignment vertical="center"/>
    </xf>
    <xf numFmtId="176" fontId="10" fillId="5" borderId="0" xfId="0" applyNumberFormat="1" applyFont="1" applyFill="1">
      <alignment vertical="center"/>
    </xf>
    <xf numFmtId="176" fontId="10" fillId="6" borderId="0" xfId="0" applyNumberFormat="1" applyFont="1" applyFill="1">
      <alignment vertical="center"/>
    </xf>
    <xf numFmtId="176" fontId="10" fillId="0" borderId="0" xfId="0" applyNumberFormat="1" applyFont="1" applyAlignment="1">
      <alignment vertical="center"/>
    </xf>
    <xf numFmtId="176" fontId="10" fillId="12" borderId="0" xfId="0" applyNumberFormat="1" applyFont="1" applyFill="1">
      <alignment vertical="center"/>
    </xf>
    <xf numFmtId="0" fontId="8" fillId="12" borderId="0" xfId="0" applyFont="1" applyFill="1" applyAlignment="1">
      <alignment vertical="center"/>
    </xf>
    <xf numFmtId="176" fontId="8" fillId="12" borderId="0" xfId="0" applyNumberFormat="1" applyFont="1" applyFill="1" applyAlignment="1">
      <alignment vertical="center"/>
    </xf>
    <xf numFmtId="176" fontId="10" fillId="12" borderId="0" xfId="0" applyNumberFormat="1" applyFont="1" applyFill="1" applyAlignment="1">
      <alignment vertical="center"/>
    </xf>
    <xf numFmtId="176" fontId="8" fillId="14" borderId="0" xfId="0" applyNumberFormat="1" applyFont="1" applyFill="1">
      <alignment vertical="center"/>
    </xf>
    <xf numFmtId="0" fontId="8" fillId="14" borderId="0" xfId="0" applyFont="1" applyFill="1">
      <alignment vertical="center"/>
    </xf>
    <xf numFmtId="0" fontId="0" fillId="0" borderId="0" xfId="0" applyAlignment="1">
      <alignment vertical="center"/>
    </xf>
    <xf numFmtId="176" fontId="8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8" fillId="13" borderId="0" xfId="0" applyFont="1" applyFill="1">
      <alignment vertical="center"/>
    </xf>
    <xf numFmtId="49" fontId="8" fillId="0" borderId="0" xfId="0" applyNumberFormat="1" applyFont="1">
      <alignment vertical="center"/>
    </xf>
    <xf numFmtId="9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0" fontId="9" fillId="10" borderId="0" xfId="0" applyFont="1" applyFill="1">
      <alignment vertical="center"/>
    </xf>
    <xf numFmtId="176" fontId="8" fillId="13" borderId="0" xfId="0" applyNumberFormat="1" applyFont="1" applyFill="1">
      <alignment vertical="center"/>
    </xf>
    <xf numFmtId="14" fontId="8" fillId="0" borderId="0" xfId="0" applyNumberFormat="1" applyFont="1">
      <alignment vertical="center"/>
    </xf>
    <xf numFmtId="0" fontId="9" fillId="13" borderId="0" xfId="0" applyFont="1" applyFill="1">
      <alignment vertical="center"/>
    </xf>
    <xf numFmtId="14" fontId="9" fillId="6" borderId="0" xfId="0" applyNumberFormat="1" applyFont="1" applyFill="1">
      <alignment vertical="center"/>
    </xf>
    <xf numFmtId="0" fontId="11" fillId="6" borderId="0" xfId="0" applyFont="1" applyFill="1">
      <alignment vertical="center"/>
    </xf>
    <xf numFmtId="178" fontId="12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176" fontId="8" fillId="0" borderId="0" xfId="0" applyNumberFormat="1" applyFont="1" applyBorder="1">
      <alignment vertical="center"/>
    </xf>
    <xf numFmtId="49" fontId="9" fillId="6" borderId="0" xfId="0" applyNumberFormat="1" applyFont="1" applyFill="1">
      <alignment vertical="center"/>
    </xf>
    <xf numFmtId="49" fontId="9" fillId="5" borderId="0" xfId="0" applyNumberFormat="1" applyFont="1" applyFill="1">
      <alignment vertical="center"/>
    </xf>
    <xf numFmtId="176" fontId="8" fillId="5" borderId="0" xfId="0" applyNumberFormat="1" applyFont="1" applyFill="1">
      <alignment vertical="center"/>
    </xf>
    <xf numFmtId="176" fontId="9" fillId="6" borderId="0" xfId="0" applyNumberFormat="1" applyFont="1" applyFill="1" applyBorder="1">
      <alignment vertical="center"/>
    </xf>
    <xf numFmtId="176" fontId="9" fillId="5" borderId="0" xfId="0" applyNumberFormat="1" applyFont="1" applyFill="1" applyBorder="1">
      <alignment vertical="center"/>
    </xf>
    <xf numFmtId="0" fontId="9" fillId="12" borderId="0" xfId="0" applyFont="1" applyFill="1">
      <alignment vertical="center"/>
    </xf>
    <xf numFmtId="49" fontId="9" fillId="12" borderId="0" xfId="0" applyNumberFormat="1" applyFont="1" applyFill="1">
      <alignment vertical="center"/>
    </xf>
    <xf numFmtId="49" fontId="8" fillId="12" borderId="0" xfId="0" applyNumberFormat="1" applyFont="1" applyFill="1">
      <alignment vertical="center"/>
    </xf>
    <xf numFmtId="178" fontId="12" fillId="0" borderId="0" xfId="0" applyNumberFormat="1" applyFont="1" applyBorder="1">
      <alignment vertical="center"/>
    </xf>
    <xf numFmtId="178" fontId="12" fillId="6" borderId="0" xfId="0" applyNumberFormat="1" applyFont="1" applyFill="1">
      <alignment vertical="center"/>
    </xf>
    <xf numFmtId="178" fontId="12" fillId="5" borderId="0" xfId="0" applyNumberFormat="1" applyFont="1" applyFill="1">
      <alignment vertical="center"/>
    </xf>
    <xf numFmtId="178" fontId="12" fillId="6" borderId="0" xfId="0" applyNumberFormat="1" applyFont="1" applyFill="1" applyBorder="1">
      <alignment vertical="center"/>
    </xf>
    <xf numFmtId="178" fontId="12" fillId="5" borderId="0" xfId="0" applyNumberFormat="1" applyFont="1" applyFill="1" applyBorder="1">
      <alignment vertical="center"/>
    </xf>
    <xf numFmtId="178" fontId="12" fillId="1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DC3E6"/>
      <rgbColor rgb="00FF99CC"/>
      <rgbColor rgb="00CC99FF"/>
      <rgbColor rgb="00FFD966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workbookViewId="0">
      <selection activeCell="E22" sqref="E22"/>
    </sheetView>
  </sheetViews>
  <sheetFormatPr defaultColWidth="9" defaultRowHeight="12"/>
  <cols>
    <col min="1" max="1" width="4.625" style="34" customWidth="1"/>
    <col min="2" max="3" width="7.875" style="34" customWidth="1"/>
    <col min="4" max="4" width="10.125" style="34" customWidth="1"/>
    <col min="5" max="5" width="18.875" style="68" customWidth="1"/>
    <col min="6" max="6" width="8.375" style="68" customWidth="1"/>
    <col min="7" max="7" width="7.875" style="68" customWidth="1"/>
    <col min="8" max="9" width="10.125" style="43" customWidth="1"/>
    <col min="10" max="10" width="10.375" style="77" customWidth="1"/>
    <col min="11" max="11" width="11.125" style="43" customWidth="1"/>
    <col min="12" max="12" width="9.5" style="43" customWidth="1"/>
    <col min="13" max="13" width="11.25" style="43" customWidth="1"/>
    <col min="14" max="14" width="9.25" style="43" customWidth="1"/>
    <col min="15" max="16" width="6.25" style="34" customWidth="1"/>
    <col min="17" max="17" width="4" style="68" customWidth="1"/>
    <col min="18" max="22" width="7.875" style="68" customWidth="1"/>
    <col min="23" max="23" width="9.5" style="34" customWidth="1"/>
    <col min="24" max="24" width="8.5" style="34" customWidth="1"/>
    <col min="25" max="25" width="9.5" style="34" customWidth="1"/>
    <col min="26" max="1025" width="10.3416666666667" style="34" customWidth="1"/>
    <col min="1026" max="16384" width="9" style="34"/>
  </cols>
  <sheetData>
    <row r="1" spans="1:25">
      <c r="A1" s="34" t="s">
        <v>0</v>
      </c>
      <c r="B1" s="34" t="s">
        <v>1</v>
      </c>
      <c r="C1" s="34" t="s">
        <v>2</v>
      </c>
      <c r="D1" s="34" t="s">
        <v>3</v>
      </c>
      <c r="E1" s="68" t="s">
        <v>4</v>
      </c>
      <c r="F1" s="68" t="s">
        <v>5</v>
      </c>
      <c r="G1" s="68" t="s">
        <v>6</v>
      </c>
      <c r="H1" s="43" t="s">
        <v>7</v>
      </c>
      <c r="I1" s="43" t="s">
        <v>8</v>
      </c>
      <c r="J1" s="77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34" t="s">
        <v>14</v>
      </c>
      <c r="P1" s="34" t="s">
        <v>15</v>
      </c>
      <c r="R1" s="68" t="s">
        <v>16</v>
      </c>
      <c r="S1" s="68" t="s">
        <v>17</v>
      </c>
      <c r="T1" s="68" t="s">
        <v>18</v>
      </c>
      <c r="U1" s="68" t="s">
        <v>19</v>
      </c>
      <c r="V1" s="68" t="s">
        <v>20</v>
      </c>
      <c r="W1" s="34" t="s">
        <v>21</v>
      </c>
      <c r="X1" s="34" t="s">
        <v>22</v>
      </c>
      <c r="Y1" s="34" t="s">
        <v>23</v>
      </c>
    </row>
    <row r="2" spans="1:12">
      <c r="A2" s="37">
        <v>1</v>
      </c>
      <c r="B2" s="34" t="s">
        <v>24</v>
      </c>
      <c r="C2" s="34" t="s">
        <v>25</v>
      </c>
      <c r="D2" s="34" t="s">
        <v>26</v>
      </c>
      <c r="E2" s="78" t="s">
        <v>27</v>
      </c>
      <c r="F2" s="78" t="s">
        <v>28</v>
      </c>
      <c r="G2" s="78" t="s">
        <v>29</v>
      </c>
      <c r="H2" s="79"/>
      <c r="I2" s="79"/>
      <c r="J2" s="88"/>
      <c r="K2" s="79">
        <v>25.37</v>
      </c>
      <c r="L2" s="79"/>
    </row>
    <row r="3" s="45" customFormat="1" spans="1:22">
      <c r="A3" s="37">
        <v>2</v>
      </c>
      <c r="B3" s="45" t="s">
        <v>30</v>
      </c>
      <c r="C3" s="45" t="s">
        <v>25</v>
      </c>
      <c r="D3" s="45" t="s">
        <v>31</v>
      </c>
      <c r="E3" s="80" t="s">
        <v>32</v>
      </c>
      <c r="F3" s="80"/>
      <c r="G3" s="80" t="s">
        <v>33</v>
      </c>
      <c r="H3" s="44">
        <v>20000</v>
      </c>
      <c r="I3" s="44"/>
      <c r="J3" s="89"/>
      <c r="K3" s="44">
        <v>-39656</v>
      </c>
      <c r="L3" s="44">
        <f ca="1">-K3-VLOOKUP(D3,planA!$A$1:$K$10,11,0)</f>
        <v>39656</v>
      </c>
      <c r="M3" s="44">
        <v>0</v>
      </c>
      <c r="N3" s="44"/>
      <c r="O3" s="45">
        <v>2</v>
      </c>
      <c r="P3" s="45">
        <v>22</v>
      </c>
      <c r="Q3" s="80" t="s">
        <v>34</v>
      </c>
      <c r="R3" s="80" t="s">
        <v>35</v>
      </c>
      <c r="S3" s="80" t="s">
        <v>35</v>
      </c>
      <c r="T3" s="80" t="s">
        <v>36</v>
      </c>
      <c r="U3" s="80" t="s">
        <v>37</v>
      </c>
      <c r="V3" s="80"/>
    </row>
    <row r="4" s="50" customFormat="1" hidden="1" spans="1:22">
      <c r="A4" s="37">
        <v>3</v>
      </c>
      <c r="B4" s="50" t="s">
        <v>24</v>
      </c>
      <c r="C4" s="50" t="s">
        <v>38</v>
      </c>
      <c r="D4" s="50" t="s">
        <v>39</v>
      </c>
      <c r="E4" s="81" t="s">
        <v>40</v>
      </c>
      <c r="F4" s="81"/>
      <c r="G4" s="81" t="s">
        <v>41</v>
      </c>
      <c r="H4" s="82"/>
      <c r="I4" s="82"/>
      <c r="J4" s="90"/>
      <c r="K4" s="82">
        <v>0</v>
      </c>
      <c r="L4" s="82"/>
      <c r="M4" s="82"/>
      <c r="N4" s="82"/>
      <c r="Q4" s="81"/>
      <c r="R4" s="81" t="s">
        <v>35</v>
      </c>
      <c r="S4" s="81"/>
      <c r="T4" s="81" t="s">
        <v>42</v>
      </c>
      <c r="U4" s="81"/>
      <c r="V4" s="81"/>
    </row>
    <row r="5" spans="1:25">
      <c r="A5" s="37">
        <v>4</v>
      </c>
      <c r="B5" s="34" t="s">
        <v>24</v>
      </c>
      <c r="C5" s="34" t="s">
        <v>38</v>
      </c>
      <c r="D5" s="34" t="s">
        <v>39</v>
      </c>
      <c r="E5" s="78" t="s">
        <v>43</v>
      </c>
      <c r="F5" s="78" t="s">
        <v>44</v>
      </c>
      <c r="G5" s="78" t="s">
        <v>45</v>
      </c>
      <c r="K5" s="43">
        <v>43.75</v>
      </c>
      <c r="Q5" s="78" t="s">
        <v>46</v>
      </c>
      <c r="R5" s="78" t="s">
        <v>35</v>
      </c>
      <c r="T5" s="78" t="s">
        <v>42</v>
      </c>
      <c r="V5" s="78" t="s">
        <v>47</v>
      </c>
      <c r="W5" s="37" t="s">
        <v>48</v>
      </c>
      <c r="Y5" s="34" t="s">
        <v>49</v>
      </c>
    </row>
    <row r="6" s="45" customFormat="1" spans="1:22">
      <c r="A6" s="37">
        <v>5</v>
      </c>
      <c r="B6" s="45" t="s">
        <v>30</v>
      </c>
      <c r="C6" s="45" t="s">
        <v>38</v>
      </c>
      <c r="D6" s="45" t="s">
        <v>50</v>
      </c>
      <c r="E6" s="80" t="s">
        <v>51</v>
      </c>
      <c r="F6" s="80"/>
      <c r="G6" s="80" t="s">
        <v>52</v>
      </c>
      <c r="H6" s="44">
        <v>84000</v>
      </c>
      <c r="I6" s="44"/>
      <c r="J6" s="89"/>
      <c r="K6" s="44">
        <v>-56894.29</v>
      </c>
      <c r="L6" s="44">
        <f ca="1">-K6-VLOOKUP(D6,planA!$A$1:$K$10,11,0)</f>
        <v>51879.6233333333</v>
      </c>
      <c r="M6" s="44">
        <f>SUM(H6,K6)</f>
        <v>27105.71</v>
      </c>
      <c r="N6" s="44">
        <v>30088</v>
      </c>
      <c r="O6" s="45">
        <v>3</v>
      </c>
      <c r="P6" s="45">
        <v>22</v>
      </c>
      <c r="Q6" s="80" t="s">
        <v>53</v>
      </c>
      <c r="R6" s="80" t="s">
        <v>35</v>
      </c>
      <c r="S6" s="80" t="s">
        <v>37</v>
      </c>
      <c r="T6" s="80"/>
      <c r="U6" s="80" t="s">
        <v>37</v>
      </c>
      <c r="V6" s="80"/>
    </row>
    <row r="7" s="37" customFormat="1" spans="1:22">
      <c r="A7" s="37">
        <v>6</v>
      </c>
      <c r="B7" s="34" t="s">
        <v>24</v>
      </c>
      <c r="C7" s="34" t="s">
        <v>54</v>
      </c>
      <c r="D7" s="34" t="s">
        <v>55</v>
      </c>
      <c r="E7" s="78" t="s">
        <v>56</v>
      </c>
      <c r="F7" s="78"/>
      <c r="G7" s="78" t="s">
        <v>57</v>
      </c>
      <c r="H7" s="43"/>
      <c r="I7" s="43"/>
      <c r="J7" s="77"/>
      <c r="K7" s="43"/>
      <c r="L7" s="43"/>
      <c r="M7" s="43"/>
      <c r="N7" s="43"/>
      <c r="Q7" s="78" t="s">
        <v>58</v>
      </c>
      <c r="R7" s="78" t="s">
        <v>37</v>
      </c>
      <c r="S7" s="78"/>
      <c r="T7" s="78"/>
      <c r="U7" s="78"/>
      <c r="V7" s="78"/>
    </row>
    <row r="8" s="45" customFormat="1" spans="1:22">
      <c r="A8" s="37">
        <v>7</v>
      </c>
      <c r="B8" s="45" t="s">
        <v>30</v>
      </c>
      <c r="C8" s="45" t="s">
        <v>54</v>
      </c>
      <c r="D8" s="45" t="s">
        <v>59</v>
      </c>
      <c r="E8" s="80" t="s">
        <v>60</v>
      </c>
      <c r="F8" s="80"/>
      <c r="G8" s="80" t="s">
        <v>61</v>
      </c>
      <c r="H8" s="44">
        <v>50000</v>
      </c>
      <c r="I8" s="44"/>
      <c r="J8" s="89"/>
      <c r="K8" s="44">
        <v>-47407.44</v>
      </c>
      <c r="L8" s="44">
        <f ca="1">-K8-VLOOKUP(D8,planA!$A$1:$K$10,11,0)</f>
        <v>41668.94</v>
      </c>
      <c r="M8" s="44">
        <f>SUM(H8,K8)</f>
        <v>2592.56</v>
      </c>
      <c r="N8" s="44">
        <v>41126</v>
      </c>
      <c r="O8" s="45">
        <v>5</v>
      </c>
      <c r="P8" s="45">
        <v>30</v>
      </c>
      <c r="Q8" s="80" t="s">
        <v>62</v>
      </c>
      <c r="R8" s="80" t="s">
        <v>35</v>
      </c>
      <c r="S8" s="80" t="s">
        <v>35</v>
      </c>
      <c r="T8" s="80" t="s">
        <v>63</v>
      </c>
      <c r="U8" s="80"/>
      <c r="V8" s="80"/>
    </row>
    <row r="9" spans="1:20">
      <c r="A9" s="37">
        <v>8</v>
      </c>
      <c r="B9" s="34" t="s">
        <v>24</v>
      </c>
      <c r="C9" s="34" t="s">
        <v>64</v>
      </c>
      <c r="D9" s="34" t="s">
        <v>65</v>
      </c>
      <c r="E9" s="78" t="s">
        <v>66</v>
      </c>
      <c r="F9" s="78" t="s">
        <v>67</v>
      </c>
      <c r="G9" s="78" t="s">
        <v>68</v>
      </c>
      <c r="K9" s="43">
        <v>102.19</v>
      </c>
      <c r="R9" s="78" t="s">
        <v>35</v>
      </c>
      <c r="T9" s="78" t="s">
        <v>69</v>
      </c>
    </row>
    <row r="10" s="45" customFormat="1" spans="1:22">
      <c r="A10" s="37">
        <v>9</v>
      </c>
      <c r="B10" s="45" t="s">
        <v>30</v>
      </c>
      <c r="C10" s="45" t="s">
        <v>64</v>
      </c>
      <c r="D10" s="45" t="s">
        <v>70</v>
      </c>
      <c r="E10" s="80" t="s">
        <v>71</v>
      </c>
      <c r="F10" s="80"/>
      <c r="G10" s="80" t="s">
        <v>72</v>
      </c>
      <c r="H10" s="44">
        <v>20000</v>
      </c>
      <c r="I10" s="44"/>
      <c r="J10" s="89"/>
      <c r="K10" s="44">
        <v>-16281.9</v>
      </c>
      <c r="L10" s="44">
        <f ca="1">-K10-VLOOKUP(D10,planA!$A$1:$K$10,11,0)</f>
        <v>15618.5666666667</v>
      </c>
      <c r="M10" s="44">
        <f t="shared" ref="M10:M13" si="0">SUM(H10:K10)</f>
        <v>3718.1</v>
      </c>
      <c r="N10" s="44">
        <v>17769</v>
      </c>
      <c r="O10" s="45">
        <v>9</v>
      </c>
      <c r="P10" s="45">
        <v>29</v>
      </c>
      <c r="Q10" s="80">
        <v>270</v>
      </c>
      <c r="R10" s="80" t="s">
        <v>35</v>
      </c>
      <c r="S10" s="80" t="s">
        <v>37</v>
      </c>
      <c r="T10" s="80"/>
      <c r="U10" s="80" t="s">
        <v>37</v>
      </c>
      <c r="V10" s="80"/>
    </row>
    <row r="11" spans="1:11">
      <c r="A11" s="37">
        <v>10</v>
      </c>
      <c r="B11" s="34" t="s">
        <v>24</v>
      </c>
      <c r="C11" s="34" t="s">
        <v>73</v>
      </c>
      <c r="D11" s="34" t="s">
        <v>74</v>
      </c>
      <c r="E11" s="78" t="s">
        <v>75</v>
      </c>
      <c r="G11" s="78" t="s">
        <v>76</v>
      </c>
      <c r="K11" s="43">
        <v>549.06</v>
      </c>
    </row>
    <row r="12" s="45" customFormat="1" spans="1:22">
      <c r="A12" s="37">
        <v>11</v>
      </c>
      <c r="B12" s="45" t="s">
        <v>30</v>
      </c>
      <c r="C12" s="45" t="s">
        <v>73</v>
      </c>
      <c r="D12" s="45" t="s">
        <v>77</v>
      </c>
      <c r="E12" s="80" t="s">
        <v>78</v>
      </c>
      <c r="F12" s="80"/>
      <c r="G12" s="80" t="s">
        <v>79</v>
      </c>
      <c r="H12" s="44">
        <v>66000</v>
      </c>
      <c r="I12" s="44"/>
      <c r="J12" s="89"/>
      <c r="K12" s="44">
        <v>-48302.94</v>
      </c>
      <c r="L12" s="44">
        <f ca="1">-K12-VLOOKUP(D12,planA!$A$1:$K$10,11,0)</f>
        <v>40876.2733333333</v>
      </c>
      <c r="M12" s="44">
        <f t="shared" si="0"/>
        <v>17697.06</v>
      </c>
      <c r="N12" s="44">
        <v>43604</v>
      </c>
      <c r="O12" s="45">
        <v>11</v>
      </c>
      <c r="P12" s="45">
        <v>1</v>
      </c>
      <c r="Q12" s="80" t="s">
        <v>80</v>
      </c>
      <c r="R12" s="80" t="s">
        <v>35</v>
      </c>
      <c r="S12" s="80" t="s">
        <v>37</v>
      </c>
      <c r="T12" s="80" t="s">
        <v>81</v>
      </c>
      <c r="U12" s="80" t="s">
        <v>37</v>
      </c>
      <c r="V12" s="80"/>
    </row>
    <row r="13" s="50" customFormat="1" spans="1:22">
      <c r="A13" s="50">
        <v>11</v>
      </c>
      <c r="B13" s="50" t="s">
        <v>30</v>
      </c>
      <c r="C13" s="50" t="s">
        <v>73</v>
      </c>
      <c r="D13" s="50" t="s">
        <v>82</v>
      </c>
      <c r="E13" s="81" t="s">
        <v>83</v>
      </c>
      <c r="F13" s="81"/>
      <c r="G13" s="81" t="s">
        <v>84</v>
      </c>
      <c r="H13" s="82">
        <v>50000</v>
      </c>
      <c r="I13" s="82"/>
      <c r="J13" s="90"/>
      <c r="K13" s="82">
        <v>-48302.94</v>
      </c>
      <c r="L13" s="82" t="e">
        <f ca="1">-K13-VLOOKUP(D13,planA!$A$1:$K$10,11,0)</f>
        <v>#N/A</v>
      </c>
      <c r="M13" s="82">
        <f t="shared" si="0"/>
        <v>1697.06</v>
      </c>
      <c r="N13" s="82">
        <v>43604</v>
      </c>
      <c r="O13" s="50">
        <v>11</v>
      </c>
      <c r="P13" s="50">
        <v>1</v>
      </c>
      <c r="Q13" s="81" t="s">
        <v>85</v>
      </c>
      <c r="R13" s="81" t="s">
        <v>35</v>
      </c>
      <c r="S13" s="81" t="s">
        <v>37</v>
      </c>
      <c r="T13" s="81" t="s">
        <v>81</v>
      </c>
      <c r="U13" s="81" t="s">
        <v>37</v>
      </c>
      <c r="V13" s="81"/>
    </row>
    <row r="14" spans="1:25">
      <c r="A14" s="37">
        <v>12</v>
      </c>
      <c r="B14" s="34" t="s">
        <v>86</v>
      </c>
      <c r="C14" s="34" t="s">
        <v>87</v>
      </c>
      <c r="D14" s="34" t="s">
        <v>88</v>
      </c>
      <c r="E14" s="78" t="s">
        <v>89</v>
      </c>
      <c r="F14" s="78" t="s">
        <v>90</v>
      </c>
      <c r="K14" s="43">
        <v>2156</v>
      </c>
      <c r="R14" s="78" t="s">
        <v>37</v>
      </c>
      <c r="T14" s="78" t="s">
        <v>91</v>
      </c>
      <c r="U14" s="78" t="s">
        <v>37</v>
      </c>
      <c r="Y14" s="34" t="s">
        <v>92</v>
      </c>
    </row>
    <row r="15" spans="1:18">
      <c r="A15" s="37">
        <v>13</v>
      </c>
      <c r="B15" s="34" t="s">
        <v>93</v>
      </c>
      <c r="C15" s="34" t="s">
        <v>87</v>
      </c>
      <c r="D15" s="34" t="s">
        <v>94</v>
      </c>
      <c r="E15" s="78" t="s">
        <v>95</v>
      </c>
      <c r="K15" s="43">
        <v>18.68</v>
      </c>
      <c r="R15" s="78" t="s">
        <v>37</v>
      </c>
    </row>
    <row r="16" spans="1:18">
      <c r="A16" s="37">
        <v>14</v>
      </c>
      <c r="B16" s="34" t="s">
        <v>96</v>
      </c>
      <c r="C16" s="34" t="s">
        <v>87</v>
      </c>
      <c r="D16" s="34" t="s">
        <v>97</v>
      </c>
      <c r="E16" s="78" t="s">
        <v>98</v>
      </c>
      <c r="G16" s="78" t="s">
        <v>99</v>
      </c>
      <c r="R16" s="78" t="s">
        <v>37</v>
      </c>
    </row>
    <row r="17" s="45" customFormat="1" spans="1:22">
      <c r="A17" s="37">
        <v>15</v>
      </c>
      <c r="B17" s="45" t="s">
        <v>30</v>
      </c>
      <c r="C17" s="45" t="s">
        <v>87</v>
      </c>
      <c r="D17" s="45" t="s">
        <v>100</v>
      </c>
      <c r="E17" s="80" t="s">
        <v>101</v>
      </c>
      <c r="F17" s="80"/>
      <c r="G17" s="80" t="s">
        <v>72</v>
      </c>
      <c r="H17" s="44">
        <v>135000</v>
      </c>
      <c r="I17" s="44"/>
      <c r="J17" s="89"/>
      <c r="K17" s="44">
        <v>-93660.67</v>
      </c>
      <c r="L17" s="44">
        <f ca="1">-K17-VLOOKUP(D17,planA!$A$1:$K$10,11,0)</f>
        <v>80273.8366666667</v>
      </c>
      <c r="M17" s="44">
        <f ca="1">IF(TODAY()&lt;J17,I17,H17)+K17</f>
        <v>41339.33</v>
      </c>
      <c r="N17" s="44">
        <v>84434</v>
      </c>
      <c r="O17" s="45">
        <v>13</v>
      </c>
      <c r="P17" s="45">
        <v>2</v>
      </c>
      <c r="Q17" s="80">
        <v>574</v>
      </c>
      <c r="R17" s="80"/>
      <c r="S17" s="80"/>
      <c r="T17" s="80"/>
      <c r="U17" s="80"/>
      <c r="V17" s="80"/>
    </row>
    <row r="18" s="37" customFormat="1" spans="1:22">
      <c r="A18" s="37">
        <v>16</v>
      </c>
      <c r="B18" s="34" t="s">
        <v>24</v>
      </c>
      <c r="C18" s="34" t="s">
        <v>102</v>
      </c>
      <c r="D18" s="34" t="s">
        <v>103</v>
      </c>
      <c r="E18" s="78" t="s">
        <v>104</v>
      </c>
      <c r="F18" s="78" t="s">
        <v>105</v>
      </c>
      <c r="G18" s="78" t="s">
        <v>106</v>
      </c>
      <c r="H18" s="79"/>
      <c r="I18" s="79"/>
      <c r="J18" s="88"/>
      <c r="K18" s="79">
        <v>472.31</v>
      </c>
      <c r="L18" s="79"/>
      <c r="M18" s="43"/>
      <c r="N18" s="43"/>
      <c r="Q18" s="78"/>
      <c r="R18" s="78" t="s">
        <v>37</v>
      </c>
      <c r="S18" s="78"/>
      <c r="T18" s="78"/>
      <c r="U18" s="78"/>
      <c r="V18" s="78"/>
    </row>
    <row r="19" s="45" customFormat="1" spans="1:22">
      <c r="A19" s="37">
        <v>17</v>
      </c>
      <c r="B19" s="45" t="s">
        <v>30</v>
      </c>
      <c r="C19" s="45" t="s">
        <v>102</v>
      </c>
      <c r="D19" s="45" t="s">
        <v>107</v>
      </c>
      <c r="E19" s="80" t="s">
        <v>108</v>
      </c>
      <c r="F19" s="80"/>
      <c r="G19" s="80" t="s">
        <v>109</v>
      </c>
      <c r="H19" s="83">
        <v>100000</v>
      </c>
      <c r="I19" s="44"/>
      <c r="J19" s="89"/>
      <c r="K19" s="44">
        <v>-119381.74</v>
      </c>
      <c r="L19" s="44">
        <f ca="1">-K19-VLOOKUP(D19,planA!$A$1:$K$10,11,0)</f>
        <v>110066.84</v>
      </c>
      <c r="M19" s="44">
        <f t="shared" ref="M19:M23" si="1">SUM(H19:K19)</f>
        <v>-19381.74</v>
      </c>
      <c r="N19" s="44">
        <v>80891</v>
      </c>
      <c r="O19" s="45">
        <v>17</v>
      </c>
      <c r="P19" s="45">
        <v>6</v>
      </c>
      <c r="Q19" s="80" t="s">
        <v>110</v>
      </c>
      <c r="R19" s="80" t="s">
        <v>35</v>
      </c>
      <c r="S19" s="80"/>
      <c r="T19" s="80" t="s">
        <v>111</v>
      </c>
      <c r="U19" s="80"/>
      <c r="V19" s="80"/>
    </row>
    <row r="20" s="37" customFormat="1" spans="1:22">
      <c r="A20" s="37">
        <v>18</v>
      </c>
      <c r="B20" s="34" t="s">
        <v>30</v>
      </c>
      <c r="C20" s="34" t="s">
        <v>102</v>
      </c>
      <c r="D20" s="34" t="s">
        <v>107</v>
      </c>
      <c r="E20" s="78" t="s">
        <v>112</v>
      </c>
      <c r="F20" s="78"/>
      <c r="G20" s="78" t="s">
        <v>109</v>
      </c>
      <c r="H20" s="79"/>
      <c r="I20" s="43"/>
      <c r="J20" s="77"/>
      <c r="K20" s="43">
        <v>0</v>
      </c>
      <c r="L20" s="43"/>
      <c r="M20" s="43"/>
      <c r="N20" s="43"/>
      <c r="O20" s="37">
        <v>17</v>
      </c>
      <c r="P20" s="37">
        <v>6</v>
      </c>
      <c r="Q20" s="78" t="s">
        <v>113</v>
      </c>
      <c r="R20" s="78"/>
      <c r="S20" s="78"/>
      <c r="T20" s="78"/>
      <c r="U20" s="78"/>
      <c r="V20" s="78"/>
    </row>
    <row r="21" s="50" customFormat="1" hidden="1" spans="1:22">
      <c r="A21" s="37">
        <v>19</v>
      </c>
      <c r="B21" s="50" t="s">
        <v>30</v>
      </c>
      <c r="C21" s="50" t="s">
        <v>102</v>
      </c>
      <c r="D21" s="50" t="s">
        <v>107</v>
      </c>
      <c r="E21" s="81" t="s">
        <v>114</v>
      </c>
      <c r="F21" s="81"/>
      <c r="G21" s="81" t="s">
        <v>115</v>
      </c>
      <c r="H21" s="84">
        <v>100000</v>
      </c>
      <c r="I21" s="82"/>
      <c r="J21" s="90"/>
      <c r="K21" s="82">
        <v>-119381.74</v>
      </c>
      <c r="L21" s="82">
        <f ca="1">-K21-VLOOKUP(D21,planA!$A$1:$K$10,11,0)</f>
        <v>110066.84</v>
      </c>
      <c r="M21" s="82">
        <f t="shared" si="1"/>
        <v>-19381.74</v>
      </c>
      <c r="N21" s="82">
        <v>80891</v>
      </c>
      <c r="O21" s="50">
        <v>17</v>
      </c>
      <c r="P21" s="50">
        <v>6</v>
      </c>
      <c r="Q21" s="81">
        <v>668</v>
      </c>
      <c r="R21" s="81"/>
      <c r="S21" s="81"/>
      <c r="T21" s="81" t="s">
        <v>111</v>
      </c>
      <c r="U21" s="81"/>
      <c r="V21" s="81"/>
    </row>
    <row r="22" spans="1:25">
      <c r="A22" s="37">
        <v>20</v>
      </c>
      <c r="B22" s="34" t="s">
        <v>24</v>
      </c>
      <c r="C22" s="34" t="s">
        <v>116</v>
      </c>
      <c r="D22" s="34" t="s">
        <v>117</v>
      </c>
      <c r="E22" s="78" t="s">
        <v>118</v>
      </c>
      <c r="F22" s="78" t="s">
        <v>119</v>
      </c>
      <c r="G22" s="78" t="s">
        <v>41</v>
      </c>
      <c r="H22" s="79"/>
      <c r="I22" s="79"/>
      <c r="J22" s="88"/>
      <c r="K22" s="79">
        <v>132</v>
      </c>
      <c r="L22" s="79"/>
      <c r="R22" s="78" t="s">
        <v>35</v>
      </c>
      <c r="T22" s="78" t="s">
        <v>120</v>
      </c>
      <c r="U22" s="78" t="s">
        <v>37</v>
      </c>
      <c r="Y22" s="34" t="s">
        <v>121</v>
      </c>
    </row>
    <row r="23" s="45" customFormat="1" spans="1:24">
      <c r="A23" s="37">
        <v>21</v>
      </c>
      <c r="B23" s="45" t="s">
        <v>30</v>
      </c>
      <c r="C23" s="45" t="s">
        <v>116</v>
      </c>
      <c r="D23" s="45" t="s">
        <v>122</v>
      </c>
      <c r="E23" s="80" t="s">
        <v>123</v>
      </c>
      <c r="F23" s="80"/>
      <c r="G23" s="80" t="s">
        <v>124</v>
      </c>
      <c r="H23" s="83">
        <v>50000</v>
      </c>
      <c r="I23" s="83"/>
      <c r="J23" s="91"/>
      <c r="K23" s="83">
        <v>-45809.09</v>
      </c>
      <c r="L23" s="44">
        <f ca="1">-K23-VLOOKUP(D23,planA!$A$1:$K$10,11,0)</f>
        <v>22407.5066666667</v>
      </c>
      <c r="M23" s="44">
        <f t="shared" si="1"/>
        <v>4190.91</v>
      </c>
      <c r="N23" s="44">
        <v>40117</v>
      </c>
      <c r="O23" s="45">
        <v>15</v>
      </c>
      <c r="P23" s="45">
        <v>2</v>
      </c>
      <c r="Q23" s="80" t="s">
        <v>125</v>
      </c>
      <c r="R23" s="80" t="s">
        <v>35</v>
      </c>
      <c r="S23" s="80" t="s">
        <v>37</v>
      </c>
      <c r="T23" s="80"/>
      <c r="U23" s="80"/>
      <c r="V23" s="80"/>
      <c r="W23" s="45" t="s">
        <v>126</v>
      </c>
      <c r="X23" s="46" t="s">
        <v>127</v>
      </c>
    </row>
    <row r="24" s="50" customFormat="1" hidden="1" spans="1:25">
      <c r="A24" s="37">
        <v>22</v>
      </c>
      <c r="B24" s="50" t="s">
        <v>24</v>
      </c>
      <c r="C24" s="50" t="s">
        <v>128</v>
      </c>
      <c r="D24" s="50" t="s">
        <v>129</v>
      </c>
      <c r="E24" s="81" t="s">
        <v>130</v>
      </c>
      <c r="F24" s="81" t="s">
        <v>131</v>
      </c>
      <c r="G24" s="81" t="s">
        <v>132</v>
      </c>
      <c r="H24" s="84"/>
      <c r="I24" s="84"/>
      <c r="J24" s="92"/>
      <c r="K24" s="84">
        <v>22.55</v>
      </c>
      <c r="L24" s="84"/>
      <c r="M24" s="82"/>
      <c r="N24" s="82"/>
      <c r="Q24" s="81"/>
      <c r="R24" s="81" t="s">
        <v>35</v>
      </c>
      <c r="S24" s="81"/>
      <c r="T24" s="81" t="s">
        <v>133</v>
      </c>
      <c r="U24" s="81"/>
      <c r="V24" s="81"/>
      <c r="Y24" s="50" t="s">
        <v>134</v>
      </c>
    </row>
    <row r="25" spans="1:25">
      <c r="A25" s="37">
        <v>23</v>
      </c>
      <c r="B25" s="34" t="s">
        <v>24</v>
      </c>
      <c r="C25" s="34" t="s">
        <v>128</v>
      </c>
      <c r="D25" s="34" t="s">
        <v>129</v>
      </c>
      <c r="E25" s="78" t="s">
        <v>135</v>
      </c>
      <c r="F25" s="78" t="s">
        <v>131</v>
      </c>
      <c r="G25" s="78" t="s">
        <v>136</v>
      </c>
      <c r="H25" s="79"/>
      <c r="I25" s="79"/>
      <c r="J25" s="88"/>
      <c r="K25" s="79">
        <v>22.55</v>
      </c>
      <c r="L25" s="79"/>
      <c r="Q25" s="78" t="s">
        <v>137</v>
      </c>
      <c r="R25" s="78" t="s">
        <v>35</v>
      </c>
      <c r="T25" s="78" t="s">
        <v>133</v>
      </c>
      <c r="Y25" s="34" t="s">
        <v>134</v>
      </c>
    </row>
    <row r="26" s="45" customFormat="1" spans="1:22">
      <c r="A26" s="37">
        <v>24</v>
      </c>
      <c r="B26" s="45" t="s">
        <v>30</v>
      </c>
      <c r="C26" s="45" t="s">
        <v>128</v>
      </c>
      <c r="D26" s="45" t="s">
        <v>138</v>
      </c>
      <c r="E26" s="80" t="s">
        <v>139</v>
      </c>
      <c r="F26" s="80"/>
      <c r="G26" s="80" t="s">
        <v>52</v>
      </c>
      <c r="H26" s="83">
        <v>44000</v>
      </c>
      <c r="I26" s="83"/>
      <c r="J26" s="91"/>
      <c r="K26" s="83">
        <v>-1257.54</v>
      </c>
      <c r="L26" s="44">
        <f ca="1">-K26-VLOOKUP(D26,planA!$A$1:$K$10,11,0)</f>
        <v>-30617.1783333333</v>
      </c>
      <c r="M26" s="44">
        <f ca="1">IF(TODAY()&lt;J26,I26,H26)+K26</f>
        <v>42742.46</v>
      </c>
      <c r="N26" s="44">
        <v>49765</v>
      </c>
      <c r="O26" s="45">
        <v>25</v>
      </c>
      <c r="P26" s="45">
        <v>13</v>
      </c>
      <c r="Q26" s="80" t="s">
        <v>140</v>
      </c>
      <c r="R26" s="80" t="s">
        <v>35</v>
      </c>
      <c r="S26" s="80" t="s">
        <v>35</v>
      </c>
      <c r="T26" s="80"/>
      <c r="U26" s="80"/>
      <c r="V26" s="80"/>
    </row>
    <row r="27" spans="1:18">
      <c r="A27" s="37">
        <v>25</v>
      </c>
      <c r="B27" s="34" t="s">
        <v>141</v>
      </c>
      <c r="C27" s="34" t="s">
        <v>142</v>
      </c>
      <c r="D27" s="34" t="s">
        <v>143</v>
      </c>
      <c r="E27" s="78" t="s">
        <v>144</v>
      </c>
      <c r="K27" s="43">
        <v>48.85</v>
      </c>
      <c r="R27" s="78" t="s">
        <v>37</v>
      </c>
    </row>
    <row r="28" spans="1:20">
      <c r="A28" s="37">
        <v>26</v>
      </c>
      <c r="B28" s="34" t="s">
        <v>145</v>
      </c>
      <c r="C28" s="34" t="s">
        <v>142</v>
      </c>
      <c r="D28" s="34" t="s">
        <v>146</v>
      </c>
      <c r="E28" s="78" t="s">
        <v>147</v>
      </c>
      <c r="H28" s="79"/>
      <c r="I28" s="79"/>
      <c r="J28" s="88"/>
      <c r="K28" s="79">
        <v>76.66</v>
      </c>
      <c r="L28" s="79"/>
      <c r="R28" s="78" t="s">
        <v>37</v>
      </c>
      <c r="T28" s="78" t="s">
        <v>148</v>
      </c>
    </row>
    <row r="29" s="45" customFormat="1" spans="1:22">
      <c r="A29" s="45">
        <v>27</v>
      </c>
      <c r="B29" s="45" t="s">
        <v>30</v>
      </c>
      <c r="C29" s="45" t="s">
        <v>142</v>
      </c>
      <c r="D29" s="45" t="s">
        <v>149</v>
      </c>
      <c r="E29" s="80" t="s">
        <v>150</v>
      </c>
      <c r="F29" s="80"/>
      <c r="G29" s="80" t="s">
        <v>109</v>
      </c>
      <c r="H29" s="83">
        <v>3000</v>
      </c>
      <c r="I29" s="83"/>
      <c r="J29" s="91"/>
      <c r="K29" s="83">
        <v>0</v>
      </c>
      <c r="L29" s="83"/>
      <c r="M29" s="44"/>
      <c r="N29" s="44"/>
      <c r="O29" s="45">
        <v>12</v>
      </c>
      <c r="P29" s="45">
        <v>5</v>
      </c>
      <c r="Q29" s="80" t="s">
        <v>151</v>
      </c>
      <c r="R29" s="80" t="s">
        <v>35</v>
      </c>
      <c r="S29" s="80"/>
      <c r="T29" s="80"/>
      <c r="U29" s="80" t="s">
        <v>37</v>
      </c>
      <c r="V29" s="80"/>
    </row>
    <row r="30" spans="1:24">
      <c r="A30" s="37">
        <v>28</v>
      </c>
      <c r="B30" s="34" t="s">
        <v>141</v>
      </c>
      <c r="C30" s="34" t="s">
        <v>152</v>
      </c>
      <c r="D30" s="34" t="s">
        <v>153</v>
      </c>
      <c r="E30" s="78" t="s">
        <v>154</v>
      </c>
      <c r="H30" s="79"/>
      <c r="I30" s="79"/>
      <c r="J30" s="88"/>
      <c r="K30" s="79">
        <v>600</v>
      </c>
      <c r="L30" s="79"/>
      <c r="R30" s="78" t="s">
        <v>37</v>
      </c>
      <c r="T30" s="78" t="s">
        <v>133</v>
      </c>
      <c r="W30" s="37" t="s">
        <v>155</v>
      </c>
      <c r="X30" s="37" t="s">
        <v>133</v>
      </c>
    </row>
    <row r="31" spans="1:25">
      <c r="A31" s="37">
        <v>29</v>
      </c>
      <c r="B31" s="34" t="s">
        <v>24</v>
      </c>
      <c r="C31" s="34" t="s">
        <v>156</v>
      </c>
      <c r="D31" s="34" t="s">
        <v>157</v>
      </c>
      <c r="E31" s="78" t="s">
        <v>158</v>
      </c>
      <c r="G31" s="78" t="s">
        <v>159</v>
      </c>
      <c r="K31" s="43">
        <v>10</v>
      </c>
      <c r="R31" s="78" t="s">
        <v>37</v>
      </c>
      <c r="T31" s="68" t="s">
        <v>160</v>
      </c>
      <c r="Y31" s="34" t="s">
        <v>49</v>
      </c>
    </row>
    <row r="32" spans="1:18">
      <c r="A32" s="37">
        <v>30</v>
      </c>
      <c r="B32" s="34" t="s">
        <v>24</v>
      </c>
      <c r="C32" s="34" t="s">
        <v>161</v>
      </c>
      <c r="D32" s="34" t="s">
        <v>162</v>
      </c>
      <c r="E32" s="78" t="s">
        <v>163</v>
      </c>
      <c r="G32" s="78" t="s">
        <v>41</v>
      </c>
      <c r="K32" s="43">
        <v>2000</v>
      </c>
      <c r="Q32" s="68" t="s">
        <v>164</v>
      </c>
      <c r="R32" s="78" t="s">
        <v>37</v>
      </c>
    </row>
    <row r="33" s="53" customFormat="1" spans="1:22">
      <c r="A33" s="85">
        <v>31</v>
      </c>
      <c r="B33" s="53" t="s">
        <v>30</v>
      </c>
      <c r="C33" s="53" t="s">
        <v>161</v>
      </c>
      <c r="D33" s="53" t="s">
        <v>165</v>
      </c>
      <c r="E33" s="86" t="s">
        <v>166</v>
      </c>
      <c r="F33" s="87"/>
      <c r="G33" s="86" t="s">
        <v>167</v>
      </c>
      <c r="H33" s="52">
        <v>35000</v>
      </c>
      <c r="I33" s="52"/>
      <c r="J33" s="93"/>
      <c r="K33" s="52">
        <v>0</v>
      </c>
      <c r="L33" s="52"/>
      <c r="M33" s="52"/>
      <c r="N33" s="52"/>
      <c r="O33" s="53">
        <v>1</v>
      </c>
      <c r="P33" s="53">
        <v>25</v>
      </c>
      <c r="Q33" s="87" t="s">
        <v>168</v>
      </c>
      <c r="R33" s="86" t="s">
        <v>35</v>
      </c>
      <c r="S33" s="87" t="s">
        <v>37</v>
      </c>
      <c r="T33" s="87"/>
      <c r="U33" s="87"/>
      <c r="V33" s="87"/>
    </row>
    <row r="34" spans="1:10">
      <c r="A34" s="37"/>
      <c r="J34" s="77">
        <f ca="1">TODAY()</f>
        <v>42957</v>
      </c>
    </row>
  </sheetData>
  <conditionalFormatting sqref="J12">
    <cfRule type="cellIs" dxfId="0" priority="2" operator="lessThan">
      <formula>$J$34+3</formula>
    </cfRule>
  </conditionalFormatting>
  <conditionalFormatting sqref="J20">
    <cfRule type="cellIs" dxfId="0" priority="3" operator="lessThan">
      <formula>$J$34+3</formula>
    </cfRule>
  </conditionalFormatting>
  <conditionalFormatting sqref="J21">
    <cfRule type="cellIs" dxfId="0" priority="4" operator="lessThan">
      <formula>$J$34+3</formula>
    </cfRule>
  </conditionalFormatting>
  <conditionalFormatting sqref="J25">
    <cfRule type="cellIs" dxfId="0" priority="5" operator="lessThan">
      <formula>$J$34+3</formula>
    </cfRule>
  </conditionalFormatting>
  <conditionalFormatting sqref="J1:J11 J13:J19 J22:J24 J26:J1048576">
    <cfRule type="cellIs" dxfId="0" priority="6" operator="lessThan">
      <formula>$J$34+3</formula>
    </cfRule>
  </conditionalFormatting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F18" sqref="F18"/>
    </sheetView>
  </sheetViews>
  <sheetFormatPr defaultColWidth="9" defaultRowHeight="13.5" outlineLevelRow="2"/>
  <cols>
    <col min="1" max="1" width="10.3416666666667" customWidth="1"/>
    <col min="2" max="2" width="17.2333333333333" customWidth="1"/>
    <col min="3" max="5" width="10.3416666666667" customWidth="1"/>
    <col min="6" max="6" width="13.7833333333333" customWidth="1"/>
    <col min="7" max="9" width="10.3416666666667" customWidth="1"/>
    <col min="10" max="10" width="21.5333333333333" customWidth="1"/>
    <col min="11" max="11" width="14.2166666666667" customWidth="1"/>
    <col min="12" max="1025" width="10.3416666666667" customWidth="1"/>
  </cols>
  <sheetData>
    <row r="1" spans="1:13">
      <c r="A1" t="s">
        <v>481</v>
      </c>
      <c r="B1" t="s">
        <v>482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269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</row>
    <row r="2" spans="1:13">
      <c r="A2" t="s">
        <v>102</v>
      </c>
      <c r="B2" t="s">
        <v>493</v>
      </c>
      <c r="C2" t="s">
        <v>494</v>
      </c>
      <c r="D2" s="17" t="s">
        <v>495</v>
      </c>
      <c r="E2">
        <v>253.3</v>
      </c>
      <c r="F2" t="s">
        <v>496</v>
      </c>
      <c r="G2">
        <v>10</v>
      </c>
      <c r="H2" t="s">
        <v>497</v>
      </c>
      <c r="I2">
        <v>814</v>
      </c>
      <c r="J2" s="17" t="s">
        <v>498</v>
      </c>
      <c r="K2" s="17" t="s">
        <v>499</v>
      </c>
      <c r="L2" t="s">
        <v>500</v>
      </c>
      <c r="M2">
        <v>831</v>
      </c>
    </row>
    <row r="3" spans="1:11">
      <c r="A3" s="18" t="s">
        <v>116</v>
      </c>
      <c r="B3" s="18"/>
      <c r="C3" s="18" t="s">
        <v>494</v>
      </c>
      <c r="D3" s="19" t="s">
        <v>495</v>
      </c>
      <c r="E3" s="18">
        <v>416</v>
      </c>
      <c r="F3" s="18" t="s">
        <v>501</v>
      </c>
      <c r="G3" s="18">
        <v>20</v>
      </c>
      <c r="H3" s="18" t="s">
        <v>502</v>
      </c>
      <c r="I3" s="18"/>
      <c r="J3" s="19" t="s">
        <v>503</v>
      </c>
      <c r="K3" s="18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F22" sqref="F22"/>
    </sheetView>
  </sheetViews>
  <sheetFormatPr defaultColWidth="9" defaultRowHeight="13.5"/>
  <cols>
    <col min="1" max="4" width="10.3416666666667" customWidth="1"/>
    <col min="5" max="5" width="11.9166666666667" style="1" customWidth="1"/>
    <col min="6" max="6" width="10.3416666666667" customWidth="1"/>
    <col min="7" max="7" width="10.7666666666667" style="1" customWidth="1"/>
    <col min="8" max="9" width="10.3416666666667" style="2" customWidth="1"/>
    <col min="10" max="10" width="10.7666666666667" style="1" customWidth="1"/>
    <col min="11" max="1025" width="10.3416666666667" customWidth="1"/>
  </cols>
  <sheetData>
    <row r="1" spans="1:10">
      <c r="A1" s="3" t="s">
        <v>504</v>
      </c>
      <c r="B1" s="3" t="s">
        <v>505</v>
      </c>
      <c r="C1" s="3" t="s">
        <v>506</v>
      </c>
      <c r="D1" s="3" t="s">
        <v>507</v>
      </c>
      <c r="E1" s="4" t="s">
        <v>508</v>
      </c>
      <c r="F1" s="3" t="s">
        <v>509</v>
      </c>
      <c r="G1" s="4" t="s">
        <v>510</v>
      </c>
      <c r="H1" s="5" t="s">
        <v>511</v>
      </c>
      <c r="I1" s="5" t="s">
        <v>512</v>
      </c>
      <c r="J1" s="4" t="s">
        <v>513</v>
      </c>
    </row>
    <row r="2" spans="1:10">
      <c r="A2" s="6" t="s">
        <v>514</v>
      </c>
      <c r="B2" s="6">
        <v>120</v>
      </c>
      <c r="C2" s="6">
        <v>30</v>
      </c>
      <c r="D2" s="6">
        <v>0</v>
      </c>
      <c r="E2" s="7">
        <f t="shared" ref="E2:E15" si="0">D2/C2</f>
        <v>0</v>
      </c>
      <c r="F2" s="6">
        <f t="shared" ref="F2:F13" si="1">B2-C2-D2</f>
        <v>90</v>
      </c>
      <c r="G2" s="7">
        <f t="shared" ref="G2:G15" si="2">F2/C2</f>
        <v>3</v>
      </c>
      <c r="H2" s="8">
        <f ca="1">(TODAY()-DATE(2008,9,1))/365</f>
        <v>8.94520547945205</v>
      </c>
      <c r="I2" s="8">
        <f ca="1" t="shared" ref="I2:I12" si="3">F2/H2</f>
        <v>10.0612557427259</v>
      </c>
      <c r="J2" s="7">
        <f ca="1" t="shared" ref="J2:J15" si="4">I2/C2</f>
        <v>0.335375191424196</v>
      </c>
    </row>
    <row r="3" spans="1:10">
      <c r="A3" s="6" t="s">
        <v>515</v>
      </c>
      <c r="B3" s="6">
        <v>300</v>
      </c>
      <c r="C3" s="6">
        <v>70</v>
      </c>
      <c r="D3" s="6">
        <v>67</v>
      </c>
      <c r="E3" s="7">
        <f t="shared" si="0"/>
        <v>0.957142857142857</v>
      </c>
      <c r="F3" s="6">
        <f t="shared" si="1"/>
        <v>163</v>
      </c>
      <c r="G3" s="7">
        <f t="shared" si="2"/>
        <v>2.32857142857143</v>
      </c>
      <c r="H3" s="8">
        <f ca="1">(TODAY()-DATE(2013,7,1))/365</f>
        <v>4.11232876712329</v>
      </c>
      <c r="I3" s="8">
        <f ca="1" t="shared" si="3"/>
        <v>39.636908727515</v>
      </c>
      <c r="J3" s="7">
        <f ca="1" t="shared" si="4"/>
        <v>0.566241553250214</v>
      </c>
    </row>
    <row r="4" spans="1:10">
      <c r="A4" s="6" t="s">
        <v>516</v>
      </c>
      <c r="B4" s="6">
        <v>200</v>
      </c>
      <c r="C4" s="6">
        <v>99</v>
      </c>
      <c r="D4" s="6">
        <v>22</v>
      </c>
      <c r="E4" s="7">
        <f t="shared" si="0"/>
        <v>0.222222222222222</v>
      </c>
      <c r="F4" s="6">
        <f t="shared" si="1"/>
        <v>79</v>
      </c>
      <c r="G4" s="7">
        <f t="shared" si="2"/>
        <v>0.797979797979798</v>
      </c>
      <c r="H4" s="8">
        <f ca="1">(TODAY()-DATE(2015,4,1))/365</f>
        <v>2.36164383561644</v>
      </c>
      <c r="I4" s="8">
        <f ca="1" t="shared" si="3"/>
        <v>33.4512761020882</v>
      </c>
      <c r="J4" s="7">
        <f ca="1" t="shared" si="4"/>
        <v>0.33789167779887</v>
      </c>
    </row>
    <row r="5" spans="1:10">
      <c r="A5" s="9" t="s">
        <v>517</v>
      </c>
      <c r="B5" s="9">
        <v>0.5</v>
      </c>
      <c r="C5" s="9">
        <v>0.3</v>
      </c>
      <c r="D5" s="9">
        <v>0</v>
      </c>
      <c r="E5" s="10">
        <f t="shared" si="0"/>
        <v>0</v>
      </c>
      <c r="F5" s="9">
        <f t="shared" si="1"/>
        <v>0.2</v>
      </c>
      <c r="G5" s="10">
        <f t="shared" si="2"/>
        <v>0.666666666666667</v>
      </c>
      <c r="H5" s="11">
        <f ca="1">(TODAY()-DATE(2015,6,1))/365</f>
        <v>2.19452054794521</v>
      </c>
      <c r="I5" s="11">
        <f ca="1" t="shared" si="3"/>
        <v>0.0911360799001248</v>
      </c>
      <c r="J5" s="10">
        <f ca="1" t="shared" si="4"/>
        <v>0.303786933000416</v>
      </c>
    </row>
    <row r="6" spans="1:10">
      <c r="A6" s="9" t="s">
        <v>518</v>
      </c>
      <c r="B6" s="9">
        <v>1.8</v>
      </c>
      <c r="C6" s="9">
        <v>3</v>
      </c>
      <c r="D6" s="9">
        <v>0</v>
      </c>
      <c r="E6" s="10">
        <f t="shared" si="0"/>
        <v>0</v>
      </c>
      <c r="F6" s="9">
        <f t="shared" si="1"/>
        <v>-1.2</v>
      </c>
      <c r="G6" s="10">
        <f t="shared" si="2"/>
        <v>-0.4</v>
      </c>
      <c r="H6" s="11">
        <f ca="1">(TODAY()-DATE(2016,6,1))/365</f>
        <v>1.19178082191781</v>
      </c>
      <c r="I6" s="11">
        <f ca="1" t="shared" si="3"/>
        <v>-1.00689655172414</v>
      </c>
      <c r="J6" s="10">
        <f ca="1" t="shared" si="4"/>
        <v>-0.335632183908046</v>
      </c>
    </row>
    <row r="7" spans="1:10">
      <c r="A7" s="9" t="s">
        <v>519</v>
      </c>
      <c r="B7" s="9">
        <v>8.8</v>
      </c>
      <c r="C7" s="9">
        <v>11.8</v>
      </c>
      <c r="D7" s="9">
        <v>0</v>
      </c>
      <c r="E7" s="10">
        <f t="shared" si="0"/>
        <v>0</v>
      </c>
      <c r="F7" s="9">
        <f t="shared" si="1"/>
        <v>-3</v>
      </c>
      <c r="G7" s="10">
        <f t="shared" si="2"/>
        <v>-0.254237288135593</v>
      </c>
      <c r="H7" s="11">
        <f ca="1">(TODAY()-DATE(2016,8,25))/365</f>
        <v>0.958904109589041</v>
      </c>
      <c r="I7" s="11">
        <f ca="1" t="shared" si="3"/>
        <v>-3.12857142857143</v>
      </c>
      <c r="J7" s="10">
        <f ca="1" t="shared" si="4"/>
        <v>-0.265133171912833</v>
      </c>
    </row>
    <row r="8" spans="1:10">
      <c r="A8" s="9" t="s">
        <v>176</v>
      </c>
      <c r="B8" s="9">
        <v>0.2</v>
      </c>
      <c r="C8" s="9">
        <v>0.2</v>
      </c>
      <c r="D8" s="9">
        <v>0</v>
      </c>
      <c r="E8" s="10">
        <f t="shared" si="0"/>
        <v>0</v>
      </c>
      <c r="F8" s="9">
        <f t="shared" si="1"/>
        <v>0</v>
      </c>
      <c r="G8" s="10">
        <f t="shared" si="2"/>
        <v>0</v>
      </c>
      <c r="H8" s="11">
        <v>1</v>
      </c>
      <c r="I8" s="11">
        <f ca="1" t="shared" si="3"/>
        <v>0</v>
      </c>
      <c r="J8" s="10">
        <f ca="1" t="shared" si="4"/>
        <v>0</v>
      </c>
    </row>
    <row r="9" spans="1:10">
      <c r="A9" s="9" t="s">
        <v>520</v>
      </c>
      <c r="B9" s="9">
        <v>12</v>
      </c>
      <c r="C9" s="9">
        <v>0.6</v>
      </c>
      <c r="D9" s="9">
        <v>10.6</v>
      </c>
      <c r="E9" s="10">
        <f t="shared" si="0"/>
        <v>17.6666666666667</v>
      </c>
      <c r="F9" s="9">
        <f t="shared" si="1"/>
        <v>0.800000000000001</v>
      </c>
      <c r="G9" s="10">
        <f t="shared" si="2"/>
        <v>1.33333333333333</v>
      </c>
      <c r="H9" s="11">
        <f ca="1">(TODAY()-DATE(2016,6,1))/365</f>
        <v>1.19178082191781</v>
      </c>
      <c r="I9" s="11">
        <f ca="1" t="shared" si="3"/>
        <v>0.671264367816093</v>
      </c>
      <c r="J9" s="10">
        <f ca="1" t="shared" si="4"/>
        <v>1.11877394636015</v>
      </c>
    </row>
    <row r="10" spans="1:10">
      <c r="A10" s="9" t="s">
        <v>521</v>
      </c>
      <c r="B10" s="9">
        <v>0.01</v>
      </c>
      <c r="C10" s="9">
        <v>0.01</v>
      </c>
      <c r="D10" s="9">
        <v>0</v>
      </c>
      <c r="E10" s="10">
        <f t="shared" si="0"/>
        <v>0</v>
      </c>
      <c r="F10" s="9">
        <f t="shared" si="1"/>
        <v>0</v>
      </c>
      <c r="G10" s="10">
        <f t="shared" si="2"/>
        <v>0</v>
      </c>
      <c r="H10" s="11">
        <v>0.3</v>
      </c>
      <c r="I10" s="11">
        <f ca="1" t="shared" si="3"/>
        <v>0</v>
      </c>
      <c r="J10" s="10">
        <f ca="1" t="shared" si="4"/>
        <v>0</v>
      </c>
    </row>
    <row r="11" spans="1:10">
      <c r="A11" s="12" t="s">
        <v>522</v>
      </c>
      <c r="B11" s="9">
        <v>93</v>
      </c>
      <c r="C11" s="9">
        <f>0.08+0.5+0.15*2+0.06*1+0.56+2.5+2</f>
        <v>6</v>
      </c>
      <c r="D11" s="9">
        <v>74</v>
      </c>
      <c r="E11" s="10">
        <f t="shared" si="0"/>
        <v>12.3333333333333</v>
      </c>
      <c r="F11" s="9">
        <f t="shared" si="1"/>
        <v>13</v>
      </c>
      <c r="G11" s="10">
        <f t="shared" si="2"/>
        <v>2.16666666666667</v>
      </c>
      <c r="H11" s="11">
        <f ca="1">(TODAY()-DATE(2016,5,26))/365</f>
        <v>1.20821917808219</v>
      </c>
      <c r="I11" s="11">
        <f ca="1" t="shared" si="3"/>
        <v>10.7596371882086</v>
      </c>
      <c r="J11" s="10">
        <f ca="1" t="shared" si="4"/>
        <v>1.79327286470144</v>
      </c>
    </row>
    <row r="12" spans="1:10">
      <c r="A12" s="12" t="s">
        <v>523</v>
      </c>
      <c r="B12" s="9">
        <v>10.6</v>
      </c>
      <c r="C12" s="9">
        <f>0.06*4</f>
        <v>0.24</v>
      </c>
      <c r="D12" s="9">
        <v>10</v>
      </c>
      <c r="E12" s="10">
        <f t="shared" si="0"/>
        <v>41.6666666666667</v>
      </c>
      <c r="F12" s="9">
        <f t="shared" si="1"/>
        <v>0.359999999999999</v>
      </c>
      <c r="G12" s="10">
        <f t="shared" si="2"/>
        <v>1.5</v>
      </c>
      <c r="H12" s="11">
        <f ca="1">(TODAY()-DATE(2016,9,1))/365</f>
        <v>0.93972602739726</v>
      </c>
      <c r="I12" s="11">
        <f ca="1" t="shared" si="3"/>
        <v>0.383090379008745</v>
      </c>
      <c r="J12" s="10">
        <f ca="1" t="shared" si="4"/>
        <v>1.59620991253644</v>
      </c>
    </row>
    <row r="13" spans="1:10">
      <c r="A13" s="13" t="s">
        <v>505</v>
      </c>
      <c r="B13" s="13">
        <f>SUM(B2:B12)</f>
        <v>746.91</v>
      </c>
      <c r="C13" s="13">
        <f>SUM(C2:C12)</f>
        <v>221.15</v>
      </c>
      <c r="D13" s="13">
        <f>SUM(D2:D12)</f>
        <v>183.6</v>
      </c>
      <c r="E13" s="14">
        <f t="shared" si="0"/>
        <v>0.830205742708569</v>
      </c>
      <c r="F13" s="13">
        <f t="shared" si="1"/>
        <v>342.16</v>
      </c>
      <c r="G13" s="14">
        <f t="shared" si="2"/>
        <v>1.54718516843771</v>
      </c>
      <c r="H13" s="15">
        <f ca="1" t="shared" ref="H13:H15" si="5">F13/I13</f>
        <v>3.76334563051958</v>
      </c>
      <c r="I13" s="15">
        <f ca="1">SUM(I2:I12)</f>
        <v>90.919100606967</v>
      </c>
      <c r="J13" s="14">
        <f ca="1" t="shared" si="4"/>
        <v>0.411119604824631</v>
      </c>
    </row>
    <row r="14" spans="1:10">
      <c r="A14" s="16" t="s">
        <v>524</v>
      </c>
      <c r="B14" s="6">
        <f t="shared" ref="B14:F14" si="6">SUM(B2:B4)</f>
        <v>620</v>
      </c>
      <c r="C14" s="6">
        <f t="shared" si="6"/>
        <v>199</v>
      </c>
      <c r="D14" s="6">
        <f t="shared" si="6"/>
        <v>89</v>
      </c>
      <c r="E14" s="7">
        <f t="shared" si="0"/>
        <v>0.447236180904523</v>
      </c>
      <c r="F14" s="6">
        <f t="shared" si="6"/>
        <v>332</v>
      </c>
      <c r="G14" s="7">
        <f t="shared" si="2"/>
        <v>1.66834170854271</v>
      </c>
      <c r="H14" s="8">
        <f ca="1" t="shared" si="5"/>
        <v>3.99281098844199</v>
      </c>
      <c r="I14" s="8">
        <f ca="1">SUM(I2:I4)</f>
        <v>83.149440572329</v>
      </c>
      <c r="J14" s="7">
        <f ca="1" t="shared" si="4"/>
        <v>0.417836384785573</v>
      </c>
    </row>
    <row r="15" spans="1:10">
      <c r="A15" s="12" t="s">
        <v>525</v>
      </c>
      <c r="B15" s="9">
        <f t="shared" ref="B15:F15" si="7">SUM(B5:B12)</f>
        <v>126.91</v>
      </c>
      <c r="C15" s="9">
        <f t="shared" si="7"/>
        <v>22.15</v>
      </c>
      <c r="D15" s="9">
        <f t="shared" si="7"/>
        <v>94.6</v>
      </c>
      <c r="E15" s="10">
        <f t="shared" si="0"/>
        <v>4.27088036117382</v>
      </c>
      <c r="F15" s="9">
        <f t="shared" si="7"/>
        <v>10.16</v>
      </c>
      <c r="G15" s="10">
        <f t="shared" si="2"/>
        <v>0.458690744920993</v>
      </c>
      <c r="H15" s="11">
        <f ca="1" t="shared" si="5"/>
        <v>1.30765052199267</v>
      </c>
      <c r="I15" s="11">
        <f ca="1">SUM(I5:I12)</f>
        <v>7.76966003463801</v>
      </c>
      <c r="J15" s="10">
        <f ca="1" t="shared" si="4"/>
        <v>0.35077471939675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H24" sqref="H24"/>
    </sheetView>
  </sheetViews>
  <sheetFormatPr defaultColWidth="9" defaultRowHeight="12"/>
  <cols>
    <col min="1" max="1" width="4.625" style="34" customWidth="1"/>
    <col min="2" max="2" width="9.5" style="34" customWidth="1"/>
    <col min="3" max="3" width="4.625" style="34" customWidth="1"/>
    <col min="4" max="6" width="10.125" style="34" customWidth="1"/>
    <col min="7" max="7" width="11.25" style="34" customWidth="1"/>
    <col min="8" max="10" width="14.875" style="34" customWidth="1"/>
    <col min="11" max="1025" width="10.3416666666667" style="34" customWidth="1"/>
    <col min="1026" max="16384" width="9" style="34"/>
  </cols>
  <sheetData>
    <row r="1" spans="1:10">
      <c r="A1" s="34" t="s">
        <v>0</v>
      </c>
      <c r="B1" s="34" t="s">
        <v>3</v>
      </c>
      <c r="C1" s="34" t="s">
        <v>10</v>
      </c>
      <c r="D1" s="34" t="s">
        <v>169</v>
      </c>
      <c r="E1" s="34" t="s">
        <v>170</v>
      </c>
      <c r="F1" s="34" t="s">
        <v>171</v>
      </c>
      <c r="G1" s="34" t="s">
        <v>172</v>
      </c>
      <c r="H1" s="34" t="s">
        <v>173</v>
      </c>
      <c r="I1" s="34" t="s">
        <v>174</v>
      </c>
      <c r="J1" s="34" t="s">
        <v>175</v>
      </c>
    </row>
    <row r="2" spans="1:3">
      <c r="A2" s="34">
        <v>1</v>
      </c>
      <c r="B2" s="34" t="s">
        <v>176</v>
      </c>
      <c r="C2" s="34">
        <v>484</v>
      </c>
    </row>
    <row r="3" s="45" customFormat="1" spans="1:10">
      <c r="A3" s="45">
        <v>2</v>
      </c>
      <c r="B3" s="45" t="s">
        <v>177</v>
      </c>
      <c r="C3" s="45">
        <v>0</v>
      </c>
      <c r="F3" s="45">
        <v>20</v>
      </c>
      <c r="G3" s="45">
        <v>13000</v>
      </c>
      <c r="H3" s="75">
        <v>39496</v>
      </c>
      <c r="I3" s="75">
        <v>46387</v>
      </c>
      <c r="J3" s="45" t="s">
        <v>88</v>
      </c>
    </row>
    <row r="4" spans="1:10">
      <c r="A4" s="34">
        <v>3</v>
      </c>
      <c r="B4" s="34" t="s">
        <v>178</v>
      </c>
      <c r="C4" s="34">
        <v>0</v>
      </c>
      <c r="E4" s="34">
        <v>2</v>
      </c>
      <c r="F4" s="34">
        <v>10</v>
      </c>
      <c r="G4" s="34">
        <v>30000</v>
      </c>
      <c r="H4" s="36">
        <v>39496</v>
      </c>
      <c r="I4" s="36">
        <v>46387</v>
      </c>
      <c r="J4" s="34" t="s">
        <v>88</v>
      </c>
    </row>
    <row r="5" spans="1:10">
      <c r="A5" s="34">
        <v>4</v>
      </c>
      <c r="B5" s="34" t="s">
        <v>179</v>
      </c>
      <c r="C5" s="34">
        <v>0</v>
      </c>
      <c r="F5" s="34">
        <v>11</v>
      </c>
      <c r="G5" s="34">
        <v>100</v>
      </c>
      <c r="H5" s="36">
        <v>39496</v>
      </c>
      <c r="I5" s="36">
        <v>46387</v>
      </c>
      <c r="J5" s="34" t="s">
        <v>88</v>
      </c>
    </row>
    <row r="6" s="45" customFormat="1" spans="1:10">
      <c r="A6" s="45">
        <v>5</v>
      </c>
      <c r="B6" s="45" t="s">
        <v>180</v>
      </c>
      <c r="C6" s="45">
        <v>0</v>
      </c>
      <c r="F6" s="76">
        <v>5</v>
      </c>
      <c r="G6" s="76">
        <v>-1200</v>
      </c>
      <c r="H6" s="75">
        <v>41671</v>
      </c>
      <c r="I6" s="75">
        <v>42947</v>
      </c>
      <c r="J6" s="45" t="s">
        <v>88</v>
      </c>
    </row>
    <row r="7" s="45" customFormat="1" spans="1:10">
      <c r="A7" s="45">
        <v>6</v>
      </c>
      <c r="B7" s="45" t="s">
        <v>181</v>
      </c>
      <c r="C7" s="45">
        <v>0</v>
      </c>
      <c r="F7" s="76">
        <v>13</v>
      </c>
      <c r="G7" s="76">
        <v>-1750</v>
      </c>
      <c r="H7" s="75">
        <v>42644</v>
      </c>
      <c r="I7" s="75">
        <v>43739</v>
      </c>
      <c r="J7" s="45" t="s">
        <v>97</v>
      </c>
    </row>
    <row r="8" spans="1:10">
      <c r="A8" s="45">
        <v>6</v>
      </c>
      <c r="B8" s="45" t="s">
        <v>181</v>
      </c>
      <c r="C8" s="45">
        <v>0</v>
      </c>
      <c r="D8" s="45"/>
      <c r="E8" s="45">
        <v>10</v>
      </c>
      <c r="G8" s="45">
        <v>-50000</v>
      </c>
      <c r="H8" s="75">
        <v>42644</v>
      </c>
      <c r="I8" s="75">
        <v>43739</v>
      </c>
      <c r="J8" s="45" t="s">
        <v>97</v>
      </c>
    </row>
    <row r="9" spans="1:10">
      <c r="A9" s="45">
        <v>7</v>
      </c>
      <c r="B9" s="45" t="s">
        <v>182</v>
      </c>
      <c r="C9" s="45">
        <v>0</v>
      </c>
      <c r="D9" s="45"/>
      <c r="F9" s="76">
        <v>19</v>
      </c>
      <c r="G9" s="76">
        <v>-9482</v>
      </c>
      <c r="H9" s="75">
        <v>41456</v>
      </c>
      <c r="I9" s="75">
        <v>45138</v>
      </c>
      <c r="J9" s="45" t="s">
        <v>94</v>
      </c>
    </row>
    <row r="10" spans="1:10">
      <c r="A10" s="45">
        <v>8</v>
      </c>
      <c r="B10" s="45" t="s">
        <v>183</v>
      </c>
      <c r="C10" s="45">
        <v>0</v>
      </c>
      <c r="F10" s="76">
        <v>20</v>
      </c>
      <c r="G10" s="76">
        <v>-1522.5</v>
      </c>
      <c r="H10" s="75">
        <v>42571</v>
      </c>
      <c r="I10" s="75">
        <v>42936</v>
      </c>
      <c r="J10" s="45" t="s">
        <v>94</v>
      </c>
    </row>
    <row r="11" spans="1:10">
      <c r="A11" s="45">
        <v>8</v>
      </c>
      <c r="B11" s="45" t="s">
        <v>183</v>
      </c>
      <c r="C11" s="45">
        <v>0</v>
      </c>
      <c r="E11" s="45">
        <v>7</v>
      </c>
      <c r="G11" s="45">
        <v>-30000</v>
      </c>
      <c r="H11" s="75">
        <v>42571</v>
      </c>
      <c r="I11" s="75">
        <v>42936</v>
      </c>
      <c r="J11" s="45" t="s">
        <v>94</v>
      </c>
    </row>
    <row r="12" spans="1:10">
      <c r="A12" s="34">
        <v>9</v>
      </c>
      <c r="B12" s="34" t="s">
        <v>184</v>
      </c>
      <c r="C12" s="34">
        <v>0</v>
      </c>
      <c r="E12" s="34">
        <v>2</v>
      </c>
      <c r="F12" s="34">
        <v>25</v>
      </c>
      <c r="G12" s="34">
        <v>40000</v>
      </c>
      <c r="H12" s="36">
        <v>41821</v>
      </c>
      <c r="I12" s="36">
        <v>42552</v>
      </c>
      <c r="J12" s="34" t="s">
        <v>88</v>
      </c>
    </row>
    <row r="13" spans="1:10">
      <c r="A13" s="34">
        <v>10</v>
      </c>
      <c r="B13" s="34" t="s">
        <v>184</v>
      </c>
      <c r="C13" s="34">
        <v>0</v>
      </c>
      <c r="E13" s="34">
        <v>8</v>
      </c>
      <c r="F13" s="34">
        <v>25</v>
      </c>
      <c r="G13" s="34">
        <v>40000</v>
      </c>
      <c r="H13" s="36">
        <v>41821</v>
      </c>
      <c r="I13" s="36">
        <v>42552</v>
      </c>
      <c r="J13" s="34" t="s">
        <v>88</v>
      </c>
    </row>
    <row r="14" spans="1:10">
      <c r="A14" s="34">
        <v>11</v>
      </c>
      <c r="B14" s="34" t="s">
        <v>185</v>
      </c>
      <c r="C14" s="34">
        <v>0</v>
      </c>
      <c r="F14" s="34">
        <v>2</v>
      </c>
      <c r="G14" s="34">
        <v>-4000</v>
      </c>
      <c r="H14" s="36">
        <v>41456</v>
      </c>
      <c r="I14" s="36">
        <v>45138</v>
      </c>
      <c r="J14" s="34" t="s">
        <v>100</v>
      </c>
    </row>
    <row r="15" spans="1:10">
      <c r="A15" s="34">
        <v>12</v>
      </c>
      <c r="B15" s="34" t="s">
        <v>186</v>
      </c>
      <c r="C15" s="34">
        <v>0</v>
      </c>
      <c r="F15" s="34">
        <v>20</v>
      </c>
      <c r="G15" s="34">
        <v>-2000</v>
      </c>
      <c r="H15" s="36">
        <v>41456</v>
      </c>
      <c r="I15" s="36">
        <v>45138</v>
      </c>
      <c r="J15" s="34" t="s">
        <v>88</v>
      </c>
    </row>
    <row r="16" spans="1:10">
      <c r="A16" s="34">
        <v>13</v>
      </c>
      <c r="B16" s="34" t="s">
        <v>187</v>
      </c>
      <c r="C16" s="34">
        <v>0</v>
      </c>
      <c r="F16" s="34">
        <v>13</v>
      </c>
      <c r="G16" s="34">
        <v>-4000</v>
      </c>
      <c r="H16" s="36">
        <v>41456</v>
      </c>
      <c r="I16" s="36">
        <v>45138</v>
      </c>
      <c r="J16" s="34" t="s">
        <v>100</v>
      </c>
    </row>
    <row r="17" spans="1:10">
      <c r="A17" s="34">
        <v>14</v>
      </c>
      <c r="B17" s="34" t="s">
        <v>188</v>
      </c>
      <c r="C17" s="34">
        <v>0</v>
      </c>
      <c r="D17" s="34">
        <v>2017</v>
      </c>
      <c r="E17" s="34">
        <v>4</v>
      </c>
      <c r="F17" s="34">
        <v>30</v>
      </c>
      <c r="G17" s="34">
        <v>-120000</v>
      </c>
      <c r="H17" s="36">
        <v>42855</v>
      </c>
      <c r="I17" s="36">
        <v>42855</v>
      </c>
      <c r="J17" s="34" t="s">
        <v>88</v>
      </c>
    </row>
    <row r="18" spans="1:10">
      <c r="A18" s="34">
        <v>15</v>
      </c>
      <c r="B18" s="34" t="s">
        <v>189</v>
      </c>
      <c r="C18" s="34">
        <v>0</v>
      </c>
      <c r="F18" s="34">
        <v>1</v>
      </c>
      <c r="G18" s="34">
        <v>-3000</v>
      </c>
      <c r="H18" s="36">
        <v>42856</v>
      </c>
      <c r="I18" s="36">
        <v>43221</v>
      </c>
      <c r="J18" s="34" t="s">
        <v>88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3.5"/>
  <cols>
    <col min="1" max="1" width="12.4916666666667" style="34" customWidth="1"/>
    <col min="2" max="2" width="8.46666666666667" style="34" customWidth="1"/>
    <col min="3" max="3" width="4.625" style="34" customWidth="1"/>
    <col min="4" max="4" width="4.625" style="43" customWidth="1"/>
    <col min="5" max="5" width="10.7666666666667" style="34" customWidth="1"/>
    <col min="6" max="6" width="7.875" style="34" customWidth="1"/>
    <col min="7" max="7" width="10.3416666666667" style="34" customWidth="1"/>
    <col min="8" max="8" width="6.25" style="34" customWidth="1"/>
    <col min="9" max="9" width="10.125" style="34" customWidth="1"/>
    <col min="10" max="10" width="7.875" style="34" customWidth="1"/>
    <col min="11" max="11" width="11.9166666666667" style="34" customWidth="1"/>
    <col min="12" max="12" width="11.25" style="34" customWidth="1"/>
    <col min="13" max="13" width="10.125" style="34" customWidth="1"/>
    <col min="14" max="14" width="7.875" style="34" customWidth="1"/>
    <col min="15" max="15" width="8.375" style="34" customWidth="1"/>
    <col min="16" max="17" width="7.33333333333333" style="34" customWidth="1"/>
    <col min="18" max="18" width="11.9166666666667" style="43" customWidth="1"/>
  </cols>
  <sheetData>
    <row r="1" spans="1:15">
      <c r="A1" s="34" t="s">
        <v>3</v>
      </c>
      <c r="B1" s="68" t="s">
        <v>190</v>
      </c>
      <c r="C1" s="68" t="s">
        <v>191</v>
      </c>
      <c r="D1" s="68" t="s">
        <v>192</v>
      </c>
      <c r="E1" s="68" t="s">
        <v>193</v>
      </c>
      <c r="F1" s="68" t="s">
        <v>194</v>
      </c>
      <c r="G1" s="68" t="s">
        <v>195</v>
      </c>
      <c r="H1" s="68" t="s">
        <v>196</v>
      </c>
      <c r="I1" s="68" t="s">
        <v>197</v>
      </c>
      <c r="J1" s="68" t="s">
        <v>198</v>
      </c>
      <c r="K1" s="43" t="s">
        <v>199</v>
      </c>
      <c r="L1" s="43" t="s">
        <v>200</v>
      </c>
      <c r="M1" s="43" t="s">
        <v>201</v>
      </c>
      <c r="N1" s="34" t="s">
        <v>202</v>
      </c>
      <c r="O1" s="34" t="s">
        <v>203</v>
      </c>
    </row>
    <row r="2" spans="1:17">
      <c r="A2" s="34" t="s">
        <v>107</v>
      </c>
      <c r="B2" s="46">
        <v>100000</v>
      </c>
      <c r="C2" s="69">
        <v>0.85</v>
      </c>
      <c r="D2" s="69">
        <v>0.75</v>
      </c>
      <c r="E2" s="34">
        <f>34889.4+21000</f>
        <v>55889.4</v>
      </c>
      <c r="F2" s="70">
        <v>0.0048</v>
      </c>
      <c r="G2" s="34">
        <f t="shared" ref="G2:G11" si="0">ROUND(E2*F2*H2,2)</f>
        <v>3219.23</v>
      </c>
      <c r="H2" s="34">
        <v>12</v>
      </c>
      <c r="I2" s="36">
        <v>42661</v>
      </c>
      <c r="J2" s="34">
        <f ca="1">IF(ISBLANK(I2),0,ROUNDDOWN((RA!$J$34-I2)/30,0))</f>
        <v>9</v>
      </c>
      <c r="K2" s="43">
        <f ca="1" t="shared" ref="K2:K12" si="1">IF(E2=0,0,E2/H2*(H2-J2-1))</f>
        <v>9314.9</v>
      </c>
      <c r="L2" s="43">
        <f ca="1" t="shared" ref="L2:L12" si="2">ROUND((RAND()*(C2-D2)+D2)*B2-K2,0)</f>
        <v>65702</v>
      </c>
      <c r="M2" s="70">
        <f ca="1" t="shared" ref="M2:M12" si="3">IF(B2=0,0,SUM(K2:L2)/B2)</f>
        <v>0.750169</v>
      </c>
      <c r="N2" s="34">
        <v>50000</v>
      </c>
      <c r="O2" s="34">
        <v>50000</v>
      </c>
      <c r="P2" s="34">
        <f ca="1" t="shared" ref="P2:P6" si="4">RANDBETWEEN(0.45*L2,0.55*L2)</f>
        <v>33977</v>
      </c>
      <c r="Q2" s="34">
        <f ca="1" t="shared" ref="Q2:Q6" si="5">L2-P2</f>
        <v>31725</v>
      </c>
    </row>
    <row r="3" spans="1:17">
      <c r="A3" s="34" t="s">
        <v>50</v>
      </c>
      <c r="B3" s="46">
        <v>84000</v>
      </c>
      <c r="C3" s="69">
        <v>0.85</v>
      </c>
      <c r="D3" s="69">
        <v>0.75</v>
      </c>
      <c r="E3" s="34">
        <f>30088</f>
        <v>30088</v>
      </c>
      <c r="F3" s="70">
        <v>0.0073</v>
      </c>
      <c r="G3" s="34">
        <f t="shared" si="0"/>
        <v>2635.71</v>
      </c>
      <c r="H3" s="34">
        <v>12</v>
      </c>
      <c r="I3" s="36">
        <v>42659</v>
      </c>
      <c r="J3" s="34">
        <f ca="1">IF(ISBLANK(I3),0,ROUNDDOWN((RA!$J$34-I3)/30,0))</f>
        <v>9</v>
      </c>
      <c r="K3" s="43">
        <f ca="1" t="shared" si="1"/>
        <v>5014.66666666667</v>
      </c>
      <c r="L3" s="43">
        <f ca="1" t="shared" si="2"/>
        <v>59782</v>
      </c>
      <c r="M3" s="70">
        <f ca="1" t="shared" si="3"/>
        <v>0.771388888888889</v>
      </c>
      <c r="N3" s="34">
        <v>50000</v>
      </c>
      <c r="O3" s="34">
        <v>50000</v>
      </c>
      <c r="P3" s="34">
        <f ca="1" t="shared" si="4"/>
        <v>29290</v>
      </c>
      <c r="Q3" s="34">
        <f ca="1" t="shared" si="5"/>
        <v>30492</v>
      </c>
    </row>
    <row r="4" spans="1:16">
      <c r="A4" s="34" t="s">
        <v>59</v>
      </c>
      <c r="B4" s="71">
        <v>50000</v>
      </c>
      <c r="C4" s="69">
        <v>0.85</v>
      </c>
      <c r="D4" s="69">
        <v>0.75</v>
      </c>
      <c r="E4" s="34">
        <f>17071+17360</f>
        <v>34431</v>
      </c>
      <c r="F4" s="70">
        <v>0.006</v>
      </c>
      <c r="G4" s="34">
        <f t="shared" si="0"/>
        <v>2479.03</v>
      </c>
      <c r="H4" s="34">
        <v>12</v>
      </c>
      <c r="I4" s="36">
        <v>42659</v>
      </c>
      <c r="J4" s="34">
        <f ca="1">IF(ISBLANK(I4),0,ROUNDDOWN((RA!$J$34-I4)/30,0))</f>
        <v>9</v>
      </c>
      <c r="K4" s="43">
        <f ca="1" t="shared" si="1"/>
        <v>5738.5</v>
      </c>
      <c r="L4" s="43">
        <f ca="1" t="shared" si="2"/>
        <v>33586</v>
      </c>
      <c r="M4" s="70">
        <f ca="1" t="shared" si="3"/>
        <v>0.78649</v>
      </c>
      <c r="N4" s="34">
        <v>20000</v>
      </c>
      <c r="O4" s="34">
        <v>20000</v>
      </c>
      <c r="P4" s="34">
        <f ca="1" t="shared" ref="P4:P12" si="6">L4</f>
        <v>33586</v>
      </c>
    </row>
    <row r="5" spans="1:16">
      <c r="A5" s="34" t="s">
        <v>70</v>
      </c>
      <c r="B5" s="71">
        <v>20000</v>
      </c>
      <c r="C5" s="69">
        <v>0.85</v>
      </c>
      <c r="D5" s="69">
        <v>0.75</v>
      </c>
      <c r="E5" s="34">
        <v>3980</v>
      </c>
      <c r="F5" s="70">
        <v>0</v>
      </c>
      <c r="G5" s="34">
        <f t="shared" si="0"/>
        <v>0</v>
      </c>
      <c r="H5" s="34">
        <v>12</v>
      </c>
      <c r="I5" s="36">
        <v>42683</v>
      </c>
      <c r="J5" s="34">
        <f ca="1">IF(ISBLANK(I5),0,ROUNDDOWN((RA!$J$34-I5)/30,0))</f>
        <v>9</v>
      </c>
      <c r="K5" s="43">
        <f ca="1" t="shared" si="1"/>
        <v>663.333333333333</v>
      </c>
      <c r="L5" s="43">
        <f ca="1" t="shared" si="2"/>
        <v>15873</v>
      </c>
      <c r="M5" s="70">
        <f ca="1" t="shared" si="3"/>
        <v>0.826816666666667</v>
      </c>
      <c r="N5" s="34">
        <v>20000</v>
      </c>
      <c r="O5" s="34">
        <v>20000</v>
      </c>
      <c r="P5" s="34">
        <f ca="1" t="shared" si="6"/>
        <v>15873</v>
      </c>
    </row>
    <row r="6" spans="1:17">
      <c r="A6" s="34" t="s">
        <v>100</v>
      </c>
      <c r="B6" s="46">
        <v>135000</v>
      </c>
      <c r="C6" s="69">
        <v>0.85</v>
      </c>
      <c r="D6" s="69">
        <v>0.75</v>
      </c>
      <c r="E6" s="34">
        <f>29525+28305+22491</f>
        <v>80321</v>
      </c>
      <c r="F6" s="70">
        <v>0.0053</v>
      </c>
      <c r="G6" s="34">
        <f t="shared" si="0"/>
        <v>5108.42</v>
      </c>
      <c r="H6" s="34">
        <v>12</v>
      </c>
      <c r="I6" s="36">
        <v>42661</v>
      </c>
      <c r="J6" s="34">
        <f ca="1">IF(ISBLANK(I6),0,ROUNDDOWN((RA!$J$34-I6)/30,0))</f>
        <v>9</v>
      </c>
      <c r="K6" s="43">
        <f ca="1" t="shared" si="1"/>
        <v>13386.8333333333</v>
      </c>
      <c r="L6" s="43">
        <f ca="1" t="shared" si="2"/>
        <v>94397</v>
      </c>
      <c r="M6" s="70">
        <f ca="1" t="shared" si="3"/>
        <v>0.798398765432099</v>
      </c>
      <c r="N6" s="34">
        <v>30000</v>
      </c>
      <c r="O6" s="34">
        <v>30000</v>
      </c>
      <c r="P6" s="34">
        <f ca="1" t="shared" si="4"/>
        <v>51252</v>
      </c>
      <c r="Q6" s="34">
        <f ca="1" t="shared" si="5"/>
        <v>43145</v>
      </c>
    </row>
    <row r="7" spans="1:16">
      <c r="A7" s="34" t="s">
        <v>122</v>
      </c>
      <c r="B7" s="71">
        <v>50000</v>
      </c>
      <c r="C7" s="69">
        <v>0.85</v>
      </c>
      <c r="D7" s="69">
        <v>0.75</v>
      </c>
      <c r="E7" s="34">
        <f>9158+11541+19418</f>
        <v>40117</v>
      </c>
      <c r="F7" s="70">
        <v>0.0072</v>
      </c>
      <c r="G7" s="34">
        <f t="shared" si="0"/>
        <v>6932.22</v>
      </c>
      <c r="H7" s="34">
        <v>24</v>
      </c>
      <c r="I7" s="36">
        <v>42662</v>
      </c>
      <c r="J7" s="34">
        <f ca="1">IF(ISBLANK(I7),0,ROUNDDOWN((RA!$J$34-I7)/30,0))</f>
        <v>9</v>
      </c>
      <c r="K7" s="43">
        <f ca="1" t="shared" si="1"/>
        <v>23401.5833333333</v>
      </c>
      <c r="L7" s="43">
        <f ca="1" t="shared" si="2"/>
        <v>15763</v>
      </c>
      <c r="M7" s="70">
        <f ca="1" t="shared" si="3"/>
        <v>0.783291666666667</v>
      </c>
      <c r="N7" s="34">
        <v>30000</v>
      </c>
      <c r="O7" s="34">
        <v>30000</v>
      </c>
      <c r="P7" s="34">
        <f ca="1" t="shared" si="6"/>
        <v>15763</v>
      </c>
    </row>
    <row r="8" spans="1:16">
      <c r="A8" s="34" t="s">
        <v>138</v>
      </c>
      <c r="B8" s="71">
        <v>44000</v>
      </c>
      <c r="C8" s="69">
        <v>0.85</v>
      </c>
      <c r="D8" s="69">
        <v>0.75</v>
      </c>
      <c r="E8" s="34">
        <v>34772.42</v>
      </c>
      <c r="F8" s="70">
        <v>0.008</v>
      </c>
      <c r="G8" s="34">
        <f t="shared" si="0"/>
        <v>3338.15</v>
      </c>
      <c r="H8" s="34">
        <v>12</v>
      </c>
      <c r="I8" s="73">
        <v>42951</v>
      </c>
      <c r="J8" s="34">
        <f ca="1">IF(ISBLANK(I8),0,ROUNDDOWN((RA!$J$34-I8)/30,0))</f>
        <v>0</v>
      </c>
      <c r="K8" s="43">
        <f ca="1" t="shared" si="1"/>
        <v>31874.7183333333</v>
      </c>
      <c r="L8" s="43">
        <f ca="1" t="shared" si="2"/>
        <v>1773</v>
      </c>
      <c r="M8" s="70">
        <f ca="1" t="shared" si="3"/>
        <v>0.764720871212121</v>
      </c>
      <c r="N8" s="34">
        <v>30000</v>
      </c>
      <c r="O8" s="34">
        <v>30000</v>
      </c>
      <c r="P8" s="34">
        <f ca="1" t="shared" si="6"/>
        <v>1773</v>
      </c>
    </row>
    <row r="9" spans="1:16">
      <c r="A9" s="34" t="s">
        <v>31</v>
      </c>
      <c r="B9" s="71">
        <v>20000</v>
      </c>
      <c r="C9" s="69">
        <v>0.85</v>
      </c>
      <c r="D9" s="69">
        <v>0.75</v>
      </c>
      <c r="E9" s="34">
        <v>40000</v>
      </c>
      <c r="F9" s="70">
        <v>0.0068</v>
      </c>
      <c r="G9" s="34">
        <f t="shared" si="0"/>
        <v>3264</v>
      </c>
      <c r="H9" s="34">
        <v>12</v>
      </c>
      <c r="I9" s="36">
        <v>42615</v>
      </c>
      <c r="J9" s="34">
        <f ca="1">IF(ISBLANK(I9),0,ROUNDDOWN((RA!$J$34-I9)/30,0))</f>
        <v>11</v>
      </c>
      <c r="K9" s="43">
        <f ca="1" t="shared" si="1"/>
        <v>0</v>
      </c>
      <c r="L9" s="43">
        <f ca="1" t="shared" si="2"/>
        <v>15356</v>
      </c>
      <c r="M9" s="70">
        <f ca="1" t="shared" si="3"/>
        <v>0.7678</v>
      </c>
      <c r="N9" s="34">
        <v>20000</v>
      </c>
      <c r="O9" s="34">
        <v>20000</v>
      </c>
      <c r="P9" s="34">
        <f ca="1" t="shared" si="6"/>
        <v>15356</v>
      </c>
    </row>
    <row r="10" spans="1:16">
      <c r="A10" s="34" t="s">
        <v>77</v>
      </c>
      <c r="B10" s="46">
        <v>66000</v>
      </c>
      <c r="C10" s="69">
        <v>0.85</v>
      </c>
      <c r="D10" s="69">
        <v>0.75</v>
      </c>
      <c r="E10" s="34">
        <f>23353+21207</f>
        <v>44560</v>
      </c>
      <c r="F10" s="70">
        <v>0.007</v>
      </c>
      <c r="G10" s="34">
        <f t="shared" si="0"/>
        <v>3743.04</v>
      </c>
      <c r="H10" s="34">
        <v>12</v>
      </c>
      <c r="I10" s="36">
        <v>42659</v>
      </c>
      <c r="J10" s="34">
        <f ca="1">IF(ISBLANK(I10),0,ROUNDDOWN((RA!$J$34-I10)/30,0))</f>
        <v>9</v>
      </c>
      <c r="K10" s="43">
        <f ca="1" t="shared" si="1"/>
        <v>7426.66666666667</v>
      </c>
      <c r="L10" s="43">
        <f ca="1" t="shared" si="2"/>
        <v>48049</v>
      </c>
      <c r="M10" s="70">
        <f ca="1" t="shared" si="3"/>
        <v>0.840540404040404</v>
      </c>
      <c r="N10" s="34">
        <v>30000</v>
      </c>
      <c r="O10" s="34">
        <v>50000</v>
      </c>
      <c r="P10" s="34">
        <f ca="1" t="shared" si="6"/>
        <v>48049</v>
      </c>
    </row>
    <row r="11" spans="1:16">
      <c r="A11" s="34" t="s">
        <v>149</v>
      </c>
      <c r="B11" s="71">
        <v>3000</v>
      </c>
      <c r="C11" s="69">
        <v>0.75</v>
      </c>
      <c r="D11" s="69">
        <v>0.65</v>
      </c>
      <c r="E11" s="34">
        <v>0</v>
      </c>
      <c r="F11" s="70">
        <v>0.006</v>
      </c>
      <c r="G11" s="34">
        <f t="shared" si="0"/>
        <v>0</v>
      </c>
      <c r="H11" s="34">
        <v>0</v>
      </c>
      <c r="J11" s="34">
        <f ca="1">IF(ISBLANK(I11),0,ROUNDDOWN((RA!$J$34-I11)/30,0))</f>
        <v>0</v>
      </c>
      <c r="K11" s="43">
        <f ca="1" t="shared" si="1"/>
        <v>0</v>
      </c>
      <c r="L11" s="43">
        <f ca="1" t="shared" si="2"/>
        <v>2048</v>
      </c>
      <c r="M11" s="70">
        <f ca="1" t="shared" si="3"/>
        <v>0.682666666666667</v>
      </c>
      <c r="N11" s="34">
        <v>10000</v>
      </c>
      <c r="O11" s="34">
        <v>20000</v>
      </c>
      <c r="P11" s="34">
        <f ca="1" t="shared" si="6"/>
        <v>2048</v>
      </c>
    </row>
    <row r="12" spans="1:16">
      <c r="A12" s="34" t="s">
        <v>165</v>
      </c>
      <c r="B12" s="71">
        <v>35000</v>
      </c>
      <c r="C12" s="69">
        <v>0.85</v>
      </c>
      <c r="D12" s="69">
        <v>0.75</v>
      </c>
      <c r="F12" s="70">
        <v>0.007</v>
      </c>
      <c r="G12" s="34">
        <v>0</v>
      </c>
      <c r="H12" s="34">
        <v>0</v>
      </c>
      <c r="J12" s="34">
        <v>0</v>
      </c>
      <c r="K12" s="43">
        <f ca="1" t="shared" si="1"/>
        <v>0</v>
      </c>
      <c r="L12" s="43">
        <f ca="1" t="shared" si="2"/>
        <v>28006</v>
      </c>
      <c r="M12" s="70">
        <f ca="1" t="shared" si="3"/>
        <v>0.800171428571429</v>
      </c>
      <c r="N12" s="34">
        <v>30000</v>
      </c>
      <c r="O12" s="34">
        <v>50000</v>
      </c>
      <c r="P12" s="34">
        <f ca="1" t="shared" si="6"/>
        <v>28006</v>
      </c>
    </row>
    <row r="14" spans="10:15">
      <c r="J14" s="34" t="s">
        <v>204</v>
      </c>
      <c r="K14" s="34" t="s">
        <v>15</v>
      </c>
      <c r="L14" s="34" t="s">
        <v>205</v>
      </c>
      <c r="M14" s="43" t="s">
        <v>206</v>
      </c>
      <c r="N14" s="34" t="s">
        <v>207</v>
      </c>
      <c r="O14" s="43" t="s">
        <v>208</v>
      </c>
    </row>
    <row r="15" s="67" customFormat="1" ht="12" spans="1:18">
      <c r="A15" s="67" t="s">
        <v>107</v>
      </c>
      <c r="D15" s="72"/>
      <c r="J15" s="67">
        <v>18</v>
      </c>
      <c r="K15" s="67">
        <v>6</v>
      </c>
      <c r="L15" s="72">
        <f t="shared" ref="L15:L23" si="7">P15+Q15</f>
        <v>104139</v>
      </c>
      <c r="M15" s="72">
        <f t="shared" ref="M15:M23" si="8">SUM(N15:O15)</f>
        <v>100108.719166667</v>
      </c>
      <c r="N15" s="67">
        <v>95183</v>
      </c>
      <c r="O15" s="72">
        <f t="shared" ref="O15:O23" si="9">IF(H2=0,0,SUM(E2,G2)/H2)</f>
        <v>4925.71916666667</v>
      </c>
      <c r="P15" s="74">
        <v>56520</v>
      </c>
      <c r="Q15" s="74">
        <v>47619</v>
      </c>
      <c r="R15" s="72"/>
    </row>
    <row r="16" spans="1:17">
      <c r="A16" s="34" t="s">
        <v>50</v>
      </c>
      <c r="J16" s="34">
        <v>4</v>
      </c>
      <c r="K16" s="34">
        <v>22</v>
      </c>
      <c r="L16" s="43">
        <f t="shared" si="7"/>
        <v>65127</v>
      </c>
      <c r="M16" s="43">
        <f t="shared" si="8"/>
        <v>40187.9758333333</v>
      </c>
      <c r="N16" s="34">
        <v>37461</v>
      </c>
      <c r="O16" s="43">
        <f t="shared" si="9"/>
        <v>2726.97583333333</v>
      </c>
      <c r="P16" s="34">
        <v>30600</v>
      </c>
      <c r="Q16" s="34">
        <v>34527</v>
      </c>
    </row>
    <row r="17" spans="1:16">
      <c r="A17" s="34" t="s">
        <v>59</v>
      </c>
      <c r="J17" s="34">
        <v>6</v>
      </c>
      <c r="K17" s="34">
        <v>30</v>
      </c>
      <c r="L17" s="43">
        <f t="shared" si="7"/>
        <v>23280</v>
      </c>
      <c r="M17" s="43">
        <f t="shared" si="8"/>
        <v>37009.8358333333</v>
      </c>
      <c r="N17" s="34">
        <v>33934</v>
      </c>
      <c r="O17" s="43">
        <f t="shared" si="9"/>
        <v>3075.83583333333</v>
      </c>
      <c r="P17" s="34">
        <v>23280</v>
      </c>
    </row>
    <row r="18" spans="1:16">
      <c r="A18" s="34" t="s">
        <v>70</v>
      </c>
      <c r="J18" s="34">
        <v>10</v>
      </c>
      <c r="K18" s="34">
        <v>29</v>
      </c>
      <c r="L18" s="43">
        <f t="shared" si="7"/>
        <v>11171</v>
      </c>
      <c r="M18" s="43">
        <f t="shared" si="8"/>
        <v>14198.6666666667</v>
      </c>
      <c r="N18" s="34">
        <v>13867</v>
      </c>
      <c r="O18" s="43">
        <f t="shared" si="9"/>
        <v>331.666666666667</v>
      </c>
      <c r="P18" s="34">
        <v>11171</v>
      </c>
    </row>
    <row r="19" spans="1:17">
      <c r="A19" s="34" t="s">
        <v>100</v>
      </c>
      <c r="J19" s="34">
        <v>14</v>
      </c>
      <c r="K19" s="34">
        <v>2</v>
      </c>
      <c r="L19" s="43">
        <f t="shared" si="7"/>
        <v>105163</v>
      </c>
      <c r="M19" s="43">
        <f t="shared" si="8"/>
        <v>90563.1183333333</v>
      </c>
      <c r="N19" s="34">
        <v>83444</v>
      </c>
      <c r="O19" s="43">
        <f t="shared" si="9"/>
        <v>7119.11833333333</v>
      </c>
      <c r="P19" s="34">
        <v>52064</v>
      </c>
      <c r="Q19" s="34">
        <v>53099</v>
      </c>
    </row>
    <row r="20" spans="1:16">
      <c r="A20" s="34" t="s">
        <v>122</v>
      </c>
      <c r="J20" s="34">
        <v>21</v>
      </c>
      <c r="K20" s="34">
        <v>7</v>
      </c>
      <c r="L20" s="43">
        <f t="shared" si="7"/>
        <v>10102</v>
      </c>
      <c r="M20" s="43">
        <f t="shared" si="8"/>
        <v>14029.3841666667</v>
      </c>
      <c r="N20" s="34">
        <v>12069</v>
      </c>
      <c r="O20" s="43">
        <f t="shared" si="9"/>
        <v>1960.38416666667</v>
      </c>
      <c r="P20" s="34">
        <v>10102</v>
      </c>
    </row>
    <row r="21" s="67" customFormat="1" ht="12" spans="1:18">
      <c r="A21" s="67" t="s">
        <v>138</v>
      </c>
      <c r="D21" s="72"/>
      <c r="J21" s="67">
        <v>26</v>
      </c>
      <c r="K21" s="67">
        <v>13</v>
      </c>
      <c r="L21" s="72">
        <f t="shared" si="7"/>
        <v>51794</v>
      </c>
      <c r="M21" s="72">
        <f t="shared" si="8"/>
        <v>42034.8808333333</v>
      </c>
      <c r="N21" s="67">
        <v>38859</v>
      </c>
      <c r="O21" s="72">
        <f t="shared" si="9"/>
        <v>3175.88083333333</v>
      </c>
      <c r="P21" s="74">
        <v>51794</v>
      </c>
      <c r="Q21" s="74"/>
      <c r="R21" s="72"/>
    </row>
    <row r="22" spans="1:15">
      <c r="A22" s="34" t="s">
        <v>31</v>
      </c>
      <c r="K22" s="34">
        <v>22</v>
      </c>
      <c r="L22" s="43">
        <f t="shared" si="7"/>
        <v>0</v>
      </c>
      <c r="M22" s="43">
        <f t="shared" si="8"/>
        <v>3605.33333333333</v>
      </c>
      <c r="N22" s="34">
        <v>0</v>
      </c>
      <c r="O22" s="43">
        <f t="shared" si="9"/>
        <v>3605.33333333333</v>
      </c>
    </row>
    <row r="23" spans="1:16">
      <c r="A23" s="34" t="s">
        <v>77</v>
      </c>
      <c r="J23" s="34">
        <v>12</v>
      </c>
      <c r="K23" s="34">
        <v>31</v>
      </c>
      <c r="L23" s="43">
        <f t="shared" si="7"/>
        <v>33251</v>
      </c>
      <c r="M23" s="43">
        <f t="shared" si="8"/>
        <v>34851.2533333333</v>
      </c>
      <c r="N23" s="34">
        <v>30826</v>
      </c>
      <c r="O23" s="43">
        <f t="shared" si="9"/>
        <v>4025.25333333333</v>
      </c>
      <c r="P23" s="34">
        <v>33251</v>
      </c>
    </row>
    <row r="24" spans="1:16">
      <c r="A24" s="34" t="s">
        <v>149</v>
      </c>
      <c r="P24" s="34">
        <v>2003</v>
      </c>
    </row>
    <row r="25" spans="1:1">
      <c r="A25" s="34" t="s">
        <v>165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7"/>
  <sheetViews>
    <sheetView tabSelected="1" workbookViewId="0">
      <pane xSplit="2" ySplit="1" topLeftCell="C103" activePane="bottomRight" state="frozen"/>
      <selection/>
      <selection pane="topRight"/>
      <selection pane="bottomLeft"/>
      <selection pane="bottomRight" activeCell="D116" sqref="D116"/>
    </sheetView>
  </sheetViews>
  <sheetFormatPr defaultColWidth="9" defaultRowHeight="13.5"/>
  <cols>
    <col min="1" max="1" width="10.125" style="34" customWidth="1"/>
    <col min="2" max="2" width="4.46666666666667" style="34" customWidth="1"/>
    <col min="3" max="3" width="10.125" style="43" customWidth="1"/>
    <col min="4" max="4" width="9.5" style="34" customWidth="1"/>
    <col min="5" max="5" width="10.125" style="43" customWidth="1"/>
    <col min="6" max="6" width="9.5" style="34" customWidth="1"/>
    <col min="7" max="7" width="9.25" style="43" customWidth="1"/>
    <col min="8" max="8" width="9.5" style="34" customWidth="1"/>
    <col min="9" max="9" width="9.25" style="43" customWidth="1"/>
    <col min="10" max="10" width="9.5" style="34" customWidth="1"/>
    <col min="11" max="11" width="9.25" style="43" customWidth="1"/>
    <col min="12" max="12" width="9.5" style="34" customWidth="1"/>
    <col min="13" max="13" width="9.25" style="43" customWidth="1"/>
    <col min="14" max="14" width="9.5" style="34" customWidth="1"/>
    <col min="15" max="15" width="11.125" style="43" customWidth="1"/>
    <col min="16" max="17" width="10.125" style="43" customWidth="1"/>
    <col min="18" max="19" width="10.3416666666667" style="34" customWidth="1"/>
  </cols>
  <sheetData>
    <row r="1" spans="1:18">
      <c r="A1" s="34" t="s">
        <v>209</v>
      </c>
      <c r="B1" s="34" t="s">
        <v>210</v>
      </c>
      <c r="C1" s="43" t="s">
        <v>211</v>
      </c>
      <c r="D1" s="34" t="s">
        <v>212</v>
      </c>
      <c r="E1" s="43" t="s">
        <v>213</v>
      </c>
      <c r="F1" s="34" t="s">
        <v>214</v>
      </c>
      <c r="G1" s="43" t="s">
        <v>215</v>
      </c>
      <c r="H1" s="34" t="s">
        <v>216</v>
      </c>
      <c r="I1" s="43" t="s">
        <v>217</v>
      </c>
      <c r="J1" s="34" t="s">
        <v>218</v>
      </c>
      <c r="K1" s="43" t="s">
        <v>219</v>
      </c>
      <c r="L1" s="34" t="s">
        <v>220</v>
      </c>
      <c r="M1" s="43" t="s">
        <v>221</v>
      </c>
      <c r="N1" s="34" t="s">
        <v>222</v>
      </c>
      <c r="O1" s="43" t="s">
        <v>223</v>
      </c>
      <c r="P1" s="43" t="s">
        <v>224</v>
      </c>
      <c r="Q1" s="43" t="s">
        <v>10</v>
      </c>
      <c r="R1" s="34" t="s">
        <v>225</v>
      </c>
    </row>
    <row r="2" spans="1:17">
      <c r="A2" s="36">
        <v>42849</v>
      </c>
      <c r="B2" s="37">
        <f t="shared" ref="B2:B65" si="0">WEEKDAY(A2,2)</f>
        <v>1</v>
      </c>
      <c r="I2" s="44">
        <v>9949</v>
      </c>
      <c r="J2" s="45" t="s">
        <v>122</v>
      </c>
      <c r="M2" s="44">
        <v>30000</v>
      </c>
      <c r="N2" s="45" t="s">
        <v>183</v>
      </c>
      <c r="O2" s="43">
        <f t="shared" ref="O2:O65" si="1">(C2+E2+G2)*-1</f>
        <v>0</v>
      </c>
      <c r="P2" s="43">
        <f t="shared" ref="P2:P65" si="2">(I2+K2)*0.994+M2</f>
        <v>39889.306</v>
      </c>
      <c r="Q2" s="43">
        <v>194754</v>
      </c>
    </row>
    <row r="3" spans="1:17">
      <c r="A3" s="36">
        <v>42850</v>
      </c>
      <c r="B3" s="34">
        <f t="shared" si="0"/>
        <v>2</v>
      </c>
      <c r="C3" s="44">
        <v>900</v>
      </c>
      <c r="D3" s="45" t="s">
        <v>77</v>
      </c>
      <c r="I3" s="34"/>
      <c r="M3" s="44">
        <v>20000</v>
      </c>
      <c r="N3" s="45" t="s">
        <v>226</v>
      </c>
      <c r="O3" s="43">
        <f t="shared" si="1"/>
        <v>-900</v>
      </c>
      <c r="P3" s="43">
        <f t="shared" si="2"/>
        <v>20000</v>
      </c>
      <c r="Q3" s="43">
        <f t="shared" ref="Q3:Q66" si="3">Q2+O3+P3</f>
        <v>213854</v>
      </c>
    </row>
    <row r="4" spans="1:17">
      <c r="A4" s="36">
        <v>42851</v>
      </c>
      <c r="B4" s="34">
        <f t="shared" si="0"/>
        <v>3</v>
      </c>
      <c r="O4" s="43">
        <f t="shared" si="1"/>
        <v>0</v>
      </c>
      <c r="P4" s="43">
        <f t="shared" si="2"/>
        <v>0</v>
      </c>
      <c r="Q4" s="43">
        <f t="shared" si="3"/>
        <v>213854</v>
      </c>
    </row>
    <row r="5" spans="1:17">
      <c r="A5" s="36">
        <v>42852</v>
      </c>
      <c r="B5" s="34">
        <f t="shared" si="0"/>
        <v>4</v>
      </c>
      <c r="M5" s="44">
        <v>20000</v>
      </c>
      <c r="N5" s="45" t="s">
        <v>226</v>
      </c>
      <c r="O5" s="43">
        <f t="shared" si="1"/>
        <v>0</v>
      </c>
      <c r="P5" s="43">
        <f t="shared" si="2"/>
        <v>20000</v>
      </c>
      <c r="Q5" s="43">
        <f t="shared" si="3"/>
        <v>233854</v>
      </c>
    </row>
    <row r="6" spans="1:17">
      <c r="A6" s="36">
        <v>42853</v>
      </c>
      <c r="B6" s="34">
        <f t="shared" si="0"/>
        <v>5</v>
      </c>
      <c r="O6" s="43">
        <f t="shared" si="1"/>
        <v>0</v>
      </c>
      <c r="P6" s="43">
        <f t="shared" si="2"/>
        <v>0</v>
      </c>
      <c r="Q6" s="43">
        <f t="shared" si="3"/>
        <v>233854</v>
      </c>
    </row>
    <row r="7" spans="1:17">
      <c r="A7" s="36">
        <v>42854</v>
      </c>
      <c r="B7" s="34">
        <f t="shared" si="0"/>
        <v>6</v>
      </c>
      <c r="C7" s="44">
        <v>353</v>
      </c>
      <c r="D7" s="45" t="s">
        <v>70</v>
      </c>
      <c r="O7" s="43">
        <f t="shared" si="1"/>
        <v>-353</v>
      </c>
      <c r="P7" s="43">
        <f t="shared" si="2"/>
        <v>0</v>
      </c>
      <c r="Q7" s="43">
        <f t="shared" si="3"/>
        <v>233501</v>
      </c>
    </row>
    <row r="8" spans="1:17">
      <c r="A8" s="36">
        <v>42855</v>
      </c>
      <c r="B8" s="34">
        <f t="shared" si="0"/>
        <v>7</v>
      </c>
      <c r="C8" s="44">
        <v>5093</v>
      </c>
      <c r="D8" s="45" t="s">
        <v>59</v>
      </c>
      <c r="O8" s="43">
        <f t="shared" si="1"/>
        <v>-5093</v>
      </c>
      <c r="P8" s="43">
        <f t="shared" si="2"/>
        <v>0</v>
      </c>
      <c r="Q8" s="43">
        <f t="shared" si="3"/>
        <v>228408</v>
      </c>
    </row>
    <row r="9" spans="1:17">
      <c r="A9" s="36">
        <v>42856</v>
      </c>
      <c r="B9" s="34">
        <f t="shared" si="0"/>
        <v>1</v>
      </c>
      <c r="C9" s="44">
        <v>4480.23</v>
      </c>
      <c r="D9" s="45" t="s">
        <v>77</v>
      </c>
      <c r="O9" s="43">
        <f t="shared" si="1"/>
        <v>-4480.23</v>
      </c>
      <c r="P9" s="43">
        <f t="shared" si="2"/>
        <v>0</v>
      </c>
      <c r="Q9" s="43">
        <f t="shared" si="3"/>
        <v>223927.77</v>
      </c>
    </row>
    <row r="10" spans="1:17">
      <c r="A10" s="36">
        <v>42857</v>
      </c>
      <c r="B10" s="34">
        <f t="shared" si="0"/>
        <v>2</v>
      </c>
      <c r="C10" s="44">
        <v>1961</v>
      </c>
      <c r="D10" s="45" t="s">
        <v>122</v>
      </c>
      <c r="E10" s="44">
        <v>9872</v>
      </c>
      <c r="F10" s="45" t="s">
        <v>100</v>
      </c>
      <c r="G10" s="44">
        <v>30000</v>
      </c>
      <c r="H10" s="45" t="s">
        <v>183</v>
      </c>
      <c r="O10" s="43">
        <f t="shared" si="1"/>
        <v>-41833</v>
      </c>
      <c r="P10" s="43">
        <f t="shared" si="2"/>
        <v>0</v>
      </c>
      <c r="Q10" s="43">
        <f t="shared" si="3"/>
        <v>182094.77</v>
      </c>
    </row>
    <row r="11" spans="1:17">
      <c r="A11" s="36">
        <v>42858</v>
      </c>
      <c r="B11" s="34">
        <f t="shared" si="0"/>
        <v>3</v>
      </c>
      <c r="I11" s="54">
        <v>0</v>
      </c>
      <c r="J11" s="34" t="s">
        <v>31</v>
      </c>
      <c r="M11" s="44">
        <v>30000</v>
      </c>
      <c r="N11" s="45" t="s">
        <v>183</v>
      </c>
      <c r="O11" s="43">
        <f t="shared" si="1"/>
        <v>0</v>
      </c>
      <c r="P11" s="43">
        <f t="shared" si="2"/>
        <v>30000</v>
      </c>
      <c r="Q11" s="43">
        <f t="shared" si="3"/>
        <v>212094.77</v>
      </c>
    </row>
    <row r="12" spans="1:17">
      <c r="A12" s="36">
        <v>42859</v>
      </c>
      <c r="B12" s="34">
        <f t="shared" si="0"/>
        <v>4</v>
      </c>
      <c r="I12" s="54">
        <v>0</v>
      </c>
      <c r="J12" s="34" t="s">
        <v>50</v>
      </c>
      <c r="M12" s="44">
        <v>10000</v>
      </c>
      <c r="N12" s="45" t="s">
        <v>226</v>
      </c>
      <c r="O12" s="43">
        <f t="shared" si="1"/>
        <v>0</v>
      </c>
      <c r="P12" s="43">
        <f t="shared" si="2"/>
        <v>10000</v>
      </c>
      <c r="Q12" s="43">
        <f t="shared" si="3"/>
        <v>222094.77</v>
      </c>
    </row>
    <row r="13" spans="1:17">
      <c r="A13" s="36">
        <v>42860</v>
      </c>
      <c r="B13" s="34">
        <f t="shared" si="0"/>
        <v>5</v>
      </c>
      <c r="C13" s="44">
        <v>390</v>
      </c>
      <c r="D13" s="45" t="s">
        <v>149</v>
      </c>
      <c r="G13" s="44">
        <v>1200</v>
      </c>
      <c r="H13" s="45" t="s">
        <v>227</v>
      </c>
      <c r="I13" s="54"/>
      <c r="O13" s="43">
        <f t="shared" si="1"/>
        <v>-1590</v>
      </c>
      <c r="P13" s="43">
        <f t="shared" si="2"/>
        <v>0</v>
      </c>
      <c r="Q13" s="43">
        <f t="shared" si="3"/>
        <v>220504.77</v>
      </c>
    </row>
    <row r="14" spans="1:17">
      <c r="A14" s="36">
        <v>42861</v>
      </c>
      <c r="B14" s="34">
        <f t="shared" si="0"/>
        <v>6</v>
      </c>
      <c r="C14" s="44">
        <f>18864+4936</f>
        <v>23800</v>
      </c>
      <c r="D14" s="45" t="s">
        <v>107</v>
      </c>
      <c r="I14" s="55">
        <f>25824-25824</f>
        <v>0</v>
      </c>
      <c r="J14" s="50" t="s">
        <v>59</v>
      </c>
      <c r="O14" s="43">
        <f t="shared" si="1"/>
        <v>-23800</v>
      </c>
      <c r="P14" s="43">
        <f t="shared" si="2"/>
        <v>0</v>
      </c>
      <c r="Q14" s="43">
        <f t="shared" si="3"/>
        <v>196704.77</v>
      </c>
    </row>
    <row r="15" spans="1:17">
      <c r="A15" s="36">
        <v>42862</v>
      </c>
      <c r="B15" s="34">
        <f t="shared" si="0"/>
        <v>7</v>
      </c>
      <c r="I15" s="54"/>
      <c r="O15" s="43">
        <f t="shared" si="1"/>
        <v>0</v>
      </c>
      <c r="P15" s="43">
        <f t="shared" si="2"/>
        <v>0</v>
      </c>
      <c r="Q15" s="43">
        <f t="shared" si="3"/>
        <v>196704.77</v>
      </c>
    </row>
    <row r="16" spans="1:17">
      <c r="A16" s="36">
        <v>42863</v>
      </c>
      <c r="B16" s="34">
        <f t="shared" si="0"/>
        <v>1</v>
      </c>
      <c r="E16" s="44">
        <v>30000</v>
      </c>
      <c r="F16" s="45" t="s">
        <v>183</v>
      </c>
      <c r="I16" s="54"/>
      <c r="O16" s="43">
        <f t="shared" si="1"/>
        <v>-30000</v>
      </c>
      <c r="P16" s="43">
        <f t="shared" si="2"/>
        <v>0</v>
      </c>
      <c r="Q16" s="43">
        <f t="shared" si="3"/>
        <v>166704.77</v>
      </c>
    </row>
    <row r="17" spans="1:17">
      <c r="A17" s="36">
        <v>42864</v>
      </c>
      <c r="B17" s="34">
        <f t="shared" si="0"/>
        <v>2</v>
      </c>
      <c r="I17" s="54"/>
      <c r="M17" s="44">
        <v>30000</v>
      </c>
      <c r="N17" s="45" t="s">
        <v>183</v>
      </c>
      <c r="O17" s="43">
        <f t="shared" si="1"/>
        <v>0</v>
      </c>
      <c r="P17" s="43">
        <f t="shared" si="2"/>
        <v>30000</v>
      </c>
      <c r="Q17" s="43">
        <f t="shared" si="3"/>
        <v>196704.77</v>
      </c>
    </row>
    <row r="18" spans="1:17">
      <c r="A18" s="36">
        <v>42865</v>
      </c>
      <c r="B18" s="34">
        <f t="shared" si="0"/>
        <v>3</v>
      </c>
      <c r="I18" s="55">
        <f>13043-13043</f>
        <v>0</v>
      </c>
      <c r="J18" s="50" t="s">
        <v>70</v>
      </c>
      <c r="O18" s="43">
        <f t="shared" si="1"/>
        <v>0</v>
      </c>
      <c r="P18" s="43">
        <f t="shared" si="2"/>
        <v>0</v>
      </c>
      <c r="Q18" s="43">
        <f t="shared" si="3"/>
        <v>196704.77</v>
      </c>
    </row>
    <row r="19" spans="1:17">
      <c r="A19" s="36">
        <v>42866</v>
      </c>
      <c r="B19" s="34">
        <f t="shared" si="0"/>
        <v>4</v>
      </c>
      <c r="I19" s="54"/>
      <c r="O19" s="43">
        <f t="shared" si="1"/>
        <v>0</v>
      </c>
      <c r="P19" s="43">
        <f t="shared" si="2"/>
        <v>0</v>
      </c>
      <c r="Q19" s="43">
        <f t="shared" si="3"/>
        <v>196704.77</v>
      </c>
    </row>
    <row r="20" spans="1:17">
      <c r="A20" s="36">
        <v>42867</v>
      </c>
      <c r="B20" s="34">
        <f t="shared" si="0"/>
        <v>5</v>
      </c>
      <c r="G20" s="44">
        <v>1686</v>
      </c>
      <c r="H20" s="45" t="s">
        <v>97</v>
      </c>
      <c r="I20" s="55">
        <f>34900-34900</f>
        <v>0</v>
      </c>
      <c r="J20" s="50" t="s">
        <v>77</v>
      </c>
      <c r="O20" s="43">
        <f t="shared" si="1"/>
        <v>-1686</v>
      </c>
      <c r="P20" s="43">
        <f t="shared" si="2"/>
        <v>0</v>
      </c>
      <c r="Q20" s="43">
        <f t="shared" si="3"/>
        <v>195018.77</v>
      </c>
    </row>
    <row r="21" spans="1:17">
      <c r="A21" s="36">
        <v>42868</v>
      </c>
      <c r="B21" s="34">
        <f t="shared" si="0"/>
        <v>6</v>
      </c>
      <c r="C21" s="44">
        <v>50634</v>
      </c>
      <c r="D21" s="45" t="s">
        <v>138</v>
      </c>
      <c r="I21" s="56">
        <v>2135</v>
      </c>
      <c r="J21" s="45" t="s">
        <v>149</v>
      </c>
      <c r="O21" s="43">
        <f t="shared" si="1"/>
        <v>-50634</v>
      </c>
      <c r="P21" s="43">
        <f t="shared" si="2"/>
        <v>2122.19</v>
      </c>
      <c r="Q21" s="43">
        <f t="shared" si="3"/>
        <v>146506.96</v>
      </c>
    </row>
    <row r="22" spans="1:17">
      <c r="A22" s="36">
        <v>42869</v>
      </c>
      <c r="B22" s="34">
        <f t="shared" si="0"/>
        <v>7</v>
      </c>
      <c r="I22" s="54">
        <v>0</v>
      </c>
      <c r="J22" s="34" t="s">
        <v>100</v>
      </c>
      <c r="O22" s="43">
        <f t="shared" si="1"/>
        <v>0</v>
      </c>
      <c r="P22" s="43">
        <f t="shared" si="2"/>
        <v>0</v>
      </c>
      <c r="Q22" s="43">
        <f t="shared" si="3"/>
        <v>146506.96</v>
      </c>
    </row>
    <row r="23" spans="1:17">
      <c r="A23" s="36">
        <v>42870</v>
      </c>
      <c r="B23" s="34">
        <f t="shared" si="0"/>
        <v>1</v>
      </c>
      <c r="E23" s="44">
        <v>30000</v>
      </c>
      <c r="F23" s="45" t="s">
        <v>183</v>
      </c>
      <c r="G23" s="44">
        <v>10000</v>
      </c>
      <c r="H23" s="46" t="s">
        <v>228</v>
      </c>
      <c r="I23" s="54"/>
      <c r="O23" s="43">
        <f t="shared" si="1"/>
        <v>-40000</v>
      </c>
      <c r="P23" s="43">
        <f t="shared" si="2"/>
        <v>0</v>
      </c>
      <c r="Q23" s="43">
        <f t="shared" si="3"/>
        <v>106506.96</v>
      </c>
    </row>
    <row r="24" spans="1:17">
      <c r="A24" s="36">
        <v>42871</v>
      </c>
      <c r="B24" s="34">
        <f t="shared" si="0"/>
        <v>2</v>
      </c>
      <c r="I24" s="55">
        <f>9386-9386</f>
        <v>0</v>
      </c>
      <c r="J24" s="50" t="s">
        <v>122</v>
      </c>
      <c r="M24" s="44">
        <v>30000</v>
      </c>
      <c r="N24" s="45" t="s">
        <v>183</v>
      </c>
      <c r="O24" s="43">
        <f t="shared" si="1"/>
        <v>0</v>
      </c>
      <c r="P24" s="43">
        <f t="shared" si="2"/>
        <v>30000</v>
      </c>
      <c r="Q24" s="43">
        <f t="shared" si="3"/>
        <v>136506.96</v>
      </c>
    </row>
    <row r="25" spans="1:17">
      <c r="A25" s="36">
        <v>42872</v>
      </c>
      <c r="B25" s="34">
        <f t="shared" si="0"/>
        <v>3</v>
      </c>
      <c r="I25" s="54"/>
      <c r="O25" s="43">
        <f t="shared" si="1"/>
        <v>0</v>
      </c>
      <c r="P25" s="43">
        <f t="shared" si="2"/>
        <v>0</v>
      </c>
      <c r="Q25" s="43">
        <f t="shared" si="3"/>
        <v>136506.96</v>
      </c>
    </row>
    <row r="26" spans="1:17">
      <c r="A26" s="36">
        <v>42873</v>
      </c>
      <c r="B26" s="34">
        <f t="shared" si="0"/>
        <v>4</v>
      </c>
      <c r="G26" s="44">
        <v>9482</v>
      </c>
      <c r="H26" s="45" t="s">
        <v>227</v>
      </c>
      <c r="I26" s="56">
        <v>56520</v>
      </c>
      <c r="J26" s="45" t="s">
        <v>107</v>
      </c>
      <c r="K26" s="44">
        <v>47619</v>
      </c>
      <c r="L26" s="45" t="s">
        <v>107</v>
      </c>
      <c r="O26" s="43">
        <f t="shared" si="1"/>
        <v>-9482</v>
      </c>
      <c r="P26" s="43">
        <f t="shared" si="2"/>
        <v>103514.166</v>
      </c>
      <c r="Q26" s="43">
        <f t="shared" si="3"/>
        <v>230539.126</v>
      </c>
    </row>
    <row r="27" spans="1:17">
      <c r="A27" s="36">
        <v>42874</v>
      </c>
      <c r="B27" s="34">
        <f t="shared" si="0"/>
        <v>5</v>
      </c>
      <c r="I27" s="54"/>
      <c r="M27" s="44">
        <v>10000</v>
      </c>
      <c r="N27" s="45" t="s">
        <v>227</v>
      </c>
      <c r="O27" s="43">
        <f t="shared" si="1"/>
        <v>0</v>
      </c>
      <c r="P27" s="43">
        <f t="shared" si="2"/>
        <v>10000</v>
      </c>
      <c r="Q27" s="43">
        <f t="shared" si="3"/>
        <v>240539.126</v>
      </c>
    </row>
    <row r="28" spans="1:17">
      <c r="A28" s="36">
        <v>42875</v>
      </c>
      <c r="B28" s="34">
        <f t="shared" si="0"/>
        <v>6</v>
      </c>
      <c r="G28" s="44">
        <f>1522.5</f>
        <v>1522.5</v>
      </c>
      <c r="H28" s="45" t="s">
        <v>183</v>
      </c>
      <c r="I28" s="54"/>
      <c r="O28" s="43">
        <f t="shared" si="1"/>
        <v>-1522.5</v>
      </c>
      <c r="P28" s="43">
        <f t="shared" si="2"/>
        <v>0</v>
      </c>
      <c r="Q28" s="43">
        <f t="shared" si="3"/>
        <v>239016.626</v>
      </c>
    </row>
    <row r="29" spans="1:17">
      <c r="A29" s="36">
        <v>42876</v>
      </c>
      <c r="B29" s="34">
        <f t="shared" si="0"/>
        <v>7</v>
      </c>
      <c r="I29" s="54"/>
      <c r="O29" s="43">
        <f t="shared" si="1"/>
        <v>0</v>
      </c>
      <c r="P29" s="43">
        <f t="shared" si="2"/>
        <v>0</v>
      </c>
      <c r="Q29" s="43">
        <f t="shared" si="3"/>
        <v>239016.626</v>
      </c>
    </row>
    <row r="30" spans="1:18">
      <c r="A30" s="36">
        <v>42877</v>
      </c>
      <c r="B30" s="34">
        <f t="shared" si="0"/>
        <v>1</v>
      </c>
      <c r="C30" s="44">
        <v>1955</v>
      </c>
      <c r="D30" s="45" t="s">
        <v>50</v>
      </c>
      <c r="E30" s="44">
        <v>3605</v>
      </c>
      <c r="F30" s="45" t="s">
        <v>31</v>
      </c>
      <c r="G30" s="44">
        <v>30000</v>
      </c>
      <c r="H30" s="45" t="s">
        <v>183</v>
      </c>
      <c r="I30" s="54"/>
      <c r="O30" s="43">
        <f t="shared" si="1"/>
        <v>-35560</v>
      </c>
      <c r="P30" s="43">
        <f t="shared" si="2"/>
        <v>0</v>
      </c>
      <c r="Q30" s="43">
        <f t="shared" si="3"/>
        <v>203456.626</v>
      </c>
      <c r="R30" s="34" t="s">
        <v>229</v>
      </c>
    </row>
    <row r="31" spans="1:18">
      <c r="A31" s="36">
        <v>42878</v>
      </c>
      <c r="B31" s="34">
        <f t="shared" si="0"/>
        <v>2</v>
      </c>
      <c r="I31" s="54"/>
      <c r="M31" s="44">
        <v>30000</v>
      </c>
      <c r="N31" s="45" t="s">
        <v>183</v>
      </c>
      <c r="O31" s="43">
        <f t="shared" si="1"/>
        <v>0</v>
      </c>
      <c r="P31" s="43">
        <f t="shared" si="2"/>
        <v>30000</v>
      </c>
      <c r="Q31" s="43">
        <f t="shared" si="3"/>
        <v>233456.626</v>
      </c>
      <c r="R31" s="34" t="s">
        <v>230</v>
      </c>
    </row>
    <row r="32" spans="1:18">
      <c r="A32" s="36">
        <v>42879</v>
      </c>
      <c r="B32" s="34">
        <f t="shared" si="0"/>
        <v>3</v>
      </c>
      <c r="I32" s="54"/>
      <c r="O32" s="43">
        <f t="shared" si="1"/>
        <v>0</v>
      </c>
      <c r="P32" s="43">
        <f t="shared" si="2"/>
        <v>0</v>
      </c>
      <c r="Q32" s="43">
        <f t="shared" si="3"/>
        <v>233456.626</v>
      </c>
      <c r="R32" s="34" t="s">
        <v>231</v>
      </c>
    </row>
    <row r="33" spans="1:17">
      <c r="A33" s="36">
        <v>42880</v>
      </c>
      <c r="B33" s="34">
        <f t="shared" si="0"/>
        <v>4</v>
      </c>
      <c r="I33" s="54"/>
      <c r="O33" s="43">
        <f t="shared" si="1"/>
        <v>0</v>
      </c>
      <c r="P33" s="43">
        <f t="shared" si="2"/>
        <v>0</v>
      </c>
      <c r="Q33" s="43">
        <f t="shared" si="3"/>
        <v>233456.626</v>
      </c>
    </row>
    <row r="34" spans="1:17">
      <c r="A34" s="36">
        <v>42881</v>
      </c>
      <c r="B34" s="34">
        <f t="shared" si="0"/>
        <v>5</v>
      </c>
      <c r="I34" s="54">
        <v>0</v>
      </c>
      <c r="J34" s="34" t="s">
        <v>138</v>
      </c>
      <c r="O34" s="43">
        <f t="shared" si="1"/>
        <v>0</v>
      </c>
      <c r="P34" s="43">
        <f t="shared" si="2"/>
        <v>0</v>
      </c>
      <c r="Q34" s="43">
        <f t="shared" si="3"/>
        <v>233456.626</v>
      </c>
    </row>
    <row r="35" spans="1:17">
      <c r="A35" s="36">
        <v>42882</v>
      </c>
      <c r="B35" s="34">
        <f t="shared" si="0"/>
        <v>6</v>
      </c>
      <c r="I35" s="54"/>
      <c r="O35" s="43">
        <f t="shared" si="1"/>
        <v>0</v>
      </c>
      <c r="P35" s="43">
        <f t="shared" si="2"/>
        <v>0</v>
      </c>
      <c r="Q35" s="43">
        <f t="shared" si="3"/>
        <v>233456.626</v>
      </c>
    </row>
    <row r="36" spans="1:17">
      <c r="A36" s="36">
        <v>42883</v>
      </c>
      <c r="B36" s="34">
        <f t="shared" si="0"/>
        <v>7</v>
      </c>
      <c r="I36" s="54"/>
      <c r="O36" s="43">
        <f t="shared" si="1"/>
        <v>0</v>
      </c>
      <c r="P36" s="43">
        <f t="shared" si="2"/>
        <v>0</v>
      </c>
      <c r="Q36" s="43">
        <f t="shared" si="3"/>
        <v>233456.626</v>
      </c>
    </row>
    <row r="37" spans="1:18">
      <c r="A37" s="36">
        <v>42884</v>
      </c>
      <c r="B37" s="34">
        <f t="shared" si="0"/>
        <v>1</v>
      </c>
      <c r="C37" s="44">
        <f>13191+331+59</f>
        <v>13581</v>
      </c>
      <c r="D37" s="45" t="s">
        <v>70</v>
      </c>
      <c r="E37" s="44">
        <v>30000</v>
      </c>
      <c r="F37" s="45" t="s">
        <v>183</v>
      </c>
      <c r="I37" s="54"/>
      <c r="O37" s="43">
        <f t="shared" si="1"/>
        <v>-43581</v>
      </c>
      <c r="P37" s="43">
        <f t="shared" si="2"/>
        <v>0</v>
      </c>
      <c r="Q37" s="43">
        <f t="shared" si="3"/>
        <v>189875.626</v>
      </c>
      <c r="R37" s="34" t="s">
        <v>232</v>
      </c>
    </row>
    <row r="38" spans="1:17">
      <c r="A38" s="36">
        <v>42885</v>
      </c>
      <c r="B38" s="34">
        <f t="shared" si="0"/>
        <v>2</v>
      </c>
      <c r="C38" s="44">
        <f>24449+3075+56</f>
        <v>27580</v>
      </c>
      <c r="D38" s="45" t="s">
        <v>59</v>
      </c>
      <c r="I38" s="54"/>
      <c r="M38" s="44">
        <v>30000</v>
      </c>
      <c r="N38" s="45" t="s">
        <v>183</v>
      </c>
      <c r="O38" s="43">
        <f t="shared" si="1"/>
        <v>-27580</v>
      </c>
      <c r="P38" s="43">
        <f t="shared" si="2"/>
        <v>30000</v>
      </c>
      <c r="Q38" s="43">
        <f t="shared" si="3"/>
        <v>192295.626</v>
      </c>
    </row>
    <row r="39" spans="1:18">
      <c r="A39" s="36">
        <v>42886</v>
      </c>
      <c r="B39" s="34">
        <f t="shared" si="0"/>
        <v>3</v>
      </c>
      <c r="C39" s="44">
        <f>33410+3963</f>
        <v>37373</v>
      </c>
      <c r="D39" s="45" t="s">
        <v>77</v>
      </c>
      <c r="I39" s="54"/>
      <c r="O39" s="43">
        <f t="shared" si="1"/>
        <v>-37373</v>
      </c>
      <c r="P39" s="43">
        <f t="shared" si="2"/>
        <v>0</v>
      </c>
      <c r="Q39" s="43">
        <f t="shared" si="3"/>
        <v>154922.626</v>
      </c>
      <c r="R39" s="34" t="s">
        <v>233</v>
      </c>
    </row>
    <row r="40" spans="1:18">
      <c r="A40" s="36">
        <v>42887</v>
      </c>
      <c r="B40" s="34">
        <f t="shared" si="0"/>
        <v>4</v>
      </c>
      <c r="I40" s="54"/>
      <c r="O40" s="43">
        <f t="shared" si="1"/>
        <v>0</v>
      </c>
      <c r="P40" s="43">
        <f t="shared" si="2"/>
        <v>0</v>
      </c>
      <c r="Q40" s="43">
        <f t="shared" si="3"/>
        <v>154922.626</v>
      </c>
      <c r="R40" s="34" t="s">
        <v>233</v>
      </c>
    </row>
    <row r="41" spans="1:18">
      <c r="A41" s="36">
        <v>42888</v>
      </c>
      <c r="B41" s="34">
        <f t="shared" si="0"/>
        <v>5</v>
      </c>
      <c r="C41" s="44">
        <f>12916</f>
        <v>12916</v>
      </c>
      <c r="D41" s="45" t="s">
        <v>122</v>
      </c>
      <c r="E41" s="44">
        <f>82073</f>
        <v>82073</v>
      </c>
      <c r="F41" s="45" t="s">
        <v>100</v>
      </c>
      <c r="I41" s="54"/>
      <c r="O41" s="43">
        <f t="shared" si="1"/>
        <v>-94989</v>
      </c>
      <c r="P41" s="43">
        <f t="shared" si="2"/>
        <v>0</v>
      </c>
      <c r="Q41" s="43">
        <f t="shared" si="3"/>
        <v>59933.626</v>
      </c>
      <c r="R41" s="34" t="s">
        <v>234</v>
      </c>
    </row>
    <row r="42" spans="1:17">
      <c r="A42" s="36">
        <v>42889</v>
      </c>
      <c r="B42" s="34">
        <f t="shared" si="0"/>
        <v>6</v>
      </c>
      <c r="I42" s="57">
        <v>0</v>
      </c>
      <c r="J42" s="48" t="s">
        <v>31</v>
      </c>
      <c r="O42" s="43">
        <f t="shared" si="1"/>
        <v>0</v>
      </c>
      <c r="P42" s="43">
        <f t="shared" si="2"/>
        <v>0</v>
      </c>
      <c r="Q42" s="43">
        <f t="shared" si="3"/>
        <v>59933.626</v>
      </c>
    </row>
    <row r="43" spans="1:17">
      <c r="A43" s="36">
        <v>42890</v>
      </c>
      <c r="B43" s="34">
        <f t="shared" si="0"/>
        <v>7</v>
      </c>
      <c r="I43" s="56">
        <v>25643</v>
      </c>
      <c r="J43" s="45" t="s">
        <v>50</v>
      </c>
      <c r="O43" s="43">
        <f t="shared" si="1"/>
        <v>0</v>
      </c>
      <c r="P43" s="43">
        <f t="shared" si="2"/>
        <v>25489.142</v>
      </c>
      <c r="Q43" s="43">
        <f t="shared" si="3"/>
        <v>85422.768</v>
      </c>
    </row>
    <row r="44" spans="1:18">
      <c r="A44" s="36">
        <v>42891</v>
      </c>
      <c r="B44" s="34">
        <f t="shared" si="0"/>
        <v>1</v>
      </c>
      <c r="C44" s="47">
        <v>0</v>
      </c>
      <c r="D44" s="48" t="s">
        <v>149</v>
      </c>
      <c r="E44" s="49">
        <v>30000</v>
      </c>
      <c r="F44" s="50" t="s">
        <v>183</v>
      </c>
      <c r="G44" s="44">
        <v>1200</v>
      </c>
      <c r="H44" s="45" t="s">
        <v>227</v>
      </c>
      <c r="I44" s="54"/>
      <c r="O44" s="43">
        <f t="shared" si="1"/>
        <v>-31200</v>
      </c>
      <c r="P44" s="43">
        <f t="shared" si="2"/>
        <v>0</v>
      </c>
      <c r="Q44" s="43">
        <f t="shared" si="3"/>
        <v>54222.768</v>
      </c>
      <c r="R44" s="50" t="s">
        <v>235</v>
      </c>
    </row>
    <row r="45" spans="1:18">
      <c r="A45" s="36">
        <v>42892</v>
      </c>
      <c r="B45" s="34">
        <f t="shared" si="0"/>
        <v>2</v>
      </c>
      <c r="C45" s="44">
        <f>0+4925+200</f>
        <v>5125</v>
      </c>
      <c r="D45" s="45" t="s">
        <v>107</v>
      </c>
      <c r="I45" s="54">
        <v>0</v>
      </c>
      <c r="J45" s="34" t="s">
        <v>59</v>
      </c>
      <c r="M45" s="49">
        <v>30000</v>
      </c>
      <c r="N45" s="50" t="s">
        <v>183</v>
      </c>
      <c r="O45" s="43">
        <f t="shared" si="1"/>
        <v>-5125</v>
      </c>
      <c r="P45" s="43">
        <f t="shared" si="2"/>
        <v>30000</v>
      </c>
      <c r="Q45" s="43">
        <f t="shared" si="3"/>
        <v>79097.768</v>
      </c>
      <c r="R45" s="34" t="s">
        <v>236</v>
      </c>
    </row>
    <row r="46" spans="1:17">
      <c r="A46" s="36">
        <v>42893</v>
      </c>
      <c r="B46" s="34">
        <f t="shared" si="0"/>
        <v>3</v>
      </c>
      <c r="E46" s="44">
        <v>30000</v>
      </c>
      <c r="F46" s="45" t="s">
        <v>183</v>
      </c>
      <c r="I46" s="54"/>
      <c r="O46" s="43">
        <f t="shared" si="1"/>
        <v>-30000</v>
      </c>
      <c r="P46" s="43">
        <f t="shared" si="2"/>
        <v>0</v>
      </c>
      <c r="Q46" s="43">
        <f t="shared" si="3"/>
        <v>49097.768</v>
      </c>
    </row>
    <row r="47" spans="1:17">
      <c r="A47" s="36">
        <v>42894</v>
      </c>
      <c r="B47" s="34">
        <f t="shared" si="0"/>
        <v>4</v>
      </c>
      <c r="I47" s="54"/>
      <c r="O47" s="43">
        <f t="shared" si="1"/>
        <v>0</v>
      </c>
      <c r="P47" s="43">
        <f t="shared" si="2"/>
        <v>0</v>
      </c>
      <c r="Q47" s="43">
        <f t="shared" si="3"/>
        <v>49097.768</v>
      </c>
    </row>
    <row r="48" spans="1:17">
      <c r="A48" s="36">
        <v>42895</v>
      </c>
      <c r="B48" s="34">
        <f t="shared" si="0"/>
        <v>5</v>
      </c>
      <c r="I48" s="54"/>
      <c r="O48" s="43">
        <f t="shared" si="1"/>
        <v>0</v>
      </c>
      <c r="P48" s="43">
        <f t="shared" si="2"/>
        <v>0</v>
      </c>
      <c r="Q48" s="43">
        <f t="shared" si="3"/>
        <v>49097.768</v>
      </c>
    </row>
    <row r="49" spans="1:17">
      <c r="A49" s="36">
        <v>42896</v>
      </c>
      <c r="B49" s="34">
        <f t="shared" si="0"/>
        <v>6</v>
      </c>
      <c r="I49" s="54">
        <v>0</v>
      </c>
      <c r="J49" s="34" t="s">
        <v>70</v>
      </c>
      <c r="M49" s="44">
        <v>30000</v>
      </c>
      <c r="N49" s="45" t="s">
        <v>183</v>
      </c>
      <c r="O49" s="43">
        <f t="shared" si="1"/>
        <v>0</v>
      </c>
      <c r="P49" s="43">
        <f t="shared" si="2"/>
        <v>30000</v>
      </c>
      <c r="Q49" s="43">
        <f t="shared" si="3"/>
        <v>79097.768</v>
      </c>
    </row>
    <row r="50" spans="1:17">
      <c r="A50" s="36">
        <v>42897</v>
      </c>
      <c r="B50" s="34">
        <f t="shared" si="0"/>
        <v>7</v>
      </c>
      <c r="I50" s="54"/>
      <c r="M50" s="44">
        <v>-5000</v>
      </c>
      <c r="N50" s="45" t="s">
        <v>227</v>
      </c>
      <c r="O50" s="43">
        <f t="shared" si="1"/>
        <v>0</v>
      </c>
      <c r="P50" s="43">
        <f t="shared" si="2"/>
        <v>-5000</v>
      </c>
      <c r="Q50" s="43">
        <f t="shared" si="3"/>
        <v>74097.768</v>
      </c>
    </row>
    <row r="51" spans="1:17">
      <c r="A51" s="36">
        <v>42898</v>
      </c>
      <c r="B51" s="34">
        <f t="shared" si="0"/>
        <v>1</v>
      </c>
      <c r="E51" s="44">
        <v>30000</v>
      </c>
      <c r="F51" s="45" t="s">
        <v>183</v>
      </c>
      <c r="G51" s="44">
        <v>1686</v>
      </c>
      <c r="H51" s="45" t="s">
        <v>97</v>
      </c>
      <c r="I51" s="54">
        <v>0</v>
      </c>
      <c r="J51" s="34" t="s">
        <v>77</v>
      </c>
      <c r="O51" s="43">
        <f t="shared" si="1"/>
        <v>-31686</v>
      </c>
      <c r="P51" s="43">
        <f t="shared" si="2"/>
        <v>0</v>
      </c>
      <c r="Q51" s="43">
        <f t="shared" si="3"/>
        <v>42411.768</v>
      </c>
    </row>
    <row r="52" spans="1:17">
      <c r="A52" s="36">
        <v>42899</v>
      </c>
      <c r="B52" s="34">
        <f t="shared" si="0"/>
        <v>2</v>
      </c>
      <c r="C52" s="43">
        <v>0</v>
      </c>
      <c r="D52" s="34" t="s">
        <v>138</v>
      </c>
      <c r="I52" s="57">
        <v>0</v>
      </c>
      <c r="J52" s="48" t="s">
        <v>149</v>
      </c>
      <c r="M52" s="44">
        <v>30000</v>
      </c>
      <c r="N52" s="45" t="s">
        <v>183</v>
      </c>
      <c r="O52" s="43">
        <f t="shared" si="1"/>
        <v>0</v>
      </c>
      <c r="P52" s="43">
        <f t="shared" si="2"/>
        <v>30000</v>
      </c>
      <c r="Q52" s="43">
        <f t="shared" si="3"/>
        <v>72411.768</v>
      </c>
    </row>
    <row r="53" spans="1:17">
      <c r="A53" s="36">
        <v>42900</v>
      </c>
      <c r="B53" s="34">
        <f t="shared" si="0"/>
        <v>3</v>
      </c>
      <c r="I53" s="56">
        <v>40623</v>
      </c>
      <c r="J53" s="45" t="s">
        <v>100</v>
      </c>
      <c r="O53" s="43">
        <f t="shared" si="1"/>
        <v>0</v>
      </c>
      <c r="P53" s="43">
        <f t="shared" si="2"/>
        <v>40379.262</v>
      </c>
      <c r="Q53" s="43">
        <f t="shared" si="3"/>
        <v>112791.03</v>
      </c>
    </row>
    <row r="54" spans="1:18">
      <c r="A54" s="36">
        <v>42901</v>
      </c>
      <c r="B54" s="34">
        <f t="shared" si="0"/>
        <v>4</v>
      </c>
      <c r="K54" s="44">
        <v>38695</v>
      </c>
      <c r="L54" s="45" t="s">
        <v>100</v>
      </c>
      <c r="O54" s="43">
        <f t="shared" si="1"/>
        <v>0</v>
      </c>
      <c r="P54" s="43">
        <f t="shared" si="2"/>
        <v>38462.83</v>
      </c>
      <c r="Q54" s="43">
        <f t="shared" si="3"/>
        <v>151253.86</v>
      </c>
      <c r="R54" s="34" t="s">
        <v>237</v>
      </c>
    </row>
    <row r="55" spans="1:18">
      <c r="A55" s="36">
        <v>42902</v>
      </c>
      <c r="B55" s="34">
        <f t="shared" si="0"/>
        <v>5</v>
      </c>
      <c r="I55" s="54">
        <v>0</v>
      </c>
      <c r="J55" s="48" t="s">
        <v>122</v>
      </c>
      <c r="O55" s="43">
        <f t="shared" si="1"/>
        <v>0</v>
      </c>
      <c r="P55" s="43">
        <f t="shared" si="2"/>
        <v>0</v>
      </c>
      <c r="Q55" s="43">
        <f t="shared" si="3"/>
        <v>151253.86</v>
      </c>
      <c r="R55" s="34" t="s">
        <v>230</v>
      </c>
    </row>
    <row r="56" spans="1:17">
      <c r="A56" s="36">
        <v>42903</v>
      </c>
      <c r="B56" s="34">
        <f t="shared" si="0"/>
        <v>6</v>
      </c>
      <c r="I56" s="54"/>
      <c r="O56" s="43">
        <f t="shared" si="1"/>
        <v>0</v>
      </c>
      <c r="P56" s="43">
        <f t="shared" si="2"/>
        <v>0</v>
      </c>
      <c r="Q56" s="43">
        <f t="shared" si="3"/>
        <v>151253.86</v>
      </c>
    </row>
    <row r="57" spans="1:17">
      <c r="A57" s="36">
        <v>42904</v>
      </c>
      <c r="B57" s="34">
        <f t="shared" si="0"/>
        <v>7</v>
      </c>
      <c r="G57" s="51">
        <v>9482</v>
      </c>
      <c r="H57" s="45" t="s">
        <v>227</v>
      </c>
      <c r="I57" s="43">
        <v>0</v>
      </c>
      <c r="J57" s="48" t="s">
        <v>107</v>
      </c>
      <c r="O57" s="43">
        <f t="shared" si="1"/>
        <v>-9482</v>
      </c>
      <c r="P57" s="43">
        <f t="shared" si="2"/>
        <v>0</v>
      </c>
      <c r="Q57" s="43">
        <f t="shared" si="3"/>
        <v>141771.86</v>
      </c>
    </row>
    <row r="58" spans="1:17">
      <c r="A58" s="36">
        <v>42905</v>
      </c>
      <c r="B58" s="34">
        <f t="shared" si="0"/>
        <v>1</v>
      </c>
      <c r="O58" s="43">
        <f t="shared" si="1"/>
        <v>0</v>
      </c>
      <c r="P58" s="43">
        <f t="shared" si="2"/>
        <v>0</v>
      </c>
      <c r="Q58" s="43">
        <f t="shared" si="3"/>
        <v>141771.86</v>
      </c>
    </row>
    <row r="59" spans="1:17">
      <c r="A59" s="36">
        <v>42906</v>
      </c>
      <c r="B59" s="34">
        <f t="shared" si="0"/>
        <v>2</v>
      </c>
      <c r="G59" s="52">
        <v>1522.5</v>
      </c>
      <c r="H59" s="53" t="s">
        <v>183</v>
      </c>
      <c r="M59" s="52">
        <v>13000</v>
      </c>
      <c r="N59" s="53" t="s">
        <v>227</v>
      </c>
      <c r="O59" s="43">
        <f t="shared" si="1"/>
        <v>-1522.5</v>
      </c>
      <c r="P59" s="43">
        <f t="shared" si="2"/>
        <v>13000</v>
      </c>
      <c r="Q59" s="43">
        <f t="shared" si="3"/>
        <v>153249.36</v>
      </c>
    </row>
    <row r="60" spans="1:17">
      <c r="A60" s="36">
        <v>42907</v>
      </c>
      <c r="B60" s="34">
        <f t="shared" si="0"/>
        <v>3</v>
      </c>
      <c r="O60" s="43">
        <f t="shared" si="1"/>
        <v>0</v>
      </c>
      <c r="P60" s="43">
        <f t="shared" si="2"/>
        <v>0</v>
      </c>
      <c r="Q60" s="43">
        <f t="shared" si="3"/>
        <v>153249.36</v>
      </c>
    </row>
    <row r="61" spans="1:18">
      <c r="A61" s="36">
        <v>42908</v>
      </c>
      <c r="B61" s="34">
        <f t="shared" si="0"/>
        <v>4</v>
      </c>
      <c r="C61" s="52">
        <f>I12+2727+37461-827</f>
        <v>39361</v>
      </c>
      <c r="D61" s="53" t="s">
        <v>50</v>
      </c>
      <c r="E61" s="52">
        <f>I11+3605</f>
        <v>3605</v>
      </c>
      <c r="F61" s="53" t="s">
        <v>31</v>
      </c>
      <c r="O61" s="43">
        <f t="shared" si="1"/>
        <v>-42966</v>
      </c>
      <c r="P61" s="43">
        <f t="shared" si="2"/>
        <v>0</v>
      </c>
      <c r="Q61" s="43">
        <f t="shared" si="3"/>
        <v>110283.36</v>
      </c>
      <c r="R61" s="34" t="s">
        <v>238</v>
      </c>
    </row>
    <row r="62" spans="1:17">
      <c r="A62" s="36">
        <v>42909</v>
      </c>
      <c r="B62" s="34">
        <f t="shared" si="0"/>
        <v>5</v>
      </c>
      <c r="O62" s="43">
        <f t="shared" si="1"/>
        <v>0</v>
      </c>
      <c r="P62" s="43">
        <f t="shared" si="2"/>
        <v>0</v>
      </c>
      <c r="Q62" s="43">
        <f t="shared" si="3"/>
        <v>110283.36</v>
      </c>
    </row>
    <row r="63" spans="1:17">
      <c r="A63" s="36">
        <v>42910</v>
      </c>
      <c r="B63" s="34">
        <f t="shared" si="0"/>
        <v>6</v>
      </c>
      <c r="O63" s="43">
        <f t="shared" si="1"/>
        <v>0</v>
      </c>
      <c r="P63" s="43">
        <f t="shared" si="2"/>
        <v>0</v>
      </c>
      <c r="Q63" s="43">
        <f t="shared" si="3"/>
        <v>110283.36</v>
      </c>
    </row>
    <row r="64" spans="1:17">
      <c r="A64" s="36">
        <v>42911</v>
      </c>
      <c r="B64" s="34">
        <f t="shared" si="0"/>
        <v>7</v>
      </c>
      <c r="O64" s="43">
        <f t="shared" si="1"/>
        <v>0</v>
      </c>
      <c r="P64" s="43">
        <f t="shared" si="2"/>
        <v>0</v>
      </c>
      <c r="Q64" s="43">
        <f t="shared" si="3"/>
        <v>110283.36</v>
      </c>
    </row>
    <row r="65" spans="1:17">
      <c r="A65" s="36">
        <v>42912</v>
      </c>
      <c r="B65" s="34">
        <f t="shared" si="0"/>
        <v>1</v>
      </c>
      <c r="I65" s="58">
        <v>34066</v>
      </c>
      <c r="J65" s="59" t="s">
        <v>138</v>
      </c>
      <c r="O65" s="43">
        <f t="shared" si="1"/>
        <v>0</v>
      </c>
      <c r="P65" s="43">
        <f t="shared" si="2"/>
        <v>33861.604</v>
      </c>
      <c r="Q65" s="43">
        <f t="shared" si="3"/>
        <v>144144.964</v>
      </c>
    </row>
    <row r="66" spans="1:17">
      <c r="A66" s="36">
        <v>42913</v>
      </c>
      <c r="B66" s="34">
        <f t="shared" ref="B66:B129" si="4">WEEKDAY(A66,2)</f>
        <v>2</v>
      </c>
      <c r="O66" s="43">
        <f t="shared" ref="O66:O129" si="5">(C66+E66+G66)*-1</f>
        <v>0</v>
      </c>
      <c r="P66" s="43">
        <f t="shared" ref="P66:P129" si="6">(I66+K66)*0.994+M66</f>
        <v>0</v>
      </c>
      <c r="Q66" s="43">
        <f t="shared" si="3"/>
        <v>144144.964</v>
      </c>
    </row>
    <row r="67" spans="1:18">
      <c r="A67" s="36">
        <v>42914</v>
      </c>
      <c r="B67" s="34">
        <f t="shared" si="4"/>
        <v>3</v>
      </c>
      <c r="O67" s="43">
        <f t="shared" si="5"/>
        <v>0</v>
      </c>
      <c r="P67" s="43">
        <f t="shared" si="6"/>
        <v>0</v>
      </c>
      <c r="Q67" s="43">
        <f t="shared" ref="Q67:Q130" si="7">Q66+O67+P67</f>
        <v>144144.964</v>
      </c>
      <c r="R67" s="34" t="s">
        <v>239</v>
      </c>
    </row>
    <row r="68" spans="1:17">
      <c r="A68" s="36">
        <v>42915</v>
      </c>
      <c r="B68" s="34">
        <f t="shared" si="4"/>
        <v>4</v>
      </c>
      <c r="C68" s="52">
        <f>I18+331+182</f>
        <v>513</v>
      </c>
      <c r="D68" s="53" t="s">
        <v>70</v>
      </c>
      <c r="O68" s="43">
        <f t="shared" si="5"/>
        <v>-513</v>
      </c>
      <c r="P68" s="43">
        <f t="shared" si="6"/>
        <v>0</v>
      </c>
      <c r="Q68" s="43">
        <f t="shared" si="7"/>
        <v>143631.964</v>
      </c>
    </row>
    <row r="69" spans="1:17">
      <c r="A69" s="36">
        <v>42916</v>
      </c>
      <c r="B69" s="34">
        <f t="shared" si="4"/>
        <v>5</v>
      </c>
      <c r="C69" s="52">
        <f>I14+3075+18</f>
        <v>3093</v>
      </c>
      <c r="D69" s="53" t="s">
        <v>59</v>
      </c>
      <c r="O69" s="43">
        <f t="shared" si="5"/>
        <v>-3093</v>
      </c>
      <c r="P69" s="43">
        <f t="shared" si="6"/>
        <v>0</v>
      </c>
      <c r="Q69" s="43">
        <f t="shared" si="7"/>
        <v>140538.964</v>
      </c>
    </row>
    <row r="70" spans="1:17">
      <c r="A70" s="36">
        <v>42917</v>
      </c>
      <c r="B70" s="34">
        <f t="shared" si="4"/>
        <v>6</v>
      </c>
      <c r="C70" s="52">
        <f>I20+4025-62</f>
        <v>3963</v>
      </c>
      <c r="D70" s="53" t="s">
        <v>77</v>
      </c>
      <c r="O70" s="43">
        <f t="shared" si="5"/>
        <v>-3963</v>
      </c>
      <c r="P70" s="43">
        <f t="shared" si="6"/>
        <v>0</v>
      </c>
      <c r="Q70" s="43">
        <f t="shared" si="7"/>
        <v>136575.964</v>
      </c>
    </row>
    <row r="71" spans="1:17">
      <c r="A71" s="36">
        <v>42918</v>
      </c>
      <c r="B71" s="34">
        <f t="shared" si="4"/>
        <v>7</v>
      </c>
      <c r="C71" s="52">
        <f>I24+1960</f>
        <v>1960</v>
      </c>
      <c r="D71" s="53" t="s">
        <v>122</v>
      </c>
      <c r="E71" s="52">
        <f>I22+7119+5574</f>
        <v>12693</v>
      </c>
      <c r="F71" s="53" t="s">
        <v>100</v>
      </c>
      <c r="O71" s="43">
        <f t="shared" si="5"/>
        <v>-14653</v>
      </c>
      <c r="P71" s="43">
        <f t="shared" si="6"/>
        <v>0</v>
      </c>
      <c r="Q71" s="43">
        <f t="shared" si="7"/>
        <v>121922.964</v>
      </c>
    </row>
    <row r="72" spans="1:17">
      <c r="A72" s="36">
        <v>42919</v>
      </c>
      <c r="B72" s="34">
        <f t="shared" si="4"/>
        <v>1</v>
      </c>
      <c r="I72" s="60">
        <v>8916</v>
      </c>
      <c r="J72" s="59" t="s">
        <v>31</v>
      </c>
      <c r="O72" s="43">
        <f t="shared" si="5"/>
        <v>0</v>
      </c>
      <c r="P72" s="43">
        <f t="shared" si="6"/>
        <v>8862.504</v>
      </c>
      <c r="Q72" s="43">
        <f t="shared" si="7"/>
        <v>130785.468</v>
      </c>
    </row>
    <row r="73" spans="1:18">
      <c r="A73" s="36">
        <v>42920</v>
      </c>
      <c r="B73" s="34">
        <f t="shared" si="4"/>
        <v>2</v>
      </c>
      <c r="E73" s="52">
        <v>30000</v>
      </c>
      <c r="F73" s="53" t="s">
        <v>183</v>
      </c>
      <c r="I73" s="47">
        <v>0</v>
      </c>
      <c r="J73" s="48" t="s">
        <v>50</v>
      </c>
      <c r="O73" s="43">
        <f t="shared" si="5"/>
        <v>-30000</v>
      </c>
      <c r="P73" s="43">
        <f t="shared" si="6"/>
        <v>0</v>
      </c>
      <c r="Q73" s="43">
        <f t="shared" si="7"/>
        <v>100785.468</v>
      </c>
      <c r="R73" s="34" t="s">
        <v>240</v>
      </c>
    </row>
    <row r="74" spans="1:18">
      <c r="A74" s="36">
        <v>42921</v>
      </c>
      <c r="B74" s="34">
        <f t="shared" si="4"/>
        <v>3</v>
      </c>
      <c r="C74" s="52">
        <f>I21+339</f>
        <v>2474</v>
      </c>
      <c r="D74" s="53" t="s">
        <v>149</v>
      </c>
      <c r="G74" s="43">
        <v>0</v>
      </c>
      <c r="H74" s="34" t="s">
        <v>227</v>
      </c>
      <c r="I74" s="47"/>
      <c r="J74" s="48"/>
      <c r="M74" s="52">
        <v>30000</v>
      </c>
      <c r="N74" s="53" t="s">
        <v>183</v>
      </c>
      <c r="O74" s="43">
        <f t="shared" si="5"/>
        <v>-2474</v>
      </c>
      <c r="P74" s="43">
        <f t="shared" si="6"/>
        <v>30000</v>
      </c>
      <c r="Q74" s="43">
        <f t="shared" si="7"/>
        <v>128311.468</v>
      </c>
      <c r="R74" s="34" t="s">
        <v>241</v>
      </c>
    </row>
    <row r="75" spans="1:17">
      <c r="A75" s="36">
        <v>42922</v>
      </c>
      <c r="B75" s="34">
        <f t="shared" si="4"/>
        <v>4</v>
      </c>
      <c r="C75" s="52">
        <f>I26+K26+4925+300-79713+4936.22</f>
        <v>34587.22</v>
      </c>
      <c r="D75" s="53" t="s">
        <v>107</v>
      </c>
      <c r="I75" s="61">
        <v>31015</v>
      </c>
      <c r="J75" s="59" t="s">
        <v>59</v>
      </c>
      <c r="O75" s="43">
        <f t="shared" si="5"/>
        <v>-34587.22</v>
      </c>
      <c r="P75" s="43">
        <f t="shared" si="6"/>
        <v>30828.91</v>
      </c>
      <c r="Q75" s="43">
        <f t="shared" si="7"/>
        <v>124553.158</v>
      </c>
    </row>
    <row r="76" spans="1:17">
      <c r="A76" s="36">
        <v>42923</v>
      </c>
      <c r="B76" s="34">
        <f t="shared" si="4"/>
        <v>5</v>
      </c>
      <c r="O76" s="43">
        <f t="shared" si="5"/>
        <v>0</v>
      </c>
      <c r="P76" s="43">
        <f t="shared" si="6"/>
        <v>0</v>
      </c>
      <c r="Q76" s="43">
        <f t="shared" si="7"/>
        <v>124553.158</v>
      </c>
    </row>
    <row r="77" spans="1:17">
      <c r="A77" s="36">
        <v>42924</v>
      </c>
      <c r="B77" s="34">
        <f t="shared" si="4"/>
        <v>6</v>
      </c>
      <c r="I77" s="54"/>
      <c r="O77" s="43">
        <f t="shared" si="5"/>
        <v>0</v>
      </c>
      <c r="P77" s="43">
        <f t="shared" si="6"/>
        <v>0</v>
      </c>
      <c r="Q77" s="43">
        <f t="shared" si="7"/>
        <v>124553.158</v>
      </c>
    </row>
    <row r="78" spans="1:18">
      <c r="A78" s="36">
        <v>42925</v>
      </c>
      <c r="B78" s="34">
        <f t="shared" si="4"/>
        <v>7</v>
      </c>
      <c r="I78" s="54"/>
      <c r="O78" s="43">
        <f t="shared" si="5"/>
        <v>0</v>
      </c>
      <c r="P78" s="43">
        <f t="shared" si="6"/>
        <v>0</v>
      </c>
      <c r="Q78" s="43">
        <f t="shared" si="7"/>
        <v>124553.158</v>
      </c>
      <c r="R78" s="34" t="s">
        <v>242</v>
      </c>
    </row>
    <row r="79" spans="1:17">
      <c r="A79" s="36">
        <v>42926</v>
      </c>
      <c r="B79" s="34">
        <f t="shared" si="4"/>
        <v>1</v>
      </c>
      <c r="I79" s="61">
        <v>14470</v>
      </c>
      <c r="J79" s="59" t="s">
        <v>70</v>
      </c>
      <c r="O79" s="43">
        <f t="shared" si="5"/>
        <v>0</v>
      </c>
      <c r="P79" s="43">
        <f t="shared" si="6"/>
        <v>14383.18</v>
      </c>
      <c r="Q79" s="43">
        <f t="shared" si="7"/>
        <v>138936.338</v>
      </c>
    </row>
    <row r="80" spans="1:18">
      <c r="A80" s="36">
        <v>42927</v>
      </c>
      <c r="B80" s="34">
        <f t="shared" si="4"/>
        <v>2</v>
      </c>
      <c r="I80" s="57"/>
      <c r="J80" s="48"/>
      <c r="O80" s="43">
        <f t="shared" si="5"/>
        <v>0</v>
      </c>
      <c r="P80" s="43">
        <f t="shared" si="6"/>
        <v>0</v>
      </c>
      <c r="Q80" s="43">
        <f t="shared" si="7"/>
        <v>138936.338</v>
      </c>
      <c r="R80" s="34" t="s">
        <v>243</v>
      </c>
    </row>
    <row r="81" spans="1:17">
      <c r="A81" s="36">
        <v>42928</v>
      </c>
      <c r="B81" s="34">
        <f t="shared" si="4"/>
        <v>3</v>
      </c>
      <c r="G81" s="52">
        <v>1686</v>
      </c>
      <c r="H81" s="53" t="s">
        <v>97</v>
      </c>
      <c r="I81" s="61">
        <v>41440</v>
      </c>
      <c r="J81" s="59" t="s">
        <v>77</v>
      </c>
      <c r="O81" s="43">
        <f t="shared" si="5"/>
        <v>-1686</v>
      </c>
      <c r="P81" s="43">
        <f t="shared" si="6"/>
        <v>41191.36</v>
      </c>
      <c r="Q81" s="43">
        <f t="shared" si="7"/>
        <v>178441.698</v>
      </c>
    </row>
    <row r="82" spans="1:17">
      <c r="A82" s="36">
        <v>42929</v>
      </c>
      <c r="B82" s="34">
        <f t="shared" si="4"/>
        <v>4</v>
      </c>
      <c r="C82" s="52">
        <f>I34+232</f>
        <v>232</v>
      </c>
      <c r="D82" s="53" t="s">
        <v>138</v>
      </c>
      <c r="I82" s="61">
        <v>2140</v>
      </c>
      <c r="J82" s="59" t="s">
        <v>149</v>
      </c>
      <c r="O82" s="43">
        <f t="shared" si="5"/>
        <v>-232</v>
      </c>
      <c r="P82" s="43">
        <f t="shared" si="6"/>
        <v>2127.16</v>
      </c>
      <c r="Q82" s="43">
        <f t="shared" si="7"/>
        <v>180336.858</v>
      </c>
    </row>
    <row r="83" spans="1:17">
      <c r="A83" s="36">
        <v>42930</v>
      </c>
      <c r="B83" s="34">
        <f t="shared" si="4"/>
        <v>5</v>
      </c>
      <c r="I83" s="57">
        <v>0</v>
      </c>
      <c r="J83" s="48" t="s">
        <v>100</v>
      </c>
      <c r="O83" s="43">
        <f t="shared" si="5"/>
        <v>0</v>
      </c>
      <c r="P83" s="43">
        <f t="shared" si="6"/>
        <v>0</v>
      </c>
      <c r="Q83" s="43">
        <f t="shared" si="7"/>
        <v>180336.858</v>
      </c>
    </row>
    <row r="84" spans="1:17">
      <c r="A84" s="36">
        <v>42931</v>
      </c>
      <c r="B84" s="34">
        <f t="shared" si="4"/>
        <v>6</v>
      </c>
      <c r="I84" s="57"/>
      <c r="J84" s="48"/>
      <c r="O84" s="43">
        <f t="shared" si="5"/>
        <v>0</v>
      </c>
      <c r="P84" s="43">
        <f t="shared" si="6"/>
        <v>0</v>
      </c>
      <c r="Q84" s="43">
        <f t="shared" si="7"/>
        <v>180336.858</v>
      </c>
    </row>
    <row r="85" spans="1:17">
      <c r="A85" s="36">
        <v>42932</v>
      </c>
      <c r="B85" s="34">
        <f t="shared" si="4"/>
        <v>7</v>
      </c>
      <c r="I85" s="61">
        <v>14223</v>
      </c>
      <c r="J85" s="59" t="s">
        <v>122</v>
      </c>
      <c r="O85" s="43">
        <f t="shared" si="5"/>
        <v>0</v>
      </c>
      <c r="P85" s="43">
        <f t="shared" si="6"/>
        <v>14137.662</v>
      </c>
      <c r="Q85" s="43">
        <f t="shared" si="7"/>
        <v>194474.52</v>
      </c>
    </row>
    <row r="86" spans="1:17">
      <c r="A86" s="36">
        <v>42933</v>
      </c>
      <c r="B86" s="34">
        <f t="shared" si="4"/>
        <v>1</v>
      </c>
      <c r="I86" s="54"/>
      <c r="O86" s="43">
        <f t="shared" si="5"/>
        <v>0</v>
      </c>
      <c r="P86" s="43">
        <f t="shared" si="6"/>
        <v>0</v>
      </c>
      <c r="Q86" s="43">
        <f t="shared" si="7"/>
        <v>194474.52</v>
      </c>
    </row>
    <row r="87" spans="1:17">
      <c r="A87" s="36">
        <v>42934</v>
      </c>
      <c r="B87" s="34">
        <f t="shared" si="4"/>
        <v>2</v>
      </c>
      <c r="G87" s="52">
        <v>9482</v>
      </c>
      <c r="H87" s="53" t="s">
        <v>227</v>
      </c>
      <c r="I87" s="62">
        <v>33417</v>
      </c>
      <c r="J87" s="63" t="s">
        <v>107</v>
      </c>
      <c r="K87" s="62">
        <v>32612</v>
      </c>
      <c r="L87" s="63" t="s">
        <v>107</v>
      </c>
      <c r="O87" s="43">
        <f t="shared" si="5"/>
        <v>-9482</v>
      </c>
      <c r="P87" s="43">
        <v>0</v>
      </c>
      <c r="Q87" s="43">
        <f t="shared" si="7"/>
        <v>184992.52</v>
      </c>
    </row>
    <row r="88" spans="1:17">
      <c r="A88" s="36">
        <v>42935</v>
      </c>
      <c r="B88" s="34">
        <f t="shared" si="4"/>
        <v>3</v>
      </c>
      <c r="O88" s="43">
        <f t="shared" si="5"/>
        <v>0</v>
      </c>
      <c r="P88" s="43">
        <f t="shared" si="6"/>
        <v>0</v>
      </c>
      <c r="Q88" s="43">
        <f t="shared" si="7"/>
        <v>184992.52</v>
      </c>
    </row>
    <row r="89" spans="1:17">
      <c r="A89" s="36">
        <v>42936</v>
      </c>
      <c r="B89" s="34">
        <f t="shared" si="4"/>
        <v>4</v>
      </c>
      <c r="G89" s="52">
        <v>1522.5</v>
      </c>
      <c r="H89" s="53" t="s">
        <v>183</v>
      </c>
      <c r="O89" s="43">
        <f t="shared" si="5"/>
        <v>-1522.5</v>
      </c>
      <c r="P89" s="43">
        <f t="shared" si="6"/>
        <v>0</v>
      </c>
      <c r="Q89" s="43">
        <f t="shared" si="7"/>
        <v>183470.02</v>
      </c>
    </row>
    <row r="90" spans="1:17">
      <c r="A90" s="36">
        <v>42937</v>
      </c>
      <c r="B90" s="34">
        <f t="shared" si="4"/>
        <v>5</v>
      </c>
      <c r="O90" s="43">
        <f t="shared" si="5"/>
        <v>0</v>
      </c>
      <c r="P90" s="43">
        <f t="shared" si="6"/>
        <v>0</v>
      </c>
      <c r="Q90" s="43">
        <f t="shared" si="7"/>
        <v>183470.02</v>
      </c>
    </row>
    <row r="91" spans="1:17">
      <c r="A91" s="36">
        <v>42938</v>
      </c>
      <c r="B91" s="34">
        <f t="shared" si="4"/>
        <v>6</v>
      </c>
      <c r="C91" s="52">
        <f>I43-I43+3830</f>
        <v>3830</v>
      </c>
      <c r="D91" s="53" t="s">
        <v>50</v>
      </c>
      <c r="E91" s="52">
        <f>I42+3605</f>
        <v>3605</v>
      </c>
      <c r="F91" s="53" t="s">
        <v>31</v>
      </c>
      <c r="O91" s="43">
        <f t="shared" si="5"/>
        <v>-7435</v>
      </c>
      <c r="P91" s="43">
        <f t="shared" si="6"/>
        <v>0</v>
      </c>
      <c r="Q91" s="43">
        <f t="shared" si="7"/>
        <v>176035.02</v>
      </c>
    </row>
    <row r="92" spans="1:17">
      <c r="A92" s="36">
        <v>42939</v>
      </c>
      <c r="B92" s="34">
        <f t="shared" si="4"/>
        <v>7</v>
      </c>
      <c r="O92" s="43">
        <f t="shared" si="5"/>
        <v>0</v>
      </c>
      <c r="P92" s="43">
        <f t="shared" si="6"/>
        <v>0</v>
      </c>
      <c r="Q92" s="43">
        <f t="shared" si="7"/>
        <v>176035.02</v>
      </c>
    </row>
    <row r="93" spans="1:17">
      <c r="A93" s="36">
        <v>42940</v>
      </c>
      <c r="B93" s="34">
        <f t="shared" si="4"/>
        <v>1</v>
      </c>
      <c r="O93" s="43">
        <f t="shared" si="5"/>
        <v>0</v>
      </c>
      <c r="P93" s="43">
        <f t="shared" si="6"/>
        <v>0</v>
      </c>
      <c r="Q93" s="43">
        <f t="shared" si="7"/>
        <v>176035.02</v>
      </c>
    </row>
    <row r="94" spans="1:17">
      <c r="A94" s="36">
        <v>42941</v>
      </c>
      <c r="B94" s="34">
        <f t="shared" si="4"/>
        <v>2</v>
      </c>
      <c r="G94" s="52">
        <v>30000</v>
      </c>
      <c r="H94" s="53" t="s">
        <v>244</v>
      </c>
      <c r="O94" s="43">
        <f t="shared" si="5"/>
        <v>-30000</v>
      </c>
      <c r="P94" s="43">
        <f t="shared" si="6"/>
        <v>0</v>
      </c>
      <c r="Q94" s="43">
        <f t="shared" si="7"/>
        <v>146035.02</v>
      </c>
    </row>
    <row r="95" spans="1:17">
      <c r="A95" s="36">
        <v>42942</v>
      </c>
      <c r="B95" s="34">
        <f t="shared" si="4"/>
        <v>3</v>
      </c>
      <c r="G95" s="52">
        <v>30000</v>
      </c>
      <c r="H95" s="53" t="s">
        <v>245</v>
      </c>
      <c r="I95" s="43">
        <v>0</v>
      </c>
      <c r="J95" s="34" t="s">
        <v>138</v>
      </c>
      <c r="M95" s="52">
        <v>1050</v>
      </c>
      <c r="N95" s="53" t="s">
        <v>244</v>
      </c>
      <c r="O95" s="43">
        <f t="shared" si="5"/>
        <v>-30000</v>
      </c>
      <c r="P95" s="43">
        <f t="shared" si="6"/>
        <v>1050</v>
      </c>
      <c r="Q95" s="43">
        <f t="shared" si="7"/>
        <v>117085.02</v>
      </c>
    </row>
    <row r="96" spans="1:17">
      <c r="A96" s="36">
        <v>42943</v>
      </c>
      <c r="B96" s="34">
        <f t="shared" si="4"/>
        <v>4</v>
      </c>
      <c r="G96" s="52">
        <v>30000</v>
      </c>
      <c r="H96" s="53" t="s">
        <v>246</v>
      </c>
      <c r="M96" s="52">
        <v>1290</v>
      </c>
      <c r="N96" s="53" t="s">
        <v>245</v>
      </c>
      <c r="O96" s="43">
        <f t="shared" si="5"/>
        <v>-30000</v>
      </c>
      <c r="P96" s="43">
        <f t="shared" si="6"/>
        <v>1290</v>
      </c>
      <c r="Q96" s="43">
        <f t="shared" si="7"/>
        <v>88375.02</v>
      </c>
    </row>
    <row r="97" spans="1:17">
      <c r="A97" s="36">
        <v>42944</v>
      </c>
      <c r="B97" s="34">
        <f t="shared" si="4"/>
        <v>5</v>
      </c>
      <c r="G97" s="52">
        <v>30000</v>
      </c>
      <c r="H97" s="53" t="s">
        <v>247</v>
      </c>
      <c r="M97" s="52">
        <v>1020</v>
      </c>
      <c r="N97" s="53" t="s">
        <v>246</v>
      </c>
      <c r="O97" s="43">
        <f t="shared" si="5"/>
        <v>-30000</v>
      </c>
      <c r="P97" s="43">
        <f t="shared" si="6"/>
        <v>1020</v>
      </c>
      <c r="Q97" s="43">
        <f t="shared" si="7"/>
        <v>59395.02</v>
      </c>
    </row>
    <row r="98" spans="1:17">
      <c r="A98" s="36">
        <v>42945</v>
      </c>
      <c r="B98" s="34">
        <f t="shared" si="4"/>
        <v>6</v>
      </c>
      <c r="C98" s="52">
        <f>I49+331+40</f>
        <v>371</v>
      </c>
      <c r="D98" s="53" t="s">
        <v>70</v>
      </c>
      <c r="M98" s="52">
        <v>1020</v>
      </c>
      <c r="N98" s="53" t="s">
        <v>247</v>
      </c>
      <c r="O98" s="43">
        <f t="shared" si="5"/>
        <v>-371</v>
      </c>
      <c r="P98" s="43">
        <f t="shared" si="6"/>
        <v>1020</v>
      </c>
      <c r="Q98" s="43">
        <f t="shared" si="7"/>
        <v>60044.02</v>
      </c>
    </row>
    <row r="99" spans="1:17">
      <c r="A99" s="36">
        <v>42946</v>
      </c>
      <c r="B99" s="34">
        <f t="shared" si="4"/>
        <v>7</v>
      </c>
      <c r="C99" s="52">
        <f>I45+3151</f>
        <v>3151</v>
      </c>
      <c r="D99" s="53" t="s">
        <v>59</v>
      </c>
      <c r="O99" s="43">
        <f t="shared" si="5"/>
        <v>-3151</v>
      </c>
      <c r="P99" s="43">
        <f t="shared" si="6"/>
        <v>0</v>
      </c>
      <c r="Q99" s="43">
        <f t="shared" si="7"/>
        <v>56893.02</v>
      </c>
    </row>
    <row r="100" spans="1:17">
      <c r="A100" s="36">
        <v>42947</v>
      </c>
      <c r="B100" s="34">
        <f t="shared" si="4"/>
        <v>1</v>
      </c>
      <c r="C100" s="52">
        <f>I50+3963</f>
        <v>3963</v>
      </c>
      <c r="D100" s="53" t="s">
        <v>77</v>
      </c>
      <c r="O100" s="43">
        <f t="shared" si="5"/>
        <v>-3963</v>
      </c>
      <c r="P100" s="43">
        <f t="shared" si="6"/>
        <v>0</v>
      </c>
      <c r="Q100" s="43">
        <f t="shared" si="7"/>
        <v>52930.02</v>
      </c>
    </row>
    <row r="101" spans="1:17">
      <c r="A101" s="36">
        <v>42948</v>
      </c>
      <c r="B101" s="34">
        <f t="shared" si="4"/>
        <v>2</v>
      </c>
      <c r="O101" s="43">
        <f t="shared" si="5"/>
        <v>0</v>
      </c>
      <c r="P101" s="43">
        <f t="shared" si="6"/>
        <v>0</v>
      </c>
      <c r="Q101" s="43">
        <f t="shared" si="7"/>
        <v>52930.02</v>
      </c>
    </row>
    <row r="102" spans="1:17">
      <c r="A102" s="36">
        <v>42949</v>
      </c>
      <c r="B102" s="34">
        <f t="shared" si="4"/>
        <v>3</v>
      </c>
      <c r="C102" s="52">
        <f>I55+1960+1</f>
        <v>1961</v>
      </c>
      <c r="D102" s="53" t="s">
        <v>122</v>
      </c>
      <c r="E102" s="52">
        <f>I53+K53+7119+47417</f>
        <v>95159</v>
      </c>
      <c r="F102" s="53" t="s">
        <v>100</v>
      </c>
      <c r="I102" s="52">
        <v>27673</v>
      </c>
      <c r="J102" s="53" t="s">
        <v>165</v>
      </c>
      <c r="O102" s="43">
        <f t="shared" si="5"/>
        <v>-97120</v>
      </c>
      <c r="P102" s="43">
        <f t="shared" si="6"/>
        <v>27506.962</v>
      </c>
      <c r="Q102" s="43">
        <f t="shared" si="7"/>
        <v>-16683.018</v>
      </c>
    </row>
    <row r="103" spans="1:17">
      <c r="A103" s="36">
        <v>42950</v>
      </c>
      <c r="B103" s="34">
        <f t="shared" si="4"/>
        <v>4</v>
      </c>
      <c r="I103" s="47">
        <v>0</v>
      </c>
      <c r="J103" s="48" t="s">
        <v>31</v>
      </c>
      <c r="L103" s="43"/>
      <c r="O103" s="43">
        <f t="shared" si="5"/>
        <v>0</v>
      </c>
      <c r="P103" s="43">
        <f t="shared" si="6"/>
        <v>0</v>
      </c>
      <c r="Q103" s="43">
        <f t="shared" si="7"/>
        <v>-16683.018</v>
      </c>
    </row>
    <row r="104" spans="1:17">
      <c r="A104" s="36">
        <v>42951</v>
      </c>
      <c r="B104" s="34">
        <f t="shared" si="4"/>
        <v>5</v>
      </c>
      <c r="G104" s="52">
        <v>3000</v>
      </c>
      <c r="H104" s="53" t="s">
        <v>248</v>
      </c>
      <c r="I104" s="52">
        <v>48834</v>
      </c>
      <c r="J104" s="53" t="s">
        <v>50</v>
      </c>
      <c r="K104" s="52">
        <v>998</v>
      </c>
      <c r="L104" s="53" t="s">
        <v>165</v>
      </c>
      <c r="O104" s="43">
        <f t="shared" si="5"/>
        <v>-3000</v>
      </c>
      <c r="P104" s="43">
        <f t="shared" si="6"/>
        <v>49533.008</v>
      </c>
      <c r="Q104" s="43">
        <f t="shared" si="7"/>
        <v>29849.99</v>
      </c>
    </row>
    <row r="105" spans="1:17">
      <c r="A105" s="36">
        <v>42952</v>
      </c>
      <c r="B105" s="34">
        <f t="shared" si="4"/>
        <v>6</v>
      </c>
      <c r="C105" s="52">
        <f>I52+224</f>
        <v>224</v>
      </c>
      <c r="D105" s="53" t="s">
        <v>149</v>
      </c>
      <c r="G105" s="43">
        <v>0</v>
      </c>
      <c r="H105" s="34" t="s">
        <v>227</v>
      </c>
      <c r="O105" s="43">
        <f t="shared" si="5"/>
        <v>-224</v>
      </c>
      <c r="P105" s="43">
        <f t="shared" si="6"/>
        <v>0</v>
      </c>
      <c r="Q105" s="43">
        <f t="shared" si="7"/>
        <v>29625.99</v>
      </c>
    </row>
    <row r="106" spans="1:17">
      <c r="A106" s="36">
        <v>42953</v>
      </c>
      <c r="B106" s="34">
        <f t="shared" si="4"/>
        <v>7</v>
      </c>
      <c r="C106" s="52">
        <f>I57+4925+25602</f>
        <v>30527</v>
      </c>
      <c r="D106" s="53" t="s">
        <v>107</v>
      </c>
      <c r="I106" s="43">
        <v>0</v>
      </c>
      <c r="J106" s="34" t="s">
        <v>59</v>
      </c>
      <c r="O106" s="43">
        <f t="shared" si="5"/>
        <v>-30527</v>
      </c>
      <c r="P106" s="43">
        <f t="shared" si="6"/>
        <v>0</v>
      </c>
      <c r="Q106" s="43">
        <f t="shared" si="7"/>
        <v>-901.009999999951</v>
      </c>
    </row>
    <row r="107" spans="1:17">
      <c r="A107" s="36">
        <v>42954</v>
      </c>
      <c r="B107" s="34">
        <f t="shared" si="4"/>
        <v>1</v>
      </c>
      <c r="K107" s="52">
        <v>3255</v>
      </c>
      <c r="L107" s="53" t="s">
        <v>165</v>
      </c>
      <c r="O107" s="43">
        <f t="shared" si="5"/>
        <v>0</v>
      </c>
      <c r="P107" s="43">
        <f t="shared" si="6"/>
        <v>3235.47</v>
      </c>
      <c r="Q107" s="43">
        <f t="shared" si="7"/>
        <v>2334.46000000005</v>
      </c>
    </row>
    <row r="108" spans="1:17">
      <c r="A108" s="36">
        <v>42955</v>
      </c>
      <c r="B108" s="34">
        <f t="shared" si="4"/>
        <v>2</v>
      </c>
      <c r="O108" s="43">
        <f t="shared" si="5"/>
        <v>0</v>
      </c>
      <c r="P108" s="43">
        <f t="shared" si="6"/>
        <v>0</v>
      </c>
      <c r="Q108" s="43">
        <f t="shared" si="7"/>
        <v>2334.46000000005</v>
      </c>
    </row>
    <row r="109" spans="1:17">
      <c r="A109" s="36">
        <v>42956</v>
      </c>
      <c r="B109" s="34">
        <f t="shared" si="4"/>
        <v>3</v>
      </c>
      <c r="O109" s="43">
        <f t="shared" si="5"/>
        <v>0</v>
      </c>
      <c r="P109" s="43">
        <f t="shared" si="6"/>
        <v>0</v>
      </c>
      <c r="Q109" s="43">
        <f t="shared" si="7"/>
        <v>2334.46000000005</v>
      </c>
    </row>
    <row r="110" spans="1:17">
      <c r="A110" s="36">
        <v>42957</v>
      </c>
      <c r="B110" s="34">
        <f t="shared" si="4"/>
        <v>4</v>
      </c>
      <c r="I110" s="43">
        <v>0</v>
      </c>
      <c r="J110" s="34" t="s">
        <v>70</v>
      </c>
      <c r="O110" s="43">
        <f t="shared" si="5"/>
        <v>0</v>
      </c>
      <c r="P110" s="43">
        <f t="shared" si="6"/>
        <v>0</v>
      </c>
      <c r="Q110" s="43">
        <f t="shared" si="7"/>
        <v>2334.46000000005</v>
      </c>
    </row>
    <row r="111" spans="1:17">
      <c r="A111" s="36">
        <v>42958</v>
      </c>
      <c r="B111" s="34">
        <f t="shared" si="4"/>
        <v>5</v>
      </c>
      <c r="O111" s="43">
        <f t="shared" si="5"/>
        <v>0</v>
      </c>
      <c r="P111" s="43">
        <f t="shared" si="6"/>
        <v>0</v>
      </c>
      <c r="Q111" s="43">
        <f t="shared" si="7"/>
        <v>2334.46000000005</v>
      </c>
    </row>
    <row r="112" spans="1:17">
      <c r="A112" s="36">
        <v>42959</v>
      </c>
      <c r="B112" s="34">
        <f t="shared" si="4"/>
        <v>6</v>
      </c>
      <c r="G112" s="52">
        <v>1686</v>
      </c>
      <c r="H112" s="53" t="s">
        <v>97</v>
      </c>
      <c r="I112" s="43">
        <v>0</v>
      </c>
      <c r="J112" s="34" t="s">
        <v>77</v>
      </c>
      <c r="O112" s="43">
        <f t="shared" si="5"/>
        <v>-1686</v>
      </c>
      <c r="P112" s="43">
        <f t="shared" si="6"/>
        <v>0</v>
      </c>
      <c r="Q112" s="43">
        <f t="shared" si="7"/>
        <v>648.460000000049</v>
      </c>
    </row>
    <row r="113" spans="1:17">
      <c r="A113" s="36">
        <v>42960</v>
      </c>
      <c r="B113" s="34">
        <f t="shared" si="4"/>
        <v>7</v>
      </c>
      <c r="C113" s="52">
        <f>I65+1416-34772.42</f>
        <v>709.580000000002</v>
      </c>
      <c r="D113" s="53" t="s">
        <v>138</v>
      </c>
      <c r="I113" s="47">
        <v>0</v>
      </c>
      <c r="J113" s="48" t="s">
        <v>149</v>
      </c>
      <c r="O113" s="43">
        <f t="shared" si="5"/>
        <v>-709.580000000002</v>
      </c>
      <c r="P113" s="43">
        <f t="shared" si="6"/>
        <v>0</v>
      </c>
      <c r="Q113" s="43">
        <f t="shared" si="7"/>
        <v>-61.1199999999533</v>
      </c>
    </row>
    <row r="114" spans="1:17">
      <c r="A114" s="36">
        <v>42961</v>
      </c>
      <c r="B114" s="34">
        <f t="shared" si="4"/>
        <v>1</v>
      </c>
      <c r="I114" s="43">
        <v>48589</v>
      </c>
      <c r="J114" s="34" t="s">
        <v>100</v>
      </c>
      <c r="K114" s="43">
        <v>43165</v>
      </c>
      <c r="L114" s="34" t="s">
        <v>100</v>
      </c>
      <c r="O114" s="43">
        <f t="shared" si="5"/>
        <v>0</v>
      </c>
      <c r="P114" s="43">
        <f t="shared" si="6"/>
        <v>91203.476</v>
      </c>
      <c r="Q114" s="43">
        <f t="shared" si="7"/>
        <v>91142.356</v>
      </c>
    </row>
    <row r="115" spans="1:17">
      <c r="A115" s="36">
        <v>42962</v>
      </c>
      <c r="B115" s="34">
        <f t="shared" si="4"/>
        <v>2</v>
      </c>
      <c r="O115" s="43">
        <f t="shared" si="5"/>
        <v>0</v>
      </c>
      <c r="P115" s="43">
        <f t="shared" si="6"/>
        <v>0</v>
      </c>
      <c r="Q115" s="43">
        <f t="shared" si="7"/>
        <v>91142.356</v>
      </c>
    </row>
    <row r="116" spans="1:17">
      <c r="A116" s="36">
        <v>42963</v>
      </c>
      <c r="B116" s="34">
        <f t="shared" si="4"/>
        <v>3</v>
      </c>
      <c r="I116" s="43">
        <v>0</v>
      </c>
      <c r="J116" s="34" t="s">
        <v>122</v>
      </c>
      <c r="O116" s="43">
        <f t="shared" si="5"/>
        <v>0</v>
      </c>
      <c r="P116" s="43">
        <f t="shared" si="6"/>
        <v>0</v>
      </c>
      <c r="Q116" s="43">
        <f t="shared" si="7"/>
        <v>91142.356</v>
      </c>
    </row>
    <row r="117" spans="1:17">
      <c r="A117" s="36">
        <v>42964</v>
      </c>
      <c r="B117" s="34">
        <f t="shared" si="4"/>
        <v>4</v>
      </c>
      <c r="O117" s="43">
        <f t="shared" si="5"/>
        <v>0</v>
      </c>
      <c r="P117" s="43">
        <f t="shared" si="6"/>
        <v>0</v>
      </c>
      <c r="Q117" s="43">
        <f t="shared" si="7"/>
        <v>91142.356</v>
      </c>
    </row>
    <row r="118" spans="1:17">
      <c r="A118" s="36">
        <v>42965</v>
      </c>
      <c r="B118" s="34">
        <f t="shared" si="4"/>
        <v>5</v>
      </c>
      <c r="C118" s="47"/>
      <c r="D118" s="48"/>
      <c r="E118" s="47"/>
      <c r="F118" s="48"/>
      <c r="G118" s="47">
        <v>9482</v>
      </c>
      <c r="H118" s="48" t="s">
        <v>227</v>
      </c>
      <c r="I118" s="47">
        <v>0</v>
      </c>
      <c r="J118" s="48" t="s">
        <v>107</v>
      </c>
      <c r="O118" s="43">
        <f t="shared" si="5"/>
        <v>-9482</v>
      </c>
      <c r="P118" s="43">
        <f t="shared" si="6"/>
        <v>0</v>
      </c>
      <c r="Q118" s="43">
        <f t="shared" si="7"/>
        <v>81660.356</v>
      </c>
    </row>
    <row r="119" spans="1:17">
      <c r="A119" s="36">
        <v>42966</v>
      </c>
      <c r="B119" s="34">
        <f t="shared" si="4"/>
        <v>6</v>
      </c>
      <c r="O119" s="43">
        <f t="shared" si="5"/>
        <v>0</v>
      </c>
      <c r="P119" s="43">
        <f t="shared" si="6"/>
        <v>0</v>
      </c>
      <c r="Q119" s="43">
        <f t="shared" si="7"/>
        <v>81660.356</v>
      </c>
    </row>
    <row r="120" spans="1:17">
      <c r="A120" s="36">
        <v>42967</v>
      </c>
      <c r="B120" s="34">
        <f t="shared" si="4"/>
        <v>7</v>
      </c>
      <c r="C120" s="47"/>
      <c r="D120" s="48"/>
      <c r="E120" s="47"/>
      <c r="F120" s="48"/>
      <c r="G120" s="47">
        <v>1522.5</v>
      </c>
      <c r="H120" s="48" t="s">
        <v>183</v>
      </c>
      <c r="O120" s="43">
        <f t="shared" si="5"/>
        <v>-1522.5</v>
      </c>
      <c r="P120" s="43">
        <f t="shared" si="6"/>
        <v>0</v>
      </c>
      <c r="Q120" s="43">
        <f t="shared" si="7"/>
        <v>80137.856</v>
      </c>
    </row>
    <row r="121" spans="1:17">
      <c r="A121" s="36">
        <v>42968</v>
      </c>
      <c r="B121" s="34">
        <f t="shared" si="4"/>
        <v>1</v>
      </c>
      <c r="O121" s="43">
        <f t="shared" si="5"/>
        <v>0</v>
      </c>
      <c r="P121" s="43">
        <f t="shared" si="6"/>
        <v>0</v>
      </c>
      <c r="Q121" s="43">
        <f t="shared" si="7"/>
        <v>80137.856</v>
      </c>
    </row>
    <row r="122" spans="1:17">
      <c r="A122" s="36">
        <v>42969</v>
      </c>
      <c r="B122" s="34">
        <f t="shared" si="4"/>
        <v>2</v>
      </c>
      <c r="C122" s="43">
        <f>I73+2727+300</f>
        <v>3027</v>
      </c>
      <c r="D122" s="34" t="s">
        <v>50</v>
      </c>
      <c r="E122" s="47">
        <f>I72+3605+300</f>
        <v>12821</v>
      </c>
      <c r="F122" s="34" t="s">
        <v>31</v>
      </c>
      <c r="O122" s="43">
        <f t="shared" si="5"/>
        <v>-15848</v>
      </c>
      <c r="P122" s="43">
        <f t="shared" si="6"/>
        <v>0</v>
      </c>
      <c r="Q122" s="43">
        <f t="shared" si="7"/>
        <v>64289.856</v>
      </c>
    </row>
    <row r="123" spans="1:17">
      <c r="A123" s="36">
        <v>42970</v>
      </c>
      <c r="B123" s="34">
        <f t="shared" si="4"/>
        <v>3</v>
      </c>
      <c r="O123" s="43">
        <f t="shared" si="5"/>
        <v>0</v>
      </c>
      <c r="P123" s="43">
        <f t="shared" si="6"/>
        <v>0</v>
      </c>
      <c r="Q123" s="43">
        <f t="shared" si="7"/>
        <v>64289.856</v>
      </c>
    </row>
    <row r="124" spans="1:17">
      <c r="A124" s="36">
        <v>42971</v>
      </c>
      <c r="B124" s="34">
        <f t="shared" si="4"/>
        <v>4</v>
      </c>
      <c r="O124" s="43">
        <f t="shared" si="5"/>
        <v>0</v>
      </c>
      <c r="P124" s="43">
        <f t="shared" si="6"/>
        <v>0</v>
      </c>
      <c r="Q124" s="43">
        <f t="shared" si="7"/>
        <v>64289.856</v>
      </c>
    </row>
    <row r="125" spans="1:17">
      <c r="A125" s="36">
        <v>42972</v>
      </c>
      <c r="B125" s="34">
        <f t="shared" si="4"/>
        <v>5</v>
      </c>
      <c r="C125" s="43">
        <f>I71+300</f>
        <v>300</v>
      </c>
      <c r="D125" s="34" t="s">
        <v>165</v>
      </c>
      <c r="I125" s="47">
        <v>33681</v>
      </c>
      <c r="J125" s="48" t="s">
        <v>138</v>
      </c>
      <c r="O125" s="43">
        <f t="shared" si="5"/>
        <v>-300</v>
      </c>
      <c r="P125" s="43">
        <f t="shared" si="6"/>
        <v>33478.914</v>
      </c>
      <c r="Q125" s="43">
        <f t="shared" si="7"/>
        <v>97468.77</v>
      </c>
    </row>
    <row r="126" spans="1:17">
      <c r="A126" s="36">
        <v>42973</v>
      </c>
      <c r="B126" s="34">
        <f t="shared" si="4"/>
        <v>6</v>
      </c>
      <c r="M126" s="43">
        <v>30000</v>
      </c>
      <c r="N126" s="34" t="s">
        <v>244</v>
      </c>
      <c r="O126" s="43">
        <f t="shared" si="5"/>
        <v>0</v>
      </c>
      <c r="P126" s="43">
        <f t="shared" si="6"/>
        <v>30000</v>
      </c>
      <c r="Q126" s="43">
        <f t="shared" si="7"/>
        <v>127468.77</v>
      </c>
    </row>
    <row r="127" spans="1:17">
      <c r="A127" s="36">
        <v>42974</v>
      </c>
      <c r="B127" s="34">
        <f t="shared" si="4"/>
        <v>7</v>
      </c>
      <c r="M127" s="43">
        <v>30000</v>
      </c>
      <c r="N127" s="34" t="s">
        <v>245</v>
      </c>
      <c r="O127" s="43">
        <f t="shared" si="5"/>
        <v>0</v>
      </c>
      <c r="P127" s="43">
        <f t="shared" si="6"/>
        <v>30000</v>
      </c>
      <c r="Q127" s="43">
        <f t="shared" si="7"/>
        <v>157468.77</v>
      </c>
    </row>
    <row r="128" spans="1:17">
      <c r="A128" s="36">
        <v>42975</v>
      </c>
      <c r="B128" s="34">
        <f t="shared" si="4"/>
        <v>1</v>
      </c>
      <c r="O128" s="43">
        <f t="shared" si="5"/>
        <v>0</v>
      </c>
      <c r="P128" s="43">
        <f t="shared" si="6"/>
        <v>0</v>
      </c>
      <c r="Q128" s="43">
        <f t="shared" si="7"/>
        <v>157468.77</v>
      </c>
    </row>
    <row r="129" spans="1:17">
      <c r="A129" s="36">
        <v>42976</v>
      </c>
      <c r="B129" s="34">
        <f t="shared" si="4"/>
        <v>2</v>
      </c>
      <c r="C129" s="43">
        <f>I79+331+300</f>
        <v>15101</v>
      </c>
      <c r="D129" s="34" t="s">
        <v>70</v>
      </c>
      <c r="M129" s="65">
        <v>30000</v>
      </c>
      <c r="N129" s="66" t="s">
        <v>247</v>
      </c>
      <c r="O129" s="43">
        <f t="shared" si="5"/>
        <v>-15101</v>
      </c>
      <c r="P129" s="43">
        <f t="shared" si="6"/>
        <v>30000</v>
      </c>
      <c r="Q129" s="43">
        <f t="shared" si="7"/>
        <v>172367.77</v>
      </c>
    </row>
    <row r="130" spans="1:17">
      <c r="A130" s="36">
        <v>42977</v>
      </c>
      <c r="B130" s="34">
        <f t="shared" ref="B130:B193" si="8">WEEKDAY(A130,2)</f>
        <v>3</v>
      </c>
      <c r="C130" s="43">
        <f>I75+3075+300</f>
        <v>34390</v>
      </c>
      <c r="D130" s="34" t="s">
        <v>59</v>
      </c>
      <c r="O130" s="43">
        <f t="shared" ref="O130:O193" si="9">(C130+E130+G130)*-1</f>
        <v>-34390</v>
      </c>
      <c r="P130" s="43">
        <f t="shared" ref="P130:P193" si="10">(I130+K130)*0.994+M130</f>
        <v>0</v>
      </c>
      <c r="Q130" s="43">
        <f t="shared" si="7"/>
        <v>137977.77</v>
      </c>
    </row>
    <row r="131" spans="1:17">
      <c r="A131" s="36">
        <v>42978</v>
      </c>
      <c r="B131" s="34">
        <f t="shared" si="8"/>
        <v>4</v>
      </c>
      <c r="C131" s="47">
        <f>I80+4025+300</f>
        <v>4325</v>
      </c>
      <c r="D131" s="48" t="s">
        <v>77</v>
      </c>
      <c r="O131" s="43">
        <f t="shared" si="9"/>
        <v>-4325</v>
      </c>
      <c r="P131" s="43">
        <f t="shared" si="10"/>
        <v>0</v>
      </c>
      <c r="Q131" s="43">
        <f t="shared" ref="Q131:Q194" si="11">Q130+O131+P131</f>
        <v>133652.77</v>
      </c>
    </row>
    <row r="132" spans="1:17">
      <c r="A132" s="36">
        <v>42979</v>
      </c>
      <c r="B132" s="34">
        <f t="shared" si="8"/>
        <v>5</v>
      </c>
      <c r="C132" s="47"/>
      <c r="D132" s="48"/>
      <c r="E132" s="47"/>
      <c r="F132" s="48"/>
      <c r="G132" s="47"/>
      <c r="H132" s="64"/>
      <c r="O132" s="43">
        <f t="shared" si="9"/>
        <v>0</v>
      </c>
      <c r="P132" s="43">
        <f t="shared" si="10"/>
        <v>0</v>
      </c>
      <c r="Q132" s="43">
        <f t="shared" si="11"/>
        <v>133652.77</v>
      </c>
    </row>
    <row r="133" spans="1:17">
      <c r="A133" s="36">
        <v>42980</v>
      </c>
      <c r="B133" s="34">
        <f t="shared" si="8"/>
        <v>6</v>
      </c>
      <c r="C133" s="47">
        <f>I85+1960+300</f>
        <v>16483</v>
      </c>
      <c r="D133" s="48" t="s">
        <v>122</v>
      </c>
      <c r="E133" s="47">
        <f>I83+7119+3000</f>
        <v>10119</v>
      </c>
      <c r="F133" s="48" t="s">
        <v>100</v>
      </c>
      <c r="G133" s="47"/>
      <c r="H133" s="64"/>
      <c r="I133" s="43">
        <v>0</v>
      </c>
      <c r="J133" s="34" t="s">
        <v>165</v>
      </c>
      <c r="M133" s="43">
        <v>40000</v>
      </c>
      <c r="N133" s="34" t="s">
        <v>184</v>
      </c>
      <c r="O133" s="43">
        <f t="shared" si="9"/>
        <v>-26602</v>
      </c>
      <c r="P133" s="43">
        <f t="shared" si="10"/>
        <v>40000</v>
      </c>
      <c r="Q133" s="43">
        <f t="shared" si="11"/>
        <v>147050.77</v>
      </c>
    </row>
    <row r="134" spans="1:17">
      <c r="A134" s="36">
        <v>42981</v>
      </c>
      <c r="B134" s="34">
        <f t="shared" si="8"/>
        <v>7</v>
      </c>
      <c r="C134" s="47"/>
      <c r="D134" s="48"/>
      <c r="E134" s="47"/>
      <c r="F134" s="48"/>
      <c r="G134" s="47"/>
      <c r="H134" s="64"/>
      <c r="I134" s="47">
        <v>15686</v>
      </c>
      <c r="J134" s="48" t="s">
        <v>31</v>
      </c>
      <c r="O134" s="43">
        <f t="shared" si="9"/>
        <v>0</v>
      </c>
      <c r="P134" s="43">
        <f t="shared" si="10"/>
        <v>15591.884</v>
      </c>
      <c r="Q134" s="43">
        <f t="shared" si="11"/>
        <v>162642.654</v>
      </c>
    </row>
    <row r="135" spans="1:17">
      <c r="A135" s="36">
        <v>42982</v>
      </c>
      <c r="B135" s="34">
        <f t="shared" si="8"/>
        <v>1</v>
      </c>
      <c r="C135" s="47"/>
      <c r="D135" s="48"/>
      <c r="E135" s="47"/>
      <c r="F135" s="48"/>
      <c r="G135" s="47"/>
      <c r="H135" s="64"/>
      <c r="I135" s="47">
        <v>0</v>
      </c>
      <c r="J135" s="48" t="s">
        <v>50</v>
      </c>
      <c r="O135" s="43">
        <f t="shared" si="9"/>
        <v>0</v>
      </c>
      <c r="P135" s="43">
        <f t="shared" si="10"/>
        <v>0</v>
      </c>
      <c r="Q135" s="43">
        <f t="shared" si="11"/>
        <v>162642.654</v>
      </c>
    </row>
    <row r="136" spans="1:17">
      <c r="A136" s="36">
        <v>42983</v>
      </c>
      <c r="B136" s="34">
        <f t="shared" si="8"/>
        <v>2</v>
      </c>
      <c r="C136" s="47">
        <f>I82+300</f>
        <v>2440</v>
      </c>
      <c r="D136" s="48" t="s">
        <v>149</v>
      </c>
      <c r="E136" s="47"/>
      <c r="F136" s="48"/>
      <c r="G136" s="47">
        <v>0</v>
      </c>
      <c r="H136" s="48" t="s">
        <v>227</v>
      </c>
      <c r="I136" s="47"/>
      <c r="J136" s="48"/>
      <c r="O136" s="43">
        <f t="shared" si="9"/>
        <v>-2440</v>
      </c>
      <c r="P136" s="43">
        <f t="shared" si="10"/>
        <v>0</v>
      </c>
      <c r="Q136" s="43">
        <f t="shared" si="11"/>
        <v>160202.654</v>
      </c>
    </row>
    <row r="137" spans="1:17">
      <c r="A137" s="36">
        <v>42984</v>
      </c>
      <c r="B137" s="34">
        <f t="shared" si="8"/>
        <v>3</v>
      </c>
      <c r="C137" s="47">
        <f>I87+K87+4925+300</f>
        <v>71254</v>
      </c>
      <c r="D137" s="48" t="s">
        <v>107</v>
      </c>
      <c r="E137" s="47"/>
      <c r="F137" s="48"/>
      <c r="G137" s="47"/>
      <c r="H137" s="64"/>
      <c r="I137" s="47">
        <v>37354</v>
      </c>
      <c r="J137" s="48" t="s">
        <v>59</v>
      </c>
      <c r="O137" s="43">
        <f t="shared" si="9"/>
        <v>-71254</v>
      </c>
      <c r="P137" s="43">
        <f t="shared" si="10"/>
        <v>37129.876</v>
      </c>
      <c r="Q137" s="43">
        <f t="shared" si="11"/>
        <v>126078.53</v>
      </c>
    </row>
    <row r="138" spans="1:17">
      <c r="A138" s="36">
        <v>42985</v>
      </c>
      <c r="B138" s="34">
        <f t="shared" si="8"/>
        <v>4</v>
      </c>
      <c r="C138" s="47"/>
      <c r="D138" s="48"/>
      <c r="E138" s="47"/>
      <c r="F138" s="48"/>
      <c r="G138" s="47"/>
      <c r="H138" s="64"/>
      <c r="I138" s="47"/>
      <c r="J138" s="48"/>
      <c r="M138" s="43">
        <v>11492</v>
      </c>
      <c r="N138" s="34" t="s">
        <v>249</v>
      </c>
      <c r="O138" s="43">
        <f t="shared" si="9"/>
        <v>0</v>
      </c>
      <c r="P138" s="43">
        <f t="shared" si="10"/>
        <v>11492</v>
      </c>
      <c r="Q138" s="43">
        <f t="shared" si="11"/>
        <v>137570.53</v>
      </c>
    </row>
    <row r="139" spans="1:17">
      <c r="A139" s="36">
        <v>42986</v>
      </c>
      <c r="B139" s="34">
        <f t="shared" si="8"/>
        <v>5</v>
      </c>
      <c r="C139" s="47"/>
      <c r="D139" s="48"/>
      <c r="E139" s="47"/>
      <c r="F139" s="48"/>
      <c r="G139" s="47"/>
      <c r="H139" s="64"/>
      <c r="I139" s="47"/>
      <c r="J139" s="48"/>
      <c r="O139" s="43">
        <f t="shared" si="9"/>
        <v>0</v>
      </c>
      <c r="P139" s="43">
        <f t="shared" si="10"/>
        <v>0</v>
      </c>
      <c r="Q139" s="43">
        <f t="shared" si="11"/>
        <v>137570.53</v>
      </c>
    </row>
    <row r="140" spans="1:17">
      <c r="A140" s="36">
        <v>42987</v>
      </c>
      <c r="B140" s="34">
        <f t="shared" si="8"/>
        <v>6</v>
      </c>
      <c r="C140" s="47"/>
      <c r="D140" s="48"/>
      <c r="E140" s="47"/>
      <c r="F140" s="48"/>
      <c r="G140" s="47"/>
      <c r="H140" s="64"/>
      <c r="I140" s="47"/>
      <c r="J140" s="48"/>
      <c r="O140" s="43">
        <f t="shared" si="9"/>
        <v>0</v>
      </c>
      <c r="P140" s="43">
        <f t="shared" si="10"/>
        <v>0</v>
      </c>
      <c r="Q140" s="43">
        <f t="shared" si="11"/>
        <v>137570.53</v>
      </c>
    </row>
    <row r="141" spans="1:17">
      <c r="A141" s="36">
        <v>42988</v>
      </c>
      <c r="B141" s="34">
        <f t="shared" si="8"/>
        <v>7</v>
      </c>
      <c r="C141" s="47"/>
      <c r="D141" s="48"/>
      <c r="E141" s="47"/>
      <c r="F141" s="48"/>
      <c r="G141" s="47"/>
      <c r="H141" s="64"/>
      <c r="I141" s="47">
        <v>15470</v>
      </c>
      <c r="J141" s="48" t="s">
        <v>70</v>
      </c>
      <c r="O141" s="43">
        <f t="shared" si="9"/>
        <v>0</v>
      </c>
      <c r="P141" s="43">
        <f t="shared" si="10"/>
        <v>15377.18</v>
      </c>
      <c r="Q141" s="43">
        <f t="shared" si="11"/>
        <v>152947.71</v>
      </c>
    </row>
    <row r="142" spans="1:17">
      <c r="A142" s="36">
        <v>42989</v>
      </c>
      <c r="B142" s="34">
        <f t="shared" si="8"/>
        <v>1</v>
      </c>
      <c r="C142" s="47"/>
      <c r="D142" s="48"/>
      <c r="E142" s="47"/>
      <c r="F142" s="48"/>
      <c r="G142" s="47"/>
      <c r="H142" s="64"/>
      <c r="I142" s="47"/>
      <c r="J142" s="48"/>
      <c r="O142" s="43">
        <f t="shared" si="9"/>
        <v>0</v>
      </c>
      <c r="P142" s="43">
        <f t="shared" si="10"/>
        <v>0</v>
      </c>
      <c r="Q142" s="43">
        <f t="shared" si="11"/>
        <v>152947.71</v>
      </c>
    </row>
    <row r="143" spans="1:17">
      <c r="A143" s="36">
        <v>42990</v>
      </c>
      <c r="B143" s="34">
        <f t="shared" si="8"/>
        <v>2</v>
      </c>
      <c r="C143" s="47"/>
      <c r="D143" s="48"/>
      <c r="E143" s="47"/>
      <c r="F143" s="48"/>
      <c r="G143" s="47">
        <v>1686</v>
      </c>
      <c r="H143" s="48" t="s">
        <v>97</v>
      </c>
      <c r="I143" s="47">
        <v>48128</v>
      </c>
      <c r="J143" s="48" t="s">
        <v>77</v>
      </c>
      <c r="O143" s="43">
        <f t="shared" si="9"/>
        <v>-1686</v>
      </c>
      <c r="P143" s="43">
        <f t="shared" si="10"/>
        <v>47839.232</v>
      </c>
      <c r="Q143" s="43">
        <f t="shared" si="11"/>
        <v>199100.942</v>
      </c>
    </row>
    <row r="144" spans="1:17">
      <c r="A144" s="36">
        <v>42991</v>
      </c>
      <c r="B144" s="34">
        <f t="shared" si="8"/>
        <v>3</v>
      </c>
      <c r="C144" s="47">
        <f>I95+300</f>
        <v>300</v>
      </c>
      <c r="D144" s="48" t="s">
        <v>138</v>
      </c>
      <c r="E144" s="47"/>
      <c r="F144" s="48"/>
      <c r="G144" s="47"/>
      <c r="H144" s="64"/>
      <c r="I144" s="47">
        <v>2039</v>
      </c>
      <c r="J144" s="48" t="s">
        <v>149</v>
      </c>
      <c r="O144" s="43">
        <f t="shared" si="9"/>
        <v>-300</v>
      </c>
      <c r="P144" s="43">
        <f t="shared" si="10"/>
        <v>2026.766</v>
      </c>
      <c r="Q144" s="43">
        <f t="shared" si="11"/>
        <v>200827.708</v>
      </c>
    </row>
    <row r="145" spans="1:17">
      <c r="A145" s="36">
        <v>42992</v>
      </c>
      <c r="B145" s="34">
        <f t="shared" si="8"/>
        <v>4</v>
      </c>
      <c r="C145" s="47"/>
      <c r="D145" s="48"/>
      <c r="E145" s="47"/>
      <c r="F145" s="48"/>
      <c r="G145" s="47"/>
      <c r="H145" s="64"/>
      <c r="I145" s="47">
        <v>0</v>
      </c>
      <c r="J145" s="48" t="s">
        <v>100</v>
      </c>
      <c r="M145" s="43">
        <v>30000</v>
      </c>
      <c r="N145" s="34" t="s">
        <v>246</v>
      </c>
      <c r="O145" s="43">
        <f t="shared" si="9"/>
        <v>0</v>
      </c>
      <c r="P145" s="43">
        <f t="shared" si="10"/>
        <v>30000</v>
      </c>
      <c r="Q145" s="43">
        <f t="shared" si="11"/>
        <v>230827.708</v>
      </c>
    </row>
    <row r="146" spans="1:17">
      <c r="A146" s="36">
        <v>42993</v>
      </c>
      <c r="B146" s="34">
        <f t="shared" si="8"/>
        <v>5</v>
      </c>
      <c r="C146" s="47"/>
      <c r="D146" s="48"/>
      <c r="E146" s="47"/>
      <c r="F146" s="48"/>
      <c r="G146" s="47"/>
      <c r="H146" s="64"/>
      <c r="I146" s="47"/>
      <c r="J146" s="48"/>
      <c r="O146" s="43">
        <f t="shared" si="9"/>
        <v>0</v>
      </c>
      <c r="P146" s="43">
        <f t="shared" si="10"/>
        <v>0</v>
      </c>
      <c r="Q146" s="43">
        <f t="shared" si="11"/>
        <v>230827.708</v>
      </c>
    </row>
    <row r="147" spans="1:17">
      <c r="A147" s="36">
        <v>42994</v>
      </c>
      <c r="B147" s="34">
        <f t="shared" si="8"/>
        <v>6</v>
      </c>
      <c r="C147" s="47"/>
      <c r="D147" s="48"/>
      <c r="E147" s="47"/>
      <c r="F147" s="48"/>
      <c r="G147" s="47"/>
      <c r="H147" s="64"/>
      <c r="I147" s="47">
        <v>19310</v>
      </c>
      <c r="J147" s="48" t="s">
        <v>122</v>
      </c>
      <c r="O147" s="43">
        <f t="shared" si="9"/>
        <v>0</v>
      </c>
      <c r="P147" s="43">
        <f t="shared" si="10"/>
        <v>19194.14</v>
      </c>
      <c r="Q147" s="43">
        <f t="shared" si="11"/>
        <v>250021.848</v>
      </c>
    </row>
    <row r="148" spans="1:17">
      <c r="A148" s="36">
        <v>42995</v>
      </c>
      <c r="B148" s="34">
        <f t="shared" si="8"/>
        <v>7</v>
      </c>
      <c r="C148" s="47"/>
      <c r="D148" s="48"/>
      <c r="E148" s="47"/>
      <c r="F148" s="48"/>
      <c r="G148" s="47"/>
      <c r="H148" s="64"/>
      <c r="O148" s="43">
        <f t="shared" si="9"/>
        <v>0</v>
      </c>
      <c r="P148" s="43">
        <f t="shared" si="10"/>
        <v>0</v>
      </c>
      <c r="Q148" s="43">
        <f t="shared" si="11"/>
        <v>250021.848</v>
      </c>
    </row>
    <row r="149" spans="1:17">
      <c r="A149" s="36">
        <v>42996</v>
      </c>
      <c r="B149" s="34">
        <f t="shared" si="8"/>
        <v>1</v>
      </c>
      <c r="C149" s="47"/>
      <c r="D149" s="48"/>
      <c r="E149" s="47"/>
      <c r="F149" s="48"/>
      <c r="G149" s="47">
        <v>9482</v>
      </c>
      <c r="H149" s="48" t="s">
        <v>227</v>
      </c>
      <c r="I149" s="43">
        <v>39243</v>
      </c>
      <c r="J149" s="34" t="s">
        <v>107</v>
      </c>
      <c r="K149" s="43">
        <v>34547</v>
      </c>
      <c r="L149" s="34" t="s">
        <v>107</v>
      </c>
      <c r="O149" s="43">
        <f t="shared" si="9"/>
        <v>-9482</v>
      </c>
      <c r="P149" s="43">
        <f t="shared" si="10"/>
        <v>73347.26</v>
      </c>
      <c r="Q149" s="43">
        <f t="shared" si="11"/>
        <v>313887.108</v>
      </c>
    </row>
    <row r="150" spans="1:17">
      <c r="A150" s="36">
        <v>42997</v>
      </c>
      <c r="B150" s="34">
        <f t="shared" si="8"/>
        <v>2</v>
      </c>
      <c r="C150" s="47"/>
      <c r="D150" s="48"/>
      <c r="E150" s="47"/>
      <c r="F150" s="48"/>
      <c r="G150" s="47"/>
      <c r="H150" s="64"/>
      <c r="O150" s="43">
        <f t="shared" si="9"/>
        <v>0</v>
      </c>
      <c r="P150" s="43">
        <f t="shared" si="10"/>
        <v>0</v>
      </c>
      <c r="Q150" s="43">
        <f t="shared" si="11"/>
        <v>313887.108</v>
      </c>
    </row>
    <row r="151" spans="1:17">
      <c r="A151" s="36">
        <v>42998</v>
      </c>
      <c r="B151" s="34">
        <f t="shared" si="8"/>
        <v>3</v>
      </c>
      <c r="C151" s="47"/>
      <c r="D151" s="48"/>
      <c r="E151" s="47"/>
      <c r="F151" s="48"/>
      <c r="G151" s="47">
        <v>1522.5</v>
      </c>
      <c r="H151" s="48" t="s">
        <v>183</v>
      </c>
      <c r="O151" s="43">
        <f t="shared" si="9"/>
        <v>-1522.5</v>
      </c>
      <c r="P151" s="43">
        <f t="shared" si="10"/>
        <v>0</v>
      </c>
      <c r="Q151" s="43">
        <f t="shared" si="11"/>
        <v>312364.608</v>
      </c>
    </row>
    <row r="152" spans="1:17">
      <c r="A152" s="36">
        <v>42999</v>
      </c>
      <c r="B152" s="34">
        <f t="shared" si="8"/>
        <v>4</v>
      </c>
      <c r="C152" s="47"/>
      <c r="D152" s="48"/>
      <c r="E152" s="47"/>
      <c r="F152" s="48"/>
      <c r="G152" s="47"/>
      <c r="H152" s="64"/>
      <c r="O152" s="43">
        <f t="shared" si="9"/>
        <v>0</v>
      </c>
      <c r="P152" s="43">
        <f t="shared" si="10"/>
        <v>0</v>
      </c>
      <c r="Q152" s="43">
        <f t="shared" si="11"/>
        <v>312364.608</v>
      </c>
    </row>
    <row r="153" spans="1:17">
      <c r="A153" s="36">
        <v>43000</v>
      </c>
      <c r="B153" s="34">
        <f t="shared" si="8"/>
        <v>5</v>
      </c>
      <c r="C153" s="47">
        <f>I104+2727+300</f>
        <v>51861</v>
      </c>
      <c r="D153" s="48" t="s">
        <v>50</v>
      </c>
      <c r="E153" s="47">
        <f>I103+3605+300</f>
        <v>3905</v>
      </c>
      <c r="F153" s="48" t="s">
        <v>31</v>
      </c>
      <c r="G153" s="47"/>
      <c r="H153" s="64"/>
      <c r="O153" s="43">
        <f t="shared" si="9"/>
        <v>-55766</v>
      </c>
      <c r="P153" s="43">
        <f t="shared" si="10"/>
        <v>0</v>
      </c>
      <c r="Q153" s="43">
        <f t="shared" si="11"/>
        <v>256598.608</v>
      </c>
    </row>
    <row r="154" spans="1:17">
      <c r="A154" s="36">
        <v>43001</v>
      </c>
      <c r="B154" s="34">
        <f t="shared" si="8"/>
        <v>6</v>
      </c>
      <c r="C154" s="47"/>
      <c r="D154" s="48"/>
      <c r="E154" s="47"/>
      <c r="F154" s="48"/>
      <c r="G154" s="47"/>
      <c r="H154" s="64"/>
      <c r="O154" s="43">
        <f t="shared" si="9"/>
        <v>0</v>
      </c>
      <c r="P154" s="43">
        <f t="shared" si="10"/>
        <v>0</v>
      </c>
      <c r="Q154" s="43">
        <f t="shared" si="11"/>
        <v>256598.608</v>
      </c>
    </row>
    <row r="155" spans="1:17">
      <c r="A155" s="36">
        <v>43002</v>
      </c>
      <c r="B155" s="34">
        <f t="shared" si="8"/>
        <v>7</v>
      </c>
      <c r="C155" s="47"/>
      <c r="D155" s="48"/>
      <c r="E155" s="47"/>
      <c r="F155" s="48"/>
      <c r="G155" s="47"/>
      <c r="H155" s="64"/>
      <c r="O155" s="43">
        <f t="shared" si="9"/>
        <v>0</v>
      </c>
      <c r="P155" s="43">
        <f t="shared" si="10"/>
        <v>0</v>
      </c>
      <c r="Q155" s="43">
        <f t="shared" si="11"/>
        <v>256598.608</v>
      </c>
    </row>
    <row r="156" spans="1:17">
      <c r="A156" s="36">
        <v>43003</v>
      </c>
      <c r="B156" s="34">
        <f t="shared" si="8"/>
        <v>1</v>
      </c>
      <c r="C156" s="43">
        <f>I102+300</f>
        <v>27973</v>
      </c>
      <c r="D156" s="34" t="s">
        <v>165</v>
      </c>
      <c r="E156" s="47"/>
      <c r="F156" s="48"/>
      <c r="G156" s="47"/>
      <c r="H156" s="64"/>
      <c r="I156" s="43">
        <v>0</v>
      </c>
      <c r="J156" s="34" t="s">
        <v>138</v>
      </c>
      <c r="O156" s="43">
        <f t="shared" si="9"/>
        <v>-27973</v>
      </c>
      <c r="P156" s="43">
        <f t="shared" si="10"/>
        <v>0</v>
      </c>
      <c r="Q156" s="43">
        <f t="shared" si="11"/>
        <v>228625.608</v>
      </c>
    </row>
    <row r="157" spans="1:17">
      <c r="A157" s="36">
        <v>43004</v>
      </c>
      <c r="B157" s="34">
        <f t="shared" si="8"/>
        <v>2</v>
      </c>
      <c r="C157" s="47"/>
      <c r="D157" s="48"/>
      <c r="E157" s="47"/>
      <c r="F157" s="48"/>
      <c r="G157" s="47"/>
      <c r="H157" s="64"/>
      <c r="O157" s="43">
        <f t="shared" si="9"/>
        <v>0</v>
      </c>
      <c r="P157" s="43">
        <f t="shared" si="10"/>
        <v>0</v>
      </c>
      <c r="Q157" s="43">
        <f t="shared" si="11"/>
        <v>228625.608</v>
      </c>
    </row>
    <row r="158" spans="1:17">
      <c r="A158" s="36">
        <v>43005</v>
      </c>
      <c r="B158" s="34">
        <f t="shared" si="8"/>
        <v>3</v>
      </c>
      <c r="C158" s="47"/>
      <c r="D158" s="48"/>
      <c r="E158" s="47"/>
      <c r="F158" s="48"/>
      <c r="G158" s="47"/>
      <c r="H158" s="64"/>
      <c r="O158" s="43">
        <f t="shared" si="9"/>
        <v>0</v>
      </c>
      <c r="P158" s="43">
        <f t="shared" si="10"/>
        <v>0</v>
      </c>
      <c r="Q158" s="43">
        <f t="shared" si="11"/>
        <v>228625.608</v>
      </c>
    </row>
    <row r="159" spans="1:17">
      <c r="A159" s="36">
        <v>43006</v>
      </c>
      <c r="B159" s="34">
        <f t="shared" si="8"/>
        <v>4</v>
      </c>
      <c r="C159" s="47"/>
      <c r="D159" s="48"/>
      <c r="E159" s="47"/>
      <c r="F159" s="48"/>
      <c r="G159" s="47"/>
      <c r="H159" s="64"/>
      <c r="O159" s="43">
        <f t="shared" si="9"/>
        <v>0</v>
      </c>
      <c r="P159" s="43">
        <f t="shared" si="10"/>
        <v>0</v>
      </c>
      <c r="Q159" s="43">
        <f t="shared" si="11"/>
        <v>228625.608</v>
      </c>
    </row>
    <row r="160" spans="1:17">
      <c r="A160" s="36">
        <v>43007</v>
      </c>
      <c r="B160" s="34">
        <f t="shared" si="8"/>
        <v>5</v>
      </c>
      <c r="C160" s="47">
        <f>I110+331+300</f>
        <v>631</v>
      </c>
      <c r="D160" s="48" t="s">
        <v>70</v>
      </c>
      <c r="E160" s="47"/>
      <c r="F160" s="48"/>
      <c r="G160" s="47"/>
      <c r="H160" s="64"/>
      <c r="O160" s="43">
        <f t="shared" si="9"/>
        <v>-631</v>
      </c>
      <c r="P160" s="43">
        <f t="shared" si="10"/>
        <v>0</v>
      </c>
      <c r="Q160" s="43">
        <f t="shared" si="11"/>
        <v>227994.608</v>
      </c>
    </row>
    <row r="161" spans="1:17">
      <c r="A161" s="36">
        <v>43008</v>
      </c>
      <c r="B161" s="34">
        <f t="shared" si="8"/>
        <v>6</v>
      </c>
      <c r="C161" s="47">
        <f>I106+3075+300</f>
        <v>3375</v>
      </c>
      <c r="D161" s="48" t="s">
        <v>59</v>
      </c>
      <c r="E161" s="47"/>
      <c r="F161" s="48"/>
      <c r="G161" s="47"/>
      <c r="H161" s="64"/>
      <c r="O161" s="43">
        <f t="shared" si="9"/>
        <v>-3375</v>
      </c>
      <c r="P161" s="43">
        <f t="shared" si="10"/>
        <v>0</v>
      </c>
      <c r="Q161" s="43">
        <f t="shared" si="11"/>
        <v>224619.608</v>
      </c>
    </row>
    <row r="162" spans="1:17">
      <c r="A162" s="36">
        <v>43009</v>
      </c>
      <c r="B162" s="34">
        <f t="shared" si="8"/>
        <v>7</v>
      </c>
      <c r="C162" s="43">
        <f>I112+4025+300</f>
        <v>4325</v>
      </c>
      <c r="D162" s="34" t="s">
        <v>77</v>
      </c>
      <c r="I162" s="48"/>
      <c r="J162" s="48"/>
      <c r="O162" s="43">
        <f t="shared" si="9"/>
        <v>-4325</v>
      </c>
      <c r="P162" s="43">
        <f t="shared" si="10"/>
        <v>0</v>
      </c>
      <c r="Q162" s="43">
        <f t="shared" si="11"/>
        <v>220294.608</v>
      </c>
    </row>
    <row r="163" spans="1:17">
      <c r="A163" s="36">
        <v>43010</v>
      </c>
      <c r="B163" s="34">
        <f t="shared" si="8"/>
        <v>1</v>
      </c>
      <c r="C163" s="43">
        <f>I116+1960+300</f>
        <v>2260</v>
      </c>
      <c r="D163" s="34" t="s">
        <v>122</v>
      </c>
      <c r="E163" s="43">
        <f>I114+K114+7119+3000</f>
        <v>101873</v>
      </c>
      <c r="F163" s="34" t="s">
        <v>100</v>
      </c>
      <c r="I163" s="43">
        <v>27255</v>
      </c>
      <c r="J163" s="34" t="s">
        <v>165</v>
      </c>
      <c r="O163" s="43">
        <f t="shared" si="9"/>
        <v>-104133</v>
      </c>
      <c r="P163" s="43">
        <f t="shared" si="10"/>
        <v>27091.47</v>
      </c>
      <c r="Q163" s="43">
        <f t="shared" si="11"/>
        <v>143253.078</v>
      </c>
    </row>
    <row r="164" spans="1:17">
      <c r="A164" s="36">
        <v>43011</v>
      </c>
      <c r="B164" s="34">
        <f t="shared" si="8"/>
        <v>2</v>
      </c>
      <c r="I164" s="47">
        <v>0</v>
      </c>
      <c r="J164" s="48" t="s">
        <v>31</v>
      </c>
      <c r="O164" s="43">
        <f t="shared" si="9"/>
        <v>0</v>
      </c>
      <c r="P164" s="43">
        <f t="shared" si="10"/>
        <v>0</v>
      </c>
      <c r="Q164" s="43">
        <f t="shared" si="11"/>
        <v>143253.078</v>
      </c>
    </row>
    <row r="165" spans="1:17">
      <c r="A165" s="36">
        <v>43012</v>
      </c>
      <c r="B165" s="34">
        <f t="shared" si="8"/>
        <v>3</v>
      </c>
      <c r="I165" s="47">
        <v>36887</v>
      </c>
      <c r="J165" s="48" t="s">
        <v>50</v>
      </c>
      <c r="K165" s="43">
        <v>33995</v>
      </c>
      <c r="L165" s="48" t="s">
        <v>50</v>
      </c>
      <c r="O165" s="43">
        <f t="shared" si="9"/>
        <v>0</v>
      </c>
      <c r="P165" s="43">
        <f t="shared" si="10"/>
        <v>70456.708</v>
      </c>
      <c r="Q165" s="43">
        <f t="shared" si="11"/>
        <v>213709.786</v>
      </c>
    </row>
    <row r="166" spans="1:17">
      <c r="A166" s="36">
        <v>43013</v>
      </c>
      <c r="B166" s="34">
        <f t="shared" si="8"/>
        <v>4</v>
      </c>
      <c r="C166" s="43">
        <f>I113+300</f>
        <v>300</v>
      </c>
      <c r="D166" s="34" t="s">
        <v>149</v>
      </c>
      <c r="G166" s="43">
        <v>0</v>
      </c>
      <c r="H166" s="34" t="s">
        <v>227</v>
      </c>
      <c r="I166" s="48"/>
      <c r="J166" s="48"/>
      <c r="O166" s="43">
        <f t="shared" si="9"/>
        <v>-300</v>
      </c>
      <c r="P166" s="43">
        <f t="shared" si="10"/>
        <v>0</v>
      </c>
      <c r="Q166" s="43">
        <f t="shared" si="11"/>
        <v>213409.786</v>
      </c>
    </row>
    <row r="167" spans="1:17">
      <c r="A167" s="36">
        <v>43014</v>
      </c>
      <c r="B167" s="34">
        <f t="shared" si="8"/>
        <v>5</v>
      </c>
      <c r="C167" s="43">
        <f>I118+4925+300</f>
        <v>5225</v>
      </c>
      <c r="D167" s="34" t="s">
        <v>107</v>
      </c>
      <c r="I167" s="47">
        <v>0</v>
      </c>
      <c r="J167" s="48" t="s">
        <v>59</v>
      </c>
      <c r="O167" s="43">
        <f t="shared" si="9"/>
        <v>-5225</v>
      </c>
      <c r="P167" s="43">
        <f t="shared" si="10"/>
        <v>0</v>
      </c>
      <c r="Q167" s="43">
        <f t="shared" si="11"/>
        <v>208184.786</v>
      </c>
    </row>
    <row r="168" spans="1:17">
      <c r="A168" s="36">
        <v>43015</v>
      </c>
      <c r="B168" s="34">
        <f t="shared" si="8"/>
        <v>6</v>
      </c>
      <c r="I168" s="48"/>
      <c r="J168" s="48"/>
      <c r="O168" s="43">
        <f t="shared" si="9"/>
        <v>0</v>
      </c>
      <c r="P168" s="43">
        <f t="shared" si="10"/>
        <v>0</v>
      </c>
      <c r="Q168" s="43">
        <f t="shared" si="11"/>
        <v>208184.786</v>
      </c>
    </row>
    <row r="169" spans="1:17">
      <c r="A169" s="36">
        <v>43016</v>
      </c>
      <c r="B169" s="34">
        <f t="shared" si="8"/>
        <v>7</v>
      </c>
      <c r="I169" s="48"/>
      <c r="J169" s="48"/>
      <c r="O169" s="43">
        <f t="shared" si="9"/>
        <v>0</v>
      </c>
      <c r="P169" s="43">
        <f t="shared" si="10"/>
        <v>0</v>
      </c>
      <c r="Q169" s="43">
        <f t="shared" si="11"/>
        <v>208184.786</v>
      </c>
    </row>
    <row r="170" spans="1:17">
      <c r="A170" s="36">
        <v>43017</v>
      </c>
      <c r="B170" s="34">
        <f t="shared" si="8"/>
        <v>1</v>
      </c>
      <c r="I170" s="48"/>
      <c r="J170" s="48"/>
      <c r="O170" s="43">
        <f t="shared" si="9"/>
        <v>0</v>
      </c>
      <c r="P170" s="43">
        <f t="shared" si="10"/>
        <v>0</v>
      </c>
      <c r="Q170" s="43">
        <f t="shared" si="11"/>
        <v>208184.786</v>
      </c>
    </row>
    <row r="171" spans="1:17">
      <c r="A171" s="36">
        <v>43018</v>
      </c>
      <c r="B171" s="34">
        <f t="shared" si="8"/>
        <v>2</v>
      </c>
      <c r="I171" s="47">
        <v>0</v>
      </c>
      <c r="J171" s="48" t="s">
        <v>70</v>
      </c>
      <c r="O171" s="43">
        <f t="shared" si="9"/>
        <v>0</v>
      </c>
      <c r="P171" s="43">
        <f t="shared" si="10"/>
        <v>0</v>
      </c>
      <c r="Q171" s="43">
        <f t="shared" si="11"/>
        <v>208184.786</v>
      </c>
    </row>
    <row r="172" spans="1:17">
      <c r="A172" s="36">
        <v>43019</v>
      </c>
      <c r="B172" s="34">
        <f t="shared" si="8"/>
        <v>3</v>
      </c>
      <c r="I172" s="48"/>
      <c r="J172" s="48"/>
      <c r="O172" s="43">
        <f t="shared" si="9"/>
        <v>0</v>
      </c>
      <c r="P172" s="43">
        <f t="shared" si="10"/>
        <v>0</v>
      </c>
      <c r="Q172" s="43">
        <f t="shared" si="11"/>
        <v>208184.786</v>
      </c>
    </row>
    <row r="173" spans="1:17">
      <c r="A173" s="36">
        <v>43020</v>
      </c>
      <c r="B173" s="34">
        <f t="shared" si="8"/>
        <v>4</v>
      </c>
      <c r="G173" s="43">
        <v>1686</v>
      </c>
      <c r="H173" s="34" t="s">
        <v>97</v>
      </c>
      <c r="I173" s="47">
        <v>0</v>
      </c>
      <c r="J173" s="48" t="s">
        <v>77</v>
      </c>
      <c r="O173" s="43">
        <f t="shared" si="9"/>
        <v>-1686</v>
      </c>
      <c r="P173" s="43">
        <f t="shared" si="10"/>
        <v>0</v>
      </c>
      <c r="Q173" s="43">
        <f t="shared" si="11"/>
        <v>206498.786</v>
      </c>
    </row>
    <row r="174" spans="1:17">
      <c r="A174" s="36">
        <v>43021</v>
      </c>
      <c r="B174" s="34">
        <f t="shared" si="8"/>
        <v>5</v>
      </c>
      <c r="C174" s="43">
        <f>I125+300</f>
        <v>33981</v>
      </c>
      <c r="D174" s="34" t="s">
        <v>138</v>
      </c>
      <c r="I174" s="47">
        <v>0</v>
      </c>
      <c r="J174" s="48" t="s">
        <v>149</v>
      </c>
      <c r="O174" s="43">
        <f t="shared" si="9"/>
        <v>-33981</v>
      </c>
      <c r="P174" s="43">
        <f t="shared" si="10"/>
        <v>0</v>
      </c>
      <c r="Q174" s="43">
        <f t="shared" si="11"/>
        <v>172517.786</v>
      </c>
    </row>
    <row r="175" spans="1:17">
      <c r="A175" s="36">
        <v>43022</v>
      </c>
      <c r="B175" s="34">
        <f t="shared" si="8"/>
        <v>6</v>
      </c>
      <c r="I175" s="47">
        <v>59636</v>
      </c>
      <c r="J175" s="48" t="s">
        <v>100</v>
      </c>
      <c r="K175" s="43">
        <v>50387</v>
      </c>
      <c r="L175" s="48" t="s">
        <v>100</v>
      </c>
      <c r="O175" s="43">
        <f t="shared" si="9"/>
        <v>0</v>
      </c>
      <c r="P175" s="43">
        <f t="shared" si="10"/>
        <v>109362.862</v>
      </c>
      <c r="Q175" s="43">
        <f t="shared" si="11"/>
        <v>281880.648</v>
      </c>
    </row>
    <row r="176" spans="1:17">
      <c r="A176" s="36">
        <v>43023</v>
      </c>
      <c r="B176" s="34">
        <f t="shared" si="8"/>
        <v>7</v>
      </c>
      <c r="I176" s="48"/>
      <c r="J176" s="48"/>
      <c r="O176" s="43">
        <f t="shared" si="9"/>
        <v>0</v>
      </c>
      <c r="P176" s="43">
        <f t="shared" si="10"/>
        <v>0</v>
      </c>
      <c r="Q176" s="43">
        <f t="shared" si="11"/>
        <v>281880.648</v>
      </c>
    </row>
    <row r="177" spans="1:17">
      <c r="A177" s="36">
        <v>43024</v>
      </c>
      <c r="B177" s="34">
        <f t="shared" si="8"/>
        <v>1</v>
      </c>
      <c r="I177" s="47">
        <v>0</v>
      </c>
      <c r="J177" s="48" t="s">
        <v>122</v>
      </c>
      <c r="O177" s="43">
        <f t="shared" si="9"/>
        <v>0</v>
      </c>
      <c r="P177" s="43">
        <f t="shared" si="10"/>
        <v>0</v>
      </c>
      <c r="Q177" s="43">
        <f t="shared" si="11"/>
        <v>281880.648</v>
      </c>
    </row>
    <row r="178" spans="1:17">
      <c r="A178" s="36">
        <v>43025</v>
      </c>
      <c r="B178" s="34">
        <f t="shared" si="8"/>
        <v>2</v>
      </c>
      <c r="I178" s="48"/>
      <c r="J178" s="48"/>
      <c r="O178" s="43">
        <f t="shared" si="9"/>
        <v>0</v>
      </c>
      <c r="P178" s="43">
        <f t="shared" si="10"/>
        <v>0</v>
      </c>
      <c r="Q178" s="43">
        <f t="shared" si="11"/>
        <v>281880.648</v>
      </c>
    </row>
    <row r="179" spans="1:17">
      <c r="A179" s="36">
        <v>43026</v>
      </c>
      <c r="B179" s="34">
        <f t="shared" si="8"/>
        <v>3</v>
      </c>
      <c r="C179" s="47"/>
      <c r="D179" s="48"/>
      <c r="E179" s="47"/>
      <c r="F179" s="48"/>
      <c r="G179" s="47">
        <v>9482</v>
      </c>
      <c r="H179" s="48" t="s">
        <v>227</v>
      </c>
      <c r="I179" s="47">
        <v>0</v>
      </c>
      <c r="J179" s="48" t="s">
        <v>107</v>
      </c>
      <c r="O179" s="43">
        <f t="shared" si="9"/>
        <v>-9482</v>
      </c>
      <c r="P179" s="43">
        <f t="shared" si="10"/>
        <v>0</v>
      </c>
      <c r="Q179" s="43">
        <f t="shared" si="11"/>
        <v>272398.648</v>
      </c>
    </row>
    <row r="180" spans="1:17">
      <c r="A180" s="36">
        <v>43027</v>
      </c>
      <c r="B180" s="34">
        <f t="shared" si="8"/>
        <v>4</v>
      </c>
      <c r="I180" s="48"/>
      <c r="J180" s="48"/>
      <c r="O180" s="43">
        <f t="shared" si="9"/>
        <v>0</v>
      </c>
      <c r="P180" s="43">
        <f t="shared" si="10"/>
        <v>0</v>
      </c>
      <c r="Q180" s="43">
        <f t="shared" si="11"/>
        <v>272398.648</v>
      </c>
    </row>
    <row r="181" spans="1:17">
      <c r="A181" s="36">
        <v>43028</v>
      </c>
      <c r="B181" s="34">
        <f t="shared" si="8"/>
        <v>5</v>
      </c>
      <c r="C181" s="47"/>
      <c r="D181" s="48"/>
      <c r="E181" s="47"/>
      <c r="F181" s="48"/>
      <c r="G181" s="47">
        <v>1522.5</v>
      </c>
      <c r="H181" s="48" t="s">
        <v>183</v>
      </c>
      <c r="I181" s="48"/>
      <c r="J181" s="48"/>
      <c r="O181" s="43">
        <f t="shared" si="9"/>
        <v>-1522.5</v>
      </c>
      <c r="P181" s="43">
        <f t="shared" si="10"/>
        <v>0</v>
      </c>
      <c r="Q181" s="43">
        <f t="shared" si="11"/>
        <v>270876.148</v>
      </c>
    </row>
    <row r="182" spans="1:17">
      <c r="A182" s="36">
        <v>43029</v>
      </c>
      <c r="B182" s="34">
        <f t="shared" si="8"/>
        <v>6</v>
      </c>
      <c r="I182" s="48"/>
      <c r="J182" s="48"/>
      <c r="O182" s="43">
        <f t="shared" si="9"/>
        <v>0</v>
      </c>
      <c r="P182" s="43">
        <f t="shared" si="10"/>
        <v>0</v>
      </c>
      <c r="Q182" s="43">
        <f t="shared" si="11"/>
        <v>270876.148</v>
      </c>
    </row>
    <row r="183" spans="1:17">
      <c r="A183" s="36">
        <v>43030</v>
      </c>
      <c r="B183" s="34">
        <f t="shared" si="8"/>
        <v>7</v>
      </c>
      <c r="C183" s="43">
        <f>I135+2727+300</f>
        <v>3027</v>
      </c>
      <c r="D183" s="34" t="s">
        <v>50</v>
      </c>
      <c r="E183" s="47">
        <f>I134+3605+300</f>
        <v>19591</v>
      </c>
      <c r="F183" s="34" t="s">
        <v>31</v>
      </c>
      <c r="I183" s="48"/>
      <c r="J183" s="48"/>
      <c r="O183" s="43">
        <f t="shared" si="9"/>
        <v>-22618</v>
      </c>
      <c r="P183" s="43">
        <f t="shared" si="10"/>
        <v>0</v>
      </c>
      <c r="Q183" s="43">
        <f t="shared" si="11"/>
        <v>248258.148</v>
      </c>
    </row>
    <row r="184" spans="1:17">
      <c r="A184" s="36">
        <v>43031</v>
      </c>
      <c r="B184" s="34">
        <f t="shared" si="8"/>
        <v>1</v>
      </c>
      <c r="I184" s="48"/>
      <c r="J184" s="48"/>
      <c r="O184" s="43">
        <f t="shared" si="9"/>
        <v>0</v>
      </c>
      <c r="P184" s="43">
        <f t="shared" si="10"/>
        <v>0</v>
      </c>
      <c r="Q184" s="43">
        <f t="shared" si="11"/>
        <v>248258.148</v>
      </c>
    </row>
    <row r="185" spans="1:17">
      <c r="A185" s="36">
        <v>43032</v>
      </c>
      <c r="B185" s="34">
        <f t="shared" si="8"/>
        <v>2</v>
      </c>
      <c r="I185" s="48"/>
      <c r="J185" s="48"/>
      <c r="O185" s="43">
        <f t="shared" si="9"/>
        <v>0</v>
      </c>
      <c r="P185" s="43">
        <f t="shared" si="10"/>
        <v>0</v>
      </c>
      <c r="Q185" s="43">
        <f t="shared" si="11"/>
        <v>248258.148</v>
      </c>
    </row>
    <row r="186" spans="1:17">
      <c r="A186" s="36">
        <v>43033</v>
      </c>
      <c r="B186" s="34">
        <f t="shared" si="8"/>
        <v>3</v>
      </c>
      <c r="C186" s="43">
        <f>I133+300</f>
        <v>300</v>
      </c>
      <c r="D186" s="34" t="s">
        <v>165</v>
      </c>
      <c r="I186" s="47">
        <v>34073</v>
      </c>
      <c r="J186" s="48" t="s">
        <v>138</v>
      </c>
      <c r="O186" s="43">
        <f t="shared" si="9"/>
        <v>-300</v>
      </c>
      <c r="P186" s="43">
        <f t="shared" si="10"/>
        <v>33868.562</v>
      </c>
      <c r="Q186" s="43">
        <f t="shared" si="11"/>
        <v>281826.71</v>
      </c>
    </row>
    <row r="187" spans="1:17">
      <c r="A187" s="36">
        <v>43034</v>
      </c>
      <c r="B187" s="34">
        <f t="shared" si="8"/>
        <v>4</v>
      </c>
      <c r="I187" s="48"/>
      <c r="J187" s="48"/>
      <c r="O187" s="43">
        <f t="shared" si="9"/>
        <v>0</v>
      </c>
      <c r="P187" s="43">
        <f t="shared" si="10"/>
        <v>0</v>
      </c>
      <c r="Q187" s="43">
        <f t="shared" si="11"/>
        <v>281826.71</v>
      </c>
    </row>
    <row r="188" spans="1:17">
      <c r="A188" s="36">
        <v>43035</v>
      </c>
      <c r="B188" s="34">
        <f t="shared" si="8"/>
        <v>5</v>
      </c>
      <c r="I188" s="48"/>
      <c r="J188" s="48"/>
      <c r="O188" s="43">
        <f t="shared" si="9"/>
        <v>0</v>
      </c>
      <c r="P188" s="43">
        <f t="shared" si="10"/>
        <v>0</v>
      </c>
      <c r="Q188" s="43">
        <f t="shared" si="11"/>
        <v>281826.71</v>
      </c>
    </row>
    <row r="189" spans="1:17">
      <c r="A189" s="36">
        <v>43036</v>
      </c>
      <c r="B189" s="34">
        <f t="shared" si="8"/>
        <v>6</v>
      </c>
      <c r="I189" s="48"/>
      <c r="J189" s="48"/>
      <c r="O189" s="43">
        <f t="shared" si="9"/>
        <v>0</v>
      </c>
      <c r="P189" s="43">
        <f t="shared" si="10"/>
        <v>0</v>
      </c>
      <c r="Q189" s="43">
        <f t="shared" si="11"/>
        <v>281826.71</v>
      </c>
    </row>
    <row r="190" spans="1:17">
      <c r="A190" s="36">
        <v>43037</v>
      </c>
      <c r="B190" s="34">
        <f t="shared" si="8"/>
        <v>7</v>
      </c>
      <c r="C190" s="43">
        <f>I141+331+300</f>
        <v>16101</v>
      </c>
      <c r="D190" s="34" t="s">
        <v>70</v>
      </c>
      <c r="I190" s="48"/>
      <c r="J190" s="48"/>
      <c r="O190" s="43">
        <f t="shared" si="9"/>
        <v>-16101</v>
      </c>
      <c r="P190" s="43">
        <f t="shared" si="10"/>
        <v>0</v>
      </c>
      <c r="Q190" s="43">
        <f t="shared" si="11"/>
        <v>265725.71</v>
      </c>
    </row>
    <row r="191" spans="1:17">
      <c r="A191" s="36">
        <v>43038</v>
      </c>
      <c r="B191" s="34">
        <f t="shared" si="8"/>
        <v>1</v>
      </c>
      <c r="C191" s="43">
        <f>I136+3075+300</f>
        <v>3375</v>
      </c>
      <c r="D191" s="34" t="s">
        <v>59</v>
      </c>
      <c r="I191" s="48"/>
      <c r="J191" s="48"/>
      <c r="O191" s="43">
        <f t="shared" si="9"/>
        <v>-3375</v>
      </c>
      <c r="P191" s="43">
        <f t="shared" si="10"/>
        <v>0</v>
      </c>
      <c r="Q191" s="43">
        <f t="shared" si="11"/>
        <v>262350.71</v>
      </c>
    </row>
    <row r="192" spans="1:17">
      <c r="A192" s="36">
        <v>43039</v>
      </c>
      <c r="B192" s="34">
        <f t="shared" si="8"/>
        <v>2</v>
      </c>
      <c r="C192" s="47">
        <f>I142+4025+300</f>
        <v>4325</v>
      </c>
      <c r="D192" s="48" t="s">
        <v>77</v>
      </c>
      <c r="I192" s="48"/>
      <c r="J192" s="48"/>
      <c r="O192" s="43">
        <f t="shared" si="9"/>
        <v>-4325</v>
      </c>
      <c r="P192" s="43">
        <f t="shared" si="10"/>
        <v>0</v>
      </c>
      <c r="Q192" s="43">
        <f t="shared" si="11"/>
        <v>258025.71</v>
      </c>
    </row>
    <row r="193" spans="1:17">
      <c r="A193" s="36">
        <v>43040</v>
      </c>
      <c r="B193" s="34">
        <f t="shared" si="8"/>
        <v>3</v>
      </c>
      <c r="C193" s="47"/>
      <c r="D193" s="48"/>
      <c r="E193" s="47"/>
      <c r="F193" s="48"/>
      <c r="G193" s="47"/>
      <c r="H193" s="64"/>
      <c r="I193" s="48"/>
      <c r="J193" s="48"/>
      <c r="O193" s="43">
        <f t="shared" si="9"/>
        <v>0</v>
      </c>
      <c r="P193" s="43">
        <f t="shared" si="10"/>
        <v>0</v>
      </c>
      <c r="Q193" s="43">
        <f t="shared" si="11"/>
        <v>258025.71</v>
      </c>
    </row>
    <row r="194" spans="1:17">
      <c r="A194" s="36">
        <v>43041</v>
      </c>
      <c r="B194" s="34">
        <f t="shared" ref="B194:B257" si="12">WEEKDAY(A194,2)</f>
        <v>4</v>
      </c>
      <c r="C194" s="47">
        <f>I147+1960+300</f>
        <v>21570</v>
      </c>
      <c r="D194" s="48" t="s">
        <v>122</v>
      </c>
      <c r="E194" s="47">
        <f>I145+7119+3000</f>
        <v>10119</v>
      </c>
      <c r="F194" s="48" t="s">
        <v>100</v>
      </c>
      <c r="G194" s="47"/>
      <c r="H194" s="64"/>
      <c r="I194" s="43">
        <v>0</v>
      </c>
      <c r="J194" s="34" t="s">
        <v>165</v>
      </c>
      <c r="O194" s="43">
        <f t="shared" ref="O194:O257" si="13">(C194+E194+G194)*-1</f>
        <v>-31689</v>
      </c>
      <c r="P194" s="43">
        <f t="shared" ref="P194:P257" si="14">(I194+K194)*0.994+M194</f>
        <v>0</v>
      </c>
      <c r="Q194" s="43">
        <f t="shared" si="11"/>
        <v>226336.71</v>
      </c>
    </row>
    <row r="195" spans="1:17">
      <c r="A195" s="36">
        <v>43042</v>
      </c>
      <c r="B195" s="34">
        <f t="shared" si="12"/>
        <v>5</v>
      </c>
      <c r="C195" s="47"/>
      <c r="D195" s="48"/>
      <c r="E195" s="47"/>
      <c r="F195" s="48"/>
      <c r="G195" s="47"/>
      <c r="H195" s="64"/>
      <c r="I195" s="47">
        <v>15746</v>
      </c>
      <c r="J195" s="48" t="s">
        <v>31</v>
      </c>
      <c r="O195" s="43">
        <f t="shared" si="13"/>
        <v>0</v>
      </c>
      <c r="P195" s="43">
        <f t="shared" si="14"/>
        <v>15651.524</v>
      </c>
      <c r="Q195" s="43">
        <f t="shared" ref="Q195:Q257" si="15">Q194+O195+P195</f>
        <v>241988.234</v>
      </c>
    </row>
    <row r="196" spans="1:17">
      <c r="A196" s="36">
        <v>43043</v>
      </c>
      <c r="B196" s="34">
        <f t="shared" si="12"/>
        <v>6</v>
      </c>
      <c r="C196" s="47"/>
      <c r="D196" s="48"/>
      <c r="E196" s="47"/>
      <c r="F196" s="48"/>
      <c r="G196" s="47"/>
      <c r="H196" s="64"/>
      <c r="I196" s="47">
        <v>0</v>
      </c>
      <c r="J196" s="48" t="s">
        <v>50</v>
      </c>
      <c r="O196" s="43">
        <f t="shared" si="13"/>
        <v>0</v>
      </c>
      <c r="P196" s="43">
        <f t="shared" si="14"/>
        <v>0</v>
      </c>
      <c r="Q196" s="43">
        <f t="shared" si="15"/>
        <v>241988.234</v>
      </c>
    </row>
    <row r="197" spans="1:17">
      <c r="A197" s="36">
        <v>43044</v>
      </c>
      <c r="B197" s="34">
        <f t="shared" si="12"/>
        <v>7</v>
      </c>
      <c r="C197" s="47">
        <f>I144+300</f>
        <v>2339</v>
      </c>
      <c r="D197" s="48" t="s">
        <v>149</v>
      </c>
      <c r="E197" s="47"/>
      <c r="F197" s="48"/>
      <c r="G197" s="47">
        <v>0</v>
      </c>
      <c r="H197" s="48" t="s">
        <v>227</v>
      </c>
      <c r="I197" s="48"/>
      <c r="J197" s="48"/>
      <c r="O197" s="43">
        <f t="shared" si="13"/>
        <v>-2339</v>
      </c>
      <c r="P197" s="43">
        <f t="shared" si="14"/>
        <v>0</v>
      </c>
      <c r="Q197" s="43">
        <f t="shared" si="15"/>
        <v>239649.234</v>
      </c>
    </row>
    <row r="198" spans="1:17">
      <c r="A198" s="36">
        <v>43045</v>
      </c>
      <c r="B198" s="34">
        <f t="shared" si="12"/>
        <v>1</v>
      </c>
      <c r="C198" s="47">
        <f>I149+K149+4925+300</f>
        <v>79015</v>
      </c>
      <c r="D198" s="48" t="s">
        <v>107</v>
      </c>
      <c r="E198" s="47"/>
      <c r="F198" s="48"/>
      <c r="G198" s="47"/>
      <c r="H198" s="64"/>
      <c r="I198" s="47">
        <v>38483</v>
      </c>
      <c r="J198" s="48" t="s">
        <v>59</v>
      </c>
      <c r="O198" s="43">
        <f t="shared" si="13"/>
        <v>-79015</v>
      </c>
      <c r="P198" s="43">
        <f t="shared" si="14"/>
        <v>38252.102</v>
      </c>
      <c r="Q198" s="43">
        <f t="shared" si="15"/>
        <v>198886.336</v>
      </c>
    </row>
    <row r="199" spans="1:17">
      <c r="A199" s="36">
        <v>43046</v>
      </c>
      <c r="B199" s="34">
        <f t="shared" si="12"/>
        <v>2</v>
      </c>
      <c r="C199" s="47"/>
      <c r="D199" s="48"/>
      <c r="E199" s="47"/>
      <c r="F199" s="48"/>
      <c r="G199" s="47"/>
      <c r="H199" s="64"/>
      <c r="I199" s="48"/>
      <c r="J199" s="48"/>
      <c r="O199" s="43">
        <f t="shared" si="13"/>
        <v>0</v>
      </c>
      <c r="P199" s="43">
        <f t="shared" si="14"/>
        <v>0</v>
      </c>
      <c r="Q199" s="43">
        <f t="shared" si="15"/>
        <v>198886.336</v>
      </c>
    </row>
    <row r="200" spans="1:17">
      <c r="A200" s="36">
        <v>43047</v>
      </c>
      <c r="B200" s="34">
        <f t="shared" si="12"/>
        <v>3</v>
      </c>
      <c r="C200" s="47"/>
      <c r="D200" s="48"/>
      <c r="E200" s="47"/>
      <c r="F200" s="48"/>
      <c r="G200" s="47"/>
      <c r="H200" s="64"/>
      <c r="I200" s="48"/>
      <c r="J200" s="48"/>
      <c r="O200" s="43">
        <f t="shared" si="13"/>
        <v>0</v>
      </c>
      <c r="P200" s="43">
        <f t="shared" si="14"/>
        <v>0</v>
      </c>
      <c r="Q200" s="43">
        <f t="shared" si="15"/>
        <v>198886.336</v>
      </c>
    </row>
    <row r="201" spans="1:17">
      <c r="A201" s="36">
        <v>43048</v>
      </c>
      <c r="B201" s="34">
        <f t="shared" si="12"/>
        <v>4</v>
      </c>
      <c r="C201" s="47"/>
      <c r="D201" s="48"/>
      <c r="E201" s="47"/>
      <c r="F201" s="48"/>
      <c r="G201" s="47"/>
      <c r="H201" s="64"/>
      <c r="I201" s="48"/>
      <c r="J201" s="48"/>
      <c r="O201" s="43">
        <f t="shared" si="13"/>
        <v>0</v>
      </c>
      <c r="P201" s="43">
        <f t="shared" si="14"/>
        <v>0</v>
      </c>
      <c r="Q201" s="43">
        <f t="shared" si="15"/>
        <v>198886.336</v>
      </c>
    </row>
    <row r="202" spans="1:17">
      <c r="A202" s="36">
        <v>43049</v>
      </c>
      <c r="B202" s="34">
        <f t="shared" si="12"/>
        <v>5</v>
      </c>
      <c r="C202" s="47"/>
      <c r="D202" s="48"/>
      <c r="E202" s="47"/>
      <c r="F202" s="48"/>
      <c r="G202" s="47"/>
      <c r="H202" s="64"/>
      <c r="I202" s="47">
        <v>15692</v>
      </c>
      <c r="J202" s="48" t="s">
        <v>70</v>
      </c>
      <c r="O202" s="43">
        <f t="shared" si="13"/>
        <v>0</v>
      </c>
      <c r="P202" s="43">
        <f t="shared" si="14"/>
        <v>15597.848</v>
      </c>
      <c r="Q202" s="43">
        <f t="shared" si="15"/>
        <v>214484.184</v>
      </c>
    </row>
    <row r="203" spans="1:17">
      <c r="A203" s="36">
        <v>43050</v>
      </c>
      <c r="B203" s="34">
        <f t="shared" si="12"/>
        <v>6</v>
      </c>
      <c r="C203" s="47"/>
      <c r="D203" s="48"/>
      <c r="E203" s="47"/>
      <c r="F203" s="48"/>
      <c r="G203" s="47"/>
      <c r="H203" s="64"/>
      <c r="I203" s="48"/>
      <c r="J203" s="48"/>
      <c r="O203" s="43">
        <f t="shared" si="13"/>
        <v>0</v>
      </c>
      <c r="P203" s="43">
        <f t="shared" si="14"/>
        <v>0</v>
      </c>
      <c r="Q203" s="43">
        <f t="shared" si="15"/>
        <v>214484.184</v>
      </c>
    </row>
    <row r="204" spans="1:17">
      <c r="A204" s="36">
        <v>43051</v>
      </c>
      <c r="B204" s="34">
        <f t="shared" si="12"/>
        <v>7</v>
      </c>
      <c r="C204" s="47"/>
      <c r="D204" s="48"/>
      <c r="E204" s="47"/>
      <c r="F204" s="48"/>
      <c r="G204" s="47">
        <v>1686</v>
      </c>
      <c r="H204" s="48" t="s">
        <v>97</v>
      </c>
      <c r="I204" s="47">
        <v>51312</v>
      </c>
      <c r="J204" s="48" t="s">
        <v>77</v>
      </c>
      <c r="O204" s="43">
        <f t="shared" si="13"/>
        <v>-1686</v>
      </c>
      <c r="P204" s="43">
        <f t="shared" si="14"/>
        <v>51004.128</v>
      </c>
      <c r="Q204" s="43">
        <f t="shared" si="15"/>
        <v>263802.312</v>
      </c>
    </row>
    <row r="205" spans="1:17">
      <c r="A205" s="36">
        <v>43052</v>
      </c>
      <c r="B205" s="34">
        <f t="shared" si="12"/>
        <v>1</v>
      </c>
      <c r="C205" s="47">
        <f>I156+300</f>
        <v>300</v>
      </c>
      <c r="D205" s="48" t="s">
        <v>138</v>
      </c>
      <c r="E205" s="47"/>
      <c r="F205" s="48"/>
      <c r="G205" s="47"/>
      <c r="H205" s="64"/>
      <c r="I205" s="47">
        <v>2071</v>
      </c>
      <c r="J205" s="48" t="s">
        <v>149</v>
      </c>
      <c r="O205" s="43">
        <f t="shared" si="13"/>
        <v>-300</v>
      </c>
      <c r="P205" s="43">
        <f t="shared" si="14"/>
        <v>2058.574</v>
      </c>
      <c r="Q205" s="43">
        <f t="shared" si="15"/>
        <v>265560.886</v>
      </c>
    </row>
    <row r="206" spans="1:17">
      <c r="A206" s="36">
        <v>43053</v>
      </c>
      <c r="B206" s="34">
        <f t="shared" si="12"/>
        <v>2</v>
      </c>
      <c r="C206" s="47"/>
      <c r="D206" s="48"/>
      <c r="E206" s="47"/>
      <c r="F206" s="48"/>
      <c r="G206" s="47"/>
      <c r="H206" s="64"/>
      <c r="I206" s="47">
        <v>0</v>
      </c>
      <c r="J206" s="48" t="s">
        <v>100</v>
      </c>
      <c r="O206" s="43">
        <f t="shared" si="13"/>
        <v>0</v>
      </c>
      <c r="P206" s="43">
        <f t="shared" si="14"/>
        <v>0</v>
      </c>
      <c r="Q206" s="43">
        <f t="shared" si="15"/>
        <v>265560.886</v>
      </c>
    </row>
    <row r="207" spans="1:17">
      <c r="A207" s="36">
        <v>43054</v>
      </c>
      <c r="B207" s="34">
        <f t="shared" si="12"/>
        <v>3</v>
      </c>
      <c r="C207" s="47"/>
      <c r="D207" s="48"/>
      <c r="E207" s="47"/>
      <c r="F207" s="48"/>
      <c r="G207" s="47"/>
      <c r="H207" s="64"/>
      <c r="I207" s="48"/>
      <c r="J207" s="48"/>
      <c r="O207" s="43">
        <f t="shared" si="13"/>
        <v>0</v>
      </c>
      <c r="P207" s="43">
        <f t="shared" si="14"/>
        <v>0</v>
      </c>
      <c r="Q207" s="43">
        <f t="shared" si="15"/>
        <v>265560.886</v>
      </c>
    </row>
    <row r="208" spans="1:17">
      <c r="A208" s="36">
        <v>43055</v>
      </c>
      <c r="B208" s="34">
        <f t="shared" si="12"/>
        <v>4</v>
      </c>
      <c r="C208" s="47"/>
      <c r="D208" s="48"/>
      <c r="E208" s="47"/>
      <c r="F208" s="48"/>
      <c r="G208" s="47"/>
      <c r="H208" s="64"/>
      <c r="I208" s="47">
        <v>18047</v>
      </c>
      <c r="J208" s="48" t="s">
        <v>122</v>
      </c>
      <c r="O208" s="43">
        <f t="shared" si="13"/>
        <v>0</v>
      </c>
      <c r="P208" s="43">
        <f t="shared" si="14"/>
        <v>17938.718</v>
      </c>
      <c r="Q208" s="43">
        <f t="shared" si="15"/>
        <v>283499.604</v>
      </c>
    </row>
    <row r="209" spans="1:17">
      <c r="A209" s="36">
        <v>43056</v>
      </c>
      <c r="B209" s="34">
        <f t="shared" si="12"/>
        <v>5</v>
      </c>
      <c r="C209" s="47"/>
      <c r="D209" s="48"/>
      <c r="E209" s="47"/>
      <c r="F209" s="48"/>
      <c r="G209" s="47"/>
      <c r="H209" s="64"/>
      <c r="I209" s="48"/>
      <c r="J209" s="48"/>
      <c r="O209" s="43">
        <f t="shared" si="13"/>
        <v>0</v>
      </c>
      <c r="P209" s="43">
        <f t="shared" si="14"/>
        <v>0</v>
      </c>
      <c r="Q209" s="43">
        <f t="shared" si="15"/>
        <v>283499.604</v>
      </c>
    </row>
    <row r="210" spans="1:17">
      <c r="A210" s="36">
        <v>43057</v>
      </c>
      <c r="B210" s="34">
        <f t="shared" si="12"/>
        <v>6</v>
      </c>
      <c r="C210" s="47"/>
      <c r="D210" s="48"/>
      <c r="E210" s="47"/>
      <c r="F210" s="48"/>
      <c r="G210" s="47">
        <v>9482</v>
      </c>
      <c r="H210" s="48" t="s">
        <v>227</v>
      </c>
      <c r="I210" s="47">
        <v>37547</v>
      </c>
      <c r="J210" s="48" t="s">
        <v>107</v>
      </c>
      <c r="K210" s="43">
        <v>38494</v>
      </c>
      <c r="L210" s="48" t="s">
        <v>107</v>
      </c>
      <c r="O210" s="43">
        <f t="shared" si="13"/>
        <v>-9482</v>
      </c>
      <c r="P210" s="43">
        <f t="shared" si="14"/>
        <v>75584.754</v>
      </c>
      <c r="Q210" s="43">
        <f t="shared" si="15"/>
        <v>349602.358</v>
      </c>
    </row>
    <row r="211" spans="1:17">
      <c r="A211" s="36">
        <v>43058</v>
      </c>
      <c r="B211" s="34">
        <f t="shared" si="12"/>
        <v>7</v>
      </c>
      <c r="C211" s="47"/>
      <c r="D211" s="48"/>
      <c r="E211" s="47"/>
      <c r="F211" s="48"/>
      <c r="G211" s="47"/>
      <c r="H211" s="64"/>
      <c r="I211" s="48"/>
      <c r="J211" s="48"/>
      <c r="O211" s="43">
        <f t="shared" si="13"/>
        <v>0</v>
      </c>
      <c r="P211" s="43">
        <f t="shared" si="14"/>
        <v>0</v>
      </c>
      <c r="Q211" s="43">
        <f t="shared" si="15"/>
        <v>349602.358</v>
      </c>
    </row>
    <row r="212" spans="1:17">
      <c r="A212" s="36">
        <v>43059</v>
      </c>
      <c r="B212" s="34">
        <f t="shared" si="12"/>
        <v>1</v>
      </c>
      <c r="C212" s="47"/>
      <c r="D212" s="48"/>
      <c r="E212" s="47"/>
      <c r="F212" s="48"/>
      <c r="G212" s="47">
        <v>1522.5</v>
      </c>
      <c r="H212" s="48" t="s">
        <v>183</v>
      </c>
      <c r="I212" s="48"/>
      <c r="J212" s="48"/>
      <c r="O212" s="43">
        <f t="shared" si="13"/>
        <v>-1522.5</v>
      </c>
      <c r="P212" s="43">
        <f t="shared" si="14"/>
        <v>0</v>
      </c>
      <c r="Q212" s="43">
        <f t="shared" si="15"/>
        <v>348079.858</v>
      </c>
    </row>
    <row r="213" spans="1:17">
      <c r="A213" s="36">
        <v>43060</v>
      </c>
      <c r="B213" s="34">
        <f t="shared" si="12"/>
        <v>2</v>
      </c>
      <c r="C213" s="47"/>
      <c r="D213" s="48"/>
      <c r="E213" s="47"/>
      <c r="F213" s="48"/>
      <c r="G213" s="47"/>
      <c r="H213" s="64"/>
      <c r="I213" s="48"/>
      <c r="J213" s="48"/>
      <c r="O213" s="43">
        <f t="shared" si="13"/>
        <v>0</v>
      </c>
      <c r="P213" s="43">
        <f t="shared" si="14"/>
        <v>0</v>
      </c>
      <c r="Q213" s="43">
        <f t="shared" si="15"/>
        <v>348079.858</v>
      </c>
    </row>
    <row r="214" spans="1:17">
      <c r="A214" s="36">
        <v>43061</v>
      </c>
      <c r="B214" s="34">
        <f t="shared" si="12"/>
        <v>3</v>
      </c>
      <c r="C214" s="47">
        <f>I165+2727+300</f>
        <v>39914</v>
      </c>
      <c r="D214" s="48" t="s">
        <v>50</v>
      </c>
      <c r="E214" s="47">
        <f>I164+300</f>
        <v>300</v>
      </c>
      <c r="F214" s="48" t="s">
        <v>31</v>
      </c>
      <c r="G214" s="47"/>
      <c r="H214" s="64"/>
      <c r="I214" s="48"/>
      <c r="J214" s="48"/>
      <c r="O214" s="43">
        <f t="shared" si="13"/>
        <v>-40214</v>
      </c>
      <c r="P214" s="43">
        <f t="shared" si="14"/>
        <v>0</v>
      </c>
      <c r="Q214" s="43">
        <f t="shared" si="15"/>
        <v>307865.858</v>
      </c>
    </row>
    <row r="215" spans="1:17">
      <c r="A215" s="36">
        <v>43062</v>
      </c>
      <c r="B215" s="34">
        <f t="shared" si="12"/>
        <v>4</v>
      </c>
      <c r="C215" s="47"/>
      <c r="D215" s="48"/>
      <c r="E215" s="47"/>
      <c r="F215" s="48"/>
      <c r="G215" s="47"/>
      <c r="H215" s="64"/>
      <c r="I215" s="48"/>
      <c r="J215" s="48"/>
      <c r="O215" s="43">
        <f t="shared" si="13"/>
        <v>0</v>
      </c>
      <c r="P215" s="43">
        <f t="shared" si="14"/>
        <v>0</v>
      </c>
      <c r="Q215" s="43">
        <f t="shared" si="15"/>
        <v>307865.858</v>
      </c>
    </row>
    <row r="216" spans="1:17">
      <c r="A216" s="36">
        <v>43063</v>
      </c>
      <c r="B216" s="34">
        <f t="shared" si="12"/>
        <v>5</v>
      </c>
      <c r="C216" s="47"/>
      <c r="D216" s="48"/>
      <c r="E216" s="47"/>
      <c r="F216" s="48"/>
      <c r="G216" s="47"/>
      <c r="H216" s="64"/>
      <c r="I216" s="48"/>
      <c r="J216" s="48"/>
      <c r="O216" s="43">
        <f t="shared" si="13"/>
        <v>0</v>
      </c>
      <c r="P216" s="43">
        <f t="shared" si="14"/>
        <v>0</v>
      </c>
      <c r="Q216" s="43">
        <f t="shared" si="15"/>
        <v>307865.858</v>
      </c>
    </row>
    <row r="217" spans="1:17">
      <c r="A217" s="36">
        <v>43064</v>
      </c>
      <c r="B217" s="34">
        <f t="shared" si="12"/>
        <v>6</v>
      </c>
      <c r="C217" s="43">
        <f>I163+300</f>
        <v>27555</v>
      </c>
      <c r="D217" s="34" t="s">
        <v>165</v>
      </c>
      <c r="E217" s="47"/>
      <c r="F217" s="48"/>
      <c r="G217" s="47"/>
      <c r="H217" s="64"/>
      <c r="I217" s="48"/>
      <c r="J217" s="48"/>
      <c r="O217" s="43">
        <f t="shared" si="13"/>
        <v>-27555</v>
      </c>
      <c r="P217" s="43">
        <f t="shared" si="14"/>
        <v>0</v>
      </c>
      <c r="Q217" s="43">
        <f t="shared" si="15"/>
        <v>280310.858</v>
      </c>
    </row>
    <row r="218" spans="1:17">
      <c r="A218" s="36">
        <v>43065</v>
      </c>
      <c r="B218" s="34">
        <f t="shared" si="12"/>
        <v>7</v>
      </c>
      <c r="C218" s="47"/>
      <c r="D218" s="48"/>
      <c r="E218" s="47"/>
      <c r="F218" s="48"/>
      <c r="G218" s="47"/>
      <c r="H218" s="64"/>
      <c r="I218" s="47">
        <v>0</v>
      </c>
      <c r="J218" s="48" t="s">
        <v>138</v>
      </c>
      <c r="O218" s="43">
        <f t="shared" si="13"/>
        <v>0</v>
      </c>
      <c r="P218" s="43">
        <f t="shared" si="14"/>
        <v>0</v>
      </c>
      <c r="Q218" s="43">
        <f t="shared" si="15"/>
        <v>280310.858</v>
      </c>
    </row>
    <row r="219" spans="1:17">
      <c r="A219" s="36">
        <v>43066</v>
      </c>
      <c r="B219" s="34">
        <f t="shared" si="12"/>
        <v>1</v>
      </c>
      <c r="C219" s="47"/>
      <c r="D219" s="48"/>
      <c r="E219" s="47"/>
      <c r="F219" s="48"/>
      <c r="G219" s="47"/>
      <c r="H219" s="64"/>
      <c r="I219" s="48"/>
      <c r="J219" s="48"/>
      <c r="O219" s="43">
        <f t="shared" si="13"/>
        <v>0</v>
      </c>
      <c r="P219" s="43">
        <f t="shared" si="14"/>
        <v>0</v>
      </c>
      <c r="Q219" s="43">
        <f t="shared" si="15"/>
        <v>280310.858</v>
      </c>
    </row>
    <row r="220" spans="1:17">
      <c r="A220" s="36">
        <v>43067</v>
      </c>
      <c r="B220" s="34">
        <f t="shared" si="12"/>
        <v>2</v>
      </c>
      <c r="C220" s="47"/>
      <c r="D220" s="48"/>
      <c r="E220" s="47"/>
      <c r="F220" s="48"/>
      <c r="G220" s="47"/>
      <c r="H220" s="64"/>
      <c r="I220" s="48"/>
      <c r="J220" s="48"/>
      <c r="O220" s="43">
        <f t="shared" si="13"/>
        <v>0</v>
      </c>
      <c r="P220" s="43">
        <f t="shared" si="14"/>
        <v>0</v>
      </c>
      <c r="Q220" s="43">
        <f t="shared" si="15"/>
        <v>280310.858</v>
      </c>
    </row>
    <row r="221" spans="1:17">
      <c r="A221" s="36">
        <v>43068</v>
      </c>
      <c r="B221" s="34">
        <f t="shared" si="12"/>
        <v>3</v>
      </c>
      <c r="C221" s="47">
        <f>I171+331+300</f>
        <v>631</v>
      </c>
      <c r="D221" s="48" t="s">
        <v>70</v>
      </c>
      <c r="E221" s="47"/>
      <c r="F221" s="48"/>
      <c r="G221" s="47"/>
      <c r="H221" s="64"/>
      <c r="I221" s="48"/>
      <c r="J221" s="48"/>
      <c r="O221" s="43">
        <f t="shared" si="13"/>
        <v>-631</v>
      </c>
      <c r="P221" s="43">
        <f t="shared" si="14"/>
        <v>0</v>
      </c>
      <c r="Q221" s="43">
        <f t="shared" si="15"/>
        <v>279679.858</v>
      </c>
    </row>
    <row r="222" spans="1:17">
      <c r="A222" s="36">
        <v>43069</v>
      </c>
      <c r="B222" s="34">
        <f t="shared" si="12"/>
        <v>4</v>
      </c>
      <c r="C222" s="47">
        <f>I167+3075+300</f>
        <v>3375</v>
      </c>
      <c r="D222" s="48" t="s">
        <v>59</v>
      </c>
      <c r="E222" s="47"/>
      <c r="F222" s="48"/>
      <c r="G222" s="47"/>
      <c r="H222" s="64"/>
      <c r="I222" s="48"/>
      <c r="J222" s="48"/>
      <c r="O222" s="43">
        <f t="shared" si="13"/>
        <v>-3375</v>
      </c>
      <c r="P222" s="43">
        <f t="shared" si="14"/>
        <v>0</v>
      </c>
      <c r="Q222" s="43">
        <f t="shared" si="15"/>
        <v>276304.858</v>
      </c>
    </row>
    <row r="223" spans="1:17">
      <c r="A223" s="36">
        <v>43070</v>
      </c>
      <c r="B223" s="34">
        <f t="shared" si="12"/>
        <v>5</v>
      </c>
      <c r="C223" s="43">
        <f>I173+300</f>
        <v>300</v>
      </c>
      <c r="D223" s="34" t="s">
        <v>77</v>
      </c>
      <c r="I223" s="48"/>
      <c r="J223" s="48"/>
      <c r="O223" s="43">
        <f t="shared" si="13"/>
        <v>-300</v>
      </c>
      <c r="P223" s="43">
        <f t="shared" si="14"/>
        <v>0</v>
      </c>
      <c r="Q223" s="43">
        <f t="shared" si="15"/>
        <v>276004.858</v>
      </c>
    </row>
    <row r="224" spans="1:17">
      <c r="A224" s="36">
        <v>43071</v>
      </c>
      <c r="B224" s="34">
        <f t="shared" si="12"/>
        <v>6</v>
      </c>
      <c r="C224" s="43">
        <f>I177+1960+300</f>
        <v>2260</v>
      </c>
      <c r="D224" s="34" t="s">
        <v>122</v>
      </c>
      <c r="E224" s="43">
        <f>I175+K175+3000</f>
        <v>113023</v>
      </c>
      <c r="F224" s="34" t="s">
        <v>100</v>
      </c>
      <c r="I224" s="47">
        <v>28270</v>
      </c>
      <c r="J224" s="34" t="s">
        <v>165</v>
      </c>
      <c r="O224" s="43">
        <f t="shared" si="13"/>
        <v>-115283</v>
      </c>
      <c r="P224" s="43">
        <f t="shared" si="14"/>
        <v>28100.38</v>
      </c>
      <c r="Q224" s="43">
        <f t="shared" si="15"/>
        <v>188822.238</v>
      </c>
    </row>
    <row r="225" spans="1:17">
      <c r="A225" s="36">
        <v>43072</v>
      </c>
      <c r="B225" s="34">
        <f t="shared" si="12"/>
        <v>7</v>
      </c>
      <c r="I225" s="47">
        <v>0</v>
      </c>
      <c r="J225" s="48" t="s">
        <v>31</v>
      </c>
      <c r="O225" s="43">
        <f t="shared" si="13"/>
        <v>0</v>
      </c>
      <c r="P225" s="43">
        <f t="shared" si="14"/>
        <v>0</v>
      </c>
      <c r="Q225" s="43">
        <f t="shared" si="15"/>
        <v>188822.238</v>
      </c>
    </row>
    <row r="226" spans="1:17">
      <c r="A226" s="36">
        <v>43073</v>
      </c>
      <c r="B226" s="34">
        <f t="shared" si="12"/>
        <v>1</v>
      </c>
      <c r="I226" s="47">
        <v>30600</v>
      </c>
      <c r="J226" s="48" t="s">
        <v>50</v>
      </c>
      <c r="K226" s="43">
        <v>34527</v>
      </c>
      <c r="L226" s="48" t="s">
        <v>50</v>
      </c>
      <c r="O226" s="43">
        <f t="shared" si="13"/>
        <v>0</v>
      </c>
      <c r="P226" s="43">
        <f t="shared" si="14"/>
        <v>64736.238</v>
      </c>
      <c r="Q226" s="43">
        <f t="shared" si="15"/>
        <v>253558.476</v>
      </c>
    </row>
    <row r="227" spans="1:17">
      <c r="A227" s="36">
        <v>43074</v>
      </c>
      <c r="B227" s="34">
        <f t="shared" si="12"/>
        <v>2</v>
      </c>
      <c r="C227" s="43">
        <f>I174+300</f>
        <v>300</v>
      </c>
      <c r="D227" s="34" t="s">
        <v>149</v>
      </c>
      <c r="G227" s="43">
        <v>0</v>
      </c>
      <c r="H227" s="34" t="s">
        <v>227</v>
      </c>
      <c r="I227" s="48"/>
      <c r="J227" s="48"/>
      <c r="O227" s="43">
        <f t="shared" si="13"/>
        <v>-300</v>
      </c>
      <c r="P227" s="43">
        <f t="shared" si="14"/>
        <v>0</v>
      </c>
      <c r="Q227" s="43">
        <f t="shared" si="15"/>
        <v>253258.476</v>
      </c>
    </row>
    <row r="228" spans="1:17">
      <c r="A228" s="36">
        <v>43075</v>
      </c>
      <c r="B228" s="34">
        <f t="shared" si="12"/>
        <v>3</v>
      </c>
      <c r="C228" s="43">
        <f>I179+300</f>
        <v>300</v>
      </c>
      <c r="D228" s="34" t="s">
        <v>107</v>
      </c>
      <c r="I228" s="47">
        <v>0</v>
      </c>
      <c r="J228" s="48" t="s">
        <v>59</v>
      </c>
      <c r="O228" s="43">
        <f t="shared" si="13"/>
        <v>-300</v>
      </c>
      <c r="P228" s="43">
        <f t="shared" si="14"/>
        <v>0</v>
      </c>
      <c r="Q228" s="43">
        <f t="shared" si="15"/>
        <v>252958.476</v>
      </c>
    </row>
    <row r="229" spans="1:17">
      <c r="A229" s="36">
        <v>43076</v>
      </c>
      <c r="B229" s="34">
        <f t="shared" si="12"/>
        <v>4</v>
      </c>
      <c r="I229" s="48"/>
      <c r="J229" s="48"/>
      <c r="O229" s="43">
        <f t="shared" si="13"/>
        <v>0</v>
      </c>
      <c r="P229" s="43">
        <f t="shared" si="14"/>
        <v>0</v>
      </c>
      <c r="Q229" s="43">
        <f t="shared" si="15"/>
        <v>252958.476</v>
      </c>
    </row>
    <row r="230" spans="1:17">
      <c r="A230" s="36">
        <v>43077</v>
      </c>
      <c r="B230" s="34">
        <f t="shared" si="12"/>
        <v>5</v>
      </c>
      <c r="I230" s="48"/>
      <c r="J230" s="48"/>
      <c r="O230" s="43">
        <f t="shared" si="13"/>
        <v>0</v>
      </c>
      <c r="P230" s="43">
        <f t="shared" si="14"/>
        <v>0</v>
      </c>
      <c r="Q230" s="43">
        <f t="shared" si="15"/>
        <v>252958.476</v>
      </c>
    </row>
    <row r="231" spans="1:17">
      <c r="A231" s="36">
        <v>43078</v>
      </c>
      <c r="B231" s="34">
        <f t="shared" si="12"/>
        <v>6</v>
      </c>
      <c r="I231" s="48"/>
      <c r="J231" s="48"/>
      <c r="O231" s="43">
        <f t="shared" si="13"/>
        <v>0</v>
      </c>
      <c r="P231" s="43">
        <f t="shared" si="14"/>
        <v>0</v>
      </c>
      <c r="Q231" s="43">
        <f t="shared" si="15"/>
        <v>252958.476</v>
      </c>
    </row>
    <row r="232" spans="1:17">
      <c r="A232" s="36">
        <v>43079</v>
      </c>
      <c r="B232" s="34">
        <f t="shared" si="12"/>
        <v>7</v>
      </c>
      <c r="I232" s="47">
        <v>0</v>
      </c>
      <c r="J232" s="48" t="s">
        <v>70</v>
      </c>
      <c r="O232" s="43">
        <f t="shared" si="13"/>
        <v>0</v>
      </c>
      <c r="P232" s="43">
        <f t="shared" si="14"/>
        <v>0</v>
      </c>
      <c r="Q232" s="43">
        <f t="shared" si="15"/>
        <v>252958.476</v>
      </c>
    </row>
    <row r="233" spans="1:17">
      <c r="A233" s="36">
        <v>43080</v>
      </c>
      <c r="B233" s="34">
        <f t="shared" si="12"/>
        <v>1</v>
      </c>
      <c r="I233" s="48"/>
      <c r="J233" s="48"/>
      <c r="O233" s="43">
        <f t="shared" si="13"/>
        <v>0</v>
      </c>
      <c r="P233" s="43">
        <f t="shared" si="14"/>
        <v>0</v>
      </c>
      <c r="Q233" s="43">
        <f t="shared" si="15"/>
        <v>252958.476</v>
      </c>
    </row>
    <row r="234" spans="1:17">
      <c r="A234" s="36">
        <v>43081</v>
      </c>
      <c r="B234" s="34">
        <f t="shared" si="12"/>
        <v>2</v>
      </c>
      <c r="G234" s="43">
        <v>1686</v>
      </c>
      <c r="H234" s="34" t="s">
        <v>97</v>
      </c>
      <c r="I234" s="47">
        <v>0</v>
      </c>
      <c r="J234" s="48" t="s">
        <v>77</v>
      </c>
      <c r="O234" s="43">
        <f t="shared" si="13"/>
        <v>-1686</v>
      </c>
      <c r="P234" s="43">
        <f t="shared" si="14"/>
        <v>0</v>
      </c>
      <c r="Q234" s="43">
        <f t="shared" si="15"/>
        <v>251272.476</v>
      </c>
    </row>
    <row r="235" spans="1:17">
      <c r="A235" s="36">
        <v>43082</v>
      </c>
      <c r="B235" s="34">
        <f t="shared" si="12"/>
        <v>3</v>
      </c>
      <c r="C235" s="43">
        <f>I186+300</f>
        <v>34373</v>
      </c>
      <c r="D235" s="34" t="s">
        <v>138</v>
      </c>
      <c r="I235" s="47">
        <v>0</v>
      </c>
      <c r="J235" s="48" t="s">
        <v>149</v>
      </c>
      <c r="O235" s="43">
        <f t="shared" si="13"/>
        <v>-34373</v>
      </c>
      <c r="P235" s="43">
        <f t="shared" si="14"/>
        <v>0</v>
      </c>
      <c r="Q235" s="43">
        <f t="shared" si="15"/>
        <v>216899.476</v>
      </c>
    </row>
    <row r="236" spans="1:17">
      <c r="A236" s="36">
        <v>43083</v>
      </c>
      <c r="B236" s="34">
        <f t="shared" si="12"/>
        <v>4</v>
      </c>
      <c r="I236" s="47">
        <v>52064</v>
      </c>
      <c r="J236" s="48" t="s">
        <v>100</v>
      </c>
      <c r="K236" s="43">
        <v>53099</v>
      </c>
      <c r="L236" s="48" t="s">
        <v>100</v>
      </c>
      <c r="O236" s="43">
        <f t="shared" si="13"/>
        <v>0</v>
      </c>
      <c r="P236" s="43">
        <f t="shared" si="14"/>
        <v>104532.022</v>
      </c>
      <c r="Q236" s="43">
        <f t="shared" si="15"/>
        <v>321431.498</v>
      </c>
    </row>
    <row r="237" spans="1:17">
      <c r="A237" s="36">
        <v>43084</v>
      </c>
      <c r="B237" s="34">
        <f t="shared" si="12"/>
        <v>5</v>
      </c>
      <c r="I237" s="48"/>
      <c r="J237" s="48"/>
      <c r="O237" s="43">
        <f t="shared" si="13"/>
        <v>0</v>
      </c>
      <c r="P237" s="43">
        <f t="shared" si="14"/>
        <v>0</v>
      </c>
      <c r="Q237" s="43">
        <f t="shared" si="15"/>
        <v>321431.498</v>
      </c>
    </row>
    <row r="238" spans="1:17">
      <c r="A238" s="36">
        <v>43085</v>
      </c>
      <c r="B238" s="34">
        <f t="shared" si="12"/>
        <v>6</v>
      </c>
      <c r="I238" s="47">
        <v>0</v>
      </c>
      <c r="J238" s="48" t="s">
        <v>122</v>
      </c>
      <c r="O238" s="43">
        <f t="shared" si="13"/>
        <v>0</v>
      </c>
      <c r="P238" s="43">
        <f t="shared" si="14"/>
        <v>0</v>
      </c>
      <c r="Q238" s="43">
        <f t="shared" si="15"/>
        <v>321431.498</v>
      </c>
    </row>
    <row r="239" spans="1:17">
      <c r="A239" s="36">
        <v>43086</v>
      </c>
      <c r="B239" s="34">
        <f t="shared" si="12"/>
        <v>7</v>
      </c>
      <c r="I239" s="48"/>
      <c r="J239" s="48"/>
      <c r="O239" s="43">
        <f t="shared" si="13"/>
        <v>0</v>
      </c>
      <c r="P239" s="43">
        <f t="shared" si="14"/>
        <v>0</v>
      </c>
      <c r="Q239" s="43">
        <f t="shared" si="15"/>
        <v>321431.498</v>
      </c>
    </row>
    <row r="240" spans="1:17">
      <c r="A240" s="36">
        <v>43087</v>
      </c>
      <c r="B240" s="34">
        <f t="shared" si="12"/>
        <v>1</v>
      </c>
      <c r="C240" s="47"/>
      <c r="D240" s="48"/>
      <c r="E240" s="47"/>
      <c r="F240" s="48"/>
      <c r="G240" s="47">
        <v>9482</v>
      </c>
      <c r="H240" s="48" t="s">
        <v>227</v>
      </c>
      <c r="I240" s="47">
        <v>0</v>
      </c>
      <c r="J240" s="48" t="s">
        <v>107</v>
      </c>
      <c r="O240" s="43">
        <f t="shared" si="13"/>
        <v>-9482</v>
      </c>
      <c r="P240" s="43">
        <f t="shared" si="14"/>
        <v>0</v>
      </c>
      <c r="Q240" s="43">
        <f t="shared" si="15"/>
        <v>311949.498</v>
      </c>
    </row>
    <row r="241" spans="1:17">
      <c r="A241" s="36">
        <v>43088</v>
      </c>
      <c r="B241" s="34">
        <f t="shared" si="12"/>
        <v>2</v>
      </c>
      <c r="I241" s="48"/>
      <c r="J241" s="48"/>
      <c r="O241" s="43">
        <f t="shared" si="13"/>
        <v>0</v>
      </c>
      <c r="P241" s="43">
        <f t="shared" si="14"/>
        <v>0</v>
      </c>
      <c r="Q241" s="43">
        <f t="shared" si="15"/>
        <v>311949.498</v>
      </c>
    </row>
    <row r="242" spans="1:17">
      <c r="A242" s="36">
        <v>43089</v>
      </c>
      <c r="B242" s="34">
        <f t="shared" si="12"/>
        <v>3</v>
      </c>
      <c r="C242" s="47"/>
      <c r="D242" s="48"/>
      <c r="E242" s="47"/>
      <c r="F242" s="48"/>
      <c r="G242" s="47">
        <v>1522.5</v>
      </c>
      <c r="H242" s="48" t="s">
        <v>183</v>
      </c>
      <c r="I242" s="48"/>
      <c r="J242" s="48"/>
      <c r="O242" s="43">
        <f t="shared" si="13"/>
        <v>-1522.5</v>
      </c>
      <c r="P242" s="43">
        <f t="shared" si="14"/>
        <v>0</v>
      </c>
      <c r="Q242" s="43">
        <f t="shared" si="15"/>
        <v>310426.998</v>
      </c>
    </row>
    <row r="243" spans="1:17">
      <c r="A243" s="36">
        <v>43090</v>
      </c>
      <c r="B243" s="34">
        <f t="shared" si="12"/>
        <v>4</v>
      </c>
      <c r="I243" s="48"/>
      <c r="J243" s="48"/>
      <c r="O243" s="43">
        <f t="shared" si="13"/>
        <v>0</v>
      </c>
      <c r="P243" s="43">
        <f t="shared" si="14"/>
        <v>0</v>
      </c>
      <c r="Q243" s="43">
        <f t="shared" si="15"/>
        <v>310426.998</v>
      </c>
    </row>
    <row r="244" spans="1:17">
      <c r="A244" s="36">
        <v>43091</v>
      </c>
      <c r="B244" s="34">
        <f t="shared" si="12"/>
        <v>5</v>
      </c>
      <c r="C244" s="43">
        <f>I196+300</f>
        <v>300</v>
      </c>
      <c r="D244" s="34" t="s">
        <v>50</v>
      </c>
      <c r="E244" s="47">
        <f>I195+300</f>
        <v>16046</v>
      </c>
      <c r="F244" s="34" t="s">
        <v>31</v>
      </c>
      <c r="I244" s="48"/>
      <c r="J244" s="48"/>
      <c r="O244" s="43">
        <f t="shared" si="13"/>
        <v>-16346</v>
      </c>
      <c r="P244" s="43">
        <f t="shared" si="14"/>
        <v>0</v>
      </c>
      <c r="Q244" s="43">
        <f t="shared" si="15"/>
        <v>294080.998</v>
      </c>
    </row>
    <row r="245" spans="1:17">
      <c r="A245" s="36">
        <v>43092</v>
      </c>
      <c r="B245" s="34">
        <f t="shared" si="12"/>
        <v>6</v>
      </c>
      <c r="I245" s="48"/>
      <c r="J245" s="48"/>
      <c r="O245" s="43">
        <f t="shared" si="13"/>
        <v>0</v>
      </c>
      <c r="P245" s="43">
        <f t="shared" si="14"/>
        <v>0</v>
      </c>
      <c r="Q245" s="43">
        <f t="shared" si="15"/>
        <v>294080.998</v>
      </c>
    </row>
    <row r="246" spans="1:17">
      <c r="A246" s="36">
        <v>43093</v>
      </c>
      <c r="B246" s="34">
        <f t="shared" si="12"/>
        <v>7</v>
      </c>
      <c r="I246" s="48"/>
      <c r="J246" s="48"/>
      <c r="O246" s="43">
        <f t="shared" si="13"/>
        <v>0</v>
      </c>
      <c r="P246" s="43">
        <f t="shared" si="14"/>
        <v>0</v>
      </c>
      <c r="Q246" s="43">
        <f t="shared" si="15"/>
        <v>294080.998</v>
      </c>
    </row>
    <row r="247" spans="1:17">
      <c r="A247" s="36">
        <v>43094</v>
      </c>
      <c r="B247" s="34">
        <f t="shared" si="12"/>
        <v>1</v>
      </c>
      <c r="C247" s="43">
        <f>I194+300</f>
        <v>300</v>
      </c>
      <c r="D247" s="34" t="s">
        <v>165</v>
      </c>
      <c r="I247" s="47">
        <v>33772</v>
      </c>
      <c r="J247" s="48" t="s">
        <v>138</v>
      </c>
      <c r="O247" s="43">
        <f t="shared" si="13"/>
        <v>-300</v>
      </c>
      <c r="P247" s="43">
        <f t="shared" si="14"/>
        <v>33569.368</v>
      </c>
      <c r="Q247" s="43">
        <f t="shared" si="15"/>
        <v>327350.366</v>
      </c>
    </row>
    <row r="248" spans="1:17">
      <c r="A248" s="36">
        <v>43095</v>
      </c>
      <c r="B248" s="34">
        <f t="shared" si="12"/>
        <v>2</v>
      </c>
      <c r="I248" s="48"/>
      <c r="J248" s="48"/>
      <c r="O248" s="43">
        <f t="shared" si="13"/>
        <v>0</v>
      </c>
      <c r="P248" s="43">
        <f t="shared" si="14"/>
        <v>0</v>
      </c>
      <c r="Q248" s="43">
        <f t="shared" si="15"/>
        <v>327350.366</v>
      </c>
    </row>
    <row r="249" spans="1:17">
      <c r="A249" s="36">
        <v>43096</v>
      </c>
      <c r="B249" s="34">
        <f t="shared" si="12"/>
        <v>3</v>
      </c>
      <c r="I249" s="48"/>
      <c r="J249" s="48"/>
      <c r="O249" s="43">
        <f t="shared" si="13"/>
        <v>0</v>
      </c>
      <c r="P249" s="43">
        <f t="shared" si="14"/>
        <v>0</v>
      </c>
      <c r="Q249" s="43">
        <f t="shared" si="15"/>
        <v>327350.366</v>
      </c>
    </row>
    <row r="250" spans="1:17">
      <c r="A250" s="36">
        <v>43097</v>
      </c>
      <c r="B250" s="34">
        <f t="shared" si="12"/>
        <v>4</v>
      </c>
      <c r="O250" s="43">
        <f t="shared" si="13"/>
        <v>0</v>
      </c>
      <c r="P250" s="43">
        <f t="shared" si="14"/>
        <v>0</v>
      </c>
      <c r="Q250" s="43">
        <f t="shared" si="15"/>
        <v>327350.366</v>
      </c>
    </row>
    <row r="251" spans="1:17">
      <c r="A251" s="36">
        <v>43098</v>
      </c>
      <c r="B251" s="34">
        <f t="shared" si="12"/>
        <v>5</v>
      </c>
      <c r="C251" s="43">
        <f>I202+300</f>
        <v>15992</v>
      </c>
      <c r="D251" s="34" t="s">
        <v>70</v>
      </c>
      <c r="O251" s="43">
        <f t="shared" si="13"/>
        <v>-15992</v>
      </c>
      <c r="P251" s="43">
        <f t="shared" si="14"/>
        <v>0</v>
      </c>
      <c r="Q251" s="43">
        <f t="shared" si="15"/>
        <v>311358.366</v>
      </c>
    </row>
    <row r="252" spans="1:17">
      <c r="A252" s="36">
        <v>43099</v>
      </c>
      <c r="B252" s="34">
        <f t="shared" si="12"/>
        <v>6</v>
      </c>
      <c r="C252" s="43">
        <f>I197+300</f>
        <v>300</v>
      </c>
      <c r="D252" s="34" t="s">
        <v>59</v>
      </c>
      <c r="O252" s="43">
        <f t="shared" si="13"/>
        <v>-300</v>
      </c>
      <c r="P252" s="43">
        <f t="shared" si="14"/>
        <v>0</v>
      </c>
      <c r="Q252" s="43">
        <f t="shared" si="15"/>
        <v>311058.366</v>
      </c>
    </row>
    <row r="253" spans="1:17">
      <c r="A253" s="36">
        <v>43100</v>
      </c>
      <c r="B253" s="34">
        <f t="shared" si="12"/>
        <v>7</v>
      </c>
      <c r="O253" s="43">
        <f t="shared" si="13"/>
        <v>0</v>
      </c>
      <c r="P253" s="43">
        <f t="shared" si="14"/>
        <v>0</v>
      </c>
      <c r="Q253" s="43">
        <f t="shared" si="15"/>
        <v>311058.366</v>
      </c>
    </row>
    <row r="254" spans="1:17">
      <c r="A254" s="36">
        <v>43101</v>
      </c>
      <c r="B254" s="34">
        <f t="shared" si="12"/>
        <v>1</v>
      </c>
      <c r="O254" s="43">
        <f t="shared" si="13"/>
        <v>0</v>
      </c>
      <c r="P254" s="43">
        <f t="shared" si="14"/>
        <v>0</v>
      </c>
      <c r="Q254" s="43">
        <f t="shared" si="15"/>
        <v>311058.366</v>
      </c>
    </row>
    <row r="255" spans="1:17">
      <c r="A255" s="36">
        <v>43102</v>
      </c>
      <c r="B255" s="34">
        <f t="shared" si="12"/>
        <v>2</v>
      </c>
      <c r="O255" s="43">
        <f t="shared" si="13"/>
        <v>0</v>
      </c>
      <c r="P255" s="43">
        <f t="shared" si="14"/>
        <v>0</v>
      </c>
      <c r="Q255" s="43">
        <f t="shared" si="15"/>
        <v>311058.366</v>
      </c>
    </row>
    <row r="256" spans="1:17">
      <c r="A256" s="36">
        <v>43103</v>
      </c>
      <c r="B256" s="34">
        <f t="shared" si="12"/>
        <v>3</v>
      </c>
      <c r="O256" s="43">
        <f t="shared" si="13"/>
        <v>0</v>
      </c>
      <c r="P256" s="43">
        <f t="shared" si="14"/>
        <v>0</v>
      </c>
      <c r="Q256" s="43">
        <f t="shared" si="15"/>
        <v>311058.366</v>
      </c>
    </row>
    <row r="257" spans="1:17">
      <c r="A257" s="36">
        <v>43104</v>
      </c>
      <c r="B257" s="34">
        <f t="shared" si="12"/>
        <v>4</v>
      </c>
      <c r="O257" s="43">
        <f t="shared" si="13"/>
        <v>0</v>
      </c>
      <c r="P257" s="43">
        <f t="shared" si="14"/>
        <v>0</v>
      </c>
      <c r="Q257" s="43">
        <f t="shared" si="15"/>
        <v>311058.366</v>
      </c>
    </row>
  </sheetData>
  <conditionalFormatting sqref="A$1:A$1048576">
    <cfRule type="cellIs" dxfId="1" priority="1" operator="equal">
      <formula>RA!$J$34</formula>
    </cfRule>
  </conditionalFormatting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"/>
  <sheetViews>
    <sheetView workbookViewId="0">
      <selection activeCell="P16" sqref="P16"/>
    </sheetView>
  </sheetViews>
  <sheetFormatPr defaultColWidth="9" defaultRowHeight="13.5"/>
  <cols>
    <col min="1" max="1025" width="4.15833333333333" customWidth="1"/>
  </cols>
  <sheetData>
    <row r="1" spans="1:1">
      <c r="A1" t="s">
        <v>14</v>
      </c>
    </row>
    <row r="2" spans="4:8">
      <c r="D2" t="s">
        <v>250</v>
      </c>
      <c r="E2" t="s">
        <v>251</v>
      </c>
      <c r="F2" t="s">
        <v>252</v>
      </c>
      <c r="H2" t="s">
        <v>253</v>
      </c>
    </row>
    <row r="3" spans="4:11">
      <c r="D3" s="38">
        <v>1</v>
      </c>
      <c r="E3" s="39">
        <v>2</v>
      </c>
      <c r="F3" s="20">
        <v>3</v>
      </c>
      <c r="G3" s="17">
        <v>4</v>
      </c>
      <c r="H3" s="20">
        <v>5</v>
      </c>
      <c r="I3" s="17">
        <v>6</v>
      </c>
      <c r="J3" s="40">
        <v>7</v>
      </c>
      <c r="K3" s="17">
        <v>8</v>
      </c>
    </row>
    <row r="4" spans="4:12">
      <c r="D4" s="17">
        <v>30</v>
      </c>
      <c r="E4" s="17"/>
      <c r="F4" s="17"/>
      <c r="G4" s="17"/>
      <c r="H4" s="17"/>
      <c r="I4" s="17"/>
      <c r="J4" s="17"/>
      <c r="K4" s="20">
        <v>9</v>
      </c>
      <c r="L4" t="s">
        <v>254</v>
      </c>
    </row>
    <row r="5" spans="4:11">
      <c r="D5" s="40">
        <v>29</v>
      </c>
      <c r="E5" s="17"/>
      <c r="F5" s="17"/>
      <c r="G5" s="17"/>
      <c r="H5" s="17"/>
      <c r="I5" s="17"/>
      <c r="J5" s="17"/>
      <c r="K5" s="17">
        <v>10</v>
      </c>
    </row>
    <row r="6" spans="4:12">
      <c r="D6" s="17">
        <v>28</v>
      </c>
      <c r="E6" s="17"/>
      <c r="F6" s="17"/>
      <c r="G6" s="17"/>
      <c r="H6" s="17"/>
      <c r="I6" s="17"/>
      <c r="J6" s="17"/>
      <c r="K6" s="20">
        <v>11</v>
      </c>
      <c r="L6" t="s">
        <v>255</v>
      </c>
    </row>
    <row r="7" spans="4:12">
      <c r="D7" s="40">
        <v>27</v>
      </c>
      <c r="E7" s="17"/>
      <c r="F7" s="17"/>
      <c r="G7" s="17"/>
      <c r="H7" s="17"/>
      <c r="I7" s="17"/>
      <c r="J7" s="17"/>
      <c r="K7" s="39">
        <v>12</v>
      </c>
      <c r="L7" t="s">
        <v>256</v>
      </c>
    </row>
    <row r="8" spans="4:12">
      <c r="D8" s="17">
        <v>26</v>
      </c>
      <c r="E8" s="17"/>
      <c r="F8" s="17"/>
      <c r="G8" s="17"/>
      <c r="H8" s="17"/>
      <c r="I8" s="17"/>
      <c r="J8" s="17"/>
      <c r="K8" s="20">
        <v>13</v>
      </c>
      <c r="L8" t="s">
        <v>257</v>
      </c>
    </row>
    <row r="9" spans="3:11">
      <c r="C9" t="s">
        <v>258</v>
      </c>
      <c r="D9" s="20">
        <v>25</v>
      </c>
      <c r="E9" s="17"/>
      <c r="F9" s="17"/>
      <c r="G9" s="17"/>
      <c r="H9" s="17"/>
      <c r="I9" s="17"/>
      <c r="J9" s="17"/>
      <c r="K9" s="17">
        <v>14</v>
      </c>
    </row>
    <row r="10" spans="4:12">
      <c r="D10" s="17">
        <v>24</v>
      </c>
      <c r="E10" s="17"/>
      <c r="F10" s="17"/>
      <c r="G10" s="17"/>
      <c r="H10" s="17"/>
      <c r="I10" s="17"/>
      <c r="J10" s="17"/>
      <c r="K10" s="20">
        <v>15</v>
      </c>
      <c r="L10" t="s">
        <v>259</v>
      </c>
    </row>
    <row r="11" spans="4:11">
      <c r="D11" s="40">
        <v>23</v>
      </c>
      <c r="E11" s="17">
        <v>22</v>
      </c>
      <c r="F11" s="40">
        <v>21</v>
      </c>
      <c r="G11" s="17">
        <v>20</v>
      </c>
      <c r="H11" s="40">
        <v>19</v>
      </c>
      <c r="I11" s="17">
        <v>18</v>
      </c>
      <c r="J11" s="20">
        <v>17</v>
      </c>
      <c r="K11" s="17">
        <v>16</v>
      </c>
    </row>
    <row r="12" spans="10:10">
      <c r="J12" t="s">
        <v>260</v>
      </c>
    </row>
    <row r="13" spans="1:1">
      <c r="A13" t="s">
        <v>15</v>
      </c>
    </row>
    <row r="14" spans="4:4">
      <c r="D14" t="s">
        <v>259</v>
      </c>
    </row>
    <row r="15" spans="3:8">
      <c r="C15" t="s">
        <v>255</v>
      </c>
      <c r="D15" t="s">
        <v>257</v>
      </c>
      <c r="G15" t="s">
        <v>256</v>
      </c>
      <c r="H15" t="s">
        <v>260</v>
      </c>
    </row>
    <row r="16" spans="3:10">
      <c r="C16" s="20">
        <v>1</v>
      </c>
      <c r="D16" s="20">
        <v>2</v>
      </c>
      <c r="E16" s="17">
        <v>3</v>
      </c>
      <c r="F16" s="17">
        <v>4</v>
      </c>
      <c r="G16" s="20">
        <v>5</v>
      </c>
      <c r="H16" s="20">
        <v>6</v>
      </c>
      <c r="I16" s="17">
        <v>7</v>
      </c>
      <c r="J16" s="17">
        <v>8</v>
      </c>
    </row>
    <row r="17" spans="2:10">
      <c r="B17" t="s">
        <v>253</v>
      </c>
      <c r="C17" s="20">
        <v>30</v>
      </c>
      <c r="D17" s="17"/>
      <c r="E17" s="17"/>
      <c r="F17" s="17"/>
      <c r="G17" s="17"/>
      <c r="H17" s="17"/>
      <c r="I17" s="17"/>
      <c r="J17" s="17">
        <v>9</v>
      </c>
    </row>
    <row r="18" spans="2:10">
      <c r="B18" t="s">
        <v>254</v>
      </c>
      <c r="C18" s="20">
        <v>29</v>
      </c>
      <c r="D18" s="17"/>
      <c r="E18" s="17"/>
      <c r="F18" s="17"/>
      <c r="G18" s="17"/>
      <c r="H18" s="17"/>
      <c r="I18" s="17"/>
      <c r="J18" s="17">
        <v>10</v>
      </c>
    </row>
    <row r="19" spans="3:10">
      <c r="C19" s="17">
        <v>28</v>
      </c>
      <c r="D19" s="17"/>
      <c r="E19" s="17"/>
      <c r="F19" s="17"/>
      <c r="G19" s="17"/>
      <c r="H19" s="17"/>
      <c r="I19" s="17"/>
      <c r="J19" s="17">
        <v>11</v>
      </c>
    </row>
    <row r="20" spans="3:10">
      <c r="C20" s="17">
        <v>27</v>
      </c>
      <c r="D20" s="17"/>
      <c r="E20" s="17"/>
      <c r="F20" s="17"/>
      <c r="G20" s="17"/>
      <c r="H20" s="17"/>
      <c r="I20" s="17"/>
      <c r="J20" s="17">
        <v>12</v>
      </c>
    </row>
    <row r="21" spans="3:11">
      <c r="C21" s="17">
        <v>26</v>
      </c>
      <c r="D21" s="17"/>
      <c r="E21" s="17"/>
      <c r="F21" s="17"/>
      <c r="G21" s="17"/>
      <c r="H21" s="17"/>
      <c r="I21" s="17"/>
      <c r="J21" s="20">
        <v>13</v>
      </c>
      <c r="K21" t="s">
        <v>258</v>
      </c>
    </row>
    <row r="22" spans="2:10">
      <c r="B22" t="s">
        <v>250</v>
      </c>
      <c r="C22" s="41">
        <v>25</v>
      </c>
      <c r="D22" s="17"/>
      <c r="E22" s="17"/>
      <c r="F22" s="17"/>
      <c r="G22" s="17"/>
      <c r="H22" s="17"/>
      <c r="I22" s="17"/>
      <c r="J22" s="17">
        <v>14</v>
      </c>
    </row>
    <row r="23" spans="3:10">
      <c r="C23" s="17">
        <v>24</v>
      </c>
      <c r="D23" s="17"/>
      <c r="E23" s="17"/>
      <c r="F23" s="17"/>
      <c r="G23" s="17"/>
      <c r="H23" s="17"/>
      <c r="I23" s="17"/>
      <c r="J23" s="17">
        <v>15</v>
      </c>
    </row>
    <row r="24" spans="3:10">
      <c r="C24" s="17">
        <v>23</v>
      </c>
      <c r="D24" s="20">
        <v>22</v>
      </c>
      <c r="E24" s="17">
        <v>21</v>
      </c>
      <c r="F24" s="17">
        <v>20</v>
      </c>
      <c r="G24" s="17">
        <v>19</v>
      </c>
      <c r="H24" s="17">
        <v>18</v>
      </c>
      <c r="I24" s="17">
        <v>17</v>
      </c>
      <c r="J24" s="17">
        <v>16</v>
      </c>
    </row>
    <row r="25" spans="4:4">
      <c r="D25" t="s">
        <v>251</v>
      </c>
    </row>
    <row r="26" spans="4:4">
      <c r="D26" t="s">
        <v>252</v>
      </c>
    </row>
    <row r="41" spans="4:17">
      <c r="D41" t="s">
        <v>251</v>
      </c>
      <c r="G41" t="s">
        <v>253</v>
      </c>
      <c r="Q41" t="s">
        <v>252</v>
      </c>
    </row>
    <row r="42" spans="3:22">
      <c r="C42" s="42">
        <v>1</v>
      </c>
      <c r="D42" s="39">
        <v>2</v>
      </c>
      <c r="E42">
        <v>3</v>
      </c>
      <c r="F42">
        <v>4</v>
      </c>
      <c r="G42" s="20">
        <v>5</v>
      </c>
      <c r="H42">
        <v>6</v>
      </c>
      <c r="I42" s="17">
        <v>7</v>
      </c>
      <c r="J42" s="17">
        <v>8</v>
      </c>
      <c r="O42" s="17">
        <v>1</v>
      </c>
      <c r="P42">
        <v>2</v>
      </c>
      <c r="Q42" s="20">
        <v>3</v>
      </c>
      <c r="R42">
        <v>4</v>
      </c>
      <c r="S42" s="17">
        <v>5</v>
      </c>
      <c r="T42">
        <v>6</v>
      </c>
      <c r="U42" s="40">
        <v>7</v>
      </c>
      <c r="V42" s="17">
        <v>8</v>
      </c>
    </row>
    <row r="43" spans="3:22">
      <c r="C43" s="17">
        <v>30</v>
      </c>
      <c r="J43" s="20">
        <v>9</v>
      </c>
      <c r="K43" t="s">
        <v>254</v>
      </c>
      <c r="O43" s="17">
        <v>30</v>
      </c>
      <c r="V43" s="17">
        <v>9</v>
      </c>
    </row>
    <row r="44" spans="3:22">
      <c r="C44" s="40">
        <v>29</v>
      </c>
      <c r="J44" s="17">
        <v>10</v>
      </c>
      <c r="O44" s="17">
        <v>29</v>
      </c>
      <c r="V44" s="17">
        <v>10</v>
      </c>
    </row>
    <row r="45" spans="3:23">
      <c r="C45" s="17">
        <v>28</v>
      </c>
      <c r="J45" s="17">
        <v>11</v>
      </c>
      <c r="O45" s="17">
        <v>28</v>
      </c>
      <c r="V45" s="20">
        <v>11</v>
      </c>
      <c r="W45" t="s">
        <v>255</v>
      </c>
    </row>
    <row r="46" spans="3:22">
      <c r="C46" s="17">
        <v>27</v>
      </c>
      <c r="J46" s="39">
        <v>12</v>
      </c>
      <c r="K46" t="s">
        <v>256</v>
      </c>
      <c r="O46" s="40">
        <v>27</v>
      </c>
      <c r="V46">
        <v>12</v>
      </c>
    </row>
    <row r="47" spans="3:22">
      <c r="C47">
        <v>26</v>
      </c>
      <c r="J47" s="20">
        <v>13</v>
      </c>
      <c r="K47" t="s">
        <v>257</v>
      </c>
      <c r="O47">
        <v>26</v>
      </c>
      <c r="V47" s="17">
        <v>13</v>
      </c>
    </row>
    <row r="48" spans="2:22">
      <c r="B48" t="s">
        <v>258</v>
      </c>
      <c r="C48" s="20">
        <v>25</v>
      </c>
      <c r="J48">
        <v>14</v>
      </c>
      <c r="O48" s="17">
        <v>25</v>
      </c>
      <c r="V48">
        <v>14</v>
      </c>
    </row>
    <row r="49" spans="3:23">
      <c r="C49">
        <v>24</v>
      </c>
      <c r="J49" s="17">
        <v>15</v>
      </c>
      <c r="O49">
        <v>24</v>
      </c>
      <c r="V49" s="20">
        <v>15</v>
      </c>
      <c r="W49" t="s">
        <v>259</v>
      </c>
    </row>
    <row r="50" spans="3:22">
      <c r="C50" s="17">
        <v>23</v>
      </c>
      <c r="D50" s="17">
        <v>22</v>
      </c>
      <c r="E50" s="40">
        <v>21</v>
      </c>
      <c r="F50" s="17">
        <v>20</v>
      </c>
      <c r="G50" s="17">
        <v>19</v>
      </c>
      <c r="H50" s="17">
        <v>18</v>
      </c>
      <c r="I50" s="20">
        <v>17</v>
      </c>
      <c r="J50">
        <v>16</v>
      </c>
      <c r="O50" s="40">
        <v>23</v>
      </c>
      <c r="P50" s="17">
        <v>22</v>
      </c>
      <c r="Q50" s="17">
        <v>21</v>
      </c>
      <c r="R50" s="17">
        <v>20</v>
      </c>
      <c r="S50" s="40">
        <v>19</v>
      </c>
      <c r="T50" s="17">
        <v>18</v>
      </c>
      <c r="U50" s="17">
        <v>17</v>
      </c>
      <c r="V50">
        <v>16</v>
      </c>
    </row>
    <row r="51" spans="9:9">
      <c r="I51" t="s">
        <v>260</v>
      </c>
    </row>
    <row r="55" spans="3:22">
      <c r="C55" s="42">
        <v>1</v>
      </c>
      <c r="D55" s="17">
        <v>2</v>
      </c>
      <c r="E55" s="17">
        <v>3</v>
      </c>
      <c r="F55" s="42">
        <v>4</v>
      </c>
      <c r="G55" s="17">
        <v>5</v>
      </c>
      <c r="H55" s="17">
        <v>6</v>
      </c>
      <c r="I55" s="42">
        <v>7</v>
      </c>
      <c r="J55" s="17">
        <v>8</v>
      </c>
      <c r="K55" s="17"/>
      <c r="O55" s="17">
        <v>1</v>
      </c>
      <c r="P55" s="40">
        <v>2</v>
      </c>
      <c r="Q55" s="17">
        <v>3</v>
      </c>
      <c r="R55" s="17">
        <v>4</v>
      </c>
      <c r="S55" s="40">
        <v>5</v>
      </c>
      <c r="T55" s="17">
        <v>6</v>
      </c>
      <c r="U55" s="17">
        <v>7</v>
      </c>
      <c r="V55" s="40">
        <v>8</v>
      </c>
    </row>
    <row r="56" spans="3:22">
      <c r="C56" s="17">
        <v>30</v>
      </c>
      <c r="D56" s="17"/>
      <c r="E56" s="17"/>
      <c r="F56" s="17"/>
      <c r="G56" s="17"/>
      <c r="H56" s="17"/>
      <c r="I56" s="17"/>
      <c r="J56" s="17">
        <v>9</v>
      </c>
      <c r="K56" s="17"/>
      <c r="O56" s="17">
        <v>30</v>
      </c>
      <c r="P56" s="17"/>
      <c r="Q56" s="17"/>
      <c r="R56" s="17"/>
      <c r="S56" s="17"/>
      <c r="T56" s="17"/>
      <c r="U56" s="17"/>
      <c r="V56" s="17">
        <v>9</v>
      </c>
    </row>
    <row r="57" spans="3:22">
      <c r="C57" s="17">
        <v>29</v>
      </c>
      <c r="D57" s="17"/>
      <c r="E57" s="17"/>
      <c r="F57" s="17"/>
      <c r="G57" s="17"/>
      <c r="H57" s="17"/>
      <c r="I57" s="17"/>
      <c r="J57" s="42">
        <v>10</v>
      </c>
      <c r="K57" s="17"/>
      <c r="O57" s="40">
        <v>29</v>
      </c>
      <c r="P57" s="17"/>
      <c r="Q57" s="17"/>
      <c r="R57" s="17"/>
      <c r="S57" s="17"/>
      <c r="T57" s="17"/>
      <c r="U57" s="17"/>
      <c r="V57" s="17">
        <v>10</v>
      </c>
    </row>
    <row r="58" spans="3:22">
      <c r="C58" s="42">
        <v>28</v>
      </c>
      <c r="D58" s="17"/>
      <c r="E58" s="17"/>
      <c r="F58" s="17"/>
      <c r="G58" s="17"/>
      <c r="H58" s="17"/>
      <c r="I58" s="17"/>
      <c r="J58" s="17">
        <v>11</v>
      </c>
      <c r="K58" s="17"/>
      <c r="O58" s="17">
        <v>28</v>
      </c>
      <c r="P58" s="17"/>
      <c r="Q58" s="17"/>
      <c r="R58" s="17"/>
      <c r="S58" s="17"/>
      <c r="T58" s="17"/>
      <c r="U58" s="17"/>
      <c r="V58" s="40">
        <v>11</v>
      </c>
    </row>
    <row r="59" spans="3:22">
      <c r="C59" s="17">
        <v>27</v>
      </c>
      <c r="D59" s="17"/>
      <c r="E59" s="17"/>
      <c r="F59" s="17"/>
      <c r="G59" s="17"/>
      <c r="H59" s="17"/>
      <c r="I59" s="17"/>
      <c r="J59" s="17">
        <v>12</v>
      </c>
      <c r="K59" s="17"/>
      <c r="O59" s="17">
        <v>27</v>
      </c>
      <c r="P59" s="17"/>
      <c r="Q59" s="17"/>
      <c r="R59" s="17"/>
      <c r="S59" s="17"/>
      <c r="T59" s="17"/>
      <c r="U59" s="17"/>
      <c r="V59" s="17">
        <v>12</v>
      </c>
    </row>
    <row r="60" spans="3:22">
      <c r="C60" s="17">
        <v>26</v>
      </c>
      <c r="D60" s="17"/>
      <c r="E60" s="17"/>
      <c r="F60" s="17"/>
      <c r="G60" s="17"/>
      <c r="H60" s="17"/>
      <c r="I60" s="17"/>
      <c r="J60" s="42">
        <v>13</v>
      </c>
      <c r="K60" s="17"/>
      <c r="O60" s="40">
        <v>26</v>
      </c>
      <c r="P60" s="17"/>
      <c r="Q60" s="17"/>
      <c r="R60" s="17"/>
      <c r="S60" s="17"/>
      <c r="T60" s="17"/>
      <c r="U60" s="17"/>
      <c r="V60" s="17">
        <v>13</v>
      </c>
    </row>
    <row r="61" spans="3:22">
      <c r="C61" s="42">
        <v>25</v>
      </c>
      <c r="D61" s="17"/>
      <c r="E61" s="17"/>
      <c r="F61" s="17"/>
      <c r="G61" s="17"/>
      <c r="H61" s="17"/>
      <c r="I61" s="17"/>
      <c r="J61" s="17">
        <v>14</v>
      </c>
      <c r="K61" s="17"/>
      <c r="O61" s="17">
        <v>25</v>
      </c>
      <c r="P61" s="17"/>
      <c r="Q61" s="17"/>
      <c r="R61" s="17"/>
      <c r="S61" s="17"/>
      <c r="T61" s="17"/>
      <c r="U61" s="17"/>
      <c r="V61" s="40">
        <v>14</v>
      </c>
    </row>
    <row r="62" spans="3:22">
      <c r="C62" s="17">
        <v>24</v>
      </c>
      <c r="D62" s="17"/>
      <c r="E62" s="17"/>
      <c r="F62" s="17"/>
      <c r="G62" s="17"/>
      <c r="H62" s="17"/>
      <c r="I62" s="17"/>
      <c r="J62" s="17">
        <v>15</v>
      </c>
      <c r="K62" s="17"/>
      <c r="O62" s="17">
        <v>24</v>
      </c>
      <c r="P62" s="17"/>
      <c r="Q62" s="17"/>
      <c r="R62" s="17"/>
      <c r="S62" s="17"/>
      <c r="T62" s="17"/>
      <c r="U62" s="17"/>
      <c r="V62" s="17">
        <v>15</v>
      </c>
    </row>
    <row r="63" spans="3:22">
      <c r="C63" s="17">
        <v>23</v>
      </c>
      <c r="D63" s="42">
        <v>22</v>
      </c>
      <c r="E63" s="17">
        <v>21</v>
      </c>
      <c r="F63" s="17">
        <v>20</v>
      </c>
      <c r="G63" s="42">
        <v>19</v>
      </c>
      <c r="H63" s="17">
        <v>18</v>
      </c>
      <c r="I63" s="17">
        <v>17</v>
      </c>
      <c r="J63" s="42">
        <v>16</v>
      </c>
      <c r="K63" s="17"/>
      <c r="O63" s="40">
        <v>23</v>
      </c>
      <c r="P63" s="17">
        <v>22</v>
      </c>
      <c r="Q63" s="17">
        <v>21</v>
      </c>
      <c r="R63" s="40">
        <v>20</v>
      </c>
      <c r="S63" s="17">
        <v>19</v>
      </c>
      <c r="T63" s="17">
        <v>18</v>
      </c>
      <c r="U63" s="40">
        <v>17</v>
      </c>
      <c r="V63" s="17">
        <v>16</v>
      </c>
    </row>
    <row r="64" spans="3:11">
      <c r="C64" s="17"/>
      <c r="D64" s="17"/>
      <c r="E64" s="17"/>
      <c r="F64" s="17"/>
      <c r="G64" s="17"/>
      <c r="H64" s="17"/>
      <c r="I64" s="17"/>
      <c r="J64" s="17"/>
      <c r="K64" s="17"/>
    </row>
    <row r="65" spans="3:11">
      <c r="C65" s="17"/>
      <c r="D65" s="17"/>
      <c r="E65" s="17"/>
      <c r="F65" s="17"/>
      <c r="G65" s="17"/>
      <c r="H65" s="17"/>
      <c r="I65" s="17"/>
      <c r="J65" s="17"/>
      <c r="K65" s="17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workbookViewId="0">
      <selection activeCell="J20" sqref="J20"/>
    </sheetView>
  </sheetViews>
  <sheetFormatPr defaultColWidth="9" defaultRowHeight="13.5"/>
  <cols>
    <col min="1" max="2" width="13.2166666666667" style="34" customWidth="1"/>
    <col min="3" max="3" width="10.3416666666667" style="34" customWidth="1"/>
    <col min="4" max="4" width="15.7916666666667" style="35" customWidth="1"/>
    <col min="5" max="5" width="14.5083333333333" style="35" customWidth="1"/>
    <col min="6" max="1025" width="10.3416666666667" style="34" customWidth="1"/>
  </cols>
  <sheetData>
    <row r="2" spans="1:7">
      <c r="A2" s="36">
        <v>42671</v>
      </c>
      <c r="B2" s="36">
        <v>43401</v>
      </c>
      <c r="C2" s="34">
        <v>50000</v>
      </c>
      <c r="D2" s="35">
        <f t="shared" ref="D2:D7" si="0">E2/365</f>
        <v>0.000178630136986301</v>
      </c>
      <c r="E2" s="35">
        <v>0.0652</v>
      </c>
      <c r="F2" s="34">
        <v>13</v>
      </c>
      <c r="G2" s="37" t="s">
        <v>261</v>
      </c>
    </row>
    <row r="3" spans="1:6">
      <c r="A3" s="36">
        <v>42673</v>
      </c>
      <c r="B3" s="36">
        <v>43403</v>
      </c>
      <c r="C3" s="34">
        <v>50000</v>
      </c>
      <c r="D3" s="35">
        <f t="shared" si="0"/>
        <v>0.000178630136986301</v>
      </c>
      <c r="E3" s="35">
        <v>0.0652</v>
      </c>
      <c r="F3" s="34">
        <v>13</v>
      </c>
    </row>
    <row r="4" spans="1:6">
      <c r="A4" s="36">
        <v>42675</v>
      </c>
      <c r="B4" s="36">
        <v>43405</v>
      </c>
      <c r="C4" s="34">
        <v>50000</v>
      </c>
      <c r="D4" s="35">
        <f t="shared" si="0"/>
        <v>0.000178630136986301</v>
      </c>
      <c r="E4" s="35">
        <v>0.0652</v>
      </c>
      <c r="F4" s="34">
        <v>13</v>
      </c>
    </row>
    <row r="5" spans="1:6">
      <c r="A5" s="36">
        <v>42677</v>
      </c>
      <c r="B5" s="36">
        <v>43407</v>
      </c>
      <c r="C5" s="34">
        <v>50000</v>
      </c>
      <c r="D5" s="35">
        <f t="shared" si="0"/>
        <v>0.000178630136986301</v>
      </c>
      <c r="E5" s="35">
        <v>0.0652</v>
      </c>
      <c r="F5" s="34">
        <v>13</v>
      </c>
    </row>
    <row r="6" spans="1:6">
      <c r="A6" s="36">
        <v>42679</v>
      </c>
      <c r="B6" s="36">
        <v>43105</v>
      </c>
      <c r="C6" s="34">
        <v>50000</v>
      </c>
      <c r="D6" s="35">
        <f t="shared" si="0"/>
        <v>0.000178630136986301</v>
      </c>
      <c r="E6" s="35">
        <v>0.0652</v>
      </c>
      <c r="F6" s="34">
        <v>13</v>
      </c>
    </row>
    <row r="7" spans="1:6">
      <c r="A7" s="36">
        <v>42681</v>
      </c>
      <c r="B7" s="36">
        <v>43411</v>
      </c>
      <c r="C7" s="34">
        <v>50000</v>
      </c>
      <c r="D7" s="35">
        <f t="shared" si="0"/>
        <v>0.000178630136986301</v>
      </c>
      <c r="E7" s="35">
        <v>0.0652</v>
      </c>
      <c r="F7" s="34">
        <v>13</v>
      </c>
    </row>
    <row r="8" spans="1:7">
      <c r="A8" s="36">
        <v>42845</v>
      </c>
      <c r="B8" s="36">
        <v>43210</v>
      </c>
      <c r="C8" s="34">
        <v>30000</v>
      </c>
      <c r="D8" s="35">
        <v>0.000169167</v>
      </c>
      <c r="E8" s="35">
        <f t="shared" ref="E8:E17" si="1">D8*365</f>
        <v>0.061745955</v>
      </c>
      <c r="F8" s="34">
        <v>21</v>
      </c>
      <c r="G8" s="37" t="s">
        <v>262</v>
      </c>
    </row>
    <row r="9" spans="1:6">
      <c r="A9" s="36">
        <v>42849</v>
      </c>
      <c r="B9" s="36">
        <v>43214</v>
      </c>
      <c r="C9" s="34">
        <v>30000</v>
      </c>
      <c r="D9" s="35">
        <v>0.000169167</v>
      </c>
      <c r="E9" s="35">
        <f t="shared" si="1"/>
        <v>0.061745955</v>
      </c>
      <c r="F9" s="34">
        <v>21</v>
      </c>
    </row>
    <row r="10" spans="1:6">
      <c r="A10" s="36">
        <v>42858</v>
      </c>
      <c r="B10" s="36">
        <v>43223</v>
      </c>
      <c r="C10" s="34">
        <v>30000</v>
      </c>
      <c r="D10" s="35">
        <v>0.000169167</v>
      </c>
      <c r="E10" s="35">
        <f t="shared" si="1"/>
        <v>0.061745955</v>
      </c>
      <c r="F10" s="34">
        <v>21</v>
      </c>
    </row>
    <row r="11" spans="1:6">
      <c r="A11" s="36">
        <v>42865</v>
      </c>
      <c r="B11" s="36">
        <v>43230</v>
      </c>
      <c r="C11" s="34">
        <v>30000</v>
      </c>
      <c r="D11" s="35">
        <v>0.000169167</v>
      </c>
      <c r="E11" s="35">
        <f t="shared" si="1"/>
        <v>0.061745955</v>
      </c>
      <c r="F11" s="34">
        <v>21</v>
      </c>
    </row>
    <row r="12" spans="1:6">
      <c r="A12" s="36">
        <v>42871</v>
      </c>
      <c r="B12" s="36">
        <v>43236</v>
      </c>
      <c r="C12" s="34">
        <v>30000</v>
      </c>
      <c r="D12" s="35">
        <v>0.000169167</v>
      </c>
      <c r="E12" s="35">
        <f t="shared" si="1"/>
        <v>0.061745955</v>
      </c>
      <c r="F12" s="34">
        <v>21</v>
      </c>
    </row>
    <row r="13" spans="1:6">
      <c r="A13" s="36">
        <v>42878</v>
      </c>
      <c r="B13" s="36">
        <v>43243</v>
      </c>
      <c r="C13" s="34">
        <v>30000</v>
      </c>
      <c r="D13" s="35">
        <v>0.000169167</v>
      </c>
      <c r="E13" s="35">
        <f t="shared" si="1"/>
        <v>0.061745955</v>
      </c>
      <c r="F13" s="34">
        <v>21</v>
      </c>
    </row>
    <row r="14" spans="1:6">
      <c r="A14" s="36">
        <v>42885</v>
      </c>
      <c r="B14" s="36">
        <v>43250</v>
      </c>
      <c r="C14" s="34">
        <v>30000</v>
      </c>
      <c r="D14" s="35">
        <v>0.000169167</v>
      </c>
      <c r="E14" s="35">
        <f t="shared" si="1"/>
        <v>0.061745955</v>
      </c>
      <c r="F14" s="34">
        <v>21</v>
      </c>
    </row>
    <row r="15" spans="1:6">
      <c r="A15" s="36">
        <v>42896</v>
      </c>
      <c r="B15" s="36">
        <v>43261</v>
      </c>
      <c r="C15" s="34">
        <v>30000</v>
      </c>
      <c r="D15" s="35">
        <v>0.000169167</v>
      </c>
      <c r="E15" s="35">
        <f t="shared" si="1"/>
        <v>0.061745955</v>
      </c>
      <c r="F15" s="34">
        <v>21</v>
      </c>
    </row>
    <row r="16" spans="1:6">
      <c r="A16" s="36">
        <v>42899</v>
      </c>
      <c r="B16" s="36">
        <v>43264</v>
      </c>
      <c r="C16" s="34">
        <v>30000</v>
      </c>
      <c r="D16" s="35">
        <v>0.000169167</v>
      </c>
      <c r="E16" s="35">
        <f t="shared" si="1"/>
        <v>0.061745955</v>
      </c>
      <c r="F16" s="34">
        <v>21</v>
      </c>
    </row>
    <row r="17" spans="1:6">
      <c r="A17" s="36">
        <v>42921</v>
      </c>
      <c r="B17" s="36">
        <v>43286</v>
      </c>
      <c r="C17" s="34">
        <v>30000</v>
      </c>
      <c r="D17" s="35">
        <v>0.000169167</v>
      </c>
      <c r="E17" s="35">
        <f t="shared" si="1"/>
        <v>0.061745955</v>
      </c>
      <c r="F17" s="34">
        <v>21</v>
      </c>
    </row>
    <row r="19" spans="9:10">
      <c r="I19" s="34">
        <v>742</v>
      </c>
      <c r="J19" s="34" t="s">
        <v>263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pane ySplit="1" topLeftCell="A2" activePane="bottomLeft" state="frozen"/>
      <selection/>
      <selection pane="bottomLeft" activeCell="D15" sqref="D15"/>
    </sheetView>
  </sheetViews>
  <sheetFormatPr defaultColWidth="9" defaultRowHeight="13.5"/>
  <cols>
    <col min="1" max="1" width="6.45833333333333" style="22" customWidth="1"/>
    <col min="2" max="2" width="26.5583333333333" style="22" customWidth="1"/>
    <col min="3" max="4" width="13.2166666666667" style="22" customWidth="1"/>
    <col min="5" max="5" width="8.75833333333333" style="22" customWidth="1"/>
    <col min="6" max="6" width="7.6" style="22" customWidth="1"/>
    <col min="7" max="8" width="14.7916666666667" style="22" customWidth="1"/>
    <col min="9" max="9" width="24.7" style="22" customWidth="1"/>
    <col min="10" max="10" width="23.9833333333333" style="22" customWidth="1"/>
    <col min="11" max="11" width="35.6" style="22" customWidth="1"/>
    <col min="12" max="12" width="6.45833333333333" style="22" customWidth="1"/>
    <col min="13" max="13" width="8.75833333333333" style="22" customWidth="1"/>
    <col min="14" max="14" width="21.4" style="22" customWidth="1"/>
    <col min="15" max="15" width="11.0583333333333" style="22" customWidth="1"/>
    <col min="16" max="17" width="24.55" style="22" customWidth="1"/>
    <col min="18" max="18" width="22.2583333333333" style="23" customWidth="1"/>
    <col min="19" max="19" width="22.1166666666667" style="22" customWidth="1"/>
    <col min="20" max="1025" width="10.2" style="22" customWidth="1"/>
  </cols>
  <sheetData>
    <row r="1" ht="14.25" spans="1:19">
      <c r="A1" s="24" t="s">
        <v>264</v>
      </c>
      <c r="B1" s="25" t="s">
        <v>265</v>
      </c>
      <c r="C1" s="25" t="s">
        <v>266</v>
      </c>
      <c r="D1" s="25" t="s">
        <v>267</v>
      </c>
      <c r="E1" s="25" t="s">
        <v>268</v>
      </c>
      <c r="F1" s="26" t="s">
        <v>269</v>
      </c>
      <c r="G1" s="26" t="s">
        <v>270</v>
      </c>
      <c r="H1" s="26" t="s">
        <v>2</v>
      </c>
      <c r="I1" s="26" t="s">
        <v>271</v>
      </c>
      <c r="J1" s="26" t="s">
        <v>272</v>
      </c>
      <c r="K1" s="26" t="s">
        <v>273</v>
      </c>
      <c r="L1" s="26" t="s">
        <v>274</v>
      </c>
      <c r="M1" s="26" t="s">
        <v>275</v>
      </c>
      <c r="N1" s="26" t="s">
        <v>276</v>
      </c>
      <c r="O1" s="26" t="s">
        <v>277</v>
      </c>
      <c r="P1" s="30" t="s">
        <v>278</v>
      </c>
      <c r="Q1" s="30" t="s">
        <v>279</v>
      </c>
      <c r="R1" s="31" t="s">
        <v>280</v>
      </c>
      <c r="S1" s="32" t="s">
        <v>281</v>
      </c>
    </row>
    <row r="2" spans="1:19">
      <c r="A2" s="21" t="s">
        <v>282</v>
      </c>
      <c r="B2" s="22" t="s">
        <v>283</v>
      </c>
      <c r="C2" s="21" t="s">
        <v>284</v>
      </c>
      <c r="D2" s="21" t="s">
        <v>285</v>
      </c>
      <c r="E2" s="22" t="s">
        <v>286</v>
      </c>
      <c r="F2" s="22" t="s">
        <v>286</v>
      </c>
      <c r="G2" s="21" t="s">
        <v>287</v>
      </c>
      <c r="H2" s="22" t="s">
        <v>288</v>
      </c>
      <c r="I2" s="21" t="s">
        <v>154</v>
      </c>
      <c r="J2" s="21" t="s">
        <v>289</v>
      </c>
      <c r="K2" s="22" t="s">
        <v>290</v>
      </c>
      <c r="L2" s="22" t="s">
        <v>291</v>
      </c>
      <c r="M2" s="22" t="s">
        <v>292</v>
      </c>
      <c r="N2" s="22" t="s">
        <v>293</v>
      </c>
      <c r="O2" s="21" t="s">
        <v>294</v>
      </c>
      <c r="P2" s="21" t="s">
        <v>295</v>
      </c>
      <c r="Q2" s="21" t="s">
        <v>296</v>
      </c>
      <c r="R2" s="33" t="s">
        <v>297</v>
      </c>
      <c r="S2" s="21" t="s">
        <v>298</v>
      </c>
    </row>
    <row r="3" spans="1:19">
      <c r="A3" s="21" t="s">
        <v>282</v>
      </c>
      <c r="B3" s="22" t="s">
        <v>299</v>
      </c>
      <c r="C3" s="21" t="s">
        <v>300</v>
      </c>
      <c r="D3" s="21" t="s">
        <v>285</v>
      </c>
      <c r="E3" s="22" t="s">
        <v>286</v>
      </c>
      <c r="F3" s="22" t="s">
        <v>286</v>
      </c>
      <c r="G3" s="21" t="s">
        <v>287</v>
      </c>
      <c r="H3" s="22" t="s">
        <v>288</v>
      </c>
      <c r="I3" s="21" t="s">
        <v>154</v>
      </c>
      <c r="J3" s="21" t="s">
        <v>289</v>
      </c>
      <c r="K3" s="22" t="s">
        <v>290</v>
      </c>
      <c r="L3" s="22" t="s">
        <v>291</v>
      </c>
      <c r="M3" s="22" t="s">
        <v>292</v>
      </c>
      <c r="N3" s="22" t="s">
        <v>301</v>
      </c>
      <c r="O3" s="21" t="s">
        <v>294</v>
      </c>
      <c r="P3" s="21" t="s">
        <v>295</v>
      </c>
      <c r="Q3" s="21" t="s">
        <v>296</v>
      </c>
      <c r="R3" s="33" t="s">
        <v>297</v>
      </c>
      <c r="S3" s="21" t="s">
        <v>298</v>
      </c>
    </row>
    <row r="4" spans="1:19">
      <c r="A4" s="21" t="s">
        <v>302</v>
      </c>
      <c r="B4" s="27" t="s">
        <v>303</v>
      </c>
      <c r="C4" s="21" t="s">
        <v>304</v>
      </c>
      <c r="D4" s="21" t="s">
        <v>305</v>
      </c>
      <c r="E4" s="22" t="s">
        <v>286</v>
      </c>
      <c r="F4" s="22" t="s">
        <v>286</v>
      </c>
      <c r="G4" s="21" t="s">
        <v>287</v>
      </c>
      <c r="H4" s="22" t="s">
        <v>288</v>
      </c>
      <c r="I4" s="21" t="s">
        <v>154</v>
      </c>
      <c r="J4" s="21" t="s">
        <v>289</v>
      </c>
      <c r="K4" s="22" t="s">
        <v>290</v>
      </c>
      <c r="L4" s="22" t="s">
        <v>291</v>
      </c>
      <c r="M4" s="22" t="s">
        <v>292</v>
      </c>
      <c r="N4" s="22" t="s">
        <v>306</v>
      </c>
      <c r="O4" s="21" t="s">
        <v>294</v>
      </c>
      <c r="P4" s="21" t="s">
        <v>295</v>
      </c>
      <c r="Q4" s="21" t="s">
        <v>296</v>
      </c>
      <c r="R4" s="33" t="s">
        <v>297</v>
      </c>
      <c r="S4" s="21" t="s">
        <v>298</v>
      </c>
    </row>
    <row r="5" spans="1:19">
      <c r="A5" s="21" t="s">
        <v>302</v>
      </c>
      <c r="B5" s="27" t="s">
        <v>307</v>
      </c>
      <c r="C5" s="21" t="s">
        <v>308</v>
      </c>
      <c r="D5" s="21" t="s">
        <v>305</v>
      </c>
      <c r="E5" s="22" t="s">
        <v>286</v>
      </c>
      <c r="F5" s="22" t="s">
        <v>286</v>
      </c>
      <c r="G5" s="21" t="s">
        <v>287</v>
      </c>
      <c r="H5" s="22" t="s">
        <v>288</v>
      </c>
      <c r="I5" s="21" t="s">
        <v>154</v>
      </c>
      <c r="J5" s="21" t="s">
        <v>289</v>
      </c>
      <c r="K5" s="22" t="s">
        <v>290</v>
      </c>
      <c r="L5" s="22" t="s">
        <v>291</v>
      </c>
      <c r="M5" s="22" t="s">
        <v>292</v>
      </c>
      <c r="N5" s="22" t="s">
        <v>309</v>
      </c>
      <c r="O5" s="21" t="s">
        <v>294</v>
      </c>
      <c r="P5" s="21" t="s">
        <v>295</v>
      </c>
      <c r="Q5" s="21" t="s">
        <v>296</v>
      </c>
      <c r="R5" s="33" t="s">
        <v>297</v>
      </c>
      <c r="S5" s="21" t="s">
        <v>298</v>
      </c>
    </row>
    <row r="6" spans="1:19">
      <c r="A6" s="21" t="s">
        <v>302</v>
      </c>
      <c r="B6" s="22" t="s">
        <v>310</v>
      </c>
      <c r="C6" s="21" t="s">
        <v>311</v>
      </c>
      <c r="D6" s="21" t="s">
        <v>305</v>
      </c>
      <c r="E6" s="22" t="s">
        <v>286</v>
      </c>
      <c r="F6" s="22" t="s">
        <v>286</v>
      </c>
      <c r="G6" s="21" t="s">
        <v>287</v>
      </c>
      <c r="H6" s="22" t="s">
        <v>288</v>
      </c>
      <c r="I6" s="21" t="s">
        <v>154</v>
      </c>
      <c r="J6" s="21" t="s">
        <v>289</v>
      </c>
      <c r="K6" s="22" t="s">
        <v>290</v>
      </c>
      <c r="L6" s="22" t="s">
        <v>291</v>
      </c>
      <c r="M6" s="22" t="s">
        <v>292</v>
      </c>
      <c r="N6" s="22" t="s">
        <v>312</v>
      </c>
      <c r="O6" s="21" t="s">
        <v>294</v>
      </c>
      <c r="P6" s="21" t="s">
        <v>295</v>
      </c>
      <c r="Q6" s="21" t="s">
        <v>296</v>
      </c>
      <c r="R6" s="33" t="s">
        <v>297</v>
      </c>
      <c r="S6" s="21" t="s">
        <v>298</v>
      </c>
    </row>
    <row r="7" spans="1:19">
      <c r="A7" s="21" t="s">
        <v>313</v>
      </c>
      <c r="B7" s="27" t="s">
        <v>314</v>
      </c>
      <c r="C7" s="21" t="s">
        <v>315</v>
      </c>
      <c r="D7" s="21" t="s">
        <v>285</v>
      </c>
      <c r="E7" s="22" t="s">
        <v>286</v>
      </c>
      <c r="F7" s="22" t="s">
        <v>286</v>
      </c>
      <c r="G7" s="21" t="s">
        <v>287</v>
      </c>
      <c r="H7" s="22" t="s">
        <v>128</v>
      </c>
      <c r="I7" s="21" t="s">
        <v>130</v>
      </c>
      <c r="J7" s="21" t="s">
        <v>289</v>
      </c>
      <c r="K7" s="22" t="s">
        <v>290</v>
      </c>
      <c r="L7" s="22" t="s">
        <v>291</v>
      </c>
      <c r="M7" s="22" t="s">
        <v>292</v>
      </c>
      <c r="N7" s="22" t="s">
        <v>316</v>
      </c>
      <c r="O7" s="21" t="s">
        <v>294</v>
      </c>
      <c r="P7" s="21" t="s">
        <v>295</v>
      </c>
      <c r="Q7" s="21" t="s">
        <v>296</v>
      </c>
      <c r="R7" s="33" t="s">
        <v>317</v>
      </c>
      <c r="S7" s="21" t="s">
        <v>298</v>
      </c>
    </row>
    <row r="8" spans="1:19">
      <c r="A8" s="21" t="s">
        <v>313</v>
      </c>
      <c r="B8" s="22" t="s">
        <v>318</v>
      </c>
      <c r="C8" s="21" t="s">
        <v>319</v>
      </c>
      <c r="D8" s="21" t="s">
        <v>285</v>
      </c>
      <c r="E8" s="22" t="s">
        <v>286</v>
      </c>
      <c r="F8" s="22" t="s">
        <v>286</v>
      </c>
      <c r="G8" s="21" t="s">
        <v>287</v>
      </c>
      <c r="H8" s="22" t="s">
        <v>128</v>
      </c>
      <c r="I8" s="21" t="s">
        <v>130</v>
      </c>
      <c r="J8" s="21" t="s">
        <v>289</v>
      </c>
      <c r="K8" s="22" t="s">
        <v>290</v>
      </c>
      <c r="L8" s="22" t="s">
        <v>291</v>
      </c>
      <c r="M8" s="22" t="s">
        <v>292</v>
      </c>
      <c r="N8" s="22" t="s">
        <v>320</v>
      </c>
      <c r="O8" s="21" t="s">
        <v>294</v>
      </c>
      <c r="P8" s="21" t="s">
        <v>295</v>
      </c>
      <c r="Q8" s="21" t="s">
        <v>296</v>
      </c>
      <c r="R8" s="33" t="s">
        <v>317</v>
      </c>
      <c r="S8" s="21" t="s">
        <v>298</v>
      </c>
    </row>
    <row r="9" spans="1:19">
      <c r="A9" s="21" t="s">
        <v>313</v>
      </c>
      <c r="B9" s="27" t="s">
        <v>321</v>
      </c>
      <c r="C9" s="21" t="s">
        <v>322</v>
      </c>
      <c r="D9" s="21" t="s">
        <v>285</v>
      </c>
      <c r="E9" s="22" t="s">
        <v>286</v>
      </c>
      <c r="F9" s="22" t="s">
        <v>286</v>
      </c>
      <c r="G9" s="21" t="s">
        <v>287</v>
      </c>
      <c r="H9" s="22" t="s">
        <v>128</v>
      </c>
      <c r="I9" s="21" t="s">
        <v>130</v>
      </c>
      <c r="J9" s="21" t="s">
        <v>289</v>
      </c>
      <c r="K9" s="22" t="s">
        <v>290</v>
      </c>
      <c r="L9" s="22" t="s">
        <v>291</v>
      </c>
      <c r="M9" s="22" t="s">
        <v>292</v>
      </c>
      <c r="N9" s="22" t="s">
        <v>323</v>
      </c>
      <c r="O9" s="21" t="s">
        <v>294</v>
      </c>
      <c r="P9" s="21" t="s">
        <v>295</v>
      </c>
      <c r="Q9" s="21" t="s">
        <v>296</v>
      </c>
      <c r="R9" s="33" t="s">
        <v>317</v>
      </c>
      <c r="S9" s="21" t="s">
        <v>298</v>
      </c>
    </row>
    <row r="10" spans="1:19">
      <c r="A10" s="21" t="s">
        <v>313</v>
      </c>
      <c r="B10" s="27" t="s">
        <v>324</v>
      </c>
      <c r="C10" s="21" t="s">
        <v>325</v>
      </c>
      <c r="D10" s="21" t="s">
        <v>285</v>
      </c>
      <c r="E10" s="22" t="s">
        <v>286</v>
      </c>
      <c r="F10" s="22" t="s">
        <v>286</v>
      </c>
      <c r="G10" s="21" t="s">
        <v>287</v>
      </c>
      <c r="H10" s="22" t="s">
        <v>128</v>
      </c>
      <c r="I10" s="21" t="s">
        <v>130</v>
      </c>
      <c r="J10" s="21" t="s">
        <v>289</v>
      </c>
      <c r="K10" s="22" t="s">
        <v>290</v>
      </c>
      <c r="L10" s="22" t="s">
        <v>291</v>
      </c>
      <c r="M10" s="22" t="s">
        <v>292</v>
      </c>
      <c r="N10" s="22" t="s">
        <v>326</v>
      </c>
      <c r="O10" s="21" t="s">
        <v>294</v>
      </c>
      <c r="P10" s="21" t="s">
        <v>295</v>
      </c>
      <c r="Q10" s="21" t="s">
        <v>296</v>
      </c>
      <c r="R10" s="33" t="s">
        <v>317</v>
      </c>
      <c r="S10" s="21" t="s">
        <v>298</v>
      </c>
    </row>
    <row r="11" spans="1:19">
      <c r="A11" s="21" t="s">
        <v>313</v>
      </c>
      <c r="B11" s="28" t="s">
        <v>327</v>
      </c>
      <c r="C11" s="21" t="s">
        <v>328</v>
      </c>
      <c r="D11" s="21" t="s">
        <v>285</v>
      </c>
      <c r="E11" s="22" t="s">
        <v>286</v>
      </c>
      <c r="F11" s="22" t="s">
        <v>286</v>
      </c>
      <c r="G11" s="21" t="s">
        <v>287</v>
      </c>
      <c r="H11" s="22" t="s">
        <v>128</v>
      </c>
      <c r="I11" s="21" t="s">
        <v>130</v>
      </c>
      <c r="J11" s="21" t="s">
        <v>289</v>
      </c>
      <c r="K11" s="22" t="s">
        <v>290</v>
      </c>
      <c r="L11" s="22" t="s">
        <v>291</v>
      </c>
      <c r="M11" s="22" t="s">
        <v>292</v>
      </c>
      <c r="N11" s="22" t="s">
        <v>329</v>
      </c>
      <c r="O11" s="21" t="s">
        <v>294</v>
      </c>
      <c r="P11" s="21" t="s">
        <v>295</v>
      </c>
      <c r="Q11" s="21" t="s">
        <v>296</v>
      </c>
      <c r="R11" s="33" t="s">
        <v>317</v>
      </c>
      <c r="S11" s="21" t="s">
        <v>298</v>
      </c>
    </row>
    <row r="12" spans="1:19">
      <c r="A12" s="21" t="s">
        <v>282</v>
      </c>
      <c r="B12" s="27" t="s">
        <v>330</v>
      </c>
      <c r="C12" s="21" t="s">
        <v>331</v>
      </c>
      <c r="D12" s="21" t="s">
        <v>285</v>
      </c>
      <c r="E12" s="22" t="s">
        <v>286</v>
      </c>
      <c r="F12" s="22" t="s">
        <v>286</v>
      </c>
      <c r="G12" s="21" t="s">
        <v>287</v>
      </c>
      <c r="H12" s="22" t="s">
        <v>64</v>
      </c>
      <c r="I12" s="21" t="s">
        <v>66</v>
      </c>
      <c r="J12" s="21" t="s">
        <v>289</v>
      </c>
      <c r="K12" s="22" t="s">
        <v>290</v>
      </c>
      <c r="L12" s="22" t="s">
        <v>291</v>
      </c>
      <c r="M12" s="22" t="s">
        <v>292</v>
      </c>
      <c r="N12" s="22" t="s">
        <v>332</v>
      </c>
      <c r="O12" s="21" t="s">
        <v>294</v>
      </c>
      <c r="P12" s="21" t="s">
        <v>295</v>
      </c>
      <c r="Q12" s="21" t="s">
        <v>296</v>
      </c>
      <c r="R12" s="33" t="s">
        <v>333</v>
      </c>
      <c r="S12" s="21" t="s">
        <v>298</v>
      </c>
    </row>
    <row r="13" spans="1:19">
      <c r="A13" s="21" t="s">
        <v>282</v>
      </c>
      <c r="B13" s="22" t="s">
        <v>334</v>
      </c>
      <c r="C13" s="21" t="s">
        <v>335</v>
      </c>
      <c r="D13" s="21" t="s">
        <v>285</v>
      </c>
      <c r="E13" s="22" t="s">
        <v>286</v>
      </c>
      <c r="F13" s="22" t="s">
        <v>286</v>
      </c>
      <c r="G13" s="21" t="s">
        <v>287</v>
      </c>
      <c r="H13" s="22" t="s">
        <v>64</v>
      </c>
      <c r="I13" s="21" t="s">
        <v>66</v>
      </c>
      <c r="J13" s="21" t="s">
        <v>289</v>
      </c>
      <c r="K13" s="22" t="s">
        <v>290</v>
      </c>
      <c r="L13" s="22" t="s">
        <v>291</v>
      </c>
      <c r="M13" s="22" t="s">
        <v>292</v>
      </c>
      <c r="N13" s="22" t="s">
        <v>336</v>
      </c>
      <c r="O13" s="21" t="s">
        <v>294</v>
      </c>
      <c r="P13" s="21" t="s">
        <v>295</v>
      </c>
      <c r="Q13" s="21" t="s">
        <v>296</v>
      </c>
      <c r="R13" s="33" t="s">
        <v>333</v>
      </c>
      <c r="S13" s="21" t="s">
        <v>298</v>
      </c>
    </row>
    <row r="14" spans="1:19">
      <c r="A14" s="21" t="s">
        <v>282</v>
      </c>
      <c r="B14" s="27" t="s">
        <v>337</v>
      </c>
      <c r="C14" s="21" t="s">
        <v>338</v>
      </c>
      <c r="D14" s="21" t="s">
        <v>285</v>
      </c>
      <c r="E14" s="22" t="s">
        <v>286</v>
      </c>
      <c r="F14" s="22" t="s">
        <v>286</v>
      </c>
      <c r="G14" s="21" t="s">
        <v>287</v>
      </c>
      <c r="H14" s="22" t="s">
        <v>64</v>
      </c>
      <c r="I14" s="21" t="s">
        <v>66</v>
      </c>
      <c r="J14" s="21" t="s">
        <v>289</v>
      </c>
      <c r="K14" s="22" t="s">
        <v>290</v>
      </c>
      <c r="L14" s="22" t="s">
        <v>291</v>
      </c>
      <c r="M14" s="22" t="s">
        <v>292</v>
      </c>
      <c r="N14" s="22" t="s">
        <v>339</v>
      </c>
      <c r="O14" s="21" t="s">
        <v>294</v>
      </c>
      <c r="P14" s="21" t="s">
        <v>295</v>
      </c>
      <c r="Q14" s="21" t="s">
        <v>296</v>
      </c>
      <c r="R14" s="33" t="s">
        <v>333</v>
      </c>
      <c r="S14" s="21" t="s">
        <v>298</v>
      </c>
    </row>
    <row r="15" spans="1:19">
      <c r="A15" s="21" t="s">
        <v>282</v>
      </c>
      <c r="B15" s="22" t="s">
        <v>340</v>
      </c>
      <c r="C15" s="21" t="s">
        <v>341</v>
      </c>
      <c r="D15" s="21" t="s">
        <v>285</v>
      </c>
      <c r="E15" s="22" t="s">
        <v>286</v>
      </c>
      <c r="F15" s="22" t="s">
        <v>286</v>
      </c>
      <c r="G15" s="21" t="s">
        <v>287</v>
      </c>
      <c r="H15" s="22" t="s">
        <v>64</v>
      </c>
      <c r="I15" s="21" t="s">
        <v>66</v>
      </c>
      <c r="J15" s="21" t="s">
        <v>289</v>
      </c>
      <c r="K15" s="22" t="s">
        <v>290</v>
      </c>
      <c r="L15" s="22" t="s">
        <v>291</v>
      </c>
      <c r="M15" s="22" t="s">
        <v>292</v>
      </c>
      <c r="N15" s="22" t="s">
        <v>342</v>
      </c>
      <c r="O15" s="21" t="s">
        <v>294</v>
      </c>
      <c r="P15" s="21" t="s">
        <v>295</v>
      </c>
      <c r="Q15" s="21" t="s">
        <v>296</v>
      </c>
      <c r="R15" s="33" t="s">
        <v>333</v>
      </c>
      <c r="S15" s="21" t="s">
        <v>298</v>
      </c>
    </row>
    <row r="16" spans="1:19">
      <c r="A16" s="21" t="s">
        <v>282</v>
      </c>
      <c r="B16" s="29" t="s">
        <v>343</v>
      </c>
      <c r="C16" s="21" t="s">
        <v>344</v>
      </c>
      <c r="D16" s="21" t="s">
        <v>285</v>
      </c>
      <c r="E16" s="22" t="s">
        <v>286</v>
      </c>
      <c r="F16" s="22" t="s">
        <v>286</v>
      </c>
      <c r="G16" s="21" t="s">
        <v>287</v>
      </c>
      <c r="H16" s="22" t="s">
        <v>64</v>
      </c>
      <c r="I16" s="21" t="s">
        <v>66</v>
      </c>
      <c r="J16" s="21" t="s">
        <v>289</v>
      </c>
      <c r="K16" s="22" t="s">
        <v>290</v>
      </c>
      <c r="L16" s="22" t="s">
        <v>291</v>
      </c>
      <c r="M16" s="22" t="s">
        <v>292</v>
      </c>
      <c r="N16" s="22" t="s">
        <v>345</v>
      </c>
      <c r="O16" s="21" t="s">
        <v>294</v>
      </c>
      <c r="P16" s="21" t="s">
        <v>295</v>
      </c>
      <c r="Q16" s="21" t="s">
        <v>296</v>
      </c>
      <c r="R16" s="33" t="s">
        <v>333</v>
      </c>
      <c r="S16" s="21" t="s">
        <v>298</v>
      </c>
    </row>
    <row r="17" spans="1:19">
      <c r="A17" s="21" t="s">
        <v>302</v>
      </c>
      <c r="B17" s="27" t="s">
        <v>346</v>
      </c>
      <c r="C17" s="21" t="s">
        <v>347</v>
      </c>
      <c r="D17" s="21" t="s">
        <v>305</v>
      </c>
      <c r="E17" s="22" t="s">
        <v>286</v>
      </c>
      <c r="F17" s="22" t="s">
        <v>286</v>
      </c>
      <c r="G17" s="21" t="s">
        <v>287</v>
      </c>
      <c r="H17" s="22" t="s">
        <v>116</v>
      </c>
      <c r="I17" s="21" t="s">
        <v>118</v>
      </c>
      <c r="J17" s="21" t="s">
        <v>289</v>
      </c>
      <c r="K17" s="22" t="s">
        <v>290</v>
      </c>
      <c r="L17" s="22" t="s">
        <v>291</v>
      </c>
      <c r="M17" s="22" t="s">
        <v>292</v>
      </c>
      <c r="N17" s="22" t="s">
        <v>348</v>
      </c>
      <c r="O17" s="21" t="s">
        <v>294</v>
      </c>
      <c r="P17" s="21" t="s">
        <v>295</v>
      </c>
      <c r="Q17" s="21" t="s">
        <v>296</v>
      </c>
      <c r="R17" s="33" t="s">
        <v>349</v>
      </c>
      <c r="S17" s="21" t="s">
        <v>298</v>
      </c>
    </row>
    <row r="18" spans="1:19">
      <c r="A18" s="21" t="s">
        <v>302</v>
      </c>
      <c r="B18" s="27" t="s">
        <v>350</v>
      </c>
      <c r="C18" s="21" t="s">
        <v>351</v>
      </c>
      <c r="D18" s="21" t="s">
        <v>305</v>
      </c>
      <c r="E18" s="22" t="s">
        <v>286</v>
      </c>
      <c r="F18" s="22" t="s">
        <v>286</v>
      </c>
      <c r="G18" s="21" t="s">
        <v>287</v>
      </c>
      <c r="H18" s="22" t="s">
        <v>116</v>
      </c>
      <c r="I18" s="21" t="s">
        <v>118</v>
      </c>
      <c r="J18" s="21" t="s">
        <v>289</v>
      </c>
      <c r="K18" s="22" t="s">
        <v>290</v>
      </c>
      <c r="L18" s="22" t="s">
        <v>291</v>
      </c>
      <c r="M18" s="22" t="s">
        <v>292</v>
      </c>
      <c r="N18" s="22" t="s">
        <v>352</v>
      </c>
      <c r="O18" s="21" t="s">
        <v>294</v>
      </c>
      <c r="P18" s="21" t="s">
        <v>295</v>
      </c>
      <c r="Q18" s="21" t="s">
        <v>296</v>
      </c>
      <c r="R18" s="33" t="s">
        <v>349</v>
      </c>
      <c r="S18" s="21" t="s">
        <v>298</v>
      </c>
    </row>
    <row r="19" spans="1:19">
      <c r="A19" s="21" t="s">
        <v>302</v>
      </c>
      <c r="B19" s="27" t="s">
        <v>353</v>
      </c>
      <c r="C19" s="21" t="s">
        <v>354</v>
      </c>
      <c r="D19" s="21" t="s">
        <v>305</v>
      </c>
      <c r="E19" s="22" t="s">
        <v>286</v>
      </c>
      <c r="F19" s="22" t="s">
        <v>286</v>
      </c>
      <c r="G19" s="21" t="s">
        <v>287</v>
      </c>
      <c r="H19" s="22" t="s">
        <v>116</v>
      </c>
      <c r="I19" s="21" t="s">
        <v>118</v>
      </c>
      <c r="J19" s="21" t="s">
        <v>289</v>
      </c>
      <c r="K19" s="22" t="s">
        <v>290</v>
      </c>
      <c r="L19" s="22" t="s">
        <v>291</v>
      </c>
      <c r="M19" s="22" t="s">
        <v>292</v>
      </c>
      <c r="N19" s="22" t="s">
        <v>355</v>
      </c>
      <c r="O19" s="21" t="s">
        <v>294</v>
      </c>
      <c r="P19" s="21" t="s">
        <v>295</v>
      </c>
      <c r="Q19" s="21" t="s">
        <v>296</v>
      </c>
      <c r="R19" s="33" t="s">
        <v>349</v>
      </c>
      <c r="S19" s="21" t="s">
        <v>298</v>
      </c>
    </row>
    <row r="20" spans="1:19">
      <c r="A20" s="21" t="s">
        <v>356</v>
      </c>
      <c r="B20" s="27" t="s">
        <v>357</v>
      </c>
      <c r="C20" s="21" t="s">
        <v>358</v>
      </c>
      <c r="D20" s="21" t="s">
        <v>359</v>
      </c>
      <c r="E20" s="22" t="s">
        <v>286</v>
      </c>
      <c r="F20" s="22" t="s">
        <v>286</v>
      </c>
      <c r="G20" s="21" t="s">
        <v>287</v>
      </c>
      <c r="H20" s="22" t="s">
        <v>116</v>
      </c>
      <c r="I20" s="21" t="s">
        <v>118</v>
      </c>
      <c r="J20" s="21" t="s">
        <v>289</v>
      </c>
      <c r="K20" s="22" t="s">
        <v>290</v>
      </c>
      <c r="L20" s="22" t="s">
        <v>291</v>
      </c>
      <c r="M20" s="22" t="s">
        <v>292</v>
      </c>
      <c r="N20" s="22" t="s">
        <v>360</v>
      </c>
      <c r="O20" s="21" t="s">
        <v>294</v>
      </c>
      <c r="P20" s="21" t="s">
        <v>295</v>
      </c>
      <c r="Q20" s="21" t="s">
        <v>296</v>
      </c>
      <c r="R20" s="33" t="s">
        <v>349</v>
      </c>
      <c r="S20" s="21" t="s">
        <v>298</v>
      </c>
    </row>
    <row r="21" spans="1:19">
      <c r="A21" s="22">
        <v>5912</v>
      </c>
      <c r="B21" s="27" t="s">
        <v>361</v>
      </c>
      <c r="C21" s="21" t="s">
        <v>362</v>
      </c>
      <c r="D21" s="21" t="s">
        <v>359</v>
      </c>
      <c r="E21" s="22" t="s">
        <v>286</v>
      </c>
      <c r="F21" s="22" t="s">
        <v>286</v>
      </c>
      <c r="G21" s="21" t="s">
        <v>287</v>
      </c>
      <c r="H21" s="22" t="s">
        <v>116</v>
      </c>
      <c r="I21" s="21" t="s">
        <v>118</v>
      </c>
      <c r="J21" s="21" t="s">
        <v>289</v>
      </c>
      <c r="K21" s="22" t="s">
        <v>290</v>
      </c>
      <c r="L21" s="22" t="s">
        <v>291</v>
      </c>
      <c r="M21" s="22" t="s">
        <v>292</v>
      </c>
      <c r="N21" s="22" t="s">
        <v>363</v>
      </c>
      <c r="O21" s="21" t="s">
        <v>294</v>
      </c>
      <c r="P21" s="21" t="s">
        <v>295</v>
      </c>
      <c r="Q21" s="21" t="s">
        <v>296</v>
      </c>
      <c r="R21" s="33" t="s">
        <v>349</v>
      </c>
      <c r="S21" s="21" t="s">
        <v>298</v>
      </c>
    </row>
    <row r="24" spans="2:2">
      <c r="B24" s="21" t="s">
        <v>364</v>
      </c>
    </row>
    <row r="25" spans="2:7">
      <c r="B25" s="21" t="s">
        <v>365</v>
      </c>
      <c r="D25" s="22" t="s">
        <v>366</v>
      </c>
      <c r="E25" s="21" t="s">
        <v>367</v>
      </c>
      <c r="F25" s="22" t="s">
        <v>368</v>
      </c>
      <c r="G25" s="21" t="s">
        <v>369</v>
      </c>
    </row>
    <row r="26" spans="2:7">
      <c r="B26" s="21" t="s">
        <v>370</v>
      </c>
      <c r="C26" s="22" t="s">
        <v>371</v>
      </c>
      <c r="D26" s="22" t="s">
        <v>366</v>
      </c>
      <c r="E26" s="21" t="s">
        <v>287</v>
      </c>
      <c r="F26" s="22" t="s">
        <v>368</v>
      </c>
      <c r="G26" s="21" t="s">
        <v>372</v>
      </c>
    </row>
  </sheetData>
  <autoFilter ref="A1:S2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9"/>
  <sheetViews>
    <sheetView workbookViewId="0">
      <pane xSplit="1" ySplit="1" topLeftCell="B17" activePane="bottomRight" state="frozen"/>
      <selection/>
      <selection pane="topRight"/>
      <selection pane="bottomLeft"/>
      <selection pane="bottomRight" activeCell="D17" sqref="D17"/>
    </sheetView>
  </sheetViews>
  <sheetFormatPr defaultColWidth="9" defaultRowHeight="13.5"/>
  <cols>
    <col min="1" max="2" width="10.3416666666667" customWidth="1"/>
    <col min="3" max="3" width="15.7916666666667" customWidth="1"/>
    <col min="4" max="1025" width="10.3416666666667" customWidth="1"/>
  </cols>
  <sheetData>
    <row r="1" spans="2:8">
      <c r="B1" t="s">
        <v>373</v>
      </c>
      <c r="C1" t="s">
        <v>5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</row>
    <row r="2" spans="2:5">
      <c r="B2" t="s">
        <v>379</v>
      </c>
      <c r="C2" t="s">
        <v>380</v>
      </c>
      <c r="D2">
        <v>1</v>
      </c>
      <c r="E2">
        <v>2</v>
      </c>
    </row>
    <row r="3" spans="2:4">
      <c r="B3" t="s">
        <v>381</v>
      </c>
      <c r="C3" t="s">
        <v>380</v>
      </c>
      <c r="D3">
        <v>1</v>
      </c>
    </row>
    <row r="4" spans="2:4">
      <c r="B4" t="s">
        <v>382</v>
      </c>
      <c r="C4" t="s">
        <v>380</v>
      </c>
      <c r="D4">
        <v>1</v>
      </c>
    </row>
    <row r="5" spans="2:5">
      <c r="B5" t="s">
        <v>383</v>
      </c>
      <c r="E5">
        <v>5</v>
      </c>
    </row>
    <row r="6" spans="2:6">
      <c r="B6" t="s">
        <v>384</v>
      </c>
      <c r="F6">
        <v>2</v>
      </c>
    </row>
    <row r="7" spans="2:5">
      <c r="B7" t="s">
        <v>385</v>
      </c>
      <c r="E7">
        <v>2</v>
      </c>
    </row>
    <row r="8" spans="2:4">
      <c r="B8" t="s">
        <v>386</v>
      </c>
      <c r="C8" s="17" t="s">
        <v>387</v>
      </c>
      <c r="D8">
        <v>1</v>
      </c>
    </row>
    <row r="9" spans="2:5">
      <c r="B9" t="s">
        <v>388</v>
      </c>
      <c r="E9">
        <v>2</v>
      </c>
    </row>
    <row r="10" spans="2:5">
      <c r="B10" t="s">
        <v>389</v>
      </c>
      <c r="E10">
        <v>5</v>
      </c>
    </row>
    <row r="11" spans="2:6">
      <c r="B11" t="s">
        <v>390</v>
      </c>
      <c r="F11">
        <v>2</v>
      </c>
    </row>
    <row r="12" spans="2:4">
      <c r="B12" t="s">
        <v>391</v>
      </c>
      <c r="D12" s="17" t="s">
        <v>392</v>
      </c>
    </row>
    <row r="13" spans="2:4">
      <c r="B13" s="17" t="s">
        <v>393</v>
      </c>
      <c r="C13" s="17" t="s">
        <v>394</v>
      </c>
      <c r="D13" s="17" t="s">
        <v>395</v>
      </c>
    </row>
    <row r="14" spans="2:4">
      <c r="B14" s="17" t="s">
        <v>396</v>
      </c>
      <c r="D14" s="17" t="s">
        <v>397</v>
      </c>
    </row>
    <row r="15" spans="2:4">
      <c r="B15" t="s">
        <v>398</v>
      </c>
      <c r="C15" s="17" t="s">
        <v>399</v>
      </c>
      <c r="D15">
        <v>4</v>
      </c>
    </row>
    <row r="16" spans="2:4">
      <c r="B16" t="s">
        <v>400</v>
      </c>
      <c r="C16" s="17" t="s">
        <v>401</v>
      </c>
      <c r="D16" t="s">
        <v>402</v>
      </c>
    </row>
    <row r="17" spans="2:4">
      <c r="B17" t="s">
        <v>403</v>
      </c>
      <c r="D17">
        <v>147258</v>
      </c>
    </row>
    <row r="18" spans="2:8">
      <c r="B18" t="s">
        <v>404</v>
      </c>
      <c r="C18" t="s">
        <v>380</v>
      </c>
      <c r="D18">
        <v>3</v>
      </c>
      <c r="E18">
        <v>147258</v>
      </c>
      <c r="H18" s="17" t="s">
        <v>405</v>
      </c>
    </row>
    <row r="19" spans="2:4">
      <c r="B19" t="s">
        <v>406</v>
      </c>
      <c r="C19" t="s">
        <v>286</v>
      </c>
      <c r="D19" s="17" t="s">
        <v>407</v>
      </c>
    </row>
    <row r="20" spans="2:5">
      <c r="B20" t="s">
        <v>408</v>
      </c>
      <c r="C20">
        <v>13450486486</v>
      </c>
      <c r="D20" s="17" t="s">
        <v>409</v>
      </c>
      <c r="E20">
        <v>126954</v>
      </c>
    </row>
    <row r="21" spans="2:4">
      <c r="B21" t="s">
        <v>410</v>
      </c>
      <c r="C21" t="s">
        <v>411</v>
      </c>
      <c r="D21" s="17" t="s">
        <v>412</v>
      </c>
    </row>
    <row r="22" spans="2:4">
      <c r="B22" t="s">
        <v>92</v>
      </c>
      <c r="C22" s="21" t="s">
        <v>413</v>
      </c>
      <c r="D22">
        <v>5</v>
      </c>
    </row>
    <row r="23" spans="2:4">
      <c r="B23" t="s">
        <v>92</v>
      </c>
      <c r="C23" s="21" t="s">
        <v>414</v>
      </c>
      <c r="D23">
        <v>8</v>
      </c>
    </row>
    <row r="24" spans="2:4">
      <c r="B24" t="s">
        <v>415</v>
      </c>
      <c r="C24" s="21" t="s">
        <v>416</v>
      </c>
      <c r="D24">
        <v>5</v>
      </c>
    </row>
    <row r="25" spans="2:8">
      <c r="B25" t="s">
        <v>417</v>
      </c>
      <c r="C25" s="21" t="s">
        <v>394</v>
      </c>
      <c r="D25">
        <v>1</v>
      </c>
      <c r="H25" s="17" t="s">
        <v>418</v>
      </c>
    </row>
    <row r="26" spans="2:4">
      <c r="B26" t="s">
        <v>249</v>
      </c>
      <c r="C26" t="s">
        <v>380</v>
      </c>
      <c r="D26">
        <v>1</v>
      </c>
    </row>
    <row r="27" spans="2:6">
      <c r="B27" t="s">
        <v>419</v>
      </c>
      <c r="C27">
        <v>13450486486</v>
      </c>
      <c r="D27">
        <v>2</v>
      </c>
      <c r="F27">
        <v>3</v>
      </c>
    </row>
    <row r="28" spans="2:4">
      <c r="B28" t="s">
        <v>420</v>
      </c>
      <c r="C28" t="s">
        <v>421</v>
      </c>
      <c r="D28" t="s">
        <v>407</v>
      </c>
    </row>
    <row r="29" spans="2:4">
      <c r="B29" t="s">
        <v>422</v>
      </c>
      <c r="C29" t="s">
        <v>423</v>
      </c>
      <c r="D29" t="s">
        <v>424</v>
      </c>
    </row>
    <row r="30" spans="2:10">
      <c r="B30" t="s">
        <v>244</v>
      </c>
      <c r="C30">
        <v>13450486486</v>
      </c>
      <c r="D30" t="s">
        <v>425</v>
      </c>
      <c r="E30" t="s">
        <v>426</v>
      </c>
      <c r="H30" t="s">
        <v>427</v>
      </c>
      <c r="J30" t="s">
        <v>428</v>
      </c>
    </row>
    <row r="31" spans="2:5">
      <c r="B31" t="s">
        <v>245</v>
      </c>
      <c r="C31" s="17" t="s">
        <v>387</v>
      </c>
      <c r="D31">
        <v>1</v>
      </c>
      <c r="E31">
        <v>147258</v>
      </c>
    </row>
    <row r="32" spans="2:8">
      <c r="B32" t="s">
        <v>429</v>
      </c>
      <c r="C32">
        <v>13450486486</v>
      </c>
      <c r="D32" t="s">
        <v>430</v>
      </c>
      <c r="E32" t="s">
        <v>426</v>
      </c>
      <c r="G32" s="17" t="s">
        <v>387</v>
      </c>
      <c r="H32" t="s">
        <v>431</v>
      </c>
    </row>
    <row r="33" spans="2:8">
      <c r="B33" t="s">
        <v>246</v>
      </c>
      <c r="C33">
        <v>13450486486</v>
      </c>
      <c r="D33" t="s">
        <v>430</v>
      </c>
      <c r="H33" t="s">
        <v>432</v>
      </c>
    </row>
    <row r="34" spans="2:7">
      <c r="B34" t="s">
        <v>247</v>
      </c>
      <c r="C34">
        <v>18344319513</v>
      </c>
      <c r="D34" t="s">
        <v>430</v>
      </c>
      <c r="E34" t="s">
        <v>430</v>
      </c>
      <c r="F34" t="s">
        <v>426</v>
      </c>
      <c r="G34" t="s">
        <v>433</v>
      </c>
    </row>
    <row r="39" spans="2:2">
      <c r="B39" t="s">
        <v>434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J12" sqref="J12"/>
    </sheetView>
  </sheetViews>
  <sheetFormatPr defaultColWidth="9" defaultRowHeight="13.5" outlineLevelCol="6"/>
  <cols>
    <col min="1" max="2" width="10.3416666666667" customWidth="1"/>
    <col min="3" max="3" width="43.5166666666667" customWidth="1"/>
    <col min="4" max="4" width="29.45" customWidth="1"/>
    <col min="5" max="1025" width="10.3416666666667" customWidth="1"/>
  </cols>
  <sheetData>
    <row r="1" spans="1:7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</row>
    <row r="2" spans="1:7">
      <c r="A2" t="s">
        <v>73</v>
      </c>
      <c r="B2" t="s">
        <v>442</v>
      </c>
      <c r="C2" t="s">
        <v>443</v>
      </c>
      <c r="E2" t="s">
        <v>444</v>
      </c>
      <c r="F2">
        <v>5</v>
      </c>
      <c r="G2">
        <v>6.6</v>
      </c>
    </row>
    <row r="3" spans="1:5">
      <c r="A3" t="s">
        <v>156</v>
      </c>
      <c r="B3" t="s">
        <v>442</v>
      </c>
      <c r="C3" t="s">
        <v>445</v>
      </c>
      <c r="D3" t="s">
        <v>446</v>
      </c>
      <c r="E3" t="s">
        <v>447</v>
      </c>
    </row>
    <row r="4" spans="1:5">
      <c r="A4" t="s">
        <v>448</v>
      </c>
      <c r="B4" t="s">
        <v>444</v>
      </c>
      <c r="C4" t="s">
        <v>449</v>
      </c>
      <c r="D4" t="s">
        <v>450</v>
      </c>
      <c r="E4" t="s">
        <v>447</v>
      </c>
    </row>
    <row r="5" spans="1:7">
      <c r="A5" t="s">
        <v>38</v>
      </c>
      <c r="B5" t="s">
        <v>442</v>
      </c>
      <c r="C5" s="20" t="s">
        <v>451</v>
      </c>
      <c r="D5" t="s">
        <v>452</v>
      </c>
      <c r="E5" s="20" t="s">
        <v>442</v>
      </c>
      <c r="F5">
        <v>6</v>
      </c>
      <c r="G5">
        <v>8.4</v>
      </c>
    </row>
    <row r="6" spans="1:6">
      <c r="A6" t="s">
        <v>116</v>
      </c>
      <c r="B6" t="s">
        <v>442</v>
      </c>
      <c r="C6" s="20" t="s">
        <v>453</v>
      </c>
      <c r="E6" s="20" t="s">
        <v>442</v>
      </c>
      <c r="F6">
        <v>5</v>
      </c>
    </row>
    <row r="7" spans="1:6">
      <c r="A7" t="s">
        <v>87</v>
      </c>
      <c r="B7" t="s">
        <v>442</v>
      </c>
      <c r="C7" s="20" t="s">
        <v>454</v>
      </c>
      <c r="E7" s="20" t="s">
        <v>442</v>
      </c>
      <c r="F7">
        <v>13.5</v>
      </c>
    </row>
    <row r="8" spans="1:5">
      <c r="A8" t="s">
        <v>152</v>
      </c>
      <c r="B8" t="s">
        <v>444</v>
      </c>
      <c r="C8" t="s">
        <v>455</v>
      </c>
      <c r="E8" t="s">
        <v>447</v>
      </c>
    </row>
    <row r="9" spans="1:6">
      <c r="A9" t="s">
        <v>54</v>
      </c>
      <c r="B9" t="s">
        <v>442</v>
      </c>
      <c r="C9" s="20" t="s">
        <v>456</v>
      </c>
      <c r="E9" s="20" t="s">
        <v>442</v>
      </c>
      <c r="F9">
        <v>5</v>
      </c>
    </row>
    <row r="10" spans="1:7">
      <c r="A10" t="s">
        <v>25</v>
      </c>
      <c r="B10" t="s">
        <v>442</v>
      </c>
      <c r="C10" t="s">
        <v>457</v>
      </c>
      <c r="D10" s="20" t="s">
        <v>458</v>
      </c>
      <c r="E10" s="20" t="s">
        <v>442</v>
      </c>
      <c r="F10">
        <v>5</v>
      </c>
      <c r="G10">
        <v>2</v>
      </c>
    </row>
    <row r="11" spans="1:5">
      <c r="A11" t="s">
        <v>459</v>
      </c>
      <c r="B11" t="s">
        <v>442</v>
      </c>
      <c r="C11" t="s">
        <v>460</v>
      </c>
      <c r="D11" s="20" t="s">
        <v>461</v>
      </c>
      <c r="E11" t="s">
        <v>447</v>
      </c>
    </row>
    <row r="12" spans="1:5">
      <c r="A12" t="s">
        <v>462</v>
      </c>
      <c r="B12" t="s">
        <v>442</v>
      </c>
      <c r="C12" t="s">
        <v>463</v>
      </c>
      <c r="D12" t="s">
        <v>464</v>
      </c>
      <c r="E12" t="s">
        <v>447</v>
      </c>
    </row>
    <row r="13" spans="1:7">
      <c r="A13" t="s">
        <v>128</v>
      </c>
      <c r="B13" t="s">
        <v>444</v>
      </c>
      <c r="C13" t="s">
        <v>465</v>
      </c>
      <c r="E13" t="s">
        <v>466</v>
      </c>
      <c r="F13">
        <v>2.7</v>
      </c>
      <c r="G13">
        <v>4.4</v>
      </c>
    </row>
    <row r="14" spans="1:5">
      <c r="A14" t="s">
        <v>467</v>
      </c>
      <c r="B14" t="s">
        <v>442</v>
      </c>
      <c r="C14" t="s">
        <v>468</v>
      </c>
      <c r="E14" t="s">
        <v>447</v>
      </c>
    </row>
    <row r="15" spans="1:6">
      <c r="A15" t="s">
        <v>64</v>
      </c>
      <c r="B15" t="s">
        <v>442</v>
      </c>
      <c r="C15" t="s">
        <v>469</v>
      </c>
      <c r="D15" t="s">
        <v>470</v>
      </c>
      <c r="E15" t="s">
        <v>466</v>
      </c>
      <c r="F15">
        <v>2</v>
      </c>
    </row>
    <row r="16" spans="1:6">
      <c r="A16" t="s">
        <v>102</v>
      </c>
      <c r="B16" t="s">
        <v>442</v>
      </c>
      <c r="C16" s="20" t="s">
        <v>471</v>
      </c>
      <c r="E16" t="s">
        <v>444</v>
      </c>
      <c r="F16">
        <v>10</v>
      </c>
    </row>
    <row r="17" spans="1:6">
      <c r="A17" t="s">
        <v>142</v>
      </c>
      <c r="B17" t="s">
        <v>442</v>
      </c>
      <c r="C17" t="s">
        <v>472</v>
      </c>
      <c r="E17" t="s">
        <v>447</v>
      </c>
      <c r="F17">
        <v>0.3</v>
      </c>
    </row>
    <row r="18" spans="1:5">
      <c r="A18" t="s">
        <v>473</v>
      </c>
      <c r="B18" t="s">
        <v>444</v>
      </c>
      <c r="C18" t="s">
        <v>474</v>
      </c>
      <c r="E18" t="s">
        <v>447</v>
      </c>
    </row>
    <row r="19" spans="1:5">
      <c r="A19" t="s">
        <v>475</v>
      </c>
      <c r="B19" t="s">
        <v>442</v>
      </c>
      <c r="C19" t="s">
        <v>476</v>
      </c>
      <c r="E19" t="s">
        <v>447</v>
      </c>
    </row>
    <row r="20" spans="1:5">
      <c r="A20" t="s">
        <v>477</v>
      </c>
      <c r="B20" t="s">
        <v>442</v>
      </c>
      <c r="C20" t="s">
        <v>478</v>
      </c>
      <c r="E20" t="s">
        <v>447</v>
      </c>
    </row>
    <row r="21" spans="1:5">
      <c r="A21" t="s">
        <v>479</v>
      </c>
      <c r="E21" t="s">
        <v>447</v>
      </c>
    </row>
    <row r="22" spans="1:5">
      <c r="A22" t="s">
        <v>480</v>
      </c>
      <c r="E22" t="s">
        <v>447</v>
      </c>
    </row>
    <row r="23" spans="1:1">
      <c r="A23" t="s">
        <v>161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CGB</Company>
  <Application>LibreOffice/5.2.7.2$Linux_X86_64 LibreOffice_project/20$Build-2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</vt:lpstr>
      <vt:lpstr>VA</vt:lpstr>
      <vt:lpstr>planA</vt:lpstr>
      <vt:lpstr>planD</vt:lpstr>
      <vt:lpstr>circle</vt:lpstr>
      <vt:lpstr>loan</vt:lpstr>
      <vt:lpstr>lefu</vt:lpstr>
      <vt:lpstr>pin</vt:lpstr>
      <vt:lpstr>addc</vt:lpstr>
      <vt:lpstr>bx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穆民</dc:creator>
  <cp:lastModifiedBy>cblue</cp:lastModifiedBy>
  <cp:revision>4</cp:revision>
  <dcterms:created xsi:type="dcterms:W3CDTF">2016-05-24T06:31:00Z</dcterms:created>
  <dcterms:modified xsi:type="dcterms:W3CDTF">2017-08-10T12:41:07Z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CGB</vt:lpwstr>
  </property>
  <property fmtid="{D5CDD505-2E9C-101B-9397-08002B2CF9AE}" pid="3" name="KSOProductBuildVer">
    <vt:lpwstr>2052-10.1.0.6690</vt:lpwstr>
  </property>
</Properties>
</file>