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do\Documents\C#\Chatarrera-App\"/>
    </mc:Choice>
  </mc:AlternateContent>
  <xr:revisionPtr revIDLastSave="0" documentId="13_ncr:1_{EF6CEADF-02ED-4374-BAEE-0822FD736911}" xr6:coauthVersionLast="37" xr6:coauthVersionMax="37" xr10:uidLastSave="{00000000-0000-0000-0000-000000000000}"/>
  <bookViews>
    <workbookView xWindow="0" yWindow="0" windowWidth="20175" windowHeight="6345" xr2:uid="{AC896B89-6F0B-4579-A35B-645B7E8CE35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I20" i="1"/>
  <c r="I19" i="1"/>
  <c r="I18" i="1"/>
  <c r="I17" i="1"/>
  <c r="I16" i="1"/>
  <c r="I15" i="1"/>
  <c r="I14" i="1"/>
  <c r="H20" i="1"/>
  <c r="G20" i="1"/>
  <c r="F20" i="1"/>
  <c r="G15" i="1"/>
  <c r="D20" i="1"/>
  <c r="C20" i="1"/>
  <c r="B20" i="1"/>
  <c r="AG9" i="1" l="1"/>
  <c r="AF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R8" i="1" s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R6" i="1" s="1"/>
  <c r="AR5" i="1"/>
  <c r="AQ5" i="1"/>
  <c r="AP5" i="1"/>
  <c r="AO5" i="1"/>
  <c r="AO9" i="1" s="1"/>
  <c r="AN5" i="1"/>
  <c r="AN9" i="1" s="1"/>
  <c r="AM5" i="1"/>
  <c r="AL5" i="1"/>
  <c r="AK5" i="1"/>
  <c r="AK9" i="1" s="1"/>
  <c r="AJ5" i="1"/>
  <c r="AJ9" i="1" s="1"/>
  <c r="AI5" i="1"/>
  <c r="AH5" i="1"/>
  <c r="AG5" i="1"/>
  <c r="AF5" i="1"/>
  <c r="AE5" i="1"/>
  <c r="AQ4" i="1"/>
  <c r="AP4" i="1"/>
  <c r="AO4" i="1"/>
  <c r="AN4" i="1"/>
  <c r="AM4" i="1"/>
  <c r="AL4" i="1"/>
  <c r="AK4" i="1"/>
  <c r="AJ4" i="1"/>
  <c r="AI4" i="1"/>
  <c r="AG4" i="1"/>
  <c r="AF4" i="1"/>
  <c r="AE4" i="1"/>
  <c r="AR4" i="1" s="1"/>
  <c r="AQ3" i="1"/>
  <c r="AQ9" i="1" s="1"/>
  <c r="AP3" i="1"/>
  <c r="AP9" i="1" s="1"/>
  <c r="AO3" i="1"/>
  <c r="AN3" i="1"/>
  <c r="AM3" i="1"/>
  <c r="AM9" i="1" s="1"/>
  <c r="AL3" i="1"/>
  <c r="AL9" i="1" s="1"/>
  <c r="AK3" i="1"/>
  <c r="AJ3" i="1"/>
  <c r="AI3" i="1"/>
  <c r="AI9" i="1" s="1"/>
  <c r="AH3" i="1"/>
  <c r="AH9" i="1" s="1"/>
  <c r="AG3" i="1"/>
  <c r="AF3" i="1"/>
  <c r="AE3" i="1"/>
  <c r="AE9" i="1" s="1"/>
  <c r="AR9" i="1" s="1"/>
  <c r="AB9" i="1"/>
  <c r="AA9" i="1"/>
  <c r="Z9" i="1"/>
  <c r="Y9" i="1"/>
  <c r="X9" i="1"/>
  <c r="W9" i="1"/>
  <c r="V9" i="1"/>
  <c r="U9" i="1"/>
  <c r="T9" i="1"/>
  <c r="S9" i="1"/>
  <c r="R9" i="1"/>
  <c r="P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8" i="1"/>
  <c r="AC7" i="1"/>
  <c r="AC6" i="1"/>
  <c r="AC5" i="1"/>
  <c r="Q4" i="1"/>
  <c r="Q9" i="1" s="1"/>
  <c r="AC3" i="1"/>
  <c r="AR3" i="1" l="1"/>
  <c r="AC9" i="1"/>
  <c r="AC4" i="1"/>
</calcChain>
</file>

<file path=xl/sharedStrings.xml><?xml version="1.0" encoding="utf-8"?>
<sst xmlns="http://schemas.openxmlformats.org/spreadsheetml/2006/main" count="59" uniqueCount="18">
  <si>
    <t>Semana del 11 de Diciembre al 17 de Diciembre</t>
  </si>
  <si>
    <t>Pagado</t>
  </si>
  <si>
    <t>Ganancia</t>
  </si>
  <si>
    <t xml:space="preserve"> </t>
  </si>
  <si>
    <t>Acero</t>
  </si>
  <si>
    <t>Aluminio</t>
  </si>
  <si>
    <t>Antimonio</t>
  </si>
  <si>
    <t>Bateria</t>
  </si>
  <si>
    <t>Bote</t>
  </si>
  <si>
    <t>Bronce</t>
  </si>
  <si>
    <t>Carton</t>
  </si>
  <si>
    <t>Chatarra</t>
  </si>
  <si>
    <t>Cobre</t>
  </si>
  <si>
    <t>Pet</t>
  </si>
  <si>
    <t>Plastico</t>
  </si>
  <si>
    <t>Plomo</t>
  </si>
  <si>
    <t>Vidrio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</si>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</sst>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4" fontId="2" fillId="0" borderId="0" xfId="0" applyNumberFormat="1" applyFont="1"/>
    <xf numFmtId="0" fontId="1" fillId="2" borderId="1" xfId="1"/>
    <xf numFmtId="0" fontId="3" fillId="0" borderId="0" xfId="0" applyFont="1" applyAlignment="1">
      <alignment horizontal="center"/>
    </xf>
    <xf numFmtId="0" fontId="2" fillId="0" borderId="2" xfId="0" applyFont="1" applyBorder="1"/>
    <xf numFmtId="14" fontId="2" fillId="3" borderId="0" xfId="0" applyNumberFormat="1" applyFont="1" applyFill="1"/>
    <xf numFmtId="0" fontId="0" fillId="3" borderId="0" xfId="0" applyFont="1" applyFill="1"/>
    <xf numFmtId="0" fontId="0" fillId="0" borderId="0" xfId="0" applyFont="1"/>
  </cellXfs>
  <cellStyles count="2">
    <cellStyle name="Check Cell" xfId="1" builtinId="23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3A8DA8-6B11-4C2F-B751-A23295ABB5F7}" name="tablaKg542" displayName="tablaKg542" ref="A2:N9" totalsRowCount="1">
  <autoFilter ref="A2:N8" xr:uid="{6FAFDB3D-0093-4CFE-8FE1-40C2EC88ABAD}"/>
  <tableColumns count="14">
    <tableColumn id="1" xr3:uid="{25524DF3-0918-4D03-A64B-BA814C7E039D}" name=" " totalsRowLabel="Total"/>
    <tableColumn id="2" xr3:uid="{3D259377-14D4-461A-B0A3-9E7600925E02}" name="Acero" totalsRowFunction="custom">
      <totalsRowFormula>SUM(tablaKg542[Acero])</totalsRowFormula>
    </tableColumn>
    <tableColumn id="3" xr3:uid="{67764C56-7829-41F3-B315-756F4D377785}" name="Aluminio" totalsRowFunction="custom">
      <totalsRowFormula>SUM(tablaKg542[Aluminio])</totalsRowFormula>
    </tableColumn>
    <tableColumn id="4" xr3:uid="{FE5A1726-BE5B-462C-AEE7-50DE92C5E8E7}" name="Antimonio" totalsRowFunction="custom">
      <totalsRowFormula>SUM(tablaKg542[Antimonio])</totalsRowFormula>
    </tableColumn>
    <tableColumn id="5" xr3:uid="{59063AD9-638F-44CC-A4BB-11C37AE56F8A}" name="Bateria" totalsRowFunction="custom">
      <totalsRowFormula>SUM(tablaKg542[Bateria])</totalsRowFormula>
    </tableColumn>
    <tableColumn id="6" xr3:uid="{12E8F94D-1B45-4F41-9596-CEAB5A35C661}" name="Bote" totalsRowFunction="custom">
      <totalsRowFormula>SUM(tablaKg542[Bote])</totalsRowFormula>
    </tableColumn>
    <tableColumn id="7" xr3:uid="{EA63249E-D33A-4000-AA5E-87BBFB049066}" name="Bronce" totalsRowFunction="custom">
      <totalsRowFormula>SUM(tablaKg542[Bronce])</totalsRowFormula>
    </tableColumn>
    <tableColumn id="8" xr3:uid="{844EAB0D-41E3-4EB4-83F3-9F8813A6C8B7}" name="Carton" totalsRowFunction="custom">
      <totalsRowFormula>SUM(tablaKg542[Carton])</totalsRowFormula>
    </tableColumn>
    <tableColumn id="9" xr3:uid="{914A59CC-F30F-4F02-8078-5BD32EA068C1}" name="Chatarra" totalsRowFunction="custom">
      <totalsRowFormula>SUM(tablaKg542[Chatarra])</totalsRowFormula>
    </tableColumn>
    <tableColumn id="10" xr3:uid="{6EAFE0B2-6585-4946-98FD-06FCBE3597D0}" name="Cobre" totalsRowFunction="custom">
      <totalsRowFormula>SUM(tablaKg542[Cobre])</totalsRowFormula>
    </tableColumn>
    <tableColumn id="11" xr3:uid="{A75F9712-5E88-472D-84D6-777DD91E1607}" name="Pet" totalsRowFunction="custom">
      <totalsRowFormula>SUM(tablaKg542[Pet])</totalsRowFormula>
    </tableColumn>
    <tableColumn id="12" xr3:uid="{BE7EC551-C769-4909-A34F-FE2EC2799914}" name="Plastico" totalsRowFunction="custom">
      <totalsRowFormula>SUM(tablaKg542[Plastico])</totalsRowFormula>
    </tableColumn>
    <tableColumn id="13" xr3:uid="{3ECB1DE8-AC3E-45EC-AA05-3CB030076F69}" name="Plomo" totalsRowFunction="custom">
      <totalsRowFormula>SUM(tablaKg542[Plomo])</totalsRowFormula>
    </tableColumn>
    <tableColumn id="14" xr3:uid="{5CBB71C9-5DB4-4E3C-B66C-1C6A8051AE47}" name="Vidrio" totalsRowFunction="custom">
      <totalsRowFormula>SUM(tablaKg542[Vidrio])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8155F9-0209-4741-B5B2-86267B1C1D0E}" name="tablaPagado542" displayName="tablaPagado542" ref="P2:AB9" totalsRowCount="1">
  <autoFilter ref="P2:AB8" xr:uid="{68DCBDA6-7977-46BC-B171-71C12D92FCE3}"/>
  <tableColumns count="13">
    <tableColumn id="1" xr3:uid="{06D3346B-6646-436B-8AC9-81CF4DA5B7EC}" name="Acero" totalsRowFunction="custom">
      <totalsRowFormula>SUM(tablaPagado542[Acero])</totalsRowFormula>
    </tableColumn>
    <tableColumn id="2" xr3:uid="{B6DD17BA-9F00-4794-87AF-6CC4123C5A6B}" name="Aluminio" totalsRowFunction="custom">
      <totalsRowFormula>SUM(tablaPagado542[Aluminio])</totalsRowFormula>
    </tableColumn>
    <tableColumn id="3" xr3:uid="{9BB07E46-CAD0-4BFB-8159-8A618FDD4EA6}" name="Antimonio" totalsRowFunction="custom">
      <totalsRowFormula>SUM(tablaPagado542[Antimonio])</totalsRowFormula>
    </tableColumn>
    <tableColumn id="4" xr3:uid="{8B7BE724-21BC-44F8-9AE6-F69421E734FD}" name="Bateria" totalsRowFunction="custom">
      <totalsRowFormula>SUM(tablaPagado542[Bateria])</totalsRowFormula>
    </tableColumn>
    <tableColumn id="5" xr3:uid="{8F02B790-7251-40DD-B2F0-10B38D2B3EBD}" name="Bote" totalsRowFunction="custom">
      <totalsRowFormula>SUM(tablaPagado542[Bote])</totalsRowFormula>
    </tableColumn>
    <tableColumn id="6" xr3:uid="{D680BB4E-66A4-4399-B64B-EDAFA1AE2121}" name="Bronce" totalsRowFunction="custom">
      <totalsRowFormula>SUM(tablaPagado542[Bronce])</totalsRowFormula>
    </tableColumn>
    <tableColumn id="7" xr3:uid="{187F6542-9449-4942-B8D6-48FF101E5100}" name="Carton" totalsRowFunction="custom">
      <totalsRowFormula>SUM(tablaPagado542[Carton])</totalsRowFormula>
    </tableColumn>
    <tableColumn id="8" xr3:uid="{645CFDF4-C973-476B-AE4C-017F089F0E4B}" name="Chatarra" totalsRowFunction="custom">
      <totalsRowFormula>SUM(tablaPagado542[Chatarra])</totalsRowFormula>
    </tableColumn>
    <tableColumn id="9" xr3:uid="{96B1ECDB-03DA-4DD3-8BC1-C6C8A6A66C72}" name="Cobre" totalsRowFunction="custom">
      <totalsRowFormula>SUM(tablaPagado542[Cobre])</totalsRowFormula>
    </tableColumn>
    <tableColumn id="10" xr3:uid="{66CD7F45-AE49-4979-8BEA-ED8ABB193CFD}" name="Pet" totalsRowFunction="custom">
      <totalsRowFormula>SUM(tablaPagado542[Pet])</totalsRowFormula>
    </tableColumn>
    <tableColumn id="11" xr3:uid="{4E6D9BA3-8052-41DD-A740-85A6D3BA60F1}" name="Plastico" totalsRowFunction="custom">
      <totalsRowFormula>SUM(tablaPagado542[Plastico])</totalsRowFormula>
    </tableColumn>
    <tableColumn id="12" xr3:uid="{839DADF6-0A7E-4EF6-B939-9EA447103C71}" name="Plomo" totalsRowFunction="custom">
      <totalsRowFormula>SUM(tablaPagado542[Plomo])</totalsRowFormula>
    </tableColumn>
    <tableColumn id="13" xr3:uid="{746B78B8-E68C-4279-A48A-EFE3C66E225D}" name="Vidrio" totalsRowFunction="custom">
      <totalsRowFormula>SUM(tablaPagado542[Vidrio])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0A8500-1D5A-4AF0-BFCE-700E17FC0E85}" name="tablaPagadoTotal542" displayName="tablaPagadoTotal542" ref="AC2:AC9" totalsRowCount="1">
  <autoFilter ref="AC2:AC8" xr:uid="{22972F97-0402-41A9-8FED-25377D1489D0}"/>
  <tableColumns count="1">
    <tableColumn id="1" xr3:uid="{E39025EF-026B-44C6-9D1B-14DD8EF14875}" name="Total" totalsRowFunction="custom" dataDxfId="16">
      <calculatedColumnFormula>SUM(P3:AB3)</calculatedColumnFormula>
      <totalsRowFormula>SUM(P9:AB9)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BC3BCD-5E78-4D1D-A2CB-D67047C67332}" name="tablaGanancia542" displayName="tablaGanancia542" ref="AE2:AQ9" totalsRowCount="1">
  <autoFilter ref="AE2:AQ8" xr:uid="{25EACC35-4719-43CD-B85F-3FAD1E72ED1E}"/>
  <tableColumns count="13">
    <tableColumn id="1" xr3:uid="{764C5DE1-D88E-498B-96BB-EFECD0F58DB3}" name="Acero" totalsRowFunction="custom" dataDxfId="15">
      <calculatedColumnFormula>(#REF!*19.5)-K3</calculatedColumnFormula>
      <totalsRowFormula>SUM(tablaGanancia542[Acero])</totalsRowFormula>
    </tableColumn>
    <tableColumn id="2" xr3:uid="{83AFF1D6-A47E-4BE5-A981-9D0760136FC7}" name="Aluminio" totalsRowFunction="custom" dataDxfId="14">
      <calculatedColumnFormula>(#REF!*23)-L3</calculatedColumnFormula>
      <totalsRowFormula>SUM(tablaGanancia542[Aluminio])</totalsRowFormula>
    </tableColumn>
    <tableColumn id="3" xr3:uid="{44884F77-8159-487A-A972-70EE57AD6377}" name="Antimonio" totalsRowFunction="custom" dataDxfId="13">
      <calculatedColumnFormula>(#REF!*30.5)-M3</calculatedColumnFormula>
      <totalsRowFormula>SUM(tablaGanancia542[Antimonio])</totalsRowFormula>
    </tableColumn>
    <tableColumn id="4" xr3:uid="{5ED9E41D-8A5D-4F1B-BCB9-E5F4BD72997E}" name="Bateria" totalsRowFunction="custom" dataDxfId="12">
      <calculatedColumnFormula>(#REF!*0)-N3</calculatedColumnFormula>
      <totalsRowFormula>SUM(tablaGanancia542[Bateria])</totalsRowFormula>
    </tableColumn>
    <tableColumn id="5" xr3:uid="{C0EBA0DB-B2F7-4712-A592-0D589A0500CB}" name="Bote" totalsRowFunction="custom" dataDxfId="11">
      <calculatedColumnFormula>(A3*23)-O3</calculatedColumnFormula>
      <totalsRowFormula>SUM(tablaGanancia542[Bote])</totalsRowFormula>
    </tableColumn>
    <tableColumn id="6" xr3:uid="{483527F6-E233-4EEB-802B-B87E4CDA45F0}" name="Bronce" totalsRowFunction="custom" dataDxfId="10">
      <calculatedColumnFormula>(B3*80)-P3</calculatedColumnFormula>
      <totalsRowFormula>SUM(tablaGanancia542[Bronce])</totalsRowFormula>
    </tableColumn>
    <tableColumn id="7" xr3:uid="{0F400045-3C71-4992-B6C9-729940BEAAD9}" name="Carton" totalsRowFunction="custom" dataDxfId="9">
      <calculatedColumnFormula>(C3*1.4)-Q3</calculatedColumnFormula>
      <totalsRowFormula>SUM(tablaGanancia542[Carton])</totalsRowFormula>
    </tableColumn>
    <tableColumn id="8" xr3:uid="{52585850-E78D-4F8B-802D-8485C1E9BD93}" name="Chatarra" totalsRowFunction="custom" dataDxfId="8">
      <calculatedColumnFormula>(D3*3.7)-R3</calculatedColumnFormula>
      <totalsRowFormula>SUM(tablaGanancia542[Chatarra])</totalsRowFormula>
    </tableColumn>
    <tableColumn id="9" xr3:uid="{AF9D2425-2F7F-4160-986D-D0CA147CA4C3}" name="Cobre" totalsRowFunction="custom" dataDxfId="7">
      <calculatedColumnFormula>(E3*108)-S3</calculatedColumnFormula>
      <totalsRowFormula>SUM(tablaGanancia542[Cobre])</totalsRowFormula>
    </tableColumn>
    <tableColumn id="10" xr3:uid="{DFF6D6E6-DD2F-4756-8320-C7BDD1CB70D6}" name="Pet" totalsRowFunction="custom" dataDxfId="6">
      <calculatedColumnFormula>(F3*5.5)-T3</calculatedColumnFormula>
      <totalsRowFormula>SUM(tablaGanancia542[Pet])</totalsRowFormula>
    </tableColumn>
    <tableColumn id="11" xr3:uid="{E2DE305A-998F-400B-B09D-D35359AEB8BB}" name="Plastico" totalsRowFunction="custom" dataDxfId="5">
      <calculatedColumnFormula>(G3*5)-U3</calculatedColumnFormula>
      <totalsRowFormula>SUM(tablaGanancia542[Plastico])</totalsRowFormula>
    </tableColumn>
    <tableColumn id="12" xr3:uid="{BFA6FA95-1964-44FB-8891-61C20B30C65A}" name="Plomo" totalsRowFunction="custom" dataDxfId="4">
      <calculatedColumnFormula>(H3*0)-V3</calculatedColumnFormula>
      <totalsRowFormula>SUM(tablaGanancia542[Plomo])</totalsRowFormula>
    </tableColumn>
    <tableColumn id="13" xr3:uid="{8BA10D59-CC7E-4BDB-B547-2135DFBCAB0E}" name="Vidrio" totalsRowFunction="custom" dataDxfId="3">
      <calculatedColumnFormula>(I3*1)-W3</calculatedColumnFormula>
      <totalsRowFormula>SUM(tablaGanancia542[Vidrio])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1FA9FA-FF3A-4381-BBD8-285F127B7423}" name="tablaGananciaTotal542" displayName="tablaGananciaTotal542" ref="AR2:AR9" totalsRowCount="1">
  <autoFilter ref="AR2:AR8" xr:uid="{F114DC23-F77E-48E9-B542-4AAE37B63498}"/>
  <tableColumns count="1">
    <tableColumn id="1" xr3:uid="{335FE64B-A499-4C2E-A4CA-6B4924841D58}" name="Total" totalsRowFunction="custom" dataDxfId="2">
      <calculatedColumnFormula>SUM(AE3:AQ3)</calculatedColumnFormula>
      <totalsRowFormula>SUM(AE9:AQ9)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6B42-048B-499F-B686-B2FCB571CF1D}" name="tablaPagadoTotal5422" displayName="tablaPagadoTotal5422" ref="I13:I20" totalsRowCount="1">
  <autoFilter ref="I13:I19" xr:uid="{664FC5B6-EACD-49C6-8430-D98537191CA3}"/>
  <tableColumns count="1">
    <tableColumn id="1" xr3:uid="{D7D067A4-CAA2-4613-ACE3-7C877A65D3C9}" name="Total" totalsRowFunction="custom" dataDxfId="1">
      <calculatedColumnFormula>SUM(#REF!)</calculatedColumnFormula>
      <totalsRowFormula>SUM(#REF!)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66CA0B-6354-4366-B43C-66AB3DC0E1FB}" name="tablaGananciaTotal5423" displayName="tablaGananciaTotal5423" ref="N13:N20" totalsRowCount="1">
  <autoFilter ref="N13:N19" xr:uid="{F7D91317-A8DD-4DDD-9296-970DB7E57948}"/>
  <tableColumns count="1">
    <tableColumn id="1" xr3:uid="{1E832C67-5ED1-45FF-9CBC-CB4B51352D60}" name="Total" totalsRowFunction="custom" dataDxfId="0">
      <calculatedColumnFormula>SUM(A14:M14)</calculatedColumnFormula>
      <totalsRowFormula>SUM(A20:M20)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4AC-70F4-4523-8BB6-2D77A575CF8E}">
  <dimension ref="A1:AR20"/>
  <sheetViews>
    <sheetView tabSelected="1" zoomScale="70" zoomScaleNormal="70" workbookViewId="0">
      <selection activeCell="K21" sqref="K21"/>
    </sheetView>
  </sheetViews>
  <sheetFormatPr defaultRowHeight="15" x14ac:dyDescent="0.25"/>
  <sheetData>
    <row r="1" spans="1:44" ht="26.25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3" t="s">
        <v>2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</row>
    <row r="3" spans="1:44" x14ac:dyDescent="0.25">
      <c r="A3" s="1">
        <v>43445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" si="0">SUM(P3:AB3)</f>
        <v>0</v>
      </c>
      <c r="AE3" t="e">
        <f t="shared" ref="AE3" si="1">(#REF!*19.5)-K3</f>
        <v>#REF!</v>
      </c>
      <c r="AF3" t="e">
        <f t="shared" ref="AF3" si="2">(#REF!*23)-L3</f>
        <v>#REF!</v>
      </c>
      <c r="AG3" t="e">
        <f t="shared" ref="AG3" si="3">(#REF!*30.5)-M3</f>
        <v>#REF!</v>
      </c>
      <c r="AH3" t="e">
        <f t="shared" ref="AH3" si="4">(#REF!*0)-N3</f>
        <v>#REF!</v>
      </c>
      <c r="AI3">
        <f t="shared" ref="AI3" si="5">(A3*23)-O3</f>
        <v>999235</v>
      </c>
      <c r="AJ3">
        <f t="shared" ref="AJ3" si="6">(B3*80)-P3</f>
        <v>0</v>
      </c>
      <c r="AK3">
        <f t="shared" ref="AK3" si="7">(C3*1.4)-Q3</f>
        <v>0</v>
      </c>
      <c r="AL3">
        <f t="shared" ref="AL3" si="8">(D3*3.7)-R3</f>
        <v>0</v>
      </c>
      <c r="AM3">
        <f t="shared" ref="AM3" si="9">(E3*108)-S3</f>
        <v>0</v>
      </c>
      <c r="AN3">
        <f t="shared" ref="AN3" si="10">(F3*5.5)-T3</f>
        <v>0</v>
      </c>
      <c r="AO3">
        <f t="shared" ref="AO3:AO8" si="11">(G3*5)-U3</f>
        <v>0</v>
      </c>
      <c r="AP3">
        <f t="shared" ref="AP3" si="12">(H3*0)-V3</f>
        <v>0</v>
      </c>
      <c r="AQ3">
        <f t="shared" ref="AQ3" si="13">(I3*1)-W3</f>
        <v>0</v>
      </c>
      <c r="AR3" t="e">
        <f t="shared" ref="AR3" si="14">SUM(AE3:AQ3)</f>
        <v>#REF!</v>
      </c>
    </row>
    <row r="4" spans="1:44" x14ac:dyDescent="0.25">
      <c r="A4" s="1">
        <v>43446</v>
      </c>
      <c r="B4">
        <v>0</v>
      </c>
      <c r="C4">
        <v>5.7</v>
      </c>
      <c r="D4">
        <v>0.9</v>
      </c>
      <c r="E4">
        <v>3</v>
      </c>
      <c r="F4">
        <v>43.5</v>
      </c>
      <c r="G4">
        <v>2.1</v>
      </c>
      <c r="H4">
        <v>93.5</v>
      </c>
      <c r="I4">
        <v>477.5</v>
      </c>
      <c r="J4">
        <v>24.2</v>
      </c>
      <c r="K4">
        <v>93</v>
      </c>
      <c r="L4">
        <v>36.5</v>
      </c>
      <c r="M4">
        <v>0</v>
      </c>
      <c r="N4">
        <v>69.5</v>
      </c>
      <c r="P4">
        <v>0</v>
      </c>
      <c r="Q4">
        <f>186-72</f>
        <v>114</v>
      </c>
      <c r="R4">
        <v>18</v>
      </c>
      <c r="S4">
        <v>216</v>
      </c>
      <c r="T4">
        <v>884</v>
      </c>
      <c r="U4">
        <v>138</v>
      </c>
      <c r="V4">
        <v>107</v>
      </c>
      <c r="W4">
        <v>1461</v>
      </c>
      <c r="X4">
        <v>2451</v>
      </c>
      <c r="Y4">
        <v>394</v>
      </c>
      <c r="Z4">
        <v>158</v>
      </c>
      <c r="AA4">
        <v>0</v>
      </c>
      <c r="AB4">
        <v>48</v>
      </c>
      <c r="AC4">
        <f t="shared" ref="AC4:AC9" si="15">SUM(P4:AB4)</f>
        <v>5989</v>
      </c>
      <c r="AE4" t="e">
        <f>(#REF!*19.5)-K4</f>
        <v>#REF!</v>
      </c>
      <c r="AF4" t="e">
        <f>(#REF!*23)-L4</f>
        <v>#REF!</v>
      </c>
      <c r="AG4" t="e">
        <f>(#REF!*30.5)-M4</f>
        <v>#REF!</v>
      </c>
      <c r="AH4">
        <v>60</v>
      </c>
      <c r="AI4">
        <f>(A4*23)-O4</f>
        <v>999258</v>
      </c>
      <c r="AJ4">
        <f>(B4*80)-P4</f>
        <v>0</v>
      </c>
      <c r="AK4">
        <f>(C4*1.4)-Q4</f>
        <v>-106.02</v>
      </c>
      <c r="AL4">
        <f>(D4*3.7)-R4</f>
        <v>-14.67</v>
      </c>
      <c r="AM4">
        <f>(E4*108)-S4</f>
        <v>108</v>
      </c>
      <c r="AN4">
        <f>(F4*5.5)-T4</f>
        <v>-644.75</v>
      </c>
      <c r="AO4">
        <f t="shared" si="11"/>
        <v>-127.5</v>
      </c>
      <c r="AP4">
        <f>(H4*0)-V4</f>
        <v>-107</v>
      </c>
      <c r="AQ4">
        <f>(I4*1)-W4</f>
        <v>-983.5</v>
      </c>
      <c r="AR4" t="e">
        <f t="shared" ref="AR4:AR9" si="16">SUM(AE4:AQ4)</f>
        <v>#REF!</v>
      </c>
    </row>
    <row r="5" spans="1:44" x14ac:dyDescent="0.25">
      <c r="A5" s="1">
        <v>43447</v>
      </c>
      <c r="B5">
        <v>0</v>
      </c>
      <c r="C5">
        <v>1.7</v>
      </c>
      <c r="D5">
        <v>0</v>
      </c>
      <c r="E5">
        <v>0</v>
      </c>
      <c r="F5">
        <v>27.4</v>
      </c>
      <c r="G5">
        <v>0.3</v>
      </c>
      <c r="H5">
        <v>132.5</v>
      </c>
      <c r="I5">
        <v>199</v>
      </c>
      <c r="J5">
        <v>2.2000000000000002</v>
      </c>
      <c r="K5">
        <v>59.5</v>
      </c>
      <c r="L5">
        <v>24</v>
      </c>
      <c r="M5">
        <v>0</v>
      </c>
      <c r="N5">
        <v>15.5</v>
      </c>
      <c r="P5">
        <v>0</v>
      </c>
      <c r="Q5">
        <v>34</v>
      </c>
      <c r="R5">
        <v>0</v>
      </c>
      <c r="S5">
        <v>0</v>
      </c>
      <c r="T5">
        <v>548</v>
      </c>
      <c r="U5">
        <v>18</v>
      </c>
      <c r="V5">
        <v>166</v>
      </c>
      <c r="W5">
        <v>608</v>
      </c>
      <c r="X5">
        <v>208</v>
      </c>
      <c r="Y5">
        <v>251</v>
      </c>
      <c r="Z5">
        <v>124</v>
      </c>
      <c r="AA5">
        <v>0</v>
      </c>
      <c r="AB5">
        <v>12</v>
      </c>
      <c r="AC5">
        <f t="shared" si="15"/>
        <v>1969</v>
      </c>
      <c r="AE5" t="e">
        <f>(#REF!*19.5)-K5</f>
        <v>#REF!</v>
      </c>
      <c r="AF5" t="e">
        <f>(#REF!*23)-L5</f>
        <v>#REF!</v>
      </c>
      <c r="AG5" t="e">
        <f>(#REF!*30.5)-M5</f>
        <v>#REF!</v>
      </c>
      <c r="AH5" t="e">
        <f>(#REF!*0)-N5</f>
        <v>#REF!</v>
      </c>
      <c r="AI5">
        <f>(A5*23)-O5</f>
        <v>999281</v>
      </c>
      <c r="AJ5">
        <f>(B5*80)-P5</f>
        <v>0</v>
      </c>
      <c r="AK5">
        <f>(C5*1.4)-Q5</f>
        <v>-31.62</v>
      </c>
      <c r="AL5">
        <f>(D5*3.7)-R5</f>
        <v>0</v>
      </c>
      <c r="AM5">
        <f>(E5*108)-S5</f>
        <v>0</v>
      </c>
      <c r="AN5">
        <f>(F5*5.5)-T5</f>
        <v>-397.3</v>
      </c>
      <c r="AO5">
        <f t="shared" si="11"/>
        <v>-16.5</v>
      </c>
      <c r="AP5">
        <f>(H5*0)-V5</f>
        <v>-166</v>
      </c>
      <c r="AQ5">
        <f>(I5*1)-W5</f>
        <v>-409</v>
      </c>
      <c r="AR5" t="e">
        <f t="shared" si="16"/>
        <v>#REF!</v>
      </c>
    </row>
    <row r="6" spans="1:44" x14ac:dyDescent="0.25">
      <c r="A6" s="1">
        <v>43448</v>
      </c>
      <c r="B6">
        <v>0</v>
      </c>
      <c r="C6">
        <v>0</v>
      </c>
      <c r="D6">
        <v>0</v>
      </c>
      <c r="E6">
        <v>0</v>
      </c>
      <c r="F6">
        <v>15.3</v>
      </c>
      <c r="G6">
        <v>21.6</v>
      </c>
      <c r="H6">
        <v>159</v>
      </c>
      <c r="I6">
        <v>242.5</v>
      </c>
      <c r="J6">
        <v>20.5</v>
      </c>
      <c r="K6">
        <v>212.5</v>
      </c>
      <c r="L6">
        <v>24.5</v>
      </c>
      <c r="M6">
        <v>0</v>
      </c>
      <c r="N6">
        <v>62.5</v>
      </c>
      <c r="P6">
        <v>0</v>
      </c>
      <c r="Q6">
        <v>0</v>
      </c>
      <c r="R6">
        <v>0</v>
      </c>
      <c r="S6">
        <v>0</v>
      </c>
      <c r="T6">
        <v>306</v>
      </c>
      <c r="U6">
        <v>1395</v>
      </c>
      <c r="V6">
        <v>173</v>
      </c>
      <c r="W6">
        <v>736</v>
      </c>
      <c r="X6">
        <v>2017</v>
      </c>
      <c r="Y6">
        <v>822</v>
      </c>
      <c r="Z6">
        <v>73</v>
      </c>
      <c r="AA6">
        <v>0</v>
      </c>
      <c r="AB6">
        <v>48</v>
      </c>
      <c r="AC6">
        <f t="shared" si="15"/>
        <v>5570</v>
      </c>
      <c r="AE6" t="e">
        <f>(#REF!*19.5)-K6</f>
        <v>#REF!</v>
      </c>
      <c r="AF6" t="e">
        <f>(#REF!*23)-L6</f>
        <v>#REF!</v>
      </c>
      <c r="AG6" t="e">
        <f>(#REF!*30.5)-M6</f>
        <v>#REF!</v>
      </c>
      <c r="AH6" t="e">
        <f>(#REF!*0)-N6</f>
        <v>#REF!</v>
      </c>
      <c r="AI6">
        <f>(A6*23)-O6</f>
        <v>999304</v>
      </c>
      <c r="AJ6">
        <f>(B6*80)-P6</f>
        <v>0</v>
      </c>
      <c r="AK6">
        <f>(C6*1.4)-Q6</f>
        <v>0</v>
      </c>
      <c r="AL6">
        <f>(D6*3.7)-R6</f>
        <v>0</v>
      </c>
      <c r="AM6">
        <f>(E6*108)-S6</f>
        <v>0</v>
      </c>
      <c r="AN6">
        <f>(F6*5.5)-T6</f>
        <v>-221.85</v>
      </c>
      <c r="AO6">
        <f t="shared" si="11"/>
        <v>-1287</v>
      </c>
      <c r="AP6">
        <f>(H6*0)-V6</f>
        <v>-173</v>
      </c>
      <c r="AQ6">
        <f>(I6*1)-W6</f>
        <v>-493.5</v>
      </c>
      <c r="AR6" t="e">
        <f t="shared" si="16"/>
        <v>#REF!</v>
      </c>
    </row>
    <row r="7" spans="1:44" x14ac:dyDescent="0.25">
      <c r="A7" s="1">
        <v>43449</v>
      </c>
      <c r="B7">
        <v>3.2</v>
      </c>
      <c r="C7">
        <v>19.399999999999999</v>
      </c>
      <c r="D7">
        <v>0.7</v>
      </c>
      <c r="E7">
        <v>0</v>
      </c>
      <c r="F7">
        <v>28.2</v>
      </c>
      <c r="G7">
        <v>0.5</v>
      </c>
      <c r="H7">
        <v>169</v>
      </c>
      <c r="I7">
        <v>287</v>
      </c>
      <c r="J7">
        <v>17</v>
      </c>
      <c r="K7">
        <v>68</v>
      </c>
      <c r="L7">
        <v>23.5</v>
      </c>
      <c r="M7">
        <v>0</v>
      </c>
      <c r="N7">
        <v>50.5</v>
      </c>
      <c r="P7">
        <v>41</v>
      </c>
      <c r="Q7">
        <v>450</v>
      </c>
      <c r="R7">
        <v>15</v>
      </c>
      <c r="S7">
        <v>0</v>
      </c>
      <c r="T7">
        <v>572</v>
      </c>
      <c r="U7">
        <v>32</v>
      </c>
      <c r="V7">
        <v>181</v>
      </c>
      <c r="W7">
        <v>878</v>
      </c>
      <c r="X7">
        <v>1718</v>
      </c>
      <c r="Y7">
        <v>283</v>
      </c>
      <c r="Z7">
        <v>77</v>
      </c>
      <c r="AA7">
        <v>0</v>
      </c>
      <c r="AB7">
        <v>40</v>
      </c>
      <c r="AC7">
        <f t="shared" si="15"/>
        <v>4287</v>
      </c>
      <c r="AE7" t="e">
        <f>(#REF!*19.5)-K7</f>
        <v>#REF!</v>
      </c>
      <c r="AF7" t="e">
        <f>(#REF!*23)-L7</f>
        <v>#REF!</v>
      </c>
      <c r="AG7" t="e">
        <f>(#REF!*30.5)-M7</f>
        <v>#REF!</v>
      </c>
      <c r="AH7" t="e">
        <f>(#REF!*0)-N7</f>
        <v>#REF!</v>
      </c>
      <c r="AI7">
        <f>(A7*23)-O7</f>
        <v>999327</v>
      </c>
      <c r="AJ7">
        <f>(B7*80)-P7</f>
        <v>215</v>
      </c>
      <c r="AK7">
        <f>(C7*1.4)-Q7</f>
        <v>-422.84000000000003</v>
      </c>
      <c r="AL7">
        <f>(D7*3.7)-R7</f>
        <v>-12.41</v>
      </c>
      <c r="AM7">
        <f>(E7*108)-S7</f>
        <v>0</v>
      </c>
      <c r="AN7">
        <f>(F7*5.5)-T7</f>
        <v>-416.9</v>
      </c>
      <c r="AO7">
        <f t="shared" si="11"/>
        <v>-29.5</v>
      </c>
      <c r="AP7">
        <f>(H7*0)-V7</f>
        <v>-181</v>
      </c>
      <c r="AQ7">
        <f>(I7*1)-W7</f>
        <v>-591</v>
      </c>
      <c r="AR7" t="e">
        <f t="shared" si="16"/>
        <v>#REF!</v>
      </c>
    </row>
    <row r="8" spans="1:44" x14ac:dyDescent="0.25">
      <c r="A8" s="1">
        <v>43450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15"/>
        <v>0</v>
      </c>
      <c r="AE8" t="e">
        <f>(#REF!*19.5)-K8</f>
        <v>#REF!</v>
      </c>
      <c r="AF8" t="e">
        <f>(#REF!*23)-L8</f>
        <v>#REF!</v>
      </c>
      <c r="AG8" t="e">
        <f>(#REF!*30.5)-M8</f>
        <v>#REF!</v>
      </c>
      <c r="AH8" t="e">
        <f>(#REF!*0)-N8</f>
        <v>#REF!</v>
      </c>
      <c r="AI8">
        <f>(A8*23)-O8</f>
        <v>999350</v>
      </c>
      <c r="AJ8">
        <f>(B8*80)-P8</f>
        <v>0</v>
      </c>
      <c r="AK8">
        <f>(C8*1.4)-Q8</f>
        <v>0</v>
      </c>
      <c r="AL8">
        <f>(D8*3.7)-R8</f>
        <v>0</v>
      </c>
      <c r="AM8">
        <f>(E8*108)-S8</f>
        <v>0</v>
      </c>
      <c r="AN8">
        <f>(F8*5.5)-T8</f>
        <v>0</v>
      </c>
      <c r="AO8">
        <f t="shared" si="11"/>
        <v>0</v>
      </c>
      <c r="AP8">
        <f>(H8*0)-V8</f>
        <v>0</v>
      </c>
      <c r="AQ8">
        <f>(I8*1)-W8</f>
        <v>0</v>
      </c>
      <c r="AR8" t="e">
        <f t="shared" si="16"/>
        <v>#REF!</v>
      </c>
    </row>
    <row r="9" spans="1:44" x14ac:dyDescent="0.25">
      <c r="A9" t="s">
        <v>17</v>
      </c>
      <c r="B9">
        <f>SUM(tablaKg542[Acero])</f>
        <v>3.2</v>
      </c>
      <c r="C9">
        <f>SUM(tablaKg542[Aluminio])</f>
        <v>26.799999999999997</v>
      </c>
      <c r="D9">
        <f>SUM(tablaKg542[Antimonio])</f>
        <v>1.6</v>
      </c>
      <c r="E9">
        <f>SUM(tablaKg542[Bateria])</f>
        <v>3</v>
      </c>
      <c r="F9">
        <f>SUM(tablaKg542[Bote])</f>
        <v>114.4</v>
      </c>
      <c r="G9">
        <f>SUM(tablaKg542[Bronce])</f>
        <v>24.5</v>
      </c>
      <c r="H9">
        <f>SUM(tablaKg542[Carton])</f>
        <v>554</v>
      </c>
      <c r="I9">
        <f>SUM(tablaKg542[Chatarra])</f>
        <v>1206</v>
      </c>
      <c r="J9">
        <f>SUM(tablaKg542[Cobre])</f>
        <v>63.9</v>
      </c>
      <c r="K9">
        <f>SUM(tablaKg542[Pet])</f>
        <v>433</v>
      </c>
      <c r="L9">
        <f>SUM(tablaKg542[Plastico])</f>
        <v>108.5</v>
      </c>
      <c r="M9">
        <f>SUM(tablaKg542[Plomo])</f>
        <v>0</v>
      </c>
      <c r="N9">
        <f>SUM(tablaKg542[Vidrio])</f>
        <v>198</v>
      </c>
      <c r="P9">
        <f>SUM(tablaPagado542[Acero])</f>
        <v>41</v>
      </c>
      <c r="Q9">
        <f>SUM(tablaPagado542[Aluminio])</f>
        <v>598</v>
      </c>
      <c r="R9">
        <f>SUM(tablaPagado542[Antimonio])</f>
        <v>33</v>
      </c>
      <c r="S9">
        <f>SUM(tablaPagado542[Bateria])</f>
        <v>216</v>
      </c>
      <c r="T9">
        <f>SUM(tablaPagado542[Bote])</f>
        <v>2310</v>
      </c>
      <c r="U9">
        <f>SUM(tablaPagado542[Bronce])</f>
        <v>1583</v>
      </c>
      <c r="V9">
        <f>SUM(tablaPagado542[Carton])</f>
        <v>627</v>
      </c>
      <c r="W9">
        <f>SUM(tablaPagado542[Chatarra])</f>
        <v>3683</v>
      </c>
      <c r="X9">
        <f>SUM(tablaPagado542[Cobre])</f>
        <v>6394</v>
      </c>
      <c r="Y9">
        <f>SUM(tablaPagado542[Pet])</f>
        <v>1750</v>
      </c>
      <c r="Z9">
        <f>SUM(tablaPagado542[Plastico])</f>
        <v>432</v>
      </c>
      <c r="AA9">
        <f>SUM(tablaPagado542[Plomo])</f>
        <v>0</v>
      </c>
      <c r="AB9">
        <f>SUM(tablaPagado542[Vidrio])</f>
        <v>148</v>
      </c>
      <c r="AC9">
        <f t="shared" si="15"/>
        <v>17815</v>
      </c>
      <c r="AE9" t="e">
        <f>SUM(tablaGanancia542[Acero])</f>
        <v>#REF!</v>
      </c>
      <c r="AF9" t="e">
        <f>SUM(tablaGanancia542[Aluminio])</f>
        <v>#REF!</v>
      </c>
      <c r="AG9" t="e">
        <f>SUM(tablaGanancia542[Antimonio])</f>
        <v>#REF!</v>
      </c>
      <c r="AH9" t="e">
        <f>SUM(tablaGanancia542[Bateria])</f>
        <v>#REF!</v>
      </c>
      <c r="AI9">
        <f>SUM(tablaGanancia542[Bote])</f>
        <v>5995755</v>
      </c>
      <c r="AJ9">
        <f>SUM(tablaGanancia542[Bronce])</f>
        <v>215</v>
      </c>
      <c r="AK9">
        <f>SUM(tablaGanancia542[Carton])</f>
        <v>-560.48</v>
      </c>
      <c r="AL9">
        <f>SUM(tablaGanancia542[Chatarra])</f>
        <v>-27.08</v>
      </c>
      <c r="AM9">
        <f>SUM(tablaGanancia542[Cobre])</f>
        <v>108</v>
      </c>
      <c r="AN9">
        <f>SUM(tablaGanancia542[Pet])</f>
        <v>-1680.7999999999997</v>
      </c>
      <c r="AO9">
        <f>SUM(tablaGanancia542[Plastico])</f>
        <v>-1460.5</v>
      </c>
      <c r="AP9">
        <f>SUM(tablaGanancia542[Plomo])</f>
        <v>-627</v>
      </c>
      <c r="AQ9">
        <f>SUM(tablaGanancia542[Vidrio])</f>
        <v>-2477</v>
      </c>
      <c r="AR9" t="e">
        <f t="shared" si="16"/>
        <v>#REF!</v>
      </c>
    </row>
    <row r="10" spans="1:44" ht="15.75" thickBot="1" x14ac:dyDescent="0.3"/>
    <row r="11" spans="1:44" ht="16.5" thickTop="1" thickBo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4" ht="15.75" thickTop="1" x14ac:dyDescent="0.25"/>
    <row r="13" spans="1:44" x14ac:dyDescent="0.25">
      <c r="A13" s="4" t="s">
        <v>3</v>
      </c>
      <c r="B13" s="4" t="s">
        <v>4</v>
      </c>
      <c r="C13" s="4" t="s">
        <v>5</v>
      </c>
      <c r="D13" s="4" t="s">
        <v>6</v>
      </c>
      <c r="F13" s="4" t="s">
        <v>4</v>
      </c>
      <c r="G13" s="4" t="s">
        <v>5</v>
      </c>
      <c r="H13" s="4" t="s">
        <v>6</v>
      </c>
      <c r="I13" t="s">
        <v>17</v>
      </c>
      <c r="K13" s="4" t="s">
        <v>4</v>
      </c>
      <c r="L13" s="4" t="s">
        <v>5</v>
      </c>
      <c r="M13" s="4" t="s">
        <v>6</v>
      </c>
      <c r="N13" t="s">
        <v>17</v>
      </c>
    </row>
    <row r="14" spans="1:44" x14ac:dyDescent="0.25">
      <c r="A14" s="5">
        <v>43445</v>
      </c>
      <c r="B14" s="6">
        <v>0</v>
      </c>
      <c r="C14" s="6">
        <v>0</v>
      </c>
      <c r="D14" s="6">
        <v>0</v>
      </c>
      <c r="F14" s="6">
        <v>0</v>
      </c>
      <c r="G14" s="6">
        <v>0</v>
      </c>
      <c r="H14" s="6">
        <v>0</v>
      </c>
      <c r="I14" t="e">
        <f t="shared" ref="I14" si="17">SUM(#REF!)</f>
        <v>#REF!</v>
      </c>
      <c r="K14" s="6" t="e">
        <f t="shared" ref="K14" si="18">(#REF!*19.5)-#REF!</f>
        <v>#REF!</v>
      </c>
      <c r="L14" s="6" t="e">
        <f t="shared" ref="L14" si="19">(#REF!*23)-#REF!</f>
        <v>#REF!</v>
      </c>
      <c r="M14" s="6" t="e">
        <f t="shared" ref="M14" si="20">(#REF!*30.5)-#REF!</f>
        <v>#REF!</v>
      </c>
      <c r="N14" t="e">
        <f t="shared" ref="N14" si="21">SUM(A14:M14)</f>
        <v>#REF!</v>
      </c>
    </row>
    <row r="15" spans="1:44" x14ac:dyDescent="0.25">
      <c r="A15" s="1">
        <v>43446</v>
      </c>
      <c r="B15" s="7">
        <v>0</v>
      </c>
      <c r="C15" s="7">
        <v>5.7</v>
      </c>
      <c r="D15" s="7">
        <v>0.9</v>
      </c>
      <c r="F15" s="7">
        <v>0</v>
      </c>
      <c r="G15" s="7">
        <f>186-72</f>
        <v>114</v>
      </c>
      <c r="H15" s="7">
        <v>18</v>
      </c>
      <c r="I15" t="e">
        <f t="shared" ref="I15:I20" si="22">SUM(#REF!)</f>
        <v>#REF!</v>
      </c>
      <c r="K15" s="7" t="e">
        <f>(#REF!*19.5)-#REF!</f>
        <v>#REF!</v>
      </c>
      <c r="L15" s="7" t="e">
        <f>(#REF!*23)-#REF!</f>
        <v>#REF!</v>
      </c>
      <c r="M15" s="7" t="e">
        <f>(#REF!*30.5)-#REF!</f>
        <v>#REF!</v>
      </c>
      <c r="N15" t="e">
        <f t="shared" ref="N15:N20" si="23">SUM(A15:M15)</f>
        <v>#REF!</v>
      </c>
    </row>
    <row r="16" spans="1:44" x14ac:dyDescent="0.25">
      <c r="A16" s="5">
        <v>43447</v>
      </c>
      <c r="B16" s="6">
        <v>0</v>
      </c>
      <c r="C16" s="6">
        <v>1.7</v>
      </c>
      <c r="D16" s="6">
        <v>0</v>
      </c>
      <c r="F16" s="6">
        <v>0</v>
      </c>
      <c r="G16" s="6">
        <v>34</v>
      </c>
      <c r="H16" s="6">
        <v>0</v>
      </c>
      <c r="I16" t="e">
        <f t="shared" ref="I16:I20" si="24">SUM(#REF!)</f>
        <v>#REF!</v>
      </c>
      <c r="K16" s="6" t="e">
        <f>(#REF!*19.5)-#REF!</f>
        <v>#REF!</v>
      </c>
      <c r="L16" s="6" t="e">
        <f>(#REF!*23)-#REF!</f>
        <v>#REF!</v>
      </c>
      <c r="M16" s="6" t="e">
        <f>(#REF!*30.5)-#REF!</f>
        <v>#REF!</v>
      </c>
      <c r="N16" t="e">
        <f t="shared" si="23"/>
        <v>#REF!</v>
      </c>
    </row>
    <row r="17" spans="1:14" x14ac:dyDescent="0.25">
      <c r="A17" s="1">
        <v>43448</v>
      </c>
      <c r="B17" s="7">
        <v>0</v>
      </c>
      <c r="C17" s="7">
        <v>0</v>
      </c>
      <c r="D17" s="7">
        <v>0</v>
      </c>
      <c r="F17" s="7">
        <v>0</v>
      </c>
      <c r="G17" s="7">
        <v>0</v>
      </c>
      <c r="H17" s="7">
        <v>0</v>
      </c>
      <c r="I17" t="e">
        <f t="shared" ref="I17:I20" si="25">SUM(#REF!)</f>
        <v>#REF!</v>
      </c>
      <c r="K17" s="7" t="e">
        <f>(#REF!*19.5)-#REF!</f>
        <v>#REF!</v>
      </c>
      <c r="L17" s="7" t="e">
        <f>(#REF!*23)-#REF!</f>
        <v>#REF!</v>
      </c>
      <c r="M17" s="7" t="e">
        <f>(#REF!*30.5)-#REF!</f>
        <v>#REF!</v>
      </c>
      <c r="N17" t="e">
        <f t="shared" si="23"/>
        <v>#REF!</v>
      </c>
    </row>
    <row r="18" spans="1:14" x14ac:dyDescent="0.25">
      <c r="A18" s="5">
        <v>43449</v>
      </c>
      <c r="B18" s="6">
        <v>3.2</v>
      </c>
      <c r="C18" s="6">
        <v>19.399999999999999</v>
      </c>
      <c r="D18" s="6">
        <v>0.7</v>
      </c>
      <c r="F18" s="6">
        <v>41</v>
      </c>
      <c r="G18" s="6">
        <v>450</v>
      </c>
      <c r="H18" s="6">
        <v>15</v>
      </c>
      <c r="I18" t="e">
        <f t="shared" ref="I18:I20" si="26">SUM(#REF!)</f>
        <v>#REF!</v>
      </c>
      <c r="K18" s="6" t="e">
        <f>(#REF!*19.5)-#REF!</f>
        <v>#REF!</v>
      </c>
      <c r="L18" s="6" t="e">
        <f>(#REF!*23)-#REF!</f>
        <v>#REF!</v>
      </c>
      <c r="M18" s="6" t="e">
        <f>(#REF!*30.5)-#REF!</f>
        <v>#REF!</v>
      </c>
      <c r="N18" t="e">
        <f t="shared" si="23"/>
        <v>#REF!</v>
      </c>
    </row>
    <row r="19" spans="1:14" x14ac:dyDescent="0.25">
      <c r="A19" s="1">
        <v>43450</v>
      </c>
      <c r="B19" s="7">
        <v>0</v>
      </c>
      <c r="C19" s="7">
        <v>0</v>
      </c>
      <c r="D19" s="7">
        <v>0</v>
      </c>
      <c r="F19" s="7">
        <v>0</v>
      </c>
      <c r="G19" s="7">
        <v>0</v>
      </c>
      <c r="H19" s="7">
        <v>0</v>
      </c>
      <c r="I19" t="e">
        <f t="shared" ref="I19:I20" si="27">SUM(#REF!)</f>
        <v>#REF!</v>
      </c>
      <c r="K19" s="7" t="e">
        <f>(#REF!*19.5)-#REF!</f>
        <v>#REF!</v>
      </c>
      <c r="L19" s="7" t="e">
        <f>(#REF!*23)-#REF!</f>
        <v>#REF!</v>
      </c>
      <c r="M19" s="7" t="e">
        <f>(#REF!*30.5)-#REF!</f>
        <v>#REF!</v>
      </c>
      <c r="N19" t="e">
        <f t="shared" si="23"/>
        <v>#REF!</v>
      </c>
    </row>
    <row r="20" spans="1:14" x14ac:dyDescent="0.25">
      <c r="A20" s="4" t="s">
        <v>17</v>
      </c>
      <c r="B20" s="4">
        <f>SUM(tablaKg542[Acero])</f>
        <v>3.2</v>
      </c>
      <c r="C20" s="4">
        <f>SUM(tablaKg542[Aluminio])</f>
        <v>26.799999999999997</v>
      </c>
      <c r="D20" s="4">
        <f>SUM(tablaKg542[Antimonio])</f>
        <v>1.6</v>
      </c>
      <c r="F20" s="4">
        <f>SUM(tablaPagado542[Acero])</f>
        <v>41</v>
      </c>
      <c r="G20" s="4">
        <f>SUM(tablaPagado542[Aluminio])</f>
        <v>598</v>
      </c>
      <c r="H20" s="4">
        <f>SUM(tablaPagado542[Antimonio])</f>
        <v>33</v>
      </c>
      <c r="I20" t="e">
        <f t="shared" ref="I20" si="28">SUM(#REF!)</f>
        <v>#REF!</v>
      </c>
      <c r="K20" s="4" t="e">
        <f>SUM(tablaGanancia542[Acero])</f>
        <v>#REF!</v>
      </c>
      <c r="L20" s="4" t="e">
        <f>SUM(tablaGanancia542[Aluminio])</f>
        <v>#REF!</v>
      </c>
      <c r="M20" s="4" t="e">
        <f>SUM(tablaGanancia542[Antimonio])</f>
        <v>#REF!</v>
      </c>
      <c r="N20" t="e">
        <f t="shared" si="23"/>
        <v>#REF!</v>
      </c>
    </row>
  </sheetData>
  <mergeCells count="3">
    <mergeCell ref="A1:N1"/>
    <mergeCell ref="P1:AC1"/>
    <mergeCell ref="AE1:AR1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Gonzalez Hernandez</dc:creator>
  <cp:lastModifiedBy>Edmundo Gonzalez Hernandez</cp:lastModifiedBy>
  <dcterms:created xsi:type="dcterms:W3CDTF">2018-12-18T21:44:55Z</dcterms:created>
  <dcterms:modified xsi:type="dcterms:W3CDTF">2018-12-19T02:11:31Z</dcterms:modified>
</cp:coreProperties>
</file>