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omptonbicycleuk-my.sharepoint.com/personal/joel_santos_brompton_co_uk/Documents/Desktop/Gruffalo_Dimmer/"/>
    </mc:Choice>
  </mc:AlternateContent>
  <xr:revisionPtr revIDLastSave="42" documentId="11_2E6A92ACEA4E79BBCD93479042BE4CDFFB151541" xr6:coauthVersionLast="47" xr6:coauthVersionMax="47" xr10:uidLastSave="{5A8EA50F-80B3-4939-9F76-105675FF7F83}"/>
  <bookViews>
    <workbookView xWindow="-120" yWindow="-120" windowWidth="29040" windowHeight="16440" xr2:uid="{00000000-000D-0000-FFFF-FFFF00000000}"/>
  </bookViews>
  <sheets>
    <sheet name="KiCost" sheetId="1" r:id="rId1"/>
  </sheets>
  <definedNames>
    <definedName name="BoardQty" localSheetId="0">KiCost!$J$1</definedName>
    <definedName name="PURCHASE_DESCRIPTION" localSheetId="0">KiCost!$J$22</definedName>
    <definedName name="TotalCost" localSheetId="0">KiCost!$J$3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/>
  <c r="L19" i="1" s="1"/>
  <c r="F18" i="1"/>
  <c r="L18" i="1" s="1"/>
  <c r="F17" i="1"/>
  <c r="L17" i="1" s="1"/>
  <c r="F16" i="1"/>
  <c r="F15" i="1"/>
  <c r="L15" i="1" s="1"/>
  <c r="F14" i="1"/>
  <c r="L14" i="1" s="1"/>
  <c r="F13" i="1"/>
  <c r="F12" i="1"/>
  <c r="F11" i="1"/>
  <c r="F10" i="1"/>
  <c r="L10" i="1" s="1"/>
  <c r="F9" i="1"/>
  <c r="L9" i="1" s="1"/>
  <c r="F8" i="1"/>
  <c r="L8" i="1" s="1"/>
  <c r="F7" i="1"/>
  <c r="L16" i="1" l="1"/>
  <c r="M16" i="1" s="1"/>
  <c r="M9" i="1"/>
  <c r="I9" i="1" s="1"/>
  <c r="J9" i="1" s="1"/>
  <c r="L13" i="1"/>
  <c r="M13" i="1" s="1"/>
  <c r="L11" i="1"/>
  <c r="M11" i="1" s="1"/>
  <c r="M8" i="1"/>
  <c r="I8" i="1" s="1"/>
  <c r="J8" i="1" s="1"/>
  <c r="L7" i="1"/>
  <c r="L12" i="1"/>
  <c r="M12" i="1" s="1"/>
  <c r="I12" i="1" s="1"/>
  <c r="J12" i="1" s="1"/>
  <c r="M17" i="1"/>
  <c r="O17" i="1" s="1"/>
  <c r="M18" i="1"/>
  <c r="O18" i="1" s="1"/>
  <c r="M19" i="1"/>
  <c r="O19" i="1" s="1"/>
  <c r="M14" i="1"/>
  <c r="I14" i="1" s="1"/>
  <c r="J14" i="1" s="1"/>
  <c r="M10" i="1"/>
  <c r="I10" i="1" s="1"/>
  <c r="J10" i="1" s="1"/>
  <c r="M15" i="1"/>
  <c r="I19" i="1" l="1"/>
  <c r="J19" i="1" s="1"/>
  <c r="I17" i="1"/>
  <c r="J17" i="1" s="1"/>
  <c r="I11" i="1"/>
  <c r="J11" i="1" s="1"/>
  <c r="O11" i="1"/>
  <c r="I13" i="1"/>
  <c r="J13" i="1" s="1"/>
  <c r="O13" i="1"/>
  <c r="I16" i="1"/>
  <c r="J16" i="1" s="1"/>
  <c r="O16" i="1"/>
  <c r="L37" i="1" a="1"/>
  <c r="L21" i="1"/>
  <c r="O12" i="1"/>
  <c r="M7" i="1"/>
  <c r="O8" i="1"/>
  <c r="I18" i="1"/>
  <c r="J18" i="1" s="1"/>
  <c r="O9" i="1"/>
  <c r="O14" i="1"/>
  <c r="O10" i="1"/>
  <c r="O15" i="1"/>
  <c r="I15" i="1"/>
  <c r="J15" i="1" s="1"/>
  <c r="L47" i="1" l="1"/>
  <c r="L46" i="1"/>
  <c r="L45" i="1"/>
  <c r="L50" i="1"/>
  <c r="L39" i="1"/>
  <c r="L48" i="1"/>
  <c r="L44" i="1"/>
  <c r="L42" i="1"/>
  <c r="L49" i="1"/>
  <c r="L43" i="1"/>
  <c r="L37" i="1"/>
  <c r="L40" i="1"/>
  <c r="L41" i="1"/>
  <c r="L38" i="1"/>
  <c r="O21" i="1"/>
  <c r="J21" i="1" s="1"/>
  <c r="O7" i="1"/>
  <c r="O3" i="1" s="1"/>
  <c r="I7" i="1"/>
  <c r="J7" i="1" s="1"/>
  <c r="J3" i="1" s="1"/>
  <c r="J2" i="1" s="1"/>
  <c r="P3" i="1" l="1"/>
  <c r="L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3" authorId="0" shapeId="0" xr:uid="{00000000-0006-0000-0000-000001000000}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P3" authorId="0" shapeId="0" xr:uid="{00000000-0006-0000-0000-000002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 shapeId="0" xr:uid="{00000000-0006-0000-0000-000003000000}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 shapeId="0" xr:uid="{00000000-0006-0000-0000-000004000000}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 shapeId="0" xr:uid="{00000000-0006-0000-0000-000005000000}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 shapeId="0" xr:uid="{00000000-0006-0000-0000-000006000000}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E6" authorId="0" shapeId="0" xr:uid="{00000000-0006-0000-0000-000007000000}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6" authorId="0" shapeId="0" xr:uid="{00000000-0006-0000-0000-000008000000}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I6" authorId="0" shapeId="0" xr:uid="{00000000-0006-0000-0000-000009000000}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 shapeId="0" xr:uid="{00000000-0006-0000-0000-00000A000000}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 shapeId="0" xr:uid="{00000000-0006-0000-0000-00000B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L6" authorId="0" shapeId="0" xr:uid="{00000000-0006-0000-0000-00000C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M6" authorId="0" shapeId="0" xr:uid="{00000000-0006-0000-0000-00000D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N6" authorId="0" shapeId="0" xr:uid="{00000000-0006-0000-0000-00000E000000}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O6" authorId="0" shapeId="0" xr:uid="{00000000-0006-0000-0000-00000F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P6" authorId="0" shapeId="0" xr:uid="{00000000-0006-0000-0000-000010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7" authorId="0" shapeId="0" xr:uid="{00000000-0006-0000-0000-000011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$2.92      $2.92
    50   $2.50    $124.75</t>
        </r>
      </text>
    </comment>
    <comment ref="P7" authorId="0" shapeId="0" xr:uid="{00000000-0006-0000-0000-000012000000}">
      <text>
        <r>
          <rPr>
            <sz val="8"/>
            <color indexed="81"/>
            <rFont val="Tahoma"/>
            <family val="2"/>
          </rPr>
          <t>Desc: CAP ALUM 1000UF 20% 50V SMD
Footprint: Radial, Can - SMD
Size: 0.630" Dia (16.00mm)
Tolerance: ±20%
Value: 1000 µF 
Voltage: 50 V</t>
        </r>
      </text>
    </comment>
    <comment ref="M8" authorId="0" shapeId="0" xr:uid="{00000000-0006-0000-0000-000013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$0.13      $1.33
    50   $0.08      $3.78
   100   $0.06      $6.26
   500   $0.04     $21.95
  1000   $0.04     $36.34</t>
        </r>
      </text>
    </comment>
    <comment ref="P8" authorId="0" shapeId="0" xr:uid="{00000000-0006-0000-0000-000014000000}">
      <text>
        <r>
          <rPr>
            <sz val="8"/>
            <color indexed="81"/>
            <rFont val="Tahoma"/>
            <family val="2"/>
          </rPr>
          <t>Desc: CAP CER 0.33UF 50V X7R 0805
Footprint: 0805 (2012 Metric)
Size: 0.079" L x 0.049" W (2.00mm x 1.25mm)
Temp_coeff: X7R
Tolerance: ±10%
Value: 0.33 µF 
Voltage: 50V</t>
        </r>
      </text>
    </comment>
    <comment ref="M9" authorId="0" shapeId="0" xr:uid="{00000000-0006-0000-0000-000015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$0.19
    50   $0.01      $0.51
   100   $0.01      $0.83
   500   $0.01      $2.97
  1000   $0.00      $4.67</t>
        </r>
      </text>
    </comment>
    <comment ref="P9" authorId="0" shapeId="0" xr:uid="{00000000-0006-0000-0000-000016000000}">
      <text>
        <r>
          <rPr>
            <sz val="8"/>
            <color indexed="81"/>
            <rFont val="Tahoma"/>
            <family val="2"/>
          </rPr>
          <t>Desc: CAP CER 0.1UF 50V X7R 0603
Footprint: 0603 (1608 Metric)
Size: 0.063" L x 0.031" W (1.60mm x 0.80mm)
Temp_coeff: X7R
Tolerance: ±10%
Value: 0.1 µF 
Voltage: 50V</t>
        </r>
      </text>
    </comment>
    <comment ref="M10" authorId="0" shapeId="0" xr:uid="{00000000-0006-0000-0000-000017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$0.25
    50   $0.01      $0.67
   100   $0.01      $1.10
   500   $0.01      $3.92
  1000   $0.01      $6.17</t>
        </r>
      </text>
    </comment>
    <comment ref="P10" authorId="0" shapeId="0" xr:uid="{00000000-0006-0000-0000-000018000000}">
      <text>
        <r>
          <rPr>
            <sz val="8"/>
            <color indexed="81"/>
            <rFont val="Tahoma"/>
            <family val="2"/>
          </rPr>
          <t>Desc: CAP CER 10000PF 50V X7R 0603
Footprint: 0603 (1608 Metric)
Size: 0.063" L x 0.031" W (1.60mm x 0.80mm)
Temp_coeff: X7R
Tolerance: ±10%
Value: 10000 pF 
Voltage: 50V</t>
        </r>
      </text>
    </comment>
    <comment ref="M11" authorId="0" shapeId="0" xr:uid="{00000000-0006-0000-0000-000019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10   $0.22      $2.20
   100   $0.11     $10.75
   500   $0.09     $44.85
  1000   $0.06     $62.33</t>
        </r>
      </text>
    </comment>
    <comment ref="P11" authorId="0" shapeId="0" xr:uid="{00000000-0006-0000-0000-00001A000000}">
      <text>
        <r>
          <rPr>
            <sz val="8"/>
            <color indexed="81"/>
            <rFont val="Tahoma"/>
            <family val="2"/>
          </rPr>
          <t>Desc: DIODE SCHOTTKY 30V 800MA USC
Footprint: SC-76, SOD-323</t>
        </r>
      </text>
    </comment>
    <comment ref="M12" authorId="0" shapeId="0" xr:uid="{00000000-0006-0000-0000-00001D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$0.93      $0.93
    10   $0.77      $7.73
   100   $0.64     $64.38</t>
        </r>
      </text>
    </comment>
    <comment ref="P12" authorId="0" shapeId="0" xr:uid="{00000000-0006-0000-0000-00001E000000}">
      <text>
        <r>
          <rPr>
            <sz val="8"/>
            <color indexed="81"/>
            <rFont val="Tahoma"/>
            <family val="2"/>
          </rPr>
          <t>Desc: CONN HEADER SMD R/A 8POS 1.25MM</t>
        </r>
      </text>
    </comment>
    <comment ref="M13" authorId="0" shapeId="0" xr:uid="{00000000-0006-0000-0000-00001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$0.29      $2.86
   100   $0.21     $20.95
  1000   $0.17    $166.68
  2500   $0.15    $380.97</t>
        </r>
      </text>
    </comment>
    <comment ref="P13" authorId="0" shapeId="0" xr:uid="{00000000-0006-0000-0000-000020000000}">
      <text>
        <r>
          <rPr>
            <sz val="8"/>
            <color indexed="81"/>
            <rFont val="Tahoma"/>
            <family val="2"/>
          </rPr>
          <t>Desc: CONN RCPT HSG 8POS 1.25MM</t>
        </r>
      </text>
    </comment>
    <comment ref="M14" authorId="0" shapeId="0" xr:uid="{00000000-0006-0000-0000-000021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$0.40
   100   $0.03      $2.85
  1000   $0.02     $23.97
  2500   $0.02     $54.20</t>
        </r>
      </text>
    </comment>
    <comment ref="P14" authorId="0" shapeId="0" xr:uid="{00000000-0006-0000-0000-000022000000}">
      <text>
        <r>
          <rPr>
            <sz val="8"/>
            <color indexed="81"/>
            <rFont val="Tahoma"/>
            <family val="2"/>
          </rPr>
          <t>Desc: CONN SOCKET 26-28AWG CRIMP TIN</t>
        </r>
      </text>
    </comment>
    <comment ref="K15" authorId="0" shapeId="0" xr:uid="{00000000-0006-0000-0000-000023000000}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M15" authorId="0" shapeId="0" xr:uid="{00000000-0006-0000-0000-000024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$0.15      $1.48
   100   $0.07      $7.24
   500   $0.06     $30.21
  1000   $0.04     $41.98</t>
        </r>
      </text>
    </comment>
    <comment ref="P15" authorId="0" shapeId="0" xr:uid="{00000000-0006-0000-0000-000025000000}">
      <text>
        <r>
          <rPr>
            <sz val="8"/>
            <color indexed="81"/>
            <rFont val="Tahoma"/>
            <family val="2"/>
          </rPr>
          <t>Desc: MOSFET N-CH 60V 380MA SOT23-3
Footprint: TO-236-3, SC-59, SOT-23-3</t>
        </r>
      </text>
    </comment>
    <comment ref="M16" authorId="0" shapeId="0" xr:uid="{00000000-0006-0000-0000-000026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$0.22
    50   $0.01      $0.68
   100   $0.01      $1.14
   500   $0.01      $3.89
  1000   $0.01      $6.71</t>
        </r>
      </text>
    </comment>
    <comment ref="P16" authorId="0" shapeId="0" xr:uid="{00000000-0006-0000-0000-000027000000}">
      <text>
        <r>
          <rPr>
            <sz val="8"/>
            <color indexed="81"/>
            <rFont val="Tahoma"/>
            <family val="2"/>
          </rPr>
          <t xml:space="preserve">Desc: RES 10K OHM 5% 1/8W 0805
Footprint: 0805 (2012 Metric)
Power: 0.125W, 1/8W
Size: 0.079" L x 0.049" W (2.00mm x 1.25mm)
Temp_coeff: ±100ppm/°C
Tolerance: ±5%
Value: 10 kOhms </t>
        </r>
      </text>
    </comment>
    <comment ref="M17" authorId="0" shapeId="0" xr:uid="{00000000-0006-0000-0000-000028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$2.12      $2.12
     5   $1.92      $9.59
    10   $1.79     $17.92
    25   $1.64     $41.06
    75   $1.53    $114.92
   150   $1.44    $216.29
   300   $1.32    $396.03
   450   $1.24    $556.92
   975   $1.16  $1,130.05</t>
        </r>
      </text>
    </comment>
    <comment ref="P17" authorId="0" shapeId="0" xr:uid="{00000000-0006-0000-0000-000029000000}">
      <text>
        <r>
          <rPr>
            <sz val="8"/>
            <color indexed="81"/>
            <rFont val="Tahoma"/>
            <family val="2"/>
          </rPr>
          <t>Desc: ROTARY ENCODER MECHANICAL 18PPR</t>
        </r>
      </text>
    </comment>
    <comment ref="M18" authorId="0" shapeId="0" xr:uid="{00000000-0006-0000-0000-00002A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$8.97      $8.97
    10   $8.22     $82.21
    25   $7.47    $186.85
   100   $6.73    $672.66
   250   $6.17  $1,541.51
   500   $5.61  $2,802.75</t>
        </r>
      </text>
    </comment>
    <comment ref="P18" authorId="0" shapeId="0" xr:uid="{00000000-0006-0000-0000-00002B000000}">
      <text>
        <r>
          <rPr>
            <sz val="8"/>
            <color indexed="81"/>
            <rFont val="Tahoma"/>
            <family val="2"/>
          </rPr>
          <t>Desc: RF TXRX MODULE BT CHIP SMD
Footprint: 31-SMD Module
Frequency: 2.4GHz ~ 2.4835GHz</t>
        </r>
      </text>
    </comment>
    <comment ref="M19" authorId="0" shapeId="0" xr:uid="{00000000-0006-0000-0000-00002C000000}">
      <text>
        <r>
          <rPr>
            <sz val="8"/>
            <color indexed="81"/>
            <rFont val="Tahoma"/>
            <family val="2"/>
          </rPr>
          <t>Qty/Price Breaks (USD):
  Qty  -  Unit$  -  Ext$
================
  2500   $0.11    $277.50</t>
        </r>
      </text>
    </comment>
    <comment ref="P19" authorId="0" shapeId="0" xr:uid="{00000000-0006-0000-0000-00002D000000}">
      <text>
        <r>
          <rPr>
            <sz val="8"/>
            <color indexed="81"/>
            <rFont val="Tahoma"/>
            <family val="2"/>
          </rPr>
          <t>Desc: Positive voltage regulators</t>
        </r>
      </text>
    </comment>
    <comment ref="I21" authorId="0" shapeId="0" xr:uid="{00000000-0006-0000-0000-00002E000000}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L21" authorId="0" shapeId="0" xr:uid="{00000000-0006-0000-0000-00002F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I22" authorId="0" shapeId="0" xr:uid="{00000000-0006-0000-0000-000030000000}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<sst xmlns="http://schemas.openxmlformats.org/spreadsheetml/2006/main" count="107" uniqueCount="99">
  <si>
    <t>Global Part Info</t>
  </si>
  <si>
    <t>Refs</t>
  </si>
  <si>
    <t>Value</t>
  </si>
  <si>
    <t>Footprint</t>
  </si>
  <si>
    <t>Manf</t>
  </si>
  <si>
    <t>Manf#</t>
  </si>
  <si>
    <t>Qty</t>
  </si>
  <si>
    <t>Unit$</t>
  </si>
  <si>
    <t>Ext$</t>
  </si>
  <si>
    <t>C1</t>
  </si>
  <si>
    <t>1000μF</t>
  </si>
  <si>
    <t>Electrolytic Cap - ⌀16mm, h17mm - SMD - Handsolder</t>
  </si>
  <si>
    <t>Wurth Electronic</t>
  </si>
  <si>
    <t>865080663020</t>
  </si>
  <si>
    <t>C2</t>
  </si>
  <si>
    <t>330nF</t>
  </si>
  <si>
    <t>0805-C_Handsolder</t>
  </si>
  <si>
    <t>Samsung</t>
  </si>
  <si>
    <t>3369310</t>
  </si>
  <si>
    <t>C3</t>
  </si>
  <si>
    <t>100nF</t>
  </si>
  <si>
    <t>0603-1.6x0.8mm-C_Handsolder</t>
  </si>
  <si>
    <t>CL10B104KB8NNWC</t>
  </si>
  <si>
    <t>C4-C7</t>
  </si>
  <si>
    <t>10nF</t>
  </si>
  <si>
    <t>CL10B103KB8NNNC</t>
  </si>
  <si>
    <t>D1#1</t>
  </si>
  <si>
    <t>CUS08F30,H3F - p1/2</t>
  </si>
  <si>
    <t>D_SOD-323_HandSoldering</t>
  </si>
  <si>
    <t>Toshiba</t>
  </si>
  <si>
    <t>CUS08F30</t>
  </si>
  <si>
    <t>J1</t>
  </si>
  <si>
    <t>Molex PicoBlade 53261-0871 1x08</t>
  </si>
  <si>
    <t>Receptacle - Molex PicoBlade - SMD Right Angle 1x08</t>
  </si>
  <si>
    <t>Molex</t>
  </si>
  <si>
    <t>532610871</t>
  </si>
  <si>
    <t>J2</t>
  </si>
  <si>
    <t>PicoBlade_510210800_1x08</t>
  </si>
  <si>
    <t>0510210800</t>
  </si>
  <si>
    <t>M1-M8</t>
  </si>
  <si>
    <t>500798001</t>
  </si>
  <si>
    <t>0500798000</t>
  </si>
  <si>
    <t>Q1-Q3</t>
  </si>
  <si>
    <t>2N7002K-7</t>
  </si>
  <si>
    <t>SOT-23 - NMOS - GDS</t>
  </si>
  <si>
    <t>Diodes Inc.</t>
  </si>
  <si>
    <t>R1-R10</t>
  </si>
  <si>
    <t>10kΩ</t>
  </si>
  <si>
    <t>0805-R_Handsolder</t>
  </si>
  <si>
    <t>Yageo</t>
  </si>
  <si>
    <t>RC0805JR-0710KL</t>
  </si>
  <si>
    <t>SW1,SW2</t>
  </si>
  <si>
    <t>N/A</t>
  </si>
  <si>
    <t>Rotary Encoder - PEC11R - ∅11mm</t>
  </si>
  <si>
    <t>Bourns</t>
  </si>
  <si>
    <t>PEC11R-4115F-S0018</t>
  </si>
  <si>
    <t>U1</t>
  </si>
  <si>
    <t>BGM220P</t>
  </si>
  <si>
    <t>BGM220P_Header_SMD</t>
  </si>
  <si>
    <t>Silabs</t>
  </si>
  <si>
    <t>BGM220PC22WGA</t>
  </si>
  <si>
    <t>U2</t>
  </si>
  <si>
    <t>L78L33A</t>
  </si>
  <si>
    <t>SO-8 - 6x4.9mm p1.27mm - L78L33A - ST</t>
  </si>
  <si>
    <t>ST</t>
  </si>
  <si>
    <t>L78L33ACD13TR</t>
  </si>
  <si>
    <t>Digi-Key</t>
  </si>
  <si>
    <t>Avail</t>
  </si>
  <si>
    <t>Purch</t>
  </si>
  <si>
    <t>MOQ</t>
  </si>
  <si>
    <t>Cat#</t>
  </si>
  <si>
    <t>732-8465-1-ND</t>
  </si>
  <si>
    <t>311-1888-1-ND</t>
  </si>
  <si>
    <t>1276-1935-1-ND</t>
  </si>
  <si>
    <t>1276-1009-1-ND</t>
  </si>
  <si>
    <t>CUS08F30H3FCT-ND</t>
  </si>
  <si>
    <t>WM7626CT-ND</t>
  </si>
  <si>
    <t>WM1726-ND</t>
  </si>
  <si>
    <t>WM1142CT-ND</t>
  </si>
  <si>
    <t>2N7002K-7DICT-ND</t>
  </si>
  <si>
    <t>NonStk</t>
  </si>
  <si>
    <t>311-10KARCT-ND</t>
  </si>
  <si>
    <t>PEC11R-4115F-S0018-ND</t>
  </si>
  <si>
    <t>336-BGM220PC22WGA2RCT-ND</t>
  </si>
  <si>
    <t>5060-L78L33ACD13TR-ND</t>
  </si>
  <si>
    <t>Buy here</t>
  </si>
  <si>
    <t>Total Purchase:</t>
  </si>
  <si>
    <t>Purchase description:</t>
  </si>
  <si>
    <t>Prj:</t>
  </si>
  <si>
    <t>Gruffalo Dimmer</t>
  </si>
  <si>
    <t>Co.:</t>
  </si>
  <si>
    <t>Prj date:</t>
  </si>
  <si>
    <t>10/11/2023 17:34:35</t>
  </si>
  <si>
    <t>Board Qty:</t>
  </si>
  <si>
    <t>Total Cost:</t>
  </si>
  <si>
    <t>Unit Cost:</t>
  </si>
  <si>
    <t>$ date:</t>
  </si>
  <si>
    <t>2023-11-10 17:35:06</t>
  </si>
  <si>
    <t>KiCost® v1.1.18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</si>
</sst>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\$#,##0.000"/>
  </numFmts>
  <fonts count="1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1" fillId="4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1" applyAlignment="1" applyProtection="1"/>
    <xf numFmtId="0" fontId="0" fillId="0" borderId="0" xfId="0" applyAlignment="1">
      <alignment horizontal="right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/>
    <xf numFmtId="0" fontId="11" fillId="4" borderId="0" xfId="2" applyAlignment="1">
      <alignment vertical="center" wrapText="1"/>
    </xf>
  </cellXfs>
  <cellStyles count="3">
    <cellStyle name="Good" xfId="2" builtinId="26"/>
    <cellStyle name="Hyperlink" xfId="1" builtinId="8"/>
    <cellStyle name="Normal" xfId="0" builtinId="0"/>
  </cellStyles>
  <dxfs count="2"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toshiba-semiconductor-and-storage/CUS08F30-H3F/5114298" TargetMode="External"/><Relationship Id="rId13" Type="http://schemas.openxmlformats.org/officeDocument/2006/relationships/hyperlink" Target="https://www.molex.com/content/dam/molex/molex-dot-com/products/automated/en-us/salesdrawingpdf/500/50079/500798001_sd.pdf?inline" TargetMode="External"/><Relationship Id="rId18" Type="http://schemas.openxmlformats.org/officeDocument/2006/relationships/hyperlink" Target="https://www.bourns.com/docs/product-datasheets/pec11r.pdf?sfvrsn=bb617cbf_12" TargetMode="External"/><Relationship Id="rId26" Type="http://schemas.openxmlformats.org/officeDocument/2006/relationships/comments" Target="../comments1.xml"/><Relationship Id="rId3" Type="http://schemas.openxmlformats.org/officeDocument/2006/relationships/hyperlink" Target="https://product.samsungsem.com/mlcc/CL10B334KO8NNN.do" TargetMode="External"/><Relationship Id="rId21" Type="http://schemas.openxmlformats.org/officeDocument/2006/relationships/hyperlink" Target="https://www.digikey.com/en/products/detail/silicon-labs/BGM220PC22WGA2R/12317146" TargetMode="External"/><Relationship Id="rId7" Type="http://schemas.openxmlformats.org/officeDocument/2006/relationships/hyperlink" Target="https://toshiba.semicon-storage.com/info/CUS08F30_datasheet_en_20140414.pdf?did=9019&amp;prodName=CUS08F30" TargetMode="External"/><Relationship Id="rId12" Type="http://schemas.openxmlformats.org/officeDocument/2006/relationships/hyperlink" Target="https://www.digikey.com/en/products/detail/molex/0510210800/242848" TargetMode="External"/><Relationship Id="rId17" Type="http://schemas.openxmlformats.org/officeDocument/2006/relationships/hyperlink" Target="https://www.digikey.com/en/products/detail/yageo/RC0805JR-0710KL/728241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s://www.digikey.com/en/products/detail/w&#252;rth-elektronik/865080663020/5728060" TargetMode="External"/><Relationship Id="rId16" Type="http://schemas.openxmlformats.org/officeDocument/2006/relationships/hyperlink" Target="https://www.digikey.com/en/products/detail/diodes-incorporated/2N7002K-7/1934378" TargetMode="External"/><Relationship Id="rId20" Type="http://schemas.openxmlformats.org/officeDocument/2006/relationships/hyperlink" Target="https://www.silabs.com/documents/public/data-sheets/bgm220p-datasheet.pdf" TargetMode="External"/><Relationship Id="rId1" Type="http://schemas.openxmlformats.org/officeDocument/2006/relationships/hyperlink" Target="https://www.we-online.com/components/products/datasheet/865080663020.pdf" TargetMode="External"/><Relationship Id="rId6" Type="http://schemas.openxmlformats.org/officeDocument/2006/relationships/hyperlink" Target="https://www.digikey.com/en/products/detail/samsung-electro-mechanics/CL10B103KB8NNNC/3886667" TargetMode="External"/><Relationship Id="rId11" Type="http://schemas.openxmlformats.org/officeDocument/2006/relationships/hyperlink" Target="https://www.molex.com/content/dam/molex/molex-dot-com/products/automated/en-us/salesdrawingpdf/510/51021/510210800_sd.pdf?inline" TargetMode="External"/><Relationship Id="rId24" Type="http://schemas.openxmlformats.org/officeDocument/2006/relationships/hyperlink" Target="https://www.digikey.com/ordering/shoppingcart" TargetMode="External"/><Relationship Id="rId5" Type="http://schemas.openxmlformats.org/officeDocument/2006/relationships/hyperlink" Target="https://www.digikey.com/en/products/detail/samsung-electro-mechanics/CL10B104KB8NNWC/3887593" TargetMode="External"/><Relationship Id="rId15" Type="http://schemas.openxmlformats.org/officeDocument/2006/relationships/hyperlink" Target="https://www.diodes.com/assets/Datasheets/2N7002K.pdf" TargetMode="External"/><Relationship Id="rId23" Type="http://schemas.openxmlformats.org/officeDocument/2006/relationships/hyperlink" Target="https://www.digikey.com/en/products/detail/maxvision/L78L33ACD13TR/19199901" TargetMode="External"/><Relationship Id="rId10" Type="http://schemas.openxmlformats.org/officeDocument/2006/relationships/hyperlink" Target="https://www.digikey.com/en/products/detail/molex/0532610871/699100" TargetMode="External"/><Relationship Id="rId19" Type="http://schemas.openxmlformats.org/officeDocument/2006/relationships/hyperlink" Target="https://www.digikey.com/en/products/detail/bourns-inc/PEC11R-4115F-S0018/4499666" TargetMode="External"/><Relationship Id="rId4" Type="http://schemas.openxmlformats.org/officeDocument/2006/relationships/hyperlink" Target="https://www.digikey.com/en/products/detail/yageo/CC0805KKX7R9BB334/5195294" TargetMode="External"/><Relationship Id="rId9" Type="http://schemas.openxmlformats.org/officeDocument/2006/relationships/hyperlink" Target="https://www.molex.com/molex/products/part-detail/pcb_headers/0532610871" TargetMode="External"/><Relationship Id="rId14" Type="http://schemas.openxmlformats.org/officeDocument/2006/relationships/hyperlink" Target="https://www.digikey.com/en/products/detail/molex/0500798000/467822" TargetMode="External"/><Relationship Id="rId22" Type="http://schemas.openxmlformats.org/officeDocument/2006/relationships/hyperlink" Target="https://www.st.com/resource/en/datasheet/l78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workbookViewId="0">
      <pane xSplit="10" ySplit="6" topLeftCell="K7" activePane="bottomRight" state="frozen"/>
      <selection pane="topRight" activeCell="I1" sqref="I1"/>
      <selection pane="bottomLeft" activeCell="A7" sqref="A7"/>
      <selection pane="bottomRight" activeCell="B19" sqref="B19"/>
    </sheetView>
  </sheetViews>
  <sheetFormatPr defaultRowHeight="15" outlineLevelCol="3" x14ac:dyDescent="0.25"/>
  <cols>
    <col min="1" max="1" width="8.7109375" customWidth="1"/>
    <col min="2" max="2" width="32.7109375" customWidth="1"/>
    <col min="3" max="3" width="33.7109375" customWidth="1" outlineLevel="2"/>
    <col min="4" max="4" width="17.7109375" customWidth="1" outlineLevel="1"/>
    <col min="5" max="5" width="19.7109375" customWidth="1" outlineLevel="1"/>
    <col min="6" max="8" width="9.140625" outlineLevel="1"/>
    <col min="9" max="9" width="22.7109375" customWidth="1"/>
    <col min="10" max="10" width="16.7109375" customWidth="1"/>
    <col min="11" max="11" width="9.7109375" customWidth="1" outlineLevel="1"/>
    <col min="12" max="12" width="9.140625" outlineLevel="2"/>
    <col min="13" max="13" width="10.7109375" customWidth="1" outlineLevel="2"/>
    <col min="14" max="14" width="0" hidden="1" customWidth="1" outlineLevel="3" collapsed="1"/>
    <col min="15" max="15" width="16.7109375" customWidth="1"/>
    <col min="16" max="16" width="25.7109375" customWidth="1" outlineLevel="2"/>
  </cols>
  <sheetData>
    <row r="1" spans="1:16" ht="17.25" x14ac:dyDescent="0.3">
      <c r="A1" s="1" t="s">
        <v>88</v>
      </c>
      <c r="B1" s="2" t="s">
        <v>89</v>
      </c>
      <c r="I1" s="3" t="s">
        <v>93</v>
      </c>
      <c r="J1" s="3">
        <v>2</v>
      </c>
    </row>
    <row r="2" spans="1:16" ht="17.25" x14ac:dyDescent="0.25">
      <c r="A2" s="1" t="s">
        <v>90</v>
      </c>
      <c r="B2" s="2"/>
      <c r="I2" s="1" t="s">
        <v>95</v>
      </c>
      <c r="J2" s="4">
        <f>TotalCost/BoardQty</f>
        <v>10.25</v>
      </c>
    </row>
    <row r="3" spans="1:16" ht="17.25" x14ac:dyDescent="0.25">
      <c r="A3" s="1" t="s">
        <v>91</v>
      </c>
      <c r="B3" s="2" t="s">
        <v>92</v>
      </c>
      <c r="I3" s="1" t="s">
        <v>94</v>
      </c>
      <c r="J3" s="5">
        <f>SUM(J7:J19)</f>
        <v>20.5</v>
      </c>
      <c r="O3" s="5">
        <f>SUM(O7:O19)</f>
        <v>22.240000000000002</v>
      </c>
      <c r="P3" s="6" t="str">
        <f>(COUNTA(O7:O19)&amp;" of "&amp;ROWS(O7:O19)&amp;" parts found")</f>
        <v>13 of 13 parts found</v>
      </c>
    </row>
    <row r="4" spans="1:16" ht="17.25" x14ac:dyDescent="0.25">
      <c r="A4" s="1" t="s">
        <v>96</v>
      </c>
      <c r="B4" s="2" t="s">
        <v>97</v>
      </c>
    </row>
    <row r="5" spans="1:16" ht="18.75" x14ac:dyDescent="0.25">
      <c r="A5" s="14" t="s">
        <v>0</v>
      </c>
      <c r="B5" s="14"/>
      <c r="C5" s="14"/>
      <c r="D5" s="14"/>
      <c r="E5" s="14"/>
      <c r="F5" s="14"/>
      <c r="G5" s="14"/>
      <c r="H5" s="14"/>
      <c r="I5" s="14"/>
      <c r="J5" s="14"/>
      <c r="K5" s="15" t="s">
        <v>66</v>
      </c>
      <c r="L5" s="15"/>
      <c r="M5" s="15"/>
      <c r="N5" s="15"/>
      <c r="O5" s="15"/>
      <c r="P5" s="15"/>
    </row>
    <row r="6" spans="1:16" ht="15.75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/>
      <c r="H6" s="7"/>
      <c r="I6" s="7" t="s">
        <v>7</v>
      </c>
      <c r="J6" s="7" t="s">
        <v>8</v>
      </c>
      <c r="K6" s="7" t="s">
        <v>67</v>
      </c>
      <c r="L6" s="7" t="s">
        <v>68</v>
      </c>
      <c r="M6" s="7" t="s">
        <v>7</v>
      </c>
      <c r="N6" s="7" t="s">
        <v>69</v>
      </c>
      <c r="O6" s="7" t="s">
        <v>8</v>
      </c>
      <c r="P6" s="7" t="s">
        <v>70</v>
      </c>
    </row>
    <row r="7" spans="1:16" ht="30" customHeight="1" x14ac:dyDescent="0.25">
      <c r="A7" s="8" t="s">
        <v>9</v>
      </c>
      <c r="B7" s="18" t="s">
        <v>10</v>
      </c>
      <c r="C7" s="8" t="s">
        <v>11</v>
      </c>
      <c r="D7" s="8" t="s">
        <v>12</v>
      </c>
      <c r="E7" s="8" t="s">
        <v>13</v>
      </c>
      <c r="F7" s="8">
        <f>CEILING(BoardQty*1,1)</f>
        <v>2</v>
      </c>
      <c r="G7" s="8">
        <v>0</v>
      </c>
      <c r="H7" s="8">
        <v>0</v>
      </c>
      <c r="I7" s="9">
        <f t="shared" ref="I7:I19" si="0">IF(MIN(M7)&lt;&gt;0,MIN(M7),"")</f>
        <v>2.92</v>
      </c>
      <c r="J7" s="10">
        <f t="shared" ref="J7:J19" si="1">IF(AND(ISNUMBER(F7),ISNUMBER(I7)),F7*I7,"")</f>
        <v>5.84</v>
      </c>
      <c r="K7" s="8">
        <v>602</v>
      </c>
      <c r="L7" s="8">
        <f>F7-G7+H7</f>
        <v>2</v>
      </c>
      <c r="M7" s="9">
        <f>IFERROR(IF(OR(L7&gt;=N7,F7&gt;=N7),LOOKUP(IF(L7="",F7,L7),{0,1,50},{0,2.92,2.495}),"MOQ="&amp;N7),"")</f>
        <v>2.92</v>
      </c>
      <c r="N7" s="8">
        <v>1</v>
      </c>
      <c r="O7" s="10">
        <f t="shared" ref="O7:O19" si="2">IFERROR(IF(L7="",F7,L7)*M7,"")</f>
        <v>5.84</v>
      </c>
      <c r="P7" s="8" t="s">
        <v>71</v>
      </c>
    </row>
    <row r="8" spans="1:16" x14ac:dyDescent="0.25">
      <c r="A8" s="8" t="s">
        <v>14</v>
      </c>
      <c r="B8" s="18" t="s">
        <v>15</v>
      </c>
      <c r="C8" s="8" t="s">
        <v>16</v>
      </c>
      <c r="D8" s="8" t="s">
        <v>17</v>
      </c>
      <c r="E8" s="8" t="s">
        <v>18</v>
      </c>
      <c r="F8" s="8">
        <f>CEILING(BoardQty*1,1)</f>
        <v>2</v>
      </c>
      <c r="G8" s="8">
        <v>0</v>
      </c>
      <c r="H8" s="8">
        <v>3</v>
      </c>
      <c r="I8" s="9">
        <f t="shared" si="0"/>
        <v>0.19</v>
      </c>
      <c r="J8" s="10">
        <f t="shared" si="1"/>
        <v>0.38</v>
      </c>
      <c r="K8" s="8">
        <v>88960</v>
      </c>
      <c r="L8" s="8">
        <f t="shared" ref="L8:L19" si="3">F8-G8+H8</f>
        <v>5</v>
      </c>
      <c r="M8" s="9">
        <f>IFERROR(IF(OR(L8&gt;=N8,F8&gt;=N8),LOOKUP(IF(L8="",F8,L8),{0,1,10,50,100,500,1000},{0,0.19,0.133,0.0756,0.0626,0.0439,0.03634}),"MOQ="&amp;N8),"")</f>
        <v>0.19</v>
      </c>
      <c r="N8" s="8">
        <v>1</v>
      </c>
      <c r="O8" s="10">
        <f t="shared" si="2"/>
        <v>0.95</v>
      </c>
      <c r="P8" s="8" t="s">
        <v>72</v>
      </c>
    </row>
    <row r="9" spans="1:16" x14ac:dyDescent="0.25">
      <c r="A9" s="8" t="s">
        <v>19</v>
      </c>
      <c r="B9" s="8" t="s">
        <v>20</v>
      </c>
      <c r="C9" s="8" t="s">
        <v>21</v>
      </c>
      <c r="D9" s="8" t="s">
        <v>17</v>
      </c>
      <c r="E9" s="8" t="s">
        <v>22</v>
      </c>
      <c r="F9" s="8">
        <f>CEILING(BoardQty*1,1)</f>
        <v>2</v>
      </c>
      <c r="G9" s="8">
        <v>50</v>
      </c>
      <c r="H9" s="8">
        <v>0</v>
      </c>
      <c r="I9" s="9" t="str">
        <f t="shared" si="0"/>
        <v/>
      </c>
      <c r="J9" s="10" t="str">
        <f t="shared" si="1"/>
        <v/>
      </c>
      <c r="K9" s="8">
        <v>7199544</v>
      </c>
      <c r="L9" s="8">
        <f t="shared" si="3"/>
        <v>-48</v>
      </c>
      <c r="M9" s="9" t="str">
        <f>IFERROR(IF(OR(L9&gt;=N9,F9&gt;=N9),LOOKUP(IF(L9="",F9,L9),{0,1,10,50,100,500,1000},{0,0.1,0.019,0.0102,0.0083,0.00594,0.00467}),"MOQ="&amp;N9),"")</f>
        <v/>
      </c>
      <c r="N9" s="8">
        <v>1</v>
      </c>
      <c r="O9" s="10" t="str">
        <f t="shared" si="2"/>
        <v/>
      </c>
      <c r="P9" s="8" t="s">
        <v>73</v>
      </c>
    </row>
    <row r="10" spans="1:16" x14ac:dyDescent="0.25">
      <c r="A10" s="8" t="s">
        <v>23</v>
      </c>
      <c r="B10" s="18" t="s">
        <v>24</v>
      </c>
      <c r="C10" s="8" t="s">
        <v>21</v>
      </c>
      <c r="D10" s="8" t="s">
        <v>17</v>
      </c>
      <c r="E10" s="8" t="s">
        <v>25</v>
      </c>
      <c r="F10" s="8">
        <f>CEILING(BoardQty*4,1)</f>
        <v>8</v>
      </c>
      <c r="G10" s="8"/>
      <c r="H10" s="8">
        <v>2</v>
      </c>
      <c r="I10" s="9">
        <f t="shared" si="0"/>
        <v>2.5000000000000001E-2</v>
      </c>
      <c r="J10" s="10">
        <f t="shared" si="1"/>
        <v>0.2</v>
      </c>
      <c r="K10" s="8">
        <v>5356438</v>
      </c>
      <c r="L10" s="8">
        <f t="shared" si="3"/>
        <v>10</v>
      </c>
      <c r="M10" s="9">
        <f>IFERROR(IF(OR(L10&gt;=N10,F10&gt;=N10),LOOKUP(IF(L10="",F10,L10),{0,1,10,50,100,500,1000},{0,0.1,0.025,0.0134,0.011,0.00784,0.00617}),"MOQ="&amp;N10),"")</f>
        <v>2.5000000000000001E-2</v>
      </c>
      <c r="N10" s="8">
        <v>1</v>
      </c>
      <c r="O10" s="10">
        <f t="shared" si="2"/>
        <v>0.25</v>
      </c>
      <c r="P10" s="8" t="s">
        <v>74</v>
      </c>
    </row>
    <row r="11" spans="1:16" x14ac:dyDescent="0.25">
      <c r="A11" s="8" t="s">
        <v>26</v>
      </c>
      <c r="B11" s="18" t="s">
        <v>27</v>
      </c>
      <c r="C11" s="8" t="s">
        <v>28</v>
      </c>
      <c r="D11" s="8" t="s">
        <v>29</v>
      </c>
      <c r="E11" s="8" t="s">
        <v>30</v>
      </c>
      <c r="F11" s="8">
        <f>CEILING(BoardQty*1,1)</f>
        <v>2</v>
      </c>
      <c r="G11" s="8"/>
      <c r="H11" s="8">
        <v>3</v>
      </c>
      <c r="I11" s="9">
        <f t="shared" si="0"/>
        <v>0.32</v>
      </c>
      <c r="J11" s="10">
        <f t="shared" si="1"/>
        <v>0.64</v>
      </c>
      <c r="K11" s="8">
        <v>660372</v>
      </c>
      <c r="L11" s="8">
        <f t="shared" si="3"/>
        <v>5</v>
      </c>
      <c r="M11" s="9">
        <f>IFERROR(IF(OR(L11&gt;=N11,F11&gt;=N11),LOOKUP(IF(L11="",F11,L11),{0,1,10,100,500,1000},{0,0.32,0.22,0.1075,0.0897,0.06233}),"MOQ="&amp;N11),"")</f>
        <v>0.32</v>
      </c>
      <c r="N11" s="8">
        <v>1</v>
      </c>
      <c r="O11" s="10">
        <f t="shared" si="2"/>
        <v>1.6</v>
      </c>
      <c r="P11" s="8" t="s">
        <v>75</v>
      </c>
    </row>
    <row r="12" spans="1:16" ht="30" customHeight="1" x14ac:dyDescent="0.25">
      <c r="A12" s="8" t="s">
        <v>31</v>
      </c>
      <c r="B12" s="18" t="s">
        <v>32</v>
      </c>
      <c r="C12" s="8" t="s">
        <v>33</v>
      </c>
      <c r="D12" s="8" t="s">
        <v>34</v>
      </c>
      <c r="E12" s="8" t="s">
        <v>35</v>
      </c>
      <c r="F12" s="8">
        <f>CEILING(BoardQty*1,1)</f>
        <v>2</v>
      </c>
      <c r="G12" s="8"/>
      <c r="H12" s="8">
        <v>0</v>
      </c>
      <c r="I12" s="9">
        <f t="shared" si="0"/>
        <v>0.93</v>
      </c>
      <c r="J12" s="10">
        <f t="shared" si="1"/>
        <v>1.86</v>
      </c>
      <c r="K12" s="8">
        <v>12222</v>
      </c>
      <c r="L12" s="8">
        <f t="shared" si="3"/>
        <v>2</v>
      </c>
      <c r="M12" s="9">
        <f>IFERROR(IF(OR(L12&gt;=N12,F12&gt;=N12),LOOKUP(IF(L12="",F12,L12),{0,1,10,100},{0,0.93,0.773,0.6438}),"MOQ="&amp;N12),"")</f>
        <v>0.93</v>
      </c>
      <c r="N12" s="8">
        <v>1</v>
      </c>
      <c r="O12" s="10">
        <f t="shared" si="2"/>
        <v>1.86</v>
      </c>
      <c r="P12" s="8" t="s">
        <v>76</v>
      </c>
    </row>
    <row r="13" spans="1:16" x14ac:dyDescent="0.25">
      <c r="A13" s="8" t="s">
        <v>36</v>
      </c>
      <c r="B13" s="18" t="s">
        <v>37</v>
      </c>
      <c r="D13" s="8" t="s">
        <v>34</v>
      </c>
      <c r="E13" s="8" t="s">
        <v>38</v>
      </c>
      <c r="F13" s="8">
        <f>CEILING(BoardQty*1,1)</f>
        <v>2</v>
      </c>
      <c r="G13" s="8"/>
      <c r="H13" s="8">
        <v>0</v>
      </c>
      <c r="I13" s="9">
        <f t="shared" si="0"/>
        <v>0.35</v>
      </c>
      <c r="J13" s="10">
        <f t="shared" si="1"/>
        <v>0.7</v>
      </c>
      <c r="K13" s="8">
        <v>70597</v>
      </c>
      <c r="L13" s="8">
        <f t="shared" si="3"/>
        <v>2</v>
      </c>
      <c r="M13" s="9">
        <f>IFERROR(IF(OR(L13&gt;=N13,F13&gt;=N13),LOOKUP(IF(L13="",F13,L13),{0,1,10,100,1000,2500},{0,0.35,0.286,0.2095,0.16668,0.15239}),"MOQ="&amp;N13),"")</f>
        <v>0.35</v>
      </c>
      <c r="N13" s="8">
        <v>1</v>
      </c>
      <c r="O13" s="10">
        <f t="shared" si="2"/>
        <v>0.7</v>
      </c>
      <c r="P13" s="8" t="s">
        <v>77</v>
      </c>
    </row>
    <row r="14" spans="1:16" x14ac:dyDescent="0.25">
      <c r="A14" s="8" t="s">
        <v>39</v>
      </c>
      <c r="B14" s="18" t="s">
        <v>40</v>
      </c>
      <c r="D14" s="8" t="s">
        <v>34</v>
      </c>
      <c r="E14" s="8" t="s">
        <v>41</v>
      </c>
      <c r="F14" s="8">
        <f>CEILING(BoardQty*8,1)</f>
        <v>16</v>
      </c>
      <c r="G14" s="8"/>
      <c r="H14" s="8">
        <v>4</v>
      </c>
      <c r="I14" s="9">
        <f t="shared" si="0"/>
        <v>0.04</v>
      </c>
      <c r="J14" s="10">
        <f t="shared" si="1"/>
        <v>0.64</v>
      </c>
      <c r="K14" s="8">
        <v>447586</v>
      </c>
      <c r="L14" s="8">
        <f t="shared" si="3"/>
        <v>20</v>
      </c>
      <c r="M14" s="9">
        <f>IFERROR(IF(OR(L14&gt;=N14,F14&gt;=N14),LOOKUP(IF(L14="",F14,L14),{0,1,10,100,1000,2500},{0,0.1,0.04,0.0285,0.02397,0.02168}),"MOQ="&amp;N14),"")</f>
        <v>0.04</v>
      </c>
      <c r="N14" s="8">
        <v>1</v>
      </c>
      <c r="O14" s="10">
        <f t="shared" si="2"/>
        <v>0.8</v>
      </c>
      <c r="P14" s="8" t="s">
        <v>78</v>
      </c>
    </row>
    <row r="15" spans="1:16" x14ac:dyDescent="0.25">
      <c r="A15" s="8" t="s">
        <v>42</v>
      </c>
      <c r="B15" s="18" t="s">
        <v>43</v>
      </c>
      <c r="C15" s="8" t="s">
        <v>44</v>
      </c>
      <c r="D15" s="8" t="s">
        <v>45</v>
      </c>
      <c r="E15" s="8" t="s">
        <v>43</v>
      </c>
      <c r="F15" s="8">
        <f>CEILING(BoardQty*3,1)</f>
        <v>6</v>
      </c>
      <c r="G15" s="8">
        <v>2</v>
      </c>
      <c r="H15" s="8">
        <v>2</v>
      </c>
      <c r="I15" s="9">
        <f t="shared" si="0"/>
        <v>0.22</v>
      </c>
      <c r="J15" s="10">
        <f t="shared" si="1"/>
        <v>1.32</v>
      </c>
      <c r="K15" s="11" t="s">
        <v>80</v>
      </c>
      <c r="L15" s="8">
        <f t="shared" si="3"/>
        <v>6</v>
      </c>
      <c r="M15" s="9">
        <f>IFERROR(IF(OR(L15&gt;=N15,F15&gt;=N15),LOOKUP(IF(L15="",F15,L15),{0,1,10,100,500,1000},{0,0.22,0.148,0.0724,0.06042,0.04198}),"MOQ="&amp;N15),"")</f>
        <v>0.22</v>
      </c>
      <c r="N15" s="8">
        <v>1</v>
      </c>
      <c r="O15" s="10">
        <f t="shared" si="2"/>
        <v>1.32</v>
      </c>
      <c r="P15" s="8" t="s">
        <v>79</v>
      </c>
    </row>
    <row r="16" spans="1:16" x14ac:dyDescent="0.25">
      <c r="A16" s="8" t="s">
        <v>46</v>
      </c>
      <c r="B16" s="18" t="s">
        <v>47</v>
      </c>
      <c r="C16" s="8" t="s">
        <v>48</v>
      </c>
      <c r="D16" s="8" t="s">
        <v>49</v>
      </c>
      <c r="E16" s="8" t="s">
        <v>50</v>
      </c>
      <c r="F16" s="8">
        <f>CEILING(BoardQty*10,1)</f>
        <v>20</v>
      </c>
      <c r="G16" s="8">
        <v>0</v>
      </c>
      <c r="H16" s="8">
        <v>0</v>
      </c>
      <c r="I16" s="9">
        <f t="shared" si="0"/>
        <v>2.1999999999999999E-2</v>
      </c>
      <c r="J16" s="10">
        <f t="shared" si="1"/>
        <v>0.43999999999999995</v>
      </c>
      <c r="K16" s="8">
        <v>725857</v>
      </c>
      <c r="L16" s="8">
        <f t="shared" si="3"/>
        <v>20</v>
      </c>
      <c r="M16" s="9">
        <f>IFERROR(IF(OR(L16&gt;=N16,F16&gt;=N16),LOOKUP(IF(L16="",F16,L16),{0,1,10,50,100,500,1000},{0,0.1,0.022,0.0136,0.0114,0.00778,0.00671}),"MOQ="&amp;N16),"")</f>
        <v>2.1999999999999999E-2</v>
      </c>
      <c r="N16" s="8">
        <v>1</v>
      </c>
      <c r="O16" s="10">
        <f t="shared" si="2"/>
        <v>0.43999999999999995</v>
      </c>
      <c r="P16" s="8" t="s">
        <v>81</v>
      </c>
    </row>
    <row r="17" spans="1:16" ht="30" x14ac:dyDescent="0.25">
      <c r="A17" s="8" t="s">
        <v>51</v>
      </c>
      <c r="B17" s="18" t="s">
        <v>52</v>
      </c>
      <c r="C17" s="8" t="s">
        <v>53</v>
      </c>
      <c r="D17" s="8" t="s">
        <v>54</v>
      </c>
      <c r="E17" s="8" t="s">
        <v>55</v>
      </c>
      <c r="F17" s="8">
        <f>CEILING(BoardQty*2,1)</f>
        <v>4</v>
      </c>
      <c r="G17" s="8">
        <v>0</v>
      </c>
      <c r="H17" s="8">
        <v>0</v>
      </c>
      <c r="I17" s="9">
        <f t="shared" si="0"/>
        <v>2.12</v>
      </c>
      <c r="J17" s="10">
        <f t="shared" si="1"/>
        <v>8.48</v>
      </c>
      <c r="K17" s="8">
        <v>11959</v>
      </c>
      <c r="L17" s="8">
        <f t="shared" si="3"/>
        <v>4</v>
      </c>
      <c r="M17" s="9">
        <f>IFERROR(IF(OR(L17&gt;=N17,F17&gt;=N17),LOOKUP(IF(L17="",F17,L17),{0,1,5,10,25,75,150,300,450,975},{0,2.12,1.918,1.792,1.6424,1.53227,1.44193,1.3201,1.2376,1.15903}),"MOQ="&amp;N17),"")</f>
        <v>2.12</v>
      </c>
      <c r="N17" s="8">
        <v>1</v>
      </c>
      <c r="O17" s="10">
        <f t="shared" si="2"/>
        <v>8.48</v>
      </c>
      <c r="P17" s="8" t="s">
        <v>82</v>
      </c>
    </row>
    <row r="18" spans="1:16" ht="30" x14ac:dyDescent="0.25">
      <c r="A18" s="8" t="s">
        <v>56</v>
      </c>
      <c r="B18" s="18" t="s">
        <v>57</v>
      </c>
      <c r="C18" s="8" t="s">
        <v>58</v>
      </c>
      <c r="D18" s="8" t="s">
        <v>59</v>
      </c>
      <c r="E18" s="8" t="s">
        <v>60</v>
      </c>
      <c r="F18" s="8">
        <f>CEILING(BoardQty*1,1)</f>
        <v>2</v>
      </c>
      <c r="G18" s="8">
        <v>2</v>
      </c>
      <c r="H18" s="8">
        <v>0</v>
      </c>
      <c r="I18" s="9" t="str">
        <f t="shared" si="0"/>
        <v/>
      </c>
      <c r="J18" s="10" t="str">
        <f t="shared" si="1"/>
        <v/>
      </c>
      <c r="K18" s="8">
        <v>1686</v>
      </c>
      <c r="L18" s="8">
        <f t="shared" si="3"/>
        <v>0</v>
      </c>
      <c r="M18" s="9">
        <f>IFERROR(IF(OR(L18&gt;=N18,F18&gt;=N18),LOOKUP(IF(L18="",F18,L18),{0,1,10,25,100,250,500},{0,8.97,8.221,7.474,6.7266,6.16604,5.6055}),"MOQ="&amp;N18),"")</f>
        <v>0</v>
      </c>
      <c r="N18" s="8">
        <v>1</v>
      </c>
      <c r="O18" s="10">
        <f t="shared" si="2"/>
        <v>0</v>
      </c>
      <c r="P18" s="8" t="s">
        <v>83</v>
      </c>
    </row>
    <row r="19" spans="1:16" ht="30" customHeight="1" x14ac:dyDescent="0.25">
      <c r="A19" s="8" t="s">
        <v>61</v>
      </c>
      <c r="B19" s="8" t="s">
        <v>62</v>
      </c>
      <c r="C19" s="8" t="s">
        <v>63</v>
      </c>
      <c r="D19" s="8" t="s">
        <v>64</v>
      </c>
      <c r="E19" s="8" t="s">
        <v>65</v>
      </c>
      <c r="F19" s="8">
        <f>CEILING(BoardQty*1,1)</f>
        <v>2</v>
      </c>
      <c r="G19" s="8">
        <v>2</v>
      </c>
      <c r="H19" s="8">
        <v>0</v>
      </c>
      <c r="I19" s="9" t="str">
        <f t="shared" si="0"/>
        <v/>
      </c>
      <c r="J19" s="10" t="str">
        <f t="shared" si="1"/>
        <v/>
      </c>
      <c r="K19" s="8">
        <v>2500</v>
      </c>
      <c r="L19" s="8">
        <f t="shared" si="3"/>
        <v>0</v>
      </c>
      <c r="M19" s="9" t="str">
        <f>IFERROR(IF(OR(L19&gt;=N19,F19&gt;=N19),LOOKUP(IF(L19="",F19,L19),{0,1,2500},{0,0.111,0.111}),"MOQ="&amp;N19),"")</f>
        <v>MOQ=2500</v>
      </c>
      <c r="N19" s="8">
        <v>2500</v>
      </c>
      <c r="O19" s="10" t="str">
        <f t="shared" si="2"/>
        <v/>
      </c>
      <c r="P19" s="8" t="s">
        <v>84</v>
      </c>
    </row>
    <row r="21" spans="1:16" ht="17.25" x14ac:dyDescent="0.25">
      <c r="I21" s="1" t="s">
        <v>86</v>
      </c>
      <c r="J21" s="5">
        <f>SUM(O21)</f>
        <v>22.240000000000002</v>
      </c>
      <c r="K21" s="12" t="s">
        <v>85</v>
      </c>
      <c r="L21" s="6" t="str">
        <f>IFERROR(IF(COUNTIF(L7:L19,"&gt;0")&gt;0,COUNTIF(L7:L19,"&gt;0")&amp;" of "&amp;(ROWS(N7:N19)-COUNTBLANK(N7:N19))&amp;" parts purchased",""),"")</f>
        <v>10 of 13 parts purchased</v>
      </c>
      <c r="O21" s="5">
        <f>SUMIF(L7:L19,"&gt;0",O7:O19)</f>
        <v>22.240000000000002</v>
      </c>
    </row>
    <row r="22" spans="1:16" ht="15.75" x14ac:dyDescent="0.25">
      <c r="A22" s="2" t="s">
        <v>98</v>
      </c>
      <c r="I22" s="13" t="s">
        <v>87</v>
      </c>
      <c r="L22" s="16" t="e">
        <f>CONCATENATE(L37,L38,L39,L40,L41,L42,L43,L44,L45,L46,L47,L48,L49,L50)</f>
        <v>#N/A</v>
      </c>
      <c r="M22" s="17"/>
      <c r="N22" s="17"/>
      <c r="O22" s="17"/>
    </row>
    <row r="23" spans="1:16" x14ac:dyDescent="0.25">
      <c r="L23" s="17"/>
      <c r="M23" s="17"/>
      <c r="N23" s="17"/>
      <c r="O23" s="17"/>
    </row>
    <row r="24" spans="1:16" x14ac:dyDescent="0.25">
      <c r="L24" s="17"/>
      <c r="M24" s="17"/>
      <c r="N24" s="17"/>
      <c r="O24" s="17"/>
    </row>
    <row r="25" spans="1:16" x14ac:dyDescent="0.25">
      <c r="L25" s="17"/>
      <c r="M25" s="17"/>
      <c r="N25" s="17"/>
      <c r="O25" s="17"/>
    </row>
    <row r="26" spans="1:16" x14ac:dyDescent="0.25">
      <c r="L26" s="17"/>
      <c r="M26" s="17"/>
      <c r="N26" s="17"/>
      <c r="O26" s="17"/>
    </row>
    <row r="27" spans="1:16" x14ac:dyDescent="0.25">
      <c r="L27" s="17"/>
      <c r="M27" s="17"/>
      <c r="N27" s="17"/>
      <c r="O27" s="17"/>
    </row>
    <row r="28" spans="1:16" x14ac:dyDescent="0.25">
      <c r="L28" s="17"/>
      <c r="M28" s="17"/>
      <c r="N28" s="17"/>
      <c r="O28" s="17"/>
    </row>
    <row r="29" spans="1:16" x14ac:dyDescent="0.25">
      <c r="L29" s="17"/>
      <c r="M29" s="17"/>
      <c r="N29" s="17"/>
      <c r="O29" s="17"/>
    </row>
    <row r="30" spans="1:16" x14ac:dyDescent="0.25">
      <c r="L30" s="17"/>
      <c r="M30" s="17"/>
      <c r="N30" s="17"/>
      <c r="O30" s="17"/>
    </row>
    <row r="31" spans="1:16" x14ac:dyDescent="0.25">
      <c r="L31" s="17"/>
      <c r="M31" s="17"/>
      <c r="N31" s="17"/>
      <c r="O31" s="17"/>
    </row>
    <row r="32" spans="1:16" x14ac:dyDescent="0.25">
      <c r="L32" s="17"/>
      <c r="M32" s="17"/>
      <c r="N32" s="17"/>
      <c r="O32" s="17"/>
    </row>
    <row r="33" spans="12:15" x14ac:dyDescent="0.25">
      <c r="L33" s="17"/>
      <c r="M33" s="17"/>
      <c r="N33" s="17"/>
      <c r="O33" s="17"/>
    </row>
    <row r="34" spans="12:15" x14ac:dyDescent="0.25">
      <c r="L34" s="17"/>
      <c r="M34" s="17"/>
      <c r="N34" s="17"/>
      <c r="O34" s="17"/>
    </row>
    <row r="35" spans="12:15" x14ac:dyDescent="0.25">
      <c r="L35" s="17"/>
      <c r="M35" s="17"/>
      <c r="N35" s="17"/>
      <c r="O35" s="17"/>
    </row>
    <row r="36" spans="12:15" x14ac:dyDescent="0.25">
      <c r="L36" s="17"/>
      <c r="M36" s="17"/>
      <c r="N36" s="17"/>
      <c r="O36" s="17"/>
    </row>
    <row r="37" spans="12:15" ht="30" hidden="1" customHeight="1" x14ac:dyDescent="0.25">
      <c r="L37" t="str">
        <f t="array" ref="L37:L50">IF(ISNUMBER(L7:L19)*(L7:L19&gt;=N7:N19)*(P7:P19&lt;&gt;""),TEXT(ROUNDUP(L7:L19/IF(ISNUMBER(N7:N19),N7:N19,1),0)*N7:N19,"##0")&amp;","&amp;P7:P19&amp;","&amp;SUBSTITUTE(SUBSTITUTE(IF(PURCHASE_DESCRIPTION&lt;&gt;"",PURCHASE_DESCRIPTION&amp;":","")&amp;A7:A19,",",";"),"
"," ")&amp;CHAR(10),"")</f>
        <v xml:space="preserve">2,732-8465-1-ND,C1
</v>
      </c>
    </row>
    <row r="38" spans="12:15" ht="30" hidden="1" customHeight="1" x14ac:dyDescent="0.25">
      <c r="L38" t="str">
        <v xml:space="preserve">5,311-1888-1-ND,C2
</v>
      </c>
    </row>
    <row r="39" spans="12:15" ht="30" hidden="1" customHeight="1" x14ac:dyDescent="0.25">
      <c r="L39" t="str">
        <v/>
      </c>
    </row>
    <row r="40" spans="12:15" ht="30" hidden="1" customHeight="1" x14ac:dyDescent="0.25">
      <c r="L40" t="str">
        <v xml:space="preserve">10,1276-1009-1-ND,C4-C7
</v>
      </c>
    </row>
    <row r="41" spans="12:15" ht="30" hidden="1" customHeight="1" x14ac:dyDescent="0.25">
      <c r="L41" t="str">
        <v xml:space="preserve">5,CUS08F30H3FCT-ND,D1#1
</v>
      </c>
    </row>
    <row r="42" spans="12:15" ht="30" hidden="1" customHeight="1" x14ac:dyDescent="0.25">
      <c r="L42" t="str">
        <v xml:space="preserve">2,WM7626CT-ND,J1
</v>
      </c>
    </row>
    <row r="43" spans="12:15" ht="30" hidden="1" customHeight="1" x14ac:dyDescent="0.25">
      <c r="L43" t="str">
        <v xml:space="preserve">2,WM1726-ND,J2
</v>
      </c>
    </row>
    <row r="44" spans="12:15" ht="30" hidden="1" customHeight="1" x14ac:dyDescent="0.25">
      <c r="L44" t="str">
        <v xml:space="preserve">20,WM1142CT-ND,M1-M8
</v>
      </c>
    </row>
    <row r="45" spans="12:15" ht="30" hidden="1" customHeight="1" x14ac:dyDescent="0.25">
      <c r="L45" t="str">
        <v xml:space="preserve">6,2N7002K-7DICT-ND,Q1-Q3
</v>
      </c>
    </row>
    <row r="46" spans="12:15" ht="30" hidden="1" customHeight="1" x14ac:dyDescent="0.25">
      <c r="L46" t="str">
        <v xml:space="preserve">20,311-10KARCT-ND,R1-R10
</v>
      </c>
    </row>
    <row r="47" spans="12:15" ht="30" hidden="1" customHeight="1" x14ac:dyDescent="0.25">
      <c r="L47" t="str">
        <v xml:space="preserve">4,PEC11R-4115F-S0018-ND,SW1;SW2
</v>
      </c>
    </row>
    <row r="48" spans="12:15" ht="30" hidden="1" customHeight="1" x14ac:dyDescent="0.25">
      <c r="L48" t="str">
        <v/>
      </c>
    </row>
    <row r="49" spans="12:12" ht="30" hidden="1" customHeight="1" x14ac:dyDescent="0.25">
      <c r="L49" t="str">
        <v/>
      </c>
    </row>
    <row r="50" spans="12:12" ht="30" hidden="1" customHeight="1" x14ac:dyDescent="0.25">
      <c r="L50" t="e">
        <v>#N/A</v>
      </c>
    </row>
  </sheetData>
  <mergeCells count="3">
    <mergeCell ref="A5:J5"/>
    <mergeCell ref="K5:P5"/>
    <mergeCell ref="L22:O36"/>
  </mergeCells>
  <conditionalFormatting sqref="K7:K19">
    <cfRule type="cellIs" dxfId="1" priority="1" operator="lessThan">
      <formula>F7</formula>
    </cfRule>
  </conditionalFormatting>
  <conditionalFormatting sqref="L7:L19">
    <cfRule type="expression" dxfId="0" priority="2">
      <formula>AND(NOT(ISBLANK(L7)),OR(K7="NonStk",L7&gt;K7))</formula>
    </cfRule>
  </conditionalFormatting>
  <hyperlinks>
    <hyperlink ref="E7" r:id="rId1" xr:uid="{00000000-0004-0000-0000-000000000000}"/>
    <hyperlink ref="P7" r:id="rId2" xr:uid="{00000000-0004-0000-0000-000001000000}"/>
    <hyperlink ref="E8" r:id="rId3" xr:uid="{00000000-0004-0000-0000-000002000000}"/>
    <hyperlink ref="P8" r:id="rId4" xr:uid="{00000000-0004-0000-0000-000003000000}"/>
    <hyperlink ref="P9" r:id="rId5" xr:uid="{00000000-0004-0000-0000-000004000000}"/>
    <hyperlink ref="P10" r:id="rId6" xr:uid="{00000000-0004-0000-0000-000005000000}"/>
    <hyperlink ref="E11" r:id="rId7" xr:uid="{00000000-0004-0000-0000-000006000000}"/>
    <hyperlink ref="P11" r:id="rId8" xr:uid="{00000000-0004-0000-0000-000007000000}"/>
    <hyperlink ref="E12" r:id="rId9" xr:uid="{00000000-0004-0000-0000-00000A000000}"/>
    <hyperlink ref="P12" r:id="rId10" xr:uid="{00000000-0004-0000-0000-00000B000000}"/>
    <hyperlink ref="E13" r:id="rId11" xr:uid="{00000000-0004-0000-0000-00000C000000}"/>
    <hyperlink ref="P13" r:id="rId12" xr:uid="{00000000-0004-0000-0000-00000D000000}"/>
    <hyperlink ref="E14" r:id="rId13" xr:uid="{00000000-0004-0000-0000-00000E000000}"/>
    <hyperlink ref="P14" r:id="rId14" xr:uid="{00000000-0004-0000-0000-00000F000000}"/>
    <hyperlink ref="E15" r:id="rId15" xr:uid="{00000000-0004-0000-0000-000010000000}"/>
    <hyperlink ref="P15" r:id="rId16" xr:uid="{00000000-0004-0000-0000-000011000000}"/>
    <hyperlink ref="P16" r:id="rId17" xr:uid="{00000000-0004-0000-0000-000012000000}"/>
    <hyperlink ref="E17" r:id="rId18" xr:uid="{00000000-0004-0000-0000-000013000000}"/>
    <hyperlink ref="P17" r:id="rId19" xr:uid="{00000000-0004-0000-0000-000014000000}"/>
    <hyperlink ref="E18" r:id="rId20" xr:uid="{00000000-0004-0000-0000-000015000000}"/>
    <hyperlink ref="P18" r:id="rId21" xr:uid="{00000000-0004-0000-0000-000016000000}"/>
    <hyperlink ref="E19" r:id="rId22" xr:uid="{00000000-0004-0000-0000-000017000000}"/>
    <hyperlink ref="P19" r:id="rId23" xr:uid="{00000000-0004-0000-0000-000018000000}"/>
    <hyperlink ref="K21" r:id="rId24" xr:uid="{00000000-0004-0000-0000-000019000000}"/>
  </hyperlinks>
  <pageMargins left="0.7" right="0.7" top="0.75" bottom="0.75" header="0.3" footer="0.3"/>
  <legacy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KiCost</vt:lpstr>
      <vt:lpstr>KiCost!BoardQty</vt:lpstr>
      <vt:lpstr>KiCost!PURCHASE_DESCRIPTION</vt:lpstr>
      <vt:lpstr>KiCost!TotalCost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Joel Santos Rico</cp:lastModifiedBy>
  <dcterms:created xsi:type="dcterms:W3CDTF">2023-11-10T17:35:06Z</dcterms:created>
  <dcterms:modified xsi:type="dcterms:W3CDTF">2023-11-10T17:47:01Z</dcterms:modified>
</cp:coreProperties>
</file>