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mptonbicycleuk-my.sharepoint.com/personal/joel_santos_brompton_co_uk/Documents/Desktop/Snowflake/hardware/"/>
    </mc:Choice>
  </mc:AlternateContent>
  <xr:revisionPtr revIDLastSave="32" documentId="11_77C3D743ED871E60B24B8FE381411DD1902AFD70" xr6:coauthVersionLast="47" xr6:coauthVersionMax="47" xr10:uidLastSave="{B810EDA4-0083-4AA2-B26B-AE2D07850A2A}"/>
  <bookViews>
    <workbookView xWindow="-28920" yWindow="-120" windowWidth="29040" windowHeight="16440" xr2:uid="{00000000-000D-0000-FFFF-FFFF00000000}"/>
  </bookViews>
  <sheets>
    <sheet name="Snowflake" sheetId="1" r:id="rId1"/>
  </sheets>
  <definedNames>
    <definedName name="BoardQty" localSheetId="0">Snowflake!$J$1</definedName>
    <definedName name="PURCHASE_DESCRIPTION" localSheetId="0">Snowflake!$J$20</definedName>
    <definedName name="TotalCost" localSheetId="0">Snowflake!$J$3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13" i="1"/>
  <c r="L14" i="1"/>
  <c r="L15" i="1"/>
  <c r="L16" i="1"/>
  <c r="L17" i="1"/>
  <c r="L7" i="1"/>
  <c r="H17" i="1"/>
  <c r="H16" i="1"/>
  <c r="H15" i="1"/>
  <c r="H14" i="1"/>
  <c r="H13" i="1"/>
  <c r="H12" i="1"/>
  <c r="H11" i="1"/>
  <c r="H10" i="1"/>
  <c r="H9" i="1"/>
  <c r="H8" i="1"/>
  <c r="H7" i="1"/>
  <c r="L19" i="1" l="1"/>
  <c r="M9" i="1"/>
  <c r="O9" i="1" s="1"/>
  <c r="M7" i="1"/>
  <c r="I7" i="1" s="1"/>
  <c r="J7" i="1" s="1"/>
  <c r="M12" i="1"/>
  <c r="I12" i="1" s="1"/>
  <c r="J12" i="1" s="1"/>
  <c r="L32" i="1" a="1"/>
  <c r="L42" i="1" s="1"/>
  <c r="M10" i="1"/>
  <c r="O10" i="1" s="1"/>
  <c r="M8" i="1"/>
  <c r="I8" i="1" s="1"/>
  <c r="J8" i="1" s="1"/>
  <c r="M15" i="1"/>
  <c r="I15" i="1" s="1"/>
  <c r="J15" i="1" s="1"/>
  <c r="M13" i="1"/>
  <c r="O13" i="1" s="1"/>
  <c r="M14" i="1"/>
  <c r="O14" i="1" s="1"/>
  <c r="M17" i="1"/>
  <c r="I17" i="1" s="1"/>
  <c r="J17" i="1" s="1"/>
  <c r="M16" i="1"/>
  <c r="I16" i="1" s="1"/>
  <c r="J16" i="1" s="1"/>
  <c r="I9" i="1"/>
  <c r="J9" i="1" s="1"/>
  <c r="M11" i="1"/>
  <c r="I13" i="1" l="1"/>
  <c r="J13" i="1" s="1"/>
  <c r="I10" i="1"/>
  <c r="J10" i="1" s="1"/>
  <c r="L37" i="1"/>
  <c r="L36" i="1"/>
  <c r="L33" i="1"/>
  <c r="L32" i="1"/>
  <c r="L41" i="1"/>
  <c r="L40" i="1"/>
  <c r="O7" i="1"/>
  <c r="L34" i="1"/>
  <c r="L39" i="1"/>
  <c r="L38" i="1"/>
  <c r="L35" i="1"/>
  <c r="O15" i="1"/>
  <c r="O12" i="1"/>
  <c r="O17" i="1"/>
  <c r="I14" i="1"/>
  <c r="J14" i="1" s="1"/>
  <c r="O8" i="1"/>
  <c r="O16" i="1"/>
  <c r="O11" i="1"/>
  <c r="I11" i="1"/>
  <c r="J11" i="1" s="1"/>
  <c r="J3" i="1" l="1"/>
  <c r="J2" i="1" s="1"/>
  <c r="L20" i="1"/>
  <c r="O19" i="1"/>
  <c r="J19" i="1" s="1"/>
  <c r="P3" i="1"/>
  <c r="O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3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4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 shapeId="0" xr:uid="{00000000-0006-0000-0000-000006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 shapeId="0" xr:uid="{00000000-0006-0000-0000-000007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 shapeId="0" xr:uid="{00000000-0006-0000-0000-000008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 shapeId="0" xr:uid="{00000000-0006-0000-0000-000009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 shapeId="0" xr:uid="{00000000-0006-0000-0000-00000A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 shapeId="0" xr:uid="{00000000-0006-0000-0000-00000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 shapeId="0" xr:uid="{00000000-0006-0000-0000-00000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 shapeId="0" xr:uid="{00000000-0006-0000-0000-00000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 shapeId="0" xr:uid="{00000000-0006-0000-0000-00000E000000}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 shapeId="0" xr:uid="{00000000-0006-0000-0000-00000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 shapeId="0" xr:uid="{00000000-0006-0000-0000-00001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 shapeId="0" xr:uid="{00000000-0006-0000-0000-00001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$0.37      $0.37
    25   $0.31      $7.84
   100   $0.26     $25.96
   250   $0.24     $59.79
   500   $0.22    $112.38
  1000   $0.21    $210.33
  2500   $0.19    $477.75
  5000   $0.18    $889.40</t>
        </r>
      </text>
    </comment>
    <comment ref="P7" authorId="0" shapeId="0" xr:uid="{00000000-0006-0000-0000-000012000000}">
      <text>
        <r>
          <rPr>
            <sz val="8"/>
            <color indexed="81"/>
            <rFont val="Tahoma"/>
            <family val="2"/>
          </rPr>
          <t>Desc: BATT RETAINER COIN 20MM 1CEL SMD</t>
        </r>
      </text>
    </comment>
    <comment ref="M8" authorId="0" shapeId="0" xr:uid="{00000000-0006-0000-0000-000013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$0.10      $1.03
    50   $0.06      $3.08
   100   $0.05      $4.85
   500   $0.04     $17.90
  1000   $0.03     $29.64
  2500   $0.03     $68.97
  5000   $0.03    $126.20</t>
        </r>
      </text>
    </comment>
    <comment ref="P8" authorId="0" shapeId="0" xr:uid="{00000000-0006-0000-0000-000014000000}">
      <text>
        <r>
          <rPr>
            <sz val="8"/>
            <color indexed="81"/>
            <rFont val="Tahoma"/>
            <family val="2"/>
          </rPr>
          <t>Desc: CAP CER 4.7UF 16V X7R 0805
Footprint: 0805 (2012 Metric)
Size: 0.079" L x 0.049" W (2.00mm x 1.25mm)
Temp_coeff: X7R
Tolerance: ±10%
Value: 4.7 µF 
Voltage: 16V</t>
        </r>
      </text>
    </comment>
    <comment ref="M9" authorId="0" shapeId="0" xr:uid="{00000000-0006-0000-0000-000015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$0.38      $0.38
    10   $0.20      $2.04
   100   $0.09      $9.49
   500   $0.09     $43.78
  1000   $0.07     $68.59</t>
        </r>
      </text>
    </comment>
    <comment ref="P9" authorId="0" shapeId="0" xr:uid="{00000000-0006-0000-0000-000016000000}">
      <text>
        <r>
          <rPr>
            <sz val="8"/>
            <color indexed="81"/>
            <rFont val="Tahoma"/>
            <family val="2"/>
          </rPr>
          <t>Desc: TOPLED E 3014
Footprint: 2-SMD, No Lead
Size: 2.75mm L x 1.40mm W</t>
        </r>
      </text>
    </comment>
    <comment ref="M10" authorId="0" shapeId="0" xr:uid="{00000000-0006-0000-0000-000017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$0.36      $3.57
   100   $0.25     $24.82
   500   $0.19     $96.88
  1000   $0.16    $157.48</t>
        </r>
      </text>
    </comment>
    <comment ref="P10" authorId="0" shapeId="0" xr:uid="{00000000-0006-0000-0000-000018000000}">
      <text>
        <r>
          <rPr>
            <sz val="8"/>
            <color indexed="81"/>
            <rFont val="Tahoma"/>
            <family val="2"/>
          </rPr>
          <t>Desc: MOSFET 2N-CH 20V 0.54A SOT26
Footprint: SOT-23-6</t>
        </r>
      </text>
    </comment>
    <comment ref="M11" authorId="0" shapeId="0" xr:uid="{00000000-0006-0000-0000-000019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$0.54
    50   $0.04      $1.77
   100   $0.03      $3.01
   500   $0.02     $10.58
  1000   $0.02     $18.43</t>
        </r>
      </text>
    </comment>
    <comment ref="P11" authorId="0" shapeId="0" xr:uid="{00000000-0006-0000-0000-00001A000000}">
      <text>
        <r>
          <rPr>
            <sz val="8"/>
            <color indexed="81"/>
            <rFont val="Tahoma"/>
            <family val="2"/>
          </rPr>
          <t xml:space="preserve">Desc: RES SMD 10K OHM 1% 1/8W 0805
Footprint: 0805 (2012 Metric)
Power: 0.125W, 1/8W
Size: 0.079" L x 0.049" W (2.00mm x 1.25mm)
Temp_coeff: ±100ppm/°C
Tolerance: ±1%
Value: 10 kOhms </t>
        </r>
      </text>
    </comment>
    <comment ref="M12" authorId="0" shapeId="0" xr:uid="{00000000-0006-0000-0000-00001B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$0.76
   100   $0.01      $1.27
   500   $0.01      $4.33
  1000   $0.01      $7.48
  5000   $0.01     $27.40</t>
        </r>
      </text>
    </comment>
    <comment ref="P12" authorId="0" shapeId="0" xr:uid="{00000000-0006-0000-0000-00001C000000}">
      <text>
        <r>
          <rPr>
            <sz val="8"/>
            <color indexed="81"/>
            <rFont val="Tahoma"/>
            <family val="2"/>
          </rPr>
          <t xml:space="preserve">Desc: RES 56 OHM 1% 1/8W 0805
Footprint: 0805 (2012 Metric)
Power: 0.125W, 1/8W
Size: 0.079" L x 0.049" W (2.00mm x 1.25mm)
Temp_coeff: ±100ppm/°C
Tolerance: ±1%
Value: 56 Ohms </t>
        </r>
      </text>
    </comment>
    <comment ref="M13" authorId="0" shapeId="0" xr:uid="{00000000-0006-0000-0000-00001D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$0.27      $2.73
    25   $0.25      $6.15
    50   $0.23     $11.74
   100   $0.23     $22.72
   250   $0.21     $53.02
   500   $0.19     $96.58
  1000   $0.17    $174.22</t>
        </r>
      </text>
    </comment>
    <comment ref="P13" authorId="0" shapeId="0" xr:uid="{00000000-0006-0000-0000-00001E000000}">
      <text>
        <r>
          <rPr>
            <sz val="8"/>
            <color indexed="81"/>
            <rFont val="Tahoma"/>
            <family val="2"/>
          </rPr>
          <t xml:space="preserve">Desc: TRIMMER 50K OHM 0.1W J LEAD TOP
Power: 0.1W, 1/10W
Size: Rectangular - 0.150" x 0.142" Face (3.80mm x 3.60mm)
Temp_coeff: ±250ppm/°C
Tolerance: ±25%
Value: 50 kOhms </t>
        </r>
      </text>
    </comment>
    <comment ref="M14" authorId="0" shapeId="0" xr:uid="{00000000-0006-0000-0000-00001F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$1.25      $1.25
    10   $1.20     $12.04
    25   $1.13     $28.30
   100   $0.98     $97.80
   250   $0.89    $222.82
   500   $0.83    $414.32
  1000   $0.77    $770.83</t>
        </r>
      </text>
    </comment>
    <comment ref="P14" authorId="0" shapeId="0" xr:uid="{00000000-0006-0000-0000-000020000000}">
      <text>
        <r>
          <rPr>
            <sz val="8"/>
            <color indexed="81"/>
            <rFont val="Tahoma"/>
            <family val="2"/>
          </rPr>
          <t>Desc: SWITCH SLIDE SPDT 100MA 12V</t>
        </r>
      </text>
    </comment>
    <comment ref="M15" authorId="0" shapeId="0" xr:uid="{00000000-0006-0000-0000-000021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$0.30      $0.30
    25   $0.24      $6.00
   100   $0.22     $22.00</t>
        </r>
      </text>
    </comment>
    <comment ref="P15" authorId="0" shapeId="0" xr:uid="{00000000-0006-0000-0000-000022000000}">
      <text>
        <r>
          <rPr>
            <sz val="8"/>
            <color indexed="81"/>
            <rFont val="Tahoma"/>
            <family val="2"/>
          </rPr>
          <t>Desc: IC OPAMP GP 1 CIRCUIT SOT23-5
Footprint: SC-74A, SOT-753</t>
        </r>
      </text>
    </comment>
    <comment ref="K16" authorId="0" shapeId="0" xr:uid="{00000000-0006-0000-0000-000023000000}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M16" authorId="0" shapeId="0" xr:uid="{00000000-0006-0000-0000-000024000000}">
      <text>
        <r>
          <rPr>
            <sz val="8"/>
            <color indexed="81"/>
            <rFont val="Tahoma"/>
            <family val="2"/>
          </rPr>
          <t>Qty/Price Breaks (USD):
  Qty  -  Unit$  -  Ext$
================
  2500   $0.21    $520.52
  5000   $0.19    $973.90
 12500   $0.18  $2,266.88
 25000   $0.17  $4,298.50</t>
        </r>
      </text>
    </comment>
    <comment ref="P16" authorId="0" shapeId="0" xr:uid="{00000000-0006-0000-0000-000025000000}">
      <text>
        <r>
          <rPr>
            <sz val="8"/>
            <color indexed="81"/>
            <rFont val="Tahoma"/>
            <family val="2"/>
          </rPr>
          <t>Desc: IC DECADE COUNTER 10BIT 16SO
Footprint: 16-SOIC (0.154", 3.90mm Width)</t>
        </r>
      </text>
    </comment>
    <comment ref="M17" authorId="0" shapeId="0" xr:uid="{00000000-0006-0000-0000-000026000000}">
      <text>
        <r>
          <rPr>
            <sz val="8"/>
            <color indexed="81"/>
            <rFont val="Tahoma"/>
            <family val="2"/>
          </rPr>
          <t>Qty/Price Breaks (USD):
  Qty  -  Unit$  -  Ext$
================
     1   $2.80      $2.80
    25   $2.47     $61.66
   100   $2.24    $224.22
   250   $1.99    $497.19
   500   $1.91    $952.94
  1000   $1.63  $1,625.60
  2500   $1.51  $3,783.70</t>
        </r>
      </text>
    </comment>
    <comment ref="P17" authorId="0" shapeId="0" xr:uid="{00000000-0006-0000-0000-000027000000}">
      <text>
        <r>
          <rPr>
            <sz val="8"/>
            <color indexed="81"/>
            <rFont val="Tahoma"/>
            <family val="2"/>
          </rPr>
          <t>Desc: CONN BANANA PLUG THRD</t>
        </r>
      </text>
    </comment>
    <comment ref="I19" authorId="0" shapeId="0" xr:uid="{00000000-0006-0000-0000-000028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19" authorId="0" shapeId="0" xr:uid="{00000000-0006-0000-0000-000029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0" authorId="0" shapeId="0" xr:uid="{00000000-0006-0000-0000-00002A000000}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<sst xmlns="http://schemas.openxmlformats.org/spreadsheetml/2006/main" count="99" uniqueCount="90">
  <si>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</si>
  <si>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</si>
  <si>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</si>
  <si>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</si>
  <si>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</si>
  <si>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</si>
  <si>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</si>
  <si>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</si>
  <si>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</si>
  <si>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BT1</t>
  </si>
  <si>
    <t>CR2032</t>
  </si>
  <si>
    <t>CR2032_Keystone_3034</t>
  </si>
  <si>
    <t>Keystone Electronics</t>
  </si>
  <si>
    <t>3034</t>
  </si>
  <si>
    <t>C1</t>
  </si>
  <si>
    <t>4.7μ</t>
  </si>
  <si>
    <t>0805</t>
  </si>
  <si>
    <t>Murata</t>
  </si>
  <si>
    <t>GRM21BR71C475KE51K</t>
  </si>
  <si>
    <t>D1-D13</t>
  </si>
  <si>
    <t>White</t>
  </si>
  <si>
    <t>3014</t>
  </si>
  <si>
    <t>Osram</t>
  </si>
  <si>
    <t>KWDCLMS2.EC-CXCZ-4L7M</t>
  </si>
  <si>
    <t>Q1</t>
  </si>
  <si>
    <t>DMN2004DMK</t>
  </si>
  <si>
    <t>SOT23-6</t>
  </si>
  <si>
    <t>Diodes Inc.</t>
  </si>
  <si>
    <t>R1-R5</t>
  </si>
  <si>
    <t>10k</t>
  </si>
  <si>
    <t>Yageo</t>
  </si>
  <si>
    <t>AF0805FR-0710KL</t>
  </si>
  <si>
    <t>R6-R18</t>
  </si>
  <si>
    <t>56</t>
  </si>
  <si>
    <t>RC0805FR-1056RL</t>
  </si>
  <si>
    <t>RV1</t>
  </si>
  <si>
    <t>0-50k</t>
  </si>
  <si>
    <t>Potentiometer_TC33X-2-204E_NoSilk</t>
  </si>
  <si>
    <t>Bourns Inc.</t>
  </si>
  <si>
    <t>TC33X-2-503E</t>
  </si>
  <si>
    <t>SW1</t>
  </si>
  <si>
    <t>SPDT</t>
  </si>
  <si>
    <t>Slider_Switch_C&amp;K_AYZ0102AGRLC_SPDT_RightAngle_NoSilk</t>
  </si>
  <si>
    <t>C&amp;K</t>
  </si>
  <si>
    <t>AYZ0102AGRLC</t>
  </si>
  <si>
    <t>U1</t>
  </si>
  <si>
    <t>MCP6001T</t>
  </si>
  <si>
    <t>Microchip</t>
  </si>
  <si>
    <t>MCP6001T-I/OT</t>
  </si>
  <si>
    <t>U2#1</t>
  </si>
  <si>
    <t>HEF4017BT - p1/2</t>
  </si>
  <si>
    <t>16-SOIC, 3.9x9.9mm, Pitch 1.27mm</t>
  </si>
  <si>
    <t>Nexperia</t>
  </si>
  <si>
    <t>HEF4017BT</t>
  </si>
  <si>
    <t>U2#2</t>
  </si>
  <si>
    <t>HEF4017BT - p2/2</t>
  </si>
  <si>
    <t>653</t>
  </si>
  <si>
    <t>Digi-Key</t>
  </si>
  <si>
    <t>Avail</t>
  </si>
  <si>
    <t>Purch</t>
  </si>
  <si>
    <t>MOQ</t>
  </si>
  <si>
    <t>Cat#</t>
  </si>
  <si>
    <t>36-3034-ND</t>
  </si>
  <si>
    <t>490-GRM21BR71C475KE51KCT-ND</t>
  </si>
  <si>
    <t>475-KWDCLMS2.EC-CXCZ-4L7M-1-20-R18CT-ND</t>
  </si>
  <si>
    <t>DMN2004DMKDICT-ND</t>
  </si>
  <si>
    <t>13-AF0805FR-0710KLCT-ND</t>
  </si>
  <si>
    <t>13-RC0805FR-1056RLCT-ND</t>
  </si>
  <si>
    <t>TC33X-503ECT-ND</t>
  </si>
  <si>
    <t>401-2012-1-ND</t>
  </si>
  <si>
    <t>MCP6001T-I/OTCT-ND</t>
  </si>
  <si>
    <t>1727-HEF4017BT-Q100JTR-ND</t>
  </si>
  <si>
    <t>NonStk</t>
  </si>
  <si>
    <t>36-653-ND</t>
  </si>
  <si>
    <t>Buy here</t>
  </si>
  <si>
    <t>Total Purchase:</t>
  </si>
  <si>
    <t>Purchase description:</t>
  </si>
  <si>
    <t>Prj:</t>
  </si>
  <si>
    <t>Snowflake</t>
  </si>
  <si>
    <t>Co.:</t>
  </si>
  <si>
    <t>Prj date:</t>
  </si>
  <si>
    <t>08/11/2023 13:36:20</t>
  </si>
  <si>
    <t>Board Qty:</t>
  </si>
  <si>
    <t>Total Cost:</t>
  </si>
  <si>
    <t>Unit Cost:</t>
  </si>
  <si>
    <t>$ date:</t>
  </si>
  <si>
    <t>2023-11-08 13:36:46</t>
  </si>
  <si>
    <t>KiCost® v1.1.18</t>
  </si>
  <si>
    <t>Tengo</t>
  </si>
  <si>
    <t>Contingency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</si>
</sst>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0"/>
  </numFmts>
  <fonts count="11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</cellXfs>
  <cellStyles count="2">
    <cellStyle name="Hyperlink" xfId="1" builtinId="8"/>
    <cellStyle name="Normal" xfId="0" builtinId="0"/>
  </cellStyles>
  <dxfs count="10"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805FR-1056RL/14286374" TargetMode="External"/><Relationship Id="rId13" Type="http://schemas.openxmlformats.org/officeDocument/2006/relationships/hyperlink" Target="https://ww1.microchip.com/downloads/en/DeviceDoc/MCP6001-1R-1U-2-4-1-MHz-Low-Power-Op-Amp-DS20001733L.pdf" TargetMode="External"/><Relationship Id="rId18" Type="http://schemas.openxmlformats.org/officeDocument/2006/relationships/hyperlink" Target="https://www.digikey.com/en/products/detail/keystone-electronics/653/316566" TargetMode="External"/><Relationship Id="rId3" Type="http://schemas.openxmlformats.org/officeDocument/2006/relationships/hyperlink" Target="https://dammedia.osram.info/media/resource/hires/osram-dam-16984996/KW%20DCLMS2.EC_EN.pdf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digikey.com/en/products/detail/yageo/AF0805FR-0710KL/5901208" TargetMode="External"/><Relationship Id="rId12" Type="http://schemas.openxmlformats.org/officeDocument/2006/relationships/hyperlink" Target="https://www.digikey.com/en/products/detail/c-k/AYZ0102AGRLC/1640108" TargetMode="External"/><Relationship Id="rId17" Type="http://schemas.openxmlformats.org/officeDocument/2006/relationships/hyperlink" Target="https://assets.nexperia.com/documents/data-sheet/HEF4017B.pdf" TargetMode="External"/><Relationship Id="rId2" Type="http://schemas.openxmlformats.org/officeDocument/2006/relationships/hyperlink" Target="https://www.digikey.com/en/products/detail/murata-electronics/GRM21BR71C475KE51K/8346263" TargetMode="External"/><Relationship Id="rId16" Type="http://schemas.openxmlformats.org/officeDocument/2006/relationships/hyperlink" Target="https://www.digikey.com/en/products/detail/nexperia-usa-inc/HEF4017BT-Q100J/5169993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digikey.com/en/products/detail/keystone-electronics/3034/4499289" TargetMode="External"/><Relationship Id="rId6" Type="http://schemas.openxmlformats.org/officeDocument/2006/relationships/hyperlink" Target="https://www.digikey.com/en/products/detail/diodes-incorporated/DMN2004DMK-7/1287178" TargetMode="External"/><Relationship Id="rId11" Type="http://schemas.openxmlformats.org/officeDocument/2006/relationships/hyperlink" Target="https://www.ckswitches.com/media/1431/ayz.pdf" TargetMode="External"/><Relationship Id="rId5" Type="http://schemas.openxmlformats.org/officeDocument/2006/relationships/hyperlink" Target="https://www.diodes.com/assets/Datasheets/ds30937.pdf~" TargetMode="External"/><Relationship Id="rId15" Type="http://schemas.openxmlformats.org/officeDocument/2006/relationships/hyperlink" Target="https://assets.nexperia.com/documents/data-sheet/HEF4017B.pdf" TargetMode="External"/><Relationship Id="rId10" Type="http://schemas.openxmlformats.org/officeDocument/2006/relationships/hyperlink" Target="https://www.digikey.com/en/products/detail/bourns-inc/TC33X-2-503E/612862" TargetMode="External"/><Relationship Id="rId19" Type="http://schemas.openxmlformats.org/officeDocument/2006/relationships/hyperlink" Target="https://www.digikey.com/ordering/shoppingcart" TargetMode="External"/><Relationship Id="rId4" Type="http://schemas.openxmlformats.org/officeDocument/2006/relationships/hyperlink" Target="https://www.digikey.com/en/products/detail/ams-osram-usa-inc/KW-DCLMS2-EC-CXCZ-4L7M-1-20-R18/13679454" TargetMode="External"/><Relationship Id="rId9" Type="http://schemas.openxmlformats.org/officeDocument/2006/relationships/hyperlink" Target="https://www.bourns.com/docs/Product-Datasheets/TC33.pdf" TargetMode="External"/><Relationship Id="rId14" Type="http://schemas.openxmlformats.org/officeDocument/2006/relationships/hyperlink" Target="https://www.digikey.com/en/products/detail/microchip-technology/MCP6001T-I-OT/551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pane xSplit="10" ySplit="6" topLeftCell="K7" activePane="bottomRight" state="frozen"/>
      <selection pane="topRight" activeCell="I1" sqref="I1"/>
      <selection pane="bottomLeft" activeCell="A7" sqref="A7"/>
      <selection pane="bottomRight" activeCell="G12" sqref="G12"/>
    </sheetView>
  </sheetViews>
  <sheetFormatPr defaultRowHeight="15" outlineLevelCol="3" x14ac:dyDescent="0.25"/>
  <cols>
    <col min="2" max="2" width="17.7109375" customWidth="1"/>
    <col min="3" max="3" width="33.7109375" customWidth="1" outlineLevel="2"/>
    <col min="4" max="4" width="21.7109375" customWidth="1" outlineLevel="1"/>
    <col min="5" max="7" width="22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8.7109375" customWidth="1" outlineLevel="2"/>
  </cols>
  <sheetData>
    <row r="1" spans="1:16" ht="17.25" x14ac:dyDescent="0.3">
      <c r="A1" s="1" t="s">
        <v>77</v>
      </c>
      <c r="B1" s="2" t="s">
        <v>78</v>
      </c>
      <c r="I1" s="3" t="s">
        <v>82</v>
      </c>
      <c r="J1" s="3">
        <v>12</v>
      </c>
    </row>
    <row r="2" spans="1:16" ht="17.25" x14ac:dyDescent="0.25">
      <c r="A2" s="1" t="s">
        <v>79</v>
      </c>
      <c r="B2" s="2"/>
      <c r="I2" s="1" t="s">
        <v>84</v>
      </c>
      <c r="J2" s="4">
        <f>TotalCost/BoardQty</f>
        <v>6.9727999999999994</v>
      </c>
    </row>
    <row r="3" spans="1:16" ht="17.25" x14ac:dyDescent="0.25">
      <c r="A3" s="1" t="s">
        <v>80</v>
      </c>
      <c r="B3" s="2" t="s">
        <v>81</v>
      </c>
      <c r="I3" s="1" t="s">
        <v>83</v>
      </c>
      <c r="J3" s="5">
        <f>SUM(J7:J17)</f>
        <v>83.673599999999993</v>
      </c>
      <c r="O3" s="5">
        <f>SUM(O7:O17)</f>
        <v>76.849500000000006</v>
      </c>
      <c r="P3" s="6" t="str">
        <f>(COUNTA(O7:O17)&amp;" of "&amp;ROWS(O7:O17)&amp;" parts found")</f>
        <v>11 of 11 parts found</v>
      </c>
    </row>
    <row r="4" spans="1:16" ht="17.25" x14ac:dyDescent="0.25">
      <c r="A4" s="1" t="s">
        <v>85</v>
      </c>
      <c r="B4" s="2" t="s">
        <v>86</v>
      </c>
    </row>
    <row r="5" spans="1:16" ht="18.75" x14ac:dyDescent="0.25">
      <c r="A5" s="14" t="s">
        <v>0</v>
      </c>
      <c r="B5" s="14"/>
      <c r="C5" s="14"/>
      <c r="D5" s="14"/>
      <c r="E5" s="14"/>
      <c r="F5" s="14"/>
      <c r="G5" s="14"/>
      <c r="H5" s="14"/>
      <c r="I5" s="14"/>
      <c r="J5" s="14"/>
      <c r="K5" s="15" t="s">
        <v>57</v>
      </c>
      <c r="L5" s="15"/>
      <c r="M5" s="15"/>
      <c r="N5" s="15"/>
      <c r="O5" s="15"/>
      <c r="P5" s="15"/>
    </row>
    <row r="6" spans="1:16" ht="15.7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88</v>
      </c>
      <c r="G6" s="7" t="s">
        <v>89</v>
      </c>
      <c r="H6" s="7" t="s">
        <v>6</v>
      </c>
      <c r="I6" s="7" t="s">
        <v>7</v>
      </c>
      <c r="J6" s="7" t="s">
        <v>8</v>
      </c>
      <c r="K6" s="7" t="s">
        <v>58</v>
      </c>
      <c r="L6" s="7" t="s">
        <v>59</v>
      </c>
      <c r="M6" s="7" t="s">
        <v>7</v>
      </c>
      <c r="N6" s="7" t="s">
        <v>60</v>
      </c>
      <c r="O6" s="7" t="s">
        <v>8</v>
      </c>
      <c r="P6" s="7" t="s">
        <v>61</v>
      </c>
    </row>
    <row r="7" spans="1:16" x14ac:dyDescent="0.25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>
        <v>2</v>
      </c>
      <c r="G7" s="8">
        <v>1</v>
      </c>
      <c r="H7" s="8">
        <f>CEILING(BoardQty*1,1)</f>
        <v>12</v>
      </c>
      <c r="I7" s="9">
        <f t="shared" ref="I7:I17" si="0">IF(MIN(M7)&lt;&gt;0,MIN(M7),"")</f>
        <v>0.37</v>
      </c>
      <c r="J7" s="10">
        <f t="shared" ref="J7:J17" si="1">IF(AND(ISNUMBER(H7),ISNUMBER(I7)),H7*I7,"")</f>
        <v>4.4399999999999995</v>
      </c>
      <c r="K7" s="8">
        <v>22324</v>
      </c>
      <c r="L7" s="8">
        <f>H7+G7-F7</f>
        <v>11</v>
      </c>
      <c r="M7" s="9">
        <f>IFERROR(IF(OR(L7&gt;=N7,H7&gt;=N7),LOOKUP(IF(L7="",H7,L7),{0,1,25,100,250,500,1000,2500,5000},{0,0.37,0.3136,0.2596,0.23916,0.22476,0.21033,0.1911,0.17788}),"MOQ="&amp;N7),"")</f>
        <v>0.37</v>
      </c>
      <c r="N7" s="8">
        <v>1</v>
      </c>
      <c r="O7" s="10">
        <f t="shared" ref="O7:O17" si="2">IFERROR(IF(L7="",H7,L7)*M7,"")</f>
        <v>4.07</v>
      </c>
      <c r="P7" s="8" t="s">
        <v>62</v>
      </c>
    </row>
    <row r="8" spans="1:16" ht="30" x14ac:dyDescent="0.25">
      <c r="A8" s="8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>
        <v>12</v>
      </c>
      <c r="G8" s="8"/>
      <c r="H8" s="8">
        <f>CEILING(BoardQty*1,1)</f>
        <v>12</v>
      </c>
      <c r="I8" s="9" t="str">
        <f t="shared" si="0"/>
        <v/>
      </c>
      <c r="J8" s="10" t="str">
        <f t="shared" si="1"/>
        <v/>
      </c>
      <c r="K8" s="8">
        <v>86626</v>
      </c>
      <c r="L8" s="8">
        <f t="shared" ref="L8:L17" si="3">H8+G8-F8</f>
        <v>0</v>
      </c>
      <c r="M8" s="9">
        <f>IFERROR(IF(OR(L8&gt;=N8,H8&gt;=N8),LOOKUP(IF(L8="",H8,L8),{0,1,10,50,100,500,1000,2500,5000},{0,0.15,0.103,0.0616,0.0485,0.0358,0.02964,0.02759,0.02524}),"MOQ="&amp;N8),"")</f>
        <v>0</v>
      </c>
      <c r="N8" s="8">
        <v>1</v>
      </c>
      <c r="O8" s="10">
        <f t="shared" si="2"/>
        <v>0</v>
      </c>
      <c r="P8" s="8" t="s">
        <v>63</v>
      </c>
    </row>
    <row r="9" spans="1:16" ht="30" customHeight="1" x14ac:dyDescent="0.25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>
        <v>25</v>
      </c>
      <c r="G9" s="8">
        <v>10</v>
      </c>
      <c r="H9" s="8">
        <f>CEILING(BoardQty*13,1)</f>
        <v>156</v>
      </c>
      <c r="I9" s="9">
        <f t="shared" si="0"/>
        <v>9.4899999999999998E-2</v>
      </c>
      <c r="J9" s="10">
        <f t="shared" si="1"/>
        <v>14.804399999999999</v>
      </c>
      <c r="K9" s="8">
        <v>1122</v>
      </c>
      <c r="L9" s="8">
        <f t="shared" si="3"/>
        <v>141</v>
      </c>
      <c r="M9" s="9">
        <f>IFERROR(IF(OR(L9&gt;=N9,H9&gt;=N9),LOOKUP(IF(L9="",H9,L9),{0,1,10,100,500,1000},{0,0.38,0.204,0.0949,0.08756,0.06859}),"MOQ="&amp;N9),"")</f>
        <v>9.4899999999999998E-2</v>
      </c>
      <c r="N9" s="8">
        <v>1</v>
      </c>
      <c r="O9" s="10">
        <f t="shared" si="2"/>
        <v>13.3809</v>
      </c>
      <c r="P9" s="8" t="s">
        <v>64</v>
      </c>
    </row>
    <row r="10" spans="1:16" x14ac:dyDescent="0.25">
      <c r="A10" s="8" t="s">
        <v>24</v>
      </c>
      <c r="B10" s="8" t="s">
        <v>25</v>
      </c>
      <c r="C10" s="8" t="s">
        <v>26</v>
      </c>
      <c r="D10" s="8" t="s">
        <v>27</v>
      </c>
      <c r="E10" s="8" t="s">
        <v>25</v>
      </c>
      <c r="F10" s="8">
        <v>6</v>
      </c>
      <c r="G10" s="8">
        <v>5</v>
      </c>
      <c r="H10" s="8">
        <f>CEILING(BoardQty*1,1)</f>
        <v>12</v>
      </c>
      <c r="I10" s="9">
        <f t="shared" si="0"/>
        <v>0.35699999999999998</v>
      </c>
      <c r="J10" s="10">
        <f t="shared" si="1"/>
        <v>4.2839999999999998</v>
      </c>
      <c r="K10" s="8">
        <v>204723</v>
      </c>
      <c r="L10" s="8">
        <f t="shared" si="3"/>
        <v>11</v>
      </c>
      <c r="M10" s="9">
        <f>IFERROR(IF(OR(L10&gt;=N10,H10&gt;=N10),LOOKUP(IF(L10="",H10,L10),{0,1,10,100,500,1000},{0,0.42,0.357,0.2482,0.19376,0.15748}),"MOQ="&amp;N10),"")</f>
        <v>0.35699999999999998</v>
      </c>
      <c r="N10" s="8">
        <v>1</v>
      </c>
      <c r="O10" s="10">
        <f t="shared" si="2"/>
        <v>3.9269999999999996</v>
      </c>
      <c r="P10" s="8" t="s">
        <v>65</v>
      </c>
    </row>
    <row r="11" spans="1:16" x14ac:dyDescent="0.25">
      <c r="A11" s="8" t="s">
        <v>28</v>
      </c>
      <c r="B11" s="8" t="s">
        <v>29</v>
      </c>
      <c r="C11" s="8" t="s">
        <v>16</v>
      </c>
      <c r="D11" s="8" t="s">
        <v>30</v>
      </c>
      <c r="E11" s="8" t="s">
        <v>31</v>
      </c>
      <c r="F11" s="8">
        <v>50</v>
      </c>
      <c r="G11" s="8">
        <v>10</v>
      </c>
      <c r="H11" s="8">
        <f>CEILING(BoardQty*5,1)</f>
        <v>60</v>
      </c>
      <c r="I11" s="9">
        <f t="shared" si="0"/>
        <v>5.3999999999999999E-2</v>
      </c>
      <c r="J11" s="10">
        <f t="shared" si="1"/>
        <v>3.2399999999999998</v>
      </c>
      <c r="K11" s="8">
        <v>26454</v>
      </c>
      <c r="L11" s="8">
        <f t="shared" si="3"/>
        <v>20</v>
      </c>
      <c r="M11" s="9">
        <f>IFERROR(IF(OR(L11&gt;=N11,H11&gt;=N11),LOOKUP(IF(L11="",H11,L11),{0,1,10,50,100,500,1000},{0,0.11,0.054,0.0354,0.0301,0.02116,0.01843}),"MOQ="&amp;N11),"")</f>
        <v>5.3999999999999999E-2</v>
      </c>
      <c r="N11" s="8">
        <v>1</v>
      </c>
      <c r="O11" s="10">
        <f t="shared" si="2"/>
        <v>1.08</v>
      </c>
      <c r="P11" s="8" t="s">
        <v>66</v>
      </c>
    </row>
    <row r="12" spans="1:16" x14ac:dyDescent="0.25">
      <c r="A12" s="8" t="s">
        <v>32</v>
      </c>
      <c r="B12" s="8" t="s">
        <v>33</v>
      </c>
      <c r="C12" s="8" t="s">
        <v>16</v>
      </c>
      <c r="D12" s="8" t="s">
        <v>30</v>
      </c>
      <c r="E12" s="8" t="s">
        <v>34</v>
      </c>
      <c r="F12" s="8">
        <v>28</v>
      </c>
      <c r="G12" s="8">
        <v>10</v>
      </c>
      <c r="H12" s="8">
        <f>CEILING(BoardQty*13,1)</f>
        <v>156</v>
      </c>
      <c r="I12" s="9">
        <f t="shared" si="0"/>
        <v>1.2699999999999999E-2</v>
      </c>
      <c r="J12" s="10">
        <f t="shared" si="1"/>
        <v>1.9811999999999999</v>
      </c>
      <c r="K12" s="8">
        <v>21690</v>
      </c>
      <c r="L12" s="8">
        <f t="shared" si="3"/>
        <v>138</v>
      </c>
      <c r="M12" s="9">
        <f>IFERROR(IF(OR(L12&gt;=N12,H12&gt;=N12),LOOKUP(IF(L12="",H12,L12),{0,1,10,50,100,500,1000,5000},{0,0.1,0.024,0.0152,0.0127,0.00866,0.00748,0.00548}),"MOQ="&amp;N12),"")</f>
        <v>1.2699999999999999E-2</v>
      </c>
      <c r="N12" s="8">
        <v>1</v>
      </c>
      <c r="O12" s="10">
        <f t="shared" si="2"/>
        <v>1.7525999999999999</v>
      </c>
      <c r="P12" s="8" t="s">
        <v>67</v>
      </c>
    </row>
    <row r="13" spans="1:16" ht="30" customHeight="1" x14ac:dyDescent="0.25">
      <c r="A13" s="8" t="s">
        <v>35</v>
      </c>
      <c r="B13" s="8" t="s">
        <v>36</v>
      </c>
      <c r="C13" s="8" t="s">
        <v>37</v>
      </c>
      <c r="D13" s="8" t="s">
        <v>38</v>
      </c>
      <c r="E13" s="8" t="s">
        <v>39</v>
      </c>
      <c r="F13" s="8">
        <v>0</v>
      </c>
      <c r="G13" s="8">
        <v>3</v>
      </c>
      <c r="H13" s="8">
        <f>CEILING(BoardQty*1,1)</f>
        <v>12</v>
      </c>
      <c r="I13" s="9">
        <f t="shared" si="0"/>
        <v>0.27300000000000002</v>
      </c>
      <c r="J13" s="10">
        <f t="shared" si="1"/>
        <v>3.2760000000000002</v>
      </c>
      <c r="K13" s="8">
        <v>4117</v>
      </c>
      <c r="L13" s="8">
        <f t="shared" si="3"/>
        <v>15</v>
      </c>
      <c r="M13" s="9">
        <f>IFERROR(IF(OR(L13&gt;=N13,H13&gt;=N13),LOOKUP(IF(L13="",H13,L13),{0,1,10,25,50,100,250,500,1000},{0,0.28,0.273,0.246,0.2348,0.2272,0.21208,0.19316,0.17422}),"MOQ="&amp;N13),"")</f>
        <v>0.27300000000000002</v>
      </c>
      <c r="N13" s="8">
        <v>1</v>
      </c>
      <c r="O13" s="10">
        <f t="shared" si="2"/>
        <v>4.0950000000000006</v>
      </c>
      <c r="P13" s="8" t="s">
        <v>68</v>
      </c>
    </row>
    <row r="14" spans="1:16" ht="30" customHeight="1" x14ac:dyDescent="0.25">
      <c r="A14" s="8" t="s">
        <v>40</v>
      </c>
      <c r="B14" s="8" t="s">
        <v>41</v>
      </c>
      <c r="C14" s="8" t="s">
        <v>42</v>
      </c>
      <c r="D14" s="8" t="s">
        <v>43</v>
      </c>
      <c r="E14" s="8" t="s">
        <v>44</v>
      </c>
      <c r="F14" s="8">
        <v>2</v>
      </c>
      <c r="G14" s="8">
        <v>1</v>
      </c>
      <c r="H14" s="8">
        <f>CEILING(BoardQty*1,1)</f>
        <v>12</v>
      </c>
      <c r="I14" s="9">
        <f t="shared" si="0"/>
        <v>1.204</v>
      </c>
      <c r="J14" s="10">
        <f t="shared" si="1"/>
        <v>14.448</v>
      </c>
      <c r="K14" s="8">
        <v>9370</v>
      </c>
      <c r="L14" s="8">
        <f t="shared" si="3"/>
        <v>11</v>
      </c>
      <c r="M14" s="9">
        <f>IFERROR(IF(OR(L14&gt;=N14,H14&gt;=N14),LOOKUP(IF(L14="",H14,L14),{0,1,10,25,100,250,500,1000},{0,1.25,1.204,1.132,0.978,0.89128,0.82864,0.77083}),"MOQ="&amp;N14),"")</f>
        <v>1.204</v>
      </c>
      <c r="N14" s="8">
        <v>1</v>
      </c>
      <c r="O14" s="10">
        <f t="shared" si="2"/>
        <v>13.244</v>
      </c>
      <c r="P14" s="8" t="s">
        <v>69</v>
      </c>
    </row>
    <row r="15" spans="1:16" x14ac:dyDescent="0.25">
      <c r="A15" s="8" t="s">
        <v>45</v>
      </c>
      <c r="B15" s="8" t="s">
        <v>46</v>
      </c>
      <c r="C15" s="8" t="s">
        <v>26</v>
      </c>
      <c r="D15" s="8" t="s">
        <v>47</v>
      </c>
      <c r="E15" s="8" t="s">
        <v>48</v>
      </c>
      <c r="F15" s="8">
        <v>0</v>
      </c>
      <c r="G15" s="8">
        <v>3</v>
      </c>
      <c r="H15" s="8">
        <f>CEILING(BoardQty*1,1)</f>
        <v>12</v>
      </c>
      <c r="I15" s="9">
        <f t="shared" si="0"/>
        <v>0.3</v>
      </c>
      <c r="J15" s="10">
        <f t="shared" si="1"/>
        <v>3.5999999999999996</v>
      </c>
      <c r="K15" s="8">
        <v>34720</v>
      </c>
      <c r="L15" s="8">
        <f t="shared" si="3"/>
        <v>15</v>
      </c>
      <c r="M15" s="9">
        <f>IFERROR(IF(OR(L15&gt;=N15,H15&gt;=N15),LOOKUP(IF(L15="",H15,L15),{0,1,25,100},{0,0.3,0.24,0.22}),"MOQ="&amp;N15),"")</f>
        <v>0.3</v>
      </c>
      <c r="N15" s="8">
        <v>1</v>
      </c>
      <c r="O15" s="10">
        <f t="shared" si="2"/>
        <v>4.5</v>
      </c>
      <c r="P15" s="8" t="s">
        <v>70</v>
      </c>
    </row>
    <row r="16" spans="1:16" x14ac:dyDescent="0.25">
      <c r="A16" s="8" t="s">
        <v>49</v>
      </c>
      <c r="B16" s="8" t="s">
        <v>50</v>
      </c>
      <c r="C16" s="8" t="s">
        <v>51</v>
      </c>
      <c r="D16" s="8" t="s">
        <v>52</v>
      </c>
      <c r="E16" s="8" t="s">
        <v>53</v>
      </c>
      <c r="F16" s="8">
        <v>1</v>
      </c>
      <c r="G16" s="8">
        <v>3</v>
      </c>
      <c r="H16" s="8">
        <f>CEILING(BoardQty*1,1)</f>
        <v>12</v>
      </c>
      <c r="I16" s="9" t="str">
        <f t="shared" si="0"/>
        <v/>
      </c>
      <c r="J16" s="10" t="str">
        <f t="shared" si="1"/>
        <v/>
      </c>
      <c r="K16" s="11" t="s">
        <v>72</v>
      </c>
      <c r="L16" s="8">
        <f t="shared" si="3"/>
        <v>14</v>
      </c>
      <c r="M16" s="9" t="str">
        <f>IFERROR(IF(OR(L16&gt;=N16,H16&gt;=N16),LOOKUP(IF(L16="",H16,L16),{0,1,2500,5000,12500,25000},{0,0.20821,0.20821,0.19478,0.18135,0.17194}),"MOQ="&amp;N16),"")</f>
        <v>MOQ=2500</v>
      </c>
      <c r="N16" s="8">
        <v>2500</v>
      </c>
      <c r="O16" s="10" t="str">
        <f t="shared" si="2"/>
        <v/>
      </c>
      <c r="P16" s="8" t="s">
        <v>71</v>
      </c>
    </row>
    <row r="17" spans="1:16" x14ac:dyDescent="0.25">
      <c r="A17" s="8" t="s">
        <v>54</v>
      </c>
      <c r="B17" s="8" t="s">
        <v>55</v>
      </c>
      <c r="C17" s="8" t="s">
        <v>51</v>
      </c>
      <c r="D17" s="8" t="s">
        <v>52</v>
      </c>
      <c r="E17" s="8" t="s">
        <v>56</v>
      </c>
      <c r="F17" s="8">
        <v>1</v>
      </c>
      <c r="G17" s="8"/>
      <c r="H17" s="8">
        <f>CEILING(BoardQty*1,1)</f>
        <v>12</v>
      </c>
      <c r="I17" s="9">
        <f t="shared" si="0"/>
        <v>2.8</v>
      </c>
      <c r="J17" s="10">
        <f t="shared" si="1"/>
        <v>33.599999999999994</v>
      </c>
      <c r="K17" s="8">
        <v>1914</v>
      </c>
      <c r="L17" s="8">
        <f t="shared" si="3"/>
        <v>11</v>
      </c>
      <c r="M17" s="9">
        <f>IFERROR(IF(OR(L17&gt;=N17,H17&gt;=N17),LOOKUP(IF(L17="",H17,L17),{0,1,25,100,250,500,1000,2500},{0,2.8,2.4664,2.2422,1.98876,1.90588,1.6256,1.51348}),"MOQ="&amp;N17),"")</f>
        <v>2.8</v>
      </c>
      <c r="N17" s="8">
        <v>1</v>
      </c>
      <c r="O17" s="10">
        <f t="shared" si="2"/>
        <v>30.799999999999997</v>
      </c>
      <c r="P17" s="8" t="s">
        <v>73</v>
      </c>
    </row>
    <row r="19" spans="1:16" ht="17.25" x14ac:dyDescent="0.25">
      <c r="I19" s="1" t="s">
        <v>75</v>
      </c>
      <c r="J19" s="5">
        <f>SUM(O19)</f>
        <v>76.849500000000006</v>
      </c>
      <c r="K19" s="12" t="s">
        <v>74</v>
      </c>
      <c r="L19" s="6" t="str">
        <f>IFERROR(IF(COUNTIF(L7:L17,"&gt;0")&gt;0,COUNTIF(L7:L17,"&gt;0")&amp;" of "&amp;(ROWS(N7:N17)-COUNTBLANK(N7:N17))&amp;" parts purchased",""),"")</f>
        <v>10 of 11 parts purchased</v>
      </c>
      <c r="O19" s="5">
        <f>SUMIF(L7:L17,"&gt;0",O7:O17)</f>
        <v>76.849500000000006</v>
      </c>
    </row>
    <row r="20" spans="1:16" ht="15.75" x14ac:dyDescent="0.25">
      <c r="A20" s="2" t="s">
        <v>87</v>
      </c>
      <c r="I20" s="13" t="s">
        <v>76</v>
      </c>
      <c r="L20" s="16" t="str">
        <f>CONCATENATE(L32,L33,L34,L35,L36,L37,L38,L39,L40,L41,L42)</f>
        <v xml:space="preserve">11,36-3034-ND,BT1
141,475-KWDCLMS2.EC-CXCZ-4L7M-1-20-R18CT-ND,D1-D13
11,DMN2004DMKDICT-ND,Q1
20,13-AF0805FR-0710KLCT-ND,R1-R5
138,13-RC0805FR-1056RLCT-ND,R6-R18
15,TC33X-503ECT-ND,RV1
11,401-2012-1-ND,SW1
15,MCP6001T-I/OTCT-ND,U1
11,36-653-ND,U2#2
</v>
      </c>
      <c r="M20" s="17"/>
      <c r="N20" s="17"/>
      <c r="O20" s="17"/>
    </row>
    <row r="21" spans="1:16" x14ac:dyDescent="0.25">
      <c r="L21" s="17"/>
      <c r="M21" s="17"/>
      <c r="N21" s="17"/>
      <c r="O21" s="17"/>
    </row>
    <row r="22" spans="1:16" x14ac:dyDescent="0.25">
      <c r="L22" s="17"/>
      <c r="M22" s="17"/>
      <c r="N22" s="17"/>
      <c r="O22" s="17"/>
    </row>
    <row r="23" spans="1:16" x14ac:dyDescent="0.25">
      <c r="L23" s="17"/>
      <c r="M23" s="17"/>
      <c r="N23" s="17"/>
      <c r="O23" s="17"/>
    </row>
    <row r="24" spans="1:16" x14ac:dyDescent="0.25">
      <c r="L24" s="17"/>
      <c r="M24" s="17"/>
      <c r="N24" s="17"/>
      <c r="O24" s="17"/>
    </row>
    <row r="25" spans="1:16" x14ac:dyDescent="0.25">
      <c r="L25" s="17"/>
      <c r="M25" s="17"/>
      <c r="N25" s="17"/>
      <c r="O25" s="17"/>
    </row>
    <row r="26" spans="1:16" x14ac:dyDescent="0.25">
      <c r="L26" s="17"/>
      <c r="M26" s="17"/>
      <c r="N26" s="17"/>
      <c r="O26" s="17"/>
    </row>
    <row r="27" spans="1:16" x14ac:dyDescent="0.25">
      <c r="L27" s="17"/>
      <c r="M27" s="17"/>
      <c r="N27" s="17"/>
      <c r="O27" s="17"/>
    </row>
    <row r="28" spans="1:16" x14ac:dyDescent="0.25">
      <c r="L28" s="17"/>
      <c r="M28" s="17"/>
      <c r="N28" s="17"/>
      <c r="O28" s="17"/>
    </row>
    <row r="29" spans="1:16" x14ac:dyDescent="0.25">
      <c r="L29" s="17"/>
      <c r="M29" s="17"/>
      <c r="N29" s="17"/>
      <c r="O29" s="17"/>
    </row>
    <row r="30" spans="1:16" x14ac:dyDescent="0.25">
      <c r="L30" s="17"/>
      <c r="M30" s="17"/>
      <c r="N30" s="17"/>
      <c r="O30" s="17"/>
    </row>
    <row r="31" spans="1:16" x14ac:dyDescent="0.25">
      <c r="L31" s="17"/>
      <c r="M31" s="17"/>
      <c r="N31" s="17"/>
      <c r="O31" s="17"/>
    </row>
    <row r="32" spans="1:16" ht="30" hidden="1" customHeight="1" x14ac:dyDescent="0.25">
      <c r="L32" t="str">
        <f t="array" ref="L32:L42">IF(ISNUMBER(L7:L17)*(L7:L17&gt;=N7:N17)*(P7:P17&lt;&gt;""),TEXT(ROUNDUP(L7:L17/IF(ISNUMBER(N7:N17),N7:N17,1),0)*N7:N17,"##0")&amp;","&amp;P7:P17&amp;","&amp;SUBSTITUTE(SUBSTITUTE(IF(PURCHASE_DESCRIPTION&lt;&gt;"",PURCHASE_DESCRIPTION&amp;":","")&amp;A7:A17,",",";"),"
"," ")&amp;CHAR(10),"")</f>
        <v xml:space="preserve">11,36-3034-ND,BT1
</v>
      </c>
    </row>
    <row r="33" spans="12:12" ht="30" hidden="1" customHeight="1" x14ac:dyDescent="0.25">
      <c r="L33" t="str">
        <v/>
      </c>
    </row>
    <row r="34" spans="12:12" ht="30" hidden="1" customHeight="1" x14ac:dyDescent="0.25">
      <c r="L34" t="str">
        <v xml:space="preserve">141,475-KWDCLMS2.EC-CXCZ-4L7M-1-20-R18CT-ND,D1-D13
</v>
      </c>
    </row>
    <row r="35" spans="12:12" ht="30" hidden="1" customHeight="1" x14ac:dyDescent="0.25">
      <c r="L35" t="str">
        <v xml:space="preserve">11,DMN2004DMKDICT-ND,Q1
</v>
      </c>
    </row>
    <row r="36" spans="12:12" ht="30" hidden="1" customHeight="1" x14ac:dyDescent="0.25">
      <c r="L36" t="str">
        <v xml:space="preserve">20,13-AF0805FR-0710KLCT-ND,R1-R5
</v>
      </c>
    </row>
    <row r="37" spans="12:12" ht="30" hidden="1" customHeight="1" x14ac:dyDescent="0.25">
      <c r="L37" t="str">
        <v xml:space="preserve">138,13-RC0805FR-1056RLCT-ND,R6-R18
</v>
      </c>
    </row>
    <row r="38" spans="12:12" ht="30" hidden="1" customHeight="1" x14ac:dyDescent="0.25">
      <c r="L38" t="str">
        <v xml:space="preserve">15,TC33X-503ECT-ND,RV1
</v>
      </c>
    </row>
    <row r="39" spans="12:12" ht="30" hidden="1" customHeight="1" x14ac:dyDescent="0.25">
      <c r="L39" t="str">
        <v xml:space="preserve">11,401-2012-1-ND,SW1
</v>
      </c>
    </row>
    <row r="40" spans="12:12" ht="30" hidden="1" customHeight="1" x14ac:dyDescent="0.25">
      <c r="L40" t="str">
        <v xml:space="preserve">15,MCP6001T-I/OTCT-ND,U1
</v>
      </c>
    </row>
    <row r="41" spans="12:12" ht="30" hidden="1" customHeight="1" x14ac:dyDescent="0.25">
      <c r="L41" t="str">
        <v/>
      </c>
    </row>
    <row r="42" spans="12:12" ht="30" hidden="1" customHeight="1" x14ac:dyDescent="0.25">
      <c r="L42" t="str">
        <v xml:space="preserve">11,36-653-ND,U2#2
</v>
      </c>
    </row>
  </sheetData>
  <mergeCells count="3">
    <mergeCell ref="A5:J5"/>
    <mergeCell ref="K5:P5"/>
    <mergeCell ref="L20:O31"/>
  </mergeCells>
  <conditionalFormatting sqref="H7:H9">
    <cfRule type="cellIs" dxfId="9" priority="27" operator="greaterThan">
      <formula>SUM(IF(ISNUMBER(M7),L7,0))</formula>
    </cfRule>
  </conditionalFormatting>
  <conditionalFormatting sqref="H7:H17">
    <cfRule type="expression" dxfId="8" priority="24">
      <formula>AND(ISBLANK(E7),ISBLANK(O7))</formula>
    </cfRule>
    <cfRule type="expression" dxfId="7" priority="25">
      <formula>IF(SUM(K7)=0,1,0)</formula>
    </cfRule>
    <cfRule type="cellIs" dxfId="6" priority="26" operator="greaterThan">
      <formula>SUM(K7)</formula>
    </cfRule>
  </conditionalFormatting>
  <conditionalFormatting sqref="H10">
    <cfRule type="cellIs" dxfId="5" priority="39" operator="greaterThan">
      <formula>SUM(IF(ISNUMBER(M10),L10,0))</formula>
    </cfRule>
  </conditionalFormatting>
  <conditionalFormatting sqref="H11:H17">
    <cfRule type="cellIs" dxfId="4" priority="43" operator="greaterThan">
      <formula>SUM(IF(ISNUMBER(M11),L11,0))</formula>
    </cfRule>
  </conditionalFormatting>
  <conditionalFormatting sqref="K7:K17">
    <cfRule type="cellIs" dxfId="3" priority="1" operator="lessThan">
      <formula>H7</formula>
    </cfRule>
  </conditionalFormatting>
  <conditionalFormatting sqref="L7:L17">
    <cfRule type="expression" dxfId="2" priority="2">
      <formula>AND(NOT(ISBLANK(L7)),OR(K7="NonStk",L7&gt;K7))</formula>
    </cfRule>
  </conditionalFormatting>
  <hyperlinks>
    <hyperlink ref="P7" r:id="rId1" xr:uid="{00000000-0004-0000-0000-000000000000}"/>
    <hyperlink ref="P8" r:id="rId2" xr:uid="{00000000-0004-0000-0000-000001000000}"/>
    <hyperlink ref="E9" r:id="rId3" xr:uid="{00000000-0004-0000-0000-000002000000}"/>
    <hyperlink ref="P9" r:id="rId4" xr:uid="{00000000-0004-0000-0000-000003000000}"/>
    <hyperlink ref="E10" r:id="rId5" xr:uid="{00000000-0004-0000-0000-000004000000}"/>
    <hyperlink ref="P10" r:id="rId6" xr:uid="{00000000-0004-0000-0000-000005000000}"/>
    <hyperlink ref="P11" r:id="rId7" xr:uid="{00000000-0004-0000-0000-000006000000}"/>
    <hyperlink ref="P12" r:id="rId8" xr:uid="{00000000-0004-0000-0000-000007000000}"/>
    <hyperlink ref="E13" r:id="rId9" xr:uid="{00000000-0004-0000-0000-000008000000}"/>
    <hyperlink ref="P13" r:id="rId10" xr:uid="{00000000-0004-0000-0000-000009000000}"/>
    <hyperlink ref="E14" r:id="rId11" xr:uid="{00000000-0004-0000-0000-00000A000000}"/>
    <hyperlink ref="P14" r:id="rId12" xr:uid="{00000000-0004-0000-0000-00000B000000}"/>
    <hyperlink ref="E15" r:id="rId13" xr:uid="{00000000-0004-0000-0000-00000C000000}"/>
    <hyperlink ref="P15" r:id="rId14" xr:uid="{00000000-0004-0000-0000-00000D000000}"/>
    <hyperlink ref="E16" r:id="rId15" xr:uid="{00000000-0004-0000-0000-00000E000000}"/>
    <hyperlink ref="P16" r:id="rId16" xr:uid="{00000000-0004-0000-0000-00000F000000}"/>
    <hyperlink ref="E17" r:id="rId17" xr:uid="{00000000-0004-0000-0000-000010000000}"/>
    <hyperlink ref="P17" r:id="rId18" xr:uid="{00000000-0004-0000-0000-000011000000}"/>
    <hyperlink ref="K19" r:id="rId19" xr:uid="{00000000-0004-0000-0000-000012000000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Snowflake</vt:lpstr>
      <vt:lpstr>Snowflake!BoardQty</vt:lpstr>
      <vt:lpstr>Snowflake!PURCHASE_DESCRIPTION</vt:lpstr>
      <vt:lpstr>Snowflake!TotalCost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Santos Rico</cp:lastModifiedBy>
  <dcterms:created xsi:type="dcterms:W3CDTF">2023-11-08T13:36:46Z</dcterms:created>
  <dcterms:modified xsi:type="dcterms:W3CDTF">2023-11-08T13:44:19Z</dcterms:modified>
</cp:coreProperties>
</file>