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olyc\OneDrive\Attachments\Documents\module1challenge\"/>
    </mc:Choice>
  </mc:AlternateContent>
  <xr:revisionPtr revIDLastSave="0" documentId="8_{C3C97C8F-CB43-4DD3-A1BE-BD8FE2C9A5FC}" xr6:coauthVersionLast="47" xr6:coauthVersionMax="47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Crowdfunding" sheetId="1" r:id="rId1"/>
    <sheet name="Category Campaigns" sheetId="2" r:id="rId2"/>
    <sheet name="Sub-Category Campaigns" sheetId="4" r:id="rId3"/>
    <sheet name="Outcome by Time" sheetId="8" r:id="rId4"/>
    <sheet name="Goal Analysis" sheetId="11" r:id="rId5"/>
    <sheet name="Statistical Analysis" sheetId="13" r:id="rId6"/>
  </sheets>
  <definedNames>
    <definedName name="_xlnm._FilterDatabase" localSheetId="0" hidden="1">Crowdfunding!$A$1:$T$1001</definedName>
    <definedName name="_xlcn.WorksheetConnection_CrowdfundingGS1" hidden="1">Crowdfunding!$G:$S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G:$S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0"/>
                <x16:calculatedTimeColumn columnName="date created conversion (Quarter)" columnId="date created conversion (Quarter)" contentType="quarters" isSelected="0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3" l="1"/>
  <c r="L8" i="13"/>
  <c r="L7" i="13"/>
  <c r="L6" i="13"/>
  <c r="I8" i="13"/>
  <c r="I7" i="13"/>
  <c r="I6" i="13"/>
  <c r="L5" i="13"/>
  <c r="L4" i="13"/>
  <c r="L3" i="13"/>
  <c r="I4" i="13"/>
  <c r="I3" i="13"/>
  <c r="D12" i="11"/>
  <c r="B12" i="11"/>
  <c r="D10" i="11"/>
  <c r="D11" i="11"/>
  <c r="B11" i="11"/>
  <c r="B10" i="11"/>
  <c r="D9" i="11"/>
  <c r="B9" i="11"/>
  <c r="D8" i="11"/>
  <c r="B8" i="11"/>
  <c r="D7" i="11"/>
  <c r="B7" i="11"/>
  <c r="D6" i="11"/>
  <c r="B6" i="11"/>
  <c r="D5" i="11"/>
  <c r="B5" i="11"/>
  <c r="D4" i="11"/>
  <c r="B4" i="11"/>
  <c r="D3" i="11"/>
  <c r="B3" i="11"/>
  <c r="C12" i="11"/>
  <c r="C11" i="11"/>
  <c r="C10" i="11"/>
  <c r="C9" i="11"/>
  <c r="C8" i="11"/>
  <c r="C7" i="11"/>
  <c r="C6" i="11"/>
  <c r="C5" i="11"/>
  <c r="C4" i="11"/>
  <c r="C3" i="11"/>
  <c r="C2" i="11"/>
  <c r="B2" i="11"/>
  <c r="D13" i="11"/>
  <c r="C13" i="11"/>
  <c r="B13" i="11"/>
  <c r="D2" i="1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H12" i="11" l="1"/>
  <c r="E13" i="11"/>
  <c r="F13" i="11" s="1"/>
  <c r="E12" i="11"/>
  <c r="F12" i="11" s="1"/>
  <c r="E11" i="11"/>
  <c r="H11" i="11" s="1"/>
  <c r="E10" i="11"/>
  <c r="F10" i="11" s="1"/>
  <c r="E9" i="11"/>
  <c r="G9" i="11" s="1"/>
  <c r="E8" i="11"/>
  <c r="G8" i="11" s="1"/>
  <c r="E7" i="11"/>
  <c r="G7" i="11" s="1"/>
  <c r="E6" i="11"/>
  <c r="F6" i="11" s="1"/>
  <c r="E3" i="11"/>
  <c r="G3" i="11" s="1"/>
  <c r="E4" i="11"/>
  <c r="F4" i="11" s="1"/>
  <c r="E5" i="11"/>
  <c r="F5" i="11" s="1"/>
  <c r="E2" i="11"/>
  <c r="G2" i="11" s="1"/>
  <c r="H4" i="11" l="1"/>
  <c r="H10" i="11"/>
  <c r="G5" i="11"/>
  <c r="H6" i="11"/>
  <c r="H8" i="11"/>
  <c r="F7" i="11"/>
  <c r="G4" i="11"/>
  <c r="F11" i="11"/>
  <c r="F8" i="11"/>
  <c r="H9" i="11"/>
  <c r="H5" i="11"/>
  <c r="G12" i="11"/>
  <c r="F2" i="11"/>
  <c r="H2" i="11"/>
  <c r="G10" i="11"/>
  <c r="H3" i="11"/>
  <c r="F3" i="11"/>
  <c r="H13" i="11"/>
  <c r="H7" i="11"/>
  <c r="F9" i="11"/>
  <c r="G13" i="11"/>
  <c r="G6" i="11"/>
  <c r="G11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0136BB-17E7-43C5-9D18-42A9DFE4997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4CE8A77-A133-45C1-B495-5C0862D06E54}" name="WorksheetConnection_Crowdfunding!$G:$S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G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ountry].[All]}"/>
    <s v="{[Range].[date created conversion (Year)].&amp;[201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<sst xmlns="http://schemas.openxmlformats.org/spreadsheetml/2006/main" count="7054" uniqueCount="2103">
  <si>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</si>
  <si>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</si>
  <si>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</si>
  <si>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</si>
  <si>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</si>
  <si>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</si>
  <si>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</si>
  <si>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</si>
  <si>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</si>
  <si>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</si>
  <si>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</si>
  <si>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</si>
  <si>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</si>
  <si>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</si>
  <si>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</si>
  <si>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</si>
  <si>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</si>
  <si>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</si>
  <si>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</si>
  <si>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</si>
  <si>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</si>
  <si>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</si>
  <si>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</si>
  <si>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</si>
  <si>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</si>
  <si>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</si>
  <si>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</si>
  <si>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</si>
  <si>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</si>
  <si>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</si>
  <si>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</si>
  <si>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</si>
  <si>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</si>
  <si>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</si>
  <si>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</si>
  <si>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</si>
  <si>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</si>
  <si>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</si>
  <si>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</si>
  <si>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</si>
  <si>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</si>
  <si>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</si>
  <si>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</si>
  <si>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</si>
  <si>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</si>
  <si>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</si>
  <si>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</si>
  <si>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</si>
  <si>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</si>
  <si>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</si>
  <si>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</si>
  <si>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</si>
  <si>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</si>
  <si>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</si>
  <si>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</si>
  <si>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</si>
  <si>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</si>
  <si>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</si>
  <si>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</si>
  <si>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</si>
  <si>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</si>
  <si>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</si>
  <si>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</si>
  <si>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</si>
  <si>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</si>
  <si>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</si>
  <si>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</si>
  <si>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</si>
  <si>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</si>
  <si>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</si>
  <si>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</si>
  <si>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</si>
  <si>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</si>
  <si>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</si>
  <si>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</si>
  <si>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</si>
  <si>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</si>
  <si>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</si>
  <si>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</si>
  <si>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</si>
  <si>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</si>
  <si>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</si>
  <si>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</si>
  <si>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</si>
  <si>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</si>
  <si>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</si>
  <si>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</si>
  <si>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</si>
  <si>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</si>
  <si>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</si>
  <si>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</si>
  <si>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</si>
  <si>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</si>
  <si>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</si>
  <si>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</si>
  <si>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</si>
  <si>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</si>
  <si>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</si>
  <si>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</si>
  <si>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</si>
  <si>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</si>
  <si>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</si>
  <si>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</si>
  <si>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</si>
  <si>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</si>
  <si>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</si>
  <si>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</si>
  <si>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</si>
  <si>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</si>
  <si>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</si>
  <si>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</si>
  <si>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</si>
  <si>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</si>
  <si>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</si>
  <si>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</si>
  <si>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</si>
  <si>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</si>
  <si>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</si>
  <si>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</si>
  <si>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</si>
  <si>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</si>
  <si>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</si>
  <si>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</si>
  <si>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</si>
  <si>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</si>
  <si>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</si>
  <si>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</si>
  <si>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</si>
  <si>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</si>
  <si>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</si>
  <si>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</si>
  <si>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</si>
  <si>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</si>
  <si>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</si>
  <si>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</si>
  <si>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</si>
  <si>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</si>
  <si>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</si>
  <si>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</si>
  <si>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</si>
  <si>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</si>
  <si>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</si>
  <si>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</si>
  <si>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</si>
  <si>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</si>
  <si>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</si>
  <si>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</si>
  <si>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</si>
  <si>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</si>
  <si>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</si>
  <si>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</si>
  <si>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</si>
  <si>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</si>
  <si>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</si>
  <si>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</si>
  <si>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</si>
  <si>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</si>
  <si>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</si>
  <si>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</si>
  <si>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</si>
  <si>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</si>
  <si>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</si>
  <si>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</si>
  <si>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</si>
  <si>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</si>
  <si>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</si>
  <si>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</si>
  <si>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</si>
  <si>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</si>
  <si>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</si>
  <si>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</si>
  <si>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</si>
  <si>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</si>
  <si>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</si>
  <si>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</si>
  <si>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</si>
  <si>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</si>
  <si>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</si>
  <si>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</si>
  <si>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</si>
  <si>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</si>
  <si>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</si>
  <si>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</si>
  <si>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</si>
  <si>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</si>
  <si>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</si>
  <si>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</si>
  <si>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</si>
  <si>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</si>
  <si>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</si>
  <si>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</si>
  <si>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</si>
  <si>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</si>
  <si>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</si>
  <si>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</si>
  <si>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</si>
  <si>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</si>
  <si>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</si>
  <si>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</si>
  <si>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</si>
  <si>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</si>
  <si>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</si>
  <si>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</si>
  <si>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</si>
  <si>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</si>
  <si>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</si>
  <si>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</si>
  <si>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</si>
  <si>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</si>
  <si>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</si>
  <si>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</si>
  <si>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</si>
  <si>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</si>
  <si>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</si>
  <si>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</si>
  <si>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</si>
  <si>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</si>
  <si>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</si>
  <si>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</si>
  <si>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</si>
  <si>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</si>
  <si>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</si>
  <si>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</si>
  <si>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</si>
  <si>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</si>
  <si>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</si>
  <si>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</si>
  <si>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</si>
  <si>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</si>
  <si>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</si>
  <si>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</si>
  <si>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</si>
  <si>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</si>
  <si>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</si>
  <si>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</si>
  <si>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</si>
  <si>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</si>
  <si>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</si>
  <si>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</si>
  <si>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</si>
  <si>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</si>
  <si>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</si>
  <si>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</si>
  <si>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</si>
  <si>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</si>
  <si>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</si>
  <si>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</si>
  <si>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</si>
  <si>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</si>
  <si>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</si>
  <si>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</si>
  <si>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</si>
  <si>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</si>
  <si>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</si>
  <si>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</si>
  <si>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</si>
  <si>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</si>
  <si>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</si>
  <si>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</si>
  <si>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</si>
  <si>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</si>
  <si>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</si>
  <si>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</si>
  <si>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</si>
  <si>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</si>
  <si>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</si>
  <si>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</si>
  <si>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</si>
  <si>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</si>
  <si>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</si>
  <si>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</si>
  <si>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</si>
  <si>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</si>
  <si>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</si>
  <si>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</si>
  <si>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</si>
  <si>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</si>
  <si>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</si>
  <si>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</si>
  <si>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</si>
  <si>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</si>
  <si>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</si>
  <si>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</si>
  <si>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</si>
  <si>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</si>
  <si>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</si>
  <si>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</si>
  <si>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</si>
  <si>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</si>
  <si>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</si>
  <si>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</si>
  <si>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</si>
  <si>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</si>
  <si>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</si>
  <si>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</si>
  <si>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</si>
  <si>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</si>
  <si>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</si>
  <si>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</si>
  <si>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</si>
  <si>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</si>
  <si>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</si>
  <si>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</si>
  <si>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</si>
  <si>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</si>
  <si>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</si>
  <si>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</si>
  <si>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</si>
  <si>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</si>
  <si>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</si>
  <si>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</si>
  <si>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</si>
  <si>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</si>
  <si>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</si>
  <si>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</si>
  <si>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</si>
  <si>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</si>
  <si>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</si>
  <si>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</si>
  <si>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</si>
  <si>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</si>
  <si>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</si>
  <si>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</si>
  <si>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</si>
  <si>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</si>
  <si>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</si>
  <si>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</si>
  <si>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</si>
  <si>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</si>
  <si>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</si>
  <si>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</si>
  <si>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</si>
  <si>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</si>
  <si>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</si>
  <si>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</si>
  <si>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</si>
  <si>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</si>
  <si>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</si>
  <si>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</si>
  <si>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</si>
  <si>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</si>
  <si>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</si>
  <si>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</si>
  <si>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</si>
  <si>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</si>
  <si>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</si>
  <si>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</si>
  <si>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</si>
  <si>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</si>
  <si>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</si>
  <si>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</si>
  <si>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</si>
  <si>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</si>
  <si>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</si>
  <si>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</si>
  <si>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</si>
  <si>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</si>
  <si>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</si>
  <si>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</si>
  <si>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</si>
  <si>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</si>
  <si>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</si>
  <si>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</si>
  <si>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</si>
  <si>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</si>
  <si>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</si>
  <si>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</si>
  <si>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</si>
  <si>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</si>
  <si>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</si>
  <si>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</si>
  <si>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</si>
  <si>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</si>
  <si>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</si>
  <si>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</si>
  <si>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</si>
  <si>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</si>
  <si>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</si>
  <si>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</si>
  <si>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</si>
  <si>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</si>
  <si>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</si>
  <si>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</si>
  <si>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</si>
  <si>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</si>
  <si>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</si>
  <si>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</si>
  <si>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</si>
  <si>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</si>
  <si>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</si>
  <si>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</si>
  <si>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</si>
  <si>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</si>
  <si>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</si>
  <si>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</si>
  <si>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</si>
  <si>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</si>
  <si>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</si>
  <si>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</si>
  <si>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</si>
  <si>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</si>
  <si>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</si>
  <si>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</si>
  <si>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</si>
  <si>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</si>
  <si>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</si>
  <si>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</si>
  <si>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</si>
  <si>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</si>
  <si>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</si>
  <si>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</si>
  <si>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</si>
  <si>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</si>
  <si>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</si>
  <si>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</si>
  <si>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</si>
  <si>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</si>
  <si>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</si>
  <si>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</si>
  <si>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</si>
  <si>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</si>
  <si>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</si>
  <si>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</si>
  <si>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</si>
  <si>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</si>
  <si>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</si>
  <si>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</si>
  <si>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</si>
  <si>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</si>
  <si>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</si>
  <si>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</si>
  <si>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</si>
  <si>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</si>
  <si>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</si>
  <si>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</si>
  <si>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</si>
  <si>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</si>
  <si>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</si>
  <si>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</si>
  <si>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</si>
  <si>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</si>
  <si>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</si>
  <si>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</si>
  <si>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</si>
  <si>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</si>
  <si>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</si>
  <si>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</si>
  <si>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</si>
  <si>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</si>
  <si>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</si>
  <si>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</si>
  <si>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</si>
  <si>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</si>
  <si>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</si>
  <si>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</si>
  <si>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</si>
  <si>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</si>
  <si>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</si>
  <si>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</si>
  <si>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</si>
  <si>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</si>
  <si>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</si>
  <si>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</si>
  <si>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</si>
  <si>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</si>
  <si>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</si>
  <si>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</si>
  <si>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</si>
  <si>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</si>
  <si>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</si>
  <si>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</si>
  <si>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</si>
  <si>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</si>
  <si>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</si>
  <si>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</si>
  <si>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</si>
  <si>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</si>
  <si>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</si>
  <si>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</si>
  <si>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</si>
  <si>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</si>
  <si>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</si>
  <si>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</si>
  <si>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</si>
  <si>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</si>
  <si>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</si>
  <si>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</si>
  <si>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</si>
  <si>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</si>
  <si>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</si>
  <si>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</si>
  <si>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</si>
  <si>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</si>
  <si>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</si>
  <si>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</si>
  <si>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</si>
  <si>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</si>
  <si>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</si>
  <si>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</si>
  <si>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</si>
  <si>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</si>
  <si>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</si>
  <si>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</si>
  <si>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</si>
  <si>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</si>
  <si>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</si>
  <si>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</si>
  <si>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</si>
  <si>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</si>
  <si>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</si>
  <si>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</si>
  <si>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</si>
  <si>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</si>
  <si>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</si>
  <si>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</si>
  <si>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</si>
  <si>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</si>
  <si>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</si>
  <si>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</si>
  <si>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</si>
  <si>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</si>
  <si>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</si>
  <si>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</si>
  <si>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</si>
  <si>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</si>
  <si>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</si>
  <si>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</si>
  <si>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</si>
  <si>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</si>
  <si>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</si>
  <si>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</si>
  <si>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</si>
  <si>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</si>
  <si>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</si>
  <si>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</si>
  <si>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</si>
  <si>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</si>
  <si>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</si>
  <si>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</si>
  <si>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</si>
  <si>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</si>
  <si>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</si>
  <si>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</si>
  <si>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</si>
  <si>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</si>
  <si>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</si>
  <si>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</si>
  <si>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</si>
  <si>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</si>
  <si>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</si>
  <si>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</si>
  <si>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</si>
  <si>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</si>
  <si>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</si>
  <si>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</si>
  <si>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</si>
  <si>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</si>
  <si>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</si>
  <si>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</si>
  <si>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</si>
  <si>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</si>
  <si>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</si>
  <si>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</si>
  <si>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</si>
  <si>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</si>
  <si>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</si>
  <si>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</si>
  <si>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</si>
  <si>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</si>
  <si>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</si>
  <si>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</si>
  <si>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</si>
  <si>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</si>
  <si>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</si>
  <si>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</si>
  <si>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</si>
  <si>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</si>
  <si>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</si>
  <si>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</si>
  <si>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</si>
  <si>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</si>
  <si>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</si>
  <si>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</si>
  <si>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</si>
  <si>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</si>
  <si>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</si>
  <si>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</si>
  <si>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</si>
  <si>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</si>
  <si>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</si>
  <si>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</si>
  <si>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</si>
  <si>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</si>
  <si>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</si>
  <si>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</si>
  <si>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</si>
  <si>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</si>
  <si>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</si>
  <si>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</si>
  <si>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</si>
  <si>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</si>
  <si>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</si>
  <si>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</si>
  <si>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</si>
  <si>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</si>
  <si>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</si>
  <si>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</si>
  <si>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</si>
  <si>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</si>
  <si>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</si>
  <si>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</si>
  <si>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</si>
  <si>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</si>
  <si>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</si>
  <si>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</si>
  <si>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</si>
  <si>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</si>
  <si>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</si>
  <si>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</si>
  <si>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</si>
  <si>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</si>
  <si>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</si>
  <si>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</si>
  <si>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</si>
  <si>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</si>
  <si>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</si>
  <si>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</si>
  <si>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</si>
  <si>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</si>
  <si>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</si>
  <si>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</si>
  <si>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</si>
  <si>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</si>
  <si>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</si>
  <si>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</si>
  <si>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</si>
  <si>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</si>
  <si>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</si>
  <si>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</si>
  <si>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</si>
  <si>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</si>
  <si>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</si>
  <si>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</si>
  <si>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</si>
  <si>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</si>
  <si>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</si>
  <si>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</si>
  <si>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</si>
  <si>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</si>
  <si>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</si>
  <si>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</si>
  <si>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</si>
  <si>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</si>
  <si>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</si>
  <si>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</si>
  <si>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</si>
  <si>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</si>
  <si>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</si>
  <si>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</si>
  <si>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</si>
  <si>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</si>
  <si>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</si>
  <si>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</si>
  <si>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</si>
  <si>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</si>
  <si>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</si>
  <si>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</si>
  <si>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</si>
  <si>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</si>
  <si>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</si>
  <si>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</si>
  <si>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</si>
  <si>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</si>
  <si>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</si>
  <si>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</si>
  <si>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</si>
  <si>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</si>
  <si>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</si>
  <si>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</si>
  <si>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</si>
  <si>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</si>
  <si>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</si>
  <si>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</si>
  <si>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</si>
  <si>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</si>
  <si>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</si>
  <si>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</si>
  <si>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</si>
  <si>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</si>
  <si>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</si>
  <si>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</si>
  <si>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</si>
  <si>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</si>
  <si>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</si>
  <si>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</si>
  <si>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</si>
  <si>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</si>
  <si>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</si>
  <si>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</si>
  <si>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</si>
  <si>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</si>
  <si>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</si>
  <si>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</si>
  <si>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</si>
  <si>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</si>
  <si>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</si>
  <si>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</si>
  <si>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</si>
  <si>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</si>
  <si>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</si>
  <si>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</si>
  <si>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</si>
  <si>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</si>
  <si>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</si>
  <si>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</si>
  <si>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</si>
  <si>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</si>
  <si>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</si>
  <si>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</si>
  <si>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</si>
  <si>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</si>
  <si>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</si>
  <si>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</si>
  <si>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</si>
  <si>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</si>
  <si>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</si>
  <si>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</si>
  <si>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</si>
  <si>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</si>
  <si>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</si>
  <si>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</si>
  <si>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</si>
  <si>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</si>
  <si>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</si>
  <si>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</si>
  <si>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</si>
  <si>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</si>
  <si>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</si>
  <si>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</si>
  <si>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</si>
  <si>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</si>
  <si>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</si>
  <si>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</si>
  <si>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</si>
  <si>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</si>
  <si>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</si>
  <si>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</si>
  <si>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</si>
  <si>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</si>
  <si>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</si>
  <si>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</si>
  <si>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</si>
  <si>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</si>
  <si>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</si>
  <si>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</si>
  <si>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</si>
  <si>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</si>
  <si>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</si>
  <si>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</si>
  <si>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</si>
  <si>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</si>
  <si>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</si>
  <si>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</si>
  <si>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</si>
  <si>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</si>
  <si>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</si>
  <si>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</si>
  <si>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</si>
  <si>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</si>
  <si>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</si>
  <si>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</si>
  <si>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</si>
  <si>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</si>
  <si>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</si>
  <si>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</si>
  <si>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</si>
  <si>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</si>
  <si>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</si>
  <si>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</si>
  <si>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</si>
  <si>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</si>
  <si>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</si>
  <si>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</si>
  <si>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</si>
  <si>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</si>
  <si>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</si>
  <si>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</si>
  <si>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</si>
  <si>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</si>
  <si>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</si>
  <si>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</si>
  <si>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</si>
  <si>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</si>
  <si>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</si>
  <si>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</si>
  <si>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</si>
  <si>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</si>
  <si>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</si>
  <si>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</si>
  <si>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</si>
  <si>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</si>
  <si>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</si>
  <si>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</si>
  <si>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</si>
  <si>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</si>
  <si>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</si>
  <si>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</si>
  <si>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</si>
  <si>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</si>
  <si>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</si>
  <si>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</si>
  <si>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</si>
  <si>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</si>
  <si>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</si>
  <si>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</si>
  <si>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</si>
  <si>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</si>
  <si>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</si>
  <si>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</si>
  <si>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</si>
  <si>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</si>
  <si>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</si>
  <si>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</si>
  <si>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</si>
  <si>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</si>
  <si>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</si>
  <si>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</si>
  <si>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</si>
  <si>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</si>
  <si>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</si>
  <si>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</si>
  <si>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</si>
  <si>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</si>
  <si>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</si>
  <si>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</si>
  <si>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</si>
  <si>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</si>
  <si>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</si>
  <si>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</si>
  <si>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</si>
  <si>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</si>
  <si>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</si>
  <si>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</si>
  <si>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</si>
  <si>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</si>
  <si>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</si>
  <si>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</si>
  <si>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</si>
  <si>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</si>
  <si>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</si>
  <si>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</si>
  <si>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</si>
  <si>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</si>
  <si>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</si>
  <si>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</si>
  <si>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</si>
  <si>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</si>
  <si>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</si>
  <si>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</si>
  <si>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</si>
  <si>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</si>
  <si>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</si>
  <si>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</si>
  <si>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</si>
  <si>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</si>
  <si>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</si>
  <si>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</si>
  <si>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</si>
  <si>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</si>
  <si>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</si>
  <si>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</si>
  <si>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</si>
  <si>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</si>
  <si>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</si>
  <si>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</si>
  <si>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</si>
  <si>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</si>
  <si>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</si>
  <si>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</si>
  <si>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</si>
  <si>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</si>
  <si>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</si>
  <si>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</si>
  <si>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</si>
  <si>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</si>
  <si>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</si>
  <si>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</si>
  <si>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</si>
  <si>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</si>
  <si>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</si>
  <si>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</si>
  <si>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</si>
  <si>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</si>
  <si>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</si>
  <si>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</si>
  <si>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</si>
  <si>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</si>
  <si>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</si>
  <si>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</si>
  <si>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</si>
  <si>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</si>
  <si>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</si>
  <si>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</si>
  <si>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</si>
  <si>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</si>
  <si>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</si>
  <si>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</si>
  <si>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</si>
  <si>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</si>
  <si>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</si>
  <si>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</si>
  <si>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</si>
  <si>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</si>
  <si>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</si>
  <si>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</si>
  <si>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</si>
  <si>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</si>
  <si>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</si>
  <si>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</si>
  <si>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</si>
  <si>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</si>
  <si>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</si>
  <si>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</si>
  <si>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</si>
  <si>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</si>
  <si>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</si>
  <si>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</si>
  <si>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</si>
  <si>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</si>
  <si>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</si>
  <si>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</si>
  <si>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</si>
  <si>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</si>
  <si>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</si>
  <si>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</si>
  <si>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</si>
  <si>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</si>
  <si>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</si>
  <si>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</si>
  <si>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</si>
  <si>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</si>
  <si>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</si>
  <si>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</si>
  <si>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</si>
  <si>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</si>
  <si>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</si>
  <si>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</si>
  <si>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</si>
  <si>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</si>
  <si>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</si>
  <si>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</si>
  <si>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</si>
  <si>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</si>
  <si>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</si>
  <si>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</si>
  <si>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</si>
  <si>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</si>
  <si>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</si>
  <si>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</si>
  <si>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</si>
  <si>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</si>
  <si>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</si>
  <si>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</si>
  <si>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</si>
  <si>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</si>
  <si>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</si>
  <si>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</si>
  <si>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</si>
  <si>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</si>
  <si>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</si>
  <si>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</si>
  <si>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</si>
  <si>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</si>
  <si>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</si>
  <si>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</si>
  <si>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</si>
  <si>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</si>
  <si>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</si>
  <si>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</si>
  <si>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</si>
  <si>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</si>
  <si>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</si>
  <si>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</si>
  <si>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</si>
  <si>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</si>
  <si>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</si>
  <si>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</si>
  <si>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</si>
  <si>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</si>
  <si>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</si>
  <si>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</si>
  <si>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</si>
  <si>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</si>
  <si>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</si>
  <si>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</si>
  <si>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</si>
  <si>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</si>
  <si>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</si>
  <si>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</si>
  <si>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</si>
  <si>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</si>
  <si>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</si>
  <si>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</si>
  <si>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</si>
  <si>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</si>
  <si>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</si>
  <si>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</si>
  <si>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</si>
  <si>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</si>
  <si>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</si>
  <si>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</si>
  <si>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</si>
  <si>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</si>
  <si>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</si>
  <si>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</si>
  <si>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</si>
  <si>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</si>
  <si>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</si>
  <si>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</si>
  <si>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</si>
  <si>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</si>
  <si>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</si>
  <si>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</si>
  <si>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</si>
  <si>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</si>
  <si>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</si>
  <si>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</si>
  <si>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</si>
  <si>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</si>
  <si>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</si>
  <si>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</si>
  <si>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</si>
  <si>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</si>
  <si>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</si>
  <si>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</si>
  <si>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</si>
  <si>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</si>
  <si>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</si>
  <si>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</si>
  <si>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</si>
  <si>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</si>
  <si>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</si>
  <si>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</si>
  <si>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</si>
  <si>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</si>
  <si>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</si>
  <si>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</si>
  <si>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</si>
  <si>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</si>
  <si>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</si>
  <si>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</si>
  <si>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</si>
  <si>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</si>
  <si>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</si>
  <si>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</si>
  <si>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</si>
  <si>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</si>
  <si>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</si>
  <si>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</si>
  <si>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</si>
  <si>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</si>
  <si>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</si>
  <si>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</si>
  <si>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</si>
  <si>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</si>
  <si>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</si>
  <si>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</si>
  <si>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</si>
  <si>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</si>
  <si>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</si>
  <si>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</si>
  <si>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</si>
  <si>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</si>
  <si>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</si>
  <si>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</si>
  <si>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</si>
  <si>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</si>
  <si>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</si>
  <si>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</si>
  <si>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</si>
  <si>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</si>
  <si>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</si>
  <si>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</si>
  <si>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</si>
  <si>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</si>
  <si>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</si>
  <si>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</si>
  <si>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</si>
  <si>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</si>
  <si>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</si>
  <si>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</si>
  <si>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</si>
  <si>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</si>
  <si>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</si>
  <si>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</si>
  <si>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</si>
  <si>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</si>
  <si>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</si>
  <si>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</si>
  <si>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</si>
  <si>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</si>
  <si>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</si>
  <si>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</si>
  <si>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</si>
  <si>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</si>
  <si>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</si>
  <si>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</si>
  <si>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</si>
  <si>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</si>
  <si>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</si>
  <si>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</si>
  <si>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</si>
  <si>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</si>
  <si>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</si>
  <si>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</si>
  <si>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</si>
  <si>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</si>
  <si>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</si>
  <si>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</si>
  <si>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</si>
  <si>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</si>
  <si>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</si>
  <si>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</si>
  <si>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</si>
  <si>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</si>
  <si>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</si>
  <si>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</si>
  <si>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</si>
  <si>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</si>
  <si>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</si>
  <si>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</si>
  <si>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</si>
  <si>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</si>
  <si>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</si>
  <si>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</si>
  <si>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</si>
  <si>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</si>
  <si>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</si>
  <si>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</si>
  <si>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</si>
  <si>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</si>
  <si>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</si>
  <si>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</si>
  <si>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</si>
  <si>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</si>
  <si>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</si>
  <si>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</si>
  <si>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</si>
  <si>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</si>
  <si>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</si>
  <si>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</si>
  <si>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</si>
  <si>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</si>
  <si>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</si>
  <si>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</si>
  <si>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</si>
  <si>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</si>
  <si>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</si>
  <si>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</si>
  <si>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</si>
  <si>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</si>
  <si>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</si>
  <si>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</si>
  <si>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</si>
  <si>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</si>
  <si>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</si>
  <si>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</si>
  <si>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</si>
  <si>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</si>
  <si>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</si>
  <si>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</si>
  <si>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</si>
  <si>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</si>
  <si>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</si>
  <si>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</si>
  <si>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</si>
  <si>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</si>
  <si>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</si>
  <si>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</si>
  <si>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</si>
  <si>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</si>
  <si>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</si>
  <si>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</si>
  <si>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</si>
  <si>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</si>
  <si>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</si>
  <si>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</si>
  <si>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</si>
  <si>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</si>
  <si>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</si>
  <si>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</si>
  <si>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</si>
  <si>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</si>
  <si>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</si>
  <si>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</si>
  <si>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</si>
  <si>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</si>
  <si>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</si>
  <si>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</si>
  <si>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</si>
  <si>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</si>
  <si>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</si>
  <si>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</si>
  <si>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</si>
  <si>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</si>
  <si>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</si>
  <si>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</si>
  <si>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</si>
  <si>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</si>
  <si>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</si>
  <si>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</si>
  <si>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</si>
  <si>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</si>
  <si>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</si>
  <si>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</si>
  <si>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</si>
  <si>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</si>
  <si>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</si>
  <si>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</si>
  <si>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</si>
  <si>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</si>
  <si>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</si>
  <si>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</si>
  <si>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</si>
  <si>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</si>
  <si>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</si>
  <si>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</si>
  <si>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</si>
  <si>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</si>
  <si>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</si>
  <si>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</si>
  <si>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</si>
  <si>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</si>
  <si>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</si>
  <si>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</si>
  <si>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</si>
  <si>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</si>
  <si>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</si>
  <si>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</si>
  <si>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</si>
  <si>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</si>
  <si>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</si>
  <si>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</si>
  <si>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</si>
  <si>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</si>
  <si>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</si>
  <si>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</si>
  <si>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</si>
  <si>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</si>
  <si>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</si>
  <si>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</si>
  <si>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</si>
  <si>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</si>
  <si>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</si>
  <si>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</si>
  <si>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</si>
  <si>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</si>
  <si>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</si>
  <si>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</si>
  <si>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</si>
  <si>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</si>
  <si>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</si>
  <si>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</si>
  <si>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</si>
  <si>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</si>
  <si>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</si>
  <si>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</si>
  <si>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</si>
  <si>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</si>
  <si>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</si>
  <si>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</si>
  <si>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</si>
  <si>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</si>
  <si>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</si>
  <si>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</si>
  <si>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</si>
  <si>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</si>
  <si>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</si>
  <si>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</si>
  <si>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</si>
  <si>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</si>
  <si>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</si>
  <si>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</si>
  <si>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</si>
  <si>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</si>
  <si>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</si>
  <si>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</si>
  <si>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</si>
  <si>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</si>
  <si>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</si>
  <si>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</si>
  <si>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</si>
  <si>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</si>
  <si>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</si>
  <si>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</si>
  <si>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</si>
  <si>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</si>
  <si>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</si>
  <si>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</si>
  <si>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</si>
  <si>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</si>
  <si>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</si>
  <si>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</si>
  <si>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</si>
  <si>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</si>
  <si>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</si>
  <si>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</si>
  <si>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</si>
  <si>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</si>
  <si>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</si>
  <si>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</si>
  <si>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</si>
  <si>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</si>
  <si>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</si>
  <si>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</si>
  <si>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</si>
  <si>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</si>
  <si>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</si>
  <si>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</si>
  <si>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</si>
  <si>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</si>
  <si>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</si>
  <si>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</si>
  <si>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</si>
  <si>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</si>
  <si>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</si>
  <si>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</si>
  <si>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</si>
  <si>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</si>
  <si>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</si>
  <si>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</si>
  <si>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</si>
  <si>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</si>
  <si>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</si>
  <si>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</si>
  <si>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</si>
  <si>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</si>
  <si>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</si>
  <si>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</si>
  <si>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</si>
  <si>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</si>
  <si>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</si>
  <si>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</si>
  <si>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</si>
  <si>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</si>
  <si>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</si>
  <si>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</si>
  <si>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</si>
  <si>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</si>
  <si>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</si>
  <si>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</si>
  <si>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</si>
  <si>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</si>
  <si>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</si>
  <si>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</si>
  <si>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</si>
  <si>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</si>
  <si>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</si>
  <si>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</si>
  <si>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</si>
  <si>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</si>
  <si>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</si>
  <si>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</si>
  <si>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</si>
  <si>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</si>
  <si>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</si>
  <si>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</si>
  <si>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</si>
  <si>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</si>
  <si>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</si>
  <si>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</si>
  <si>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</si>
  <si>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</si>
  <si>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</si>
  <si>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</si>
  <si>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</si>
  <si>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</si>
  <si>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</si>
  <si>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</si>
  <si>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</si>
  <si>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</si>
  <si>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</si>
  <si>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</si>
  <si>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</si>
  <si>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</si>
  <si>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</si>
  <si>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</si>
  <si>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</si>
  <si>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</si>
  <si>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</si>
  <si>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</si>
  <si>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</si>
  <si>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</si>
  <si>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</si>
  <si>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</si>
  <si>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</si>
  <si>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</si>
  <si>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</si>
  <si>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</si>
  <si>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</si>
  <si>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</si>
  <si>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</si>
  <si>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</si>
  <si>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</si>
  <si>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</si>
  <si>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</si>
  <si>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</si>
  <si>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</si>
  <si>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</si>
  <si>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</si>
  <si>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</si>
  <si>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</si>
  <si>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</si>
  <si>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</si>
  <si>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</si>
  <si>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</si>
  <si>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</si>
  <si>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</si>
  <si>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</si>
  <si>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</si>
  <si>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</si>
  <si>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</si>
  <si>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</si>
  <si>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</si>
  <si>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</si>
  <si>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</si>
  <si>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</si>
  <si>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</si>
  <si>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</si>
  <si>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</si>
  <si>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</si>
  <si>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</si>
  <si>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</si>
  <si>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</si>
  <si>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</si>
  <si>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</si>
  <si>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</si>
  <si>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</si>
  <si>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</si>
  <si>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</si>
  <si>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</si>
  <si>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</si>
  <si>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</si>
  <si>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</si>
  <si>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</si>
  <si>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</si>
  <si>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</si>
  <si>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</si>
  <si>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</si>
  <si>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</si>
  <si>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</si>
  <si>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</si>
  <si>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</si>
  <si>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</si>
  <si>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</si>
  <si>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</si>
  <si>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</si>
  <si>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</si>
  <si>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</si>
  <si>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</si>
  <si>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</si>
  <si>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</si>
  <si>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</si>
  <si>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</si>
  <si>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</si>
  <si>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</si>
  <si>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</si>
  <si>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</si>
  <si>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</si>
  <si>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</si>
  <si>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</si>
  <si>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</si>
  <si>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</si>
  <si>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</si>
  <si>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</si>
  <si>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</si>
  <si>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</si>
  <si>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</si>
  <si>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</si>
  <si>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</si>
  <si>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</si>
  <si>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</si>
  <si>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</si>
  <si>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</si>
  <si>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</si>
  <si>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</si>
  <si>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</si>
  <si>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</si>
  <si>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</si>
  <si>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</si>
  <si>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</si>
  <si>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</si>
  <si>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</si>
  <si>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</si>
  <si>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</si>
  <si>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</si>
  <si>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</si>
  <si>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</si>
  <si>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</si>
  <si>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</si>
  <si>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</si>
  <si>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</si>
  <si>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</si>
  <si>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</si>
  <si>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</si>
  <si>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</si>
  <si>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</si>
  <si>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</si>
  <si>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</si>
  <si>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</si>
  <si>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</si>
  <si>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</si>
  <si>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</si>
  <si>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</si>
  <si>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</si>
  <si>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</si>
  <si>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</si>
  <si>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</si>
  <si>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</si>
  <si>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</si>
  <si>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</si>
  <si>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</si>
  <si>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</si>
  <si>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</si>
  <si>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</si>
  <si>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</si>
  <si>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</si>
  <si>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</si>
  <si>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</si>
  <si>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</si>
  <si>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</si>
  <si>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</si>
  <si>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</si>
  <si>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</si>
  <si>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</si>
  <si>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</si>
  <si>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</si>
  <si>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</si>
  <si>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</si>
  <si>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</si>
  <si>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</si>
  <si>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</si>
  <si>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</si>
  <si>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</si>
  <si>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</si>
  <si>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</si>
  <si>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</si>
  <si>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</si>
  <si>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</si>
  <si>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</si>
  <si>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</si>
  <si>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</si>
  <si>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</si>
  <si>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</si>
  <si>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</si>
  <si>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</si>
  <si>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</si>
  <si>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</si>
  <si>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</si>
  <si>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</si>
  <si>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</si>
  <si>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</si>
  <si>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</si>
  <si>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</si>
  <si>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</si>
  <si>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</si>
  <si>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</si>
  <si>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</si>
  <si>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</si>
  <si>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</si>
  <si>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</si>
  <si>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</si>
  <si>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</si>
  <si>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</si>
  <si>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</si>
  <si>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</si>
  <si>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</si>
  <si>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</si>
  <si>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</si>
  <si>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</si>
  <si>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</si>
  <si>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</si>
  <si>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</si>
  <si>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</si>
  <si>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</si>
  <si>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</si>
  <si>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</si>
  <si>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</si>
  <si>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</si>
  <si>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</si>
  <si>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</si>
  <si>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</si>
  <si>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</si>
  <si>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</si>
  <si>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</si>
  <si>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</si>
  <si>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</si>
  <si>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</si>
  <si>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</si>
  <si>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</si>
  <si>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</si>
  <si>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</si>
  <si>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</si>
  <si>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</si>
  <si>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</si>
  <si>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</si>
  <si>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</si>
  <si>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</si>
  <si>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</si>
  <si>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</si>
  <si>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</si>
  <si>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</si>
  <si>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</si>
  <si>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</si>
  <si>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</si>
  <si>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</si>
  <si>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</si>
  <si>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</si>
  <si>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</si>
  <si>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</si>
  <si>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</si>
  <si>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</si>
  <si>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</si>
  <si>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</si>
  <si>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</si>
  <si>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</si>
  <si>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</si>
  <si>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</si>
  <si>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</si>
  <si>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</si>
  <si>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</si>
  <si>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</si>
  <si>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</si>
  <si>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</si>
  <si>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</si>
  <si>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</si>
  <si>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</si>
  <si>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</si>
  <si>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</si>
  <si>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</si>
  <si>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</si>
  <si>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</si>
  <si>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</si>
  <si>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</si>
  <si>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</si>
  <si>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</si>
  <si>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</si>
  <si>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</si>
  <si>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</si>
  <si>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</si>
  <si>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</si>
  <si>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</si>
  <si>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</si>
  <si>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</si>
  <si>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</si>
  <si>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</si>
  <si>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</si>
  <si>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</si>
  <si>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</si>
  <si>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</si>
  <si>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</si>
  <si>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</si>
  <si>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</si>
  <si>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</si>
  <si>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</si>
  <si>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</si>
  <si>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</si>
  <si>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</si>
  <si>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</si>
  <si>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</si>
  <si>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</si>
  <si>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</si>
  <si>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</si>
  <si>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</si>
  <si>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</si>
  <si>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</si>
  <si>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</si>
  <si>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</si>
  <si>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</si>
  <si>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</si>
  <si>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</si>
  <si>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</si>
  <si>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</si>
  <si>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</si>
  <si>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</si>
  <si>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</si>
  <si>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</si>
  <si>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</si>
  <si>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</si>
  <si>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</si>
  <si>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</si>
  <si>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</si>
  <si>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</si>
  <si>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</si>
  <si>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</si>
  <si>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</si>
  <si>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</si>
  <si>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</si>
  <si>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</si>
  <si>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</si>
  <si>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</si>
  <si>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</si>
  <si>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</si>
  <si>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</si>
  <si>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</si>
  <si>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</si>
  <si>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</si>
  <si>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</si>
  <si>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</si>
  <si>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</si>
  <si>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</si>
  <si>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</si>
  <si>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</si>
  <si>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</si>
  <si>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</si>
  <si>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</si>
  <si>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</si>
  <si>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</si>
  <si>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</si>
  <si>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</si>
  <si>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</si>
  <si>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</si>
  <si>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</si>
  <si>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</si>
  <si>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</si>
  <si>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</si>
  <si>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</si>
  <si>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</si>
  <si>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</si>
  <si>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</si>
  <si>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</si>
  <si>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</si>
  <si>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</si>
  <si>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</si>
  <si>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</si>
  <si>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</si>
  <si>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</si>
  <si>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</si>
  <si>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</si>
  <si>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</si>
  <si>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</si>
  <si>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</si>
  <si>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</si>
  <si>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</si>
  <si>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</si>
  <si>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</si>
  <si>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</si>
  <si>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</si>
  <si>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</si>
  <si>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</si>
  <si>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</si>
  <si>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</si>
  <si>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</si>
  <si>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</si>
  <si>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</si>
  <si>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</si>
  <si>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</si>
  <si>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</si>
  <si>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</si>
  <si>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</si>
  <si>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</si>
  <si>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</si>
  <si>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</si>
  <si>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</si>
  <si>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</si>
  <si>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</si>
  <si>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</si>
  <si>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</si>
  <si>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</si>
  <si>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</si>
  <si>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</si>
  <si>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</si>
  <si>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</si>
  <si>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</si>
  <si>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</si>
  <si>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</si>
  <si>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</si>
  <si>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</si>
  <si>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</si>
  <si>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</si>
  <si>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</si>
  <si>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</si>
  <si>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</si>
  <si>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</si>
  <si>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</si>
  <si>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</si>
  <si>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</si>
  <si>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</si>
  <si>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</si>
  <si>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</si>
  <si>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</si>
  <si>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</si>
  <si>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</si>
  <si>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</si>
  <si>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</si>
  <si>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</si>
  <si>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</si>
  <si>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</si>
  <si>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</si>
  <si>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</si>
  <si>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</si>
  <si>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</si>
  <si>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</si>
  <si>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</si>
  <si>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</si>
  <si>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</si>
  <si>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</si>
  <si>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</si>
  <si>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</si>
  <si>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</si>
  <si>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</si>
  <si>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</si>
  <si>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</si>
  <si>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</si>
  <si>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</si>
  <si>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</si>
  <si>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</si>
  <si>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</si>
  <si>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</si>
  <si>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</si>
  <si>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</si>
  <si>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</si>
  <si>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</si>
  <si>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</si>
  <si>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</si>
  <si>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</si>
  <si>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</si>
  <si>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</si>
  <si>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</si>
  <si>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</si>
  <si>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</si>
  <si>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</si>
  <si>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</si>
  <si>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</si>
  <si>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</si>
  <si>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</si>
  <si>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</si>
  <si>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</si>
  <si>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</si>
  <si>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</si>
  <si>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</si>
  <si>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</si>
  <si>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</si>
  <si>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</si>
  <si>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</si>
  <si>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</si>
  <si>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</si>
  <si>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</si>
  <si>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</si>
  <si>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</si>
  <si>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</si>
  <si>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</si>
  <si>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</si>
  <si>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</si>
  <si>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</si>
  <si>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</si>
  <si>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</si>
  <si>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</si>
  <si>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</si>
  <si>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</si>
  <si>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</si>
  <si>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</si>
  <si>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</si>
  <si>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</si>
  <si>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</si>
  <si>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</si>
  <si>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</si>
  <si>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</si>
  <si>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</si>
  <si>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</si>
  <si>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</si>
  <si>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</si>
  <si>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</si>
  <si>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</si>
  <si>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</si>
  <si>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</si>
  <si>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</si>
  <si>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</si>
  <si>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</si>
  <si>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</si>
  <si>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</si>
  <si>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</si>
  <si>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</si>
  <si>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</si>
  <si>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</si>
  <si>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</si>
  <si>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</si>
  <si>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</si>
  <si>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</si>
  <si>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</si>
  <si>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</si>
  <si>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</si>
  <si>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</si>
  <si>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</si>
  <si>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</si>
  <si>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</si>
  <si>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</si>
  <si>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</si>
  <si>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</si>
  <si>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</si>
  <si>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</si>
  <si>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</si>
  <si>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</si>
  <si>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</si>
  <si>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</si>
  <si>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</si>
  <si>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</si>
  <si>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</si>
  <si>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</si>
  <si>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</si>
  <si>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</si>
  <si>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</si>
  <si>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</si>
  <si>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</si>
  <si>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</si>
  <si>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</si>
  <si>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</si>
  <si>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</si>
  <si>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</si>
  <si>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</si>
  <si>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</si>
  <si>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</si>
  <si>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</si>
  <si>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</si>
  <si>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</si>
  <si>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</si>
  <si>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</si>
  <si>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</si>
  <si>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</si>
  <si>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</si>
  <si>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</si>
  <si>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</si>
  <si>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</si>
  <si>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</si>
  <si>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</si>
  <si>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</si>
  <si>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</si>
  <si>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</si>
  <si>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</si>
  <si>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</si>
  <si>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</si>
  <si>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</si>
  <si>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</si>
  <si>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</si>
  <si>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</si>
  <si>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</si>
  <si>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</si>
  <si>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</si>
  <si>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</si>
  <si>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</si>
  <si>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</si>
  <si>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</si>
  <si>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</si>
  <si>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</si>
  <si>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</si>
  <si>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</si>
  <si>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</si>
  <si>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</si>
  <si>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</si>
  <si>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</si>
  <si>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</si>
  <si>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</si>
  <si>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</si>
  <si>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</si>
  <si>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</si>
  <si>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</si>
  <si>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</si>
  <si>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</si>
  <si>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</si>
  <si>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</si>
  <si>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</si>
  <si>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</si>
  <si>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</si>
  <si>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</si>
  <si>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</si>
  <si>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</si>
  <si>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</si>
  <si>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</si>
  <si>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</si>
  <si>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</si>
  <si>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</si>
  <si>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</si>
  <si>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</si>
  <si>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</si>
  <si>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</si>
  <si>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</si>
  <si>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</si>
  <si>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</si>
  <si>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</si>
  <si>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</si>
  <si>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</si>
  <si>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</si>
  <si>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</si>
  <si>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</si>
  <si>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</si>
  <si>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</si>
  <si>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</si>
  <si>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</si>
  <si>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</si>
  <si>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</si>
  <si>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</si>
  <si>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</si>
  <si>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</si>
  <si>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</si>
  <si>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</si>
  <si>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</si>
  <si>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</si>
  <si>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</si>
  <si>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</si>
  <si>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</si>
  <si>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</si>
  <si>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</si>
  <si>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</si>
  <si>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</si>
  <si>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</si>
  <si>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</si>
  <si>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</si>
  <si>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</si>
  <si>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</si>
  <si>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</si>
  <si>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</si>
  <si>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</si>
  <si>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</si>
  <si>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</si>
  <si>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</si>
  <si>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</si>
  <si>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</si>
  <si>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</si>
  <si>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</si>
  <si>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</si>
  <si>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</si>
  <si>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</si>
  <si>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</si>
  <si>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</si>
  <si>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</si>
  <si>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</si>
  <si>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</si>
  <si>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</si>
  <si>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</si>
  <si>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</si>
  <si>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</si>
  <si>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</si>
  <si>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 funded</t>
  </si>
  <si>
    <t>average donation</t>
  </si>
  <si>
    <t>sub-category</t>
  </si>
  <si>
    <t>parent category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</si>
  <si>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</si>
  <si>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</si>
  <si>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</si>
  <si>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</si>
  <si>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</si>
  <si>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</si>
  <si>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</si>
  <si>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</si>
  <si>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</si>
  <si>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</si>
  <si>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</si>
  <si>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</si>
  <si>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</si>
  <si>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</si>
  <si>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animation</t>
  </si>
  <si>
    <t>documentary</t>
  </si>
  <si>
    <t>indie rock</t>
  </si>
  <si>
    <t>jazz</t>
  </si>
  <si>
    <t>nonfiction</t>
  </si>
  <si>
    <t>plays</t>
  </si>
  <si>
    <t>radio &amp; podcasts</t>
  </si>
  <si>
    <t>rock</t>
  </si>
  <si>
    <t>shorts</t>
  </si>
  <si>
    <t>video games</t>
  </si>
  <si>
    <t>wearables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</si>
  <si>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</si>
  <si>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</si>
  <si>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</si>
  <si>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</si>
  <si>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</si>
  <si>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</si>
  <si>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</si>
  <si>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</si>
  <si>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</si>
  <si>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</si>
  <si>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</si>
  <si>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</si>
  <si>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</si>
  <si>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</si>
  <si>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2011</t>
  </si>
  <si>
    <t>All</t>
  </si>
  <si>
    <t>date created conversion (Year)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</si>
  <si>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</si>
  <si>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</si>
  <si>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</si>
  <si>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</si>
  <si>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</si>
  <si>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</si>
  <si>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</si>
  <si>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Successful</t>
  </si>
  <si>
    <t>Failed</t>
  </si>
  <si>
    <t>Mean Number of Backers</t>
  </si>
  <si>
    <t>Median Number of Backers</t>
  </si>
  <si>
    <t>Maximum Number of Backers</t>
  </si>
  <si>
    <t>Minimum Number of Backers</t>
  </si>
  <si>
    <t>Variance of the Number of Backers</t>
  </si>
  <si>
    <t>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</si>
</sst>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16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0" xfId="0" applyFont="1"/>
    <xf numFmtId="0" fontId="18" fillId="33" borderId="0" xfId="0" applyFont="1" applyFill="1"/>
    <xf numFmtId="0" fontId="18" fillId="0" borderId="0" xfId="0" applyFont="1" applyAlignment="1">
      <alignment vertical="center"/>
    </xf>
    <xf numFmtId="9" fontId="0" fillId="0" borderId="0" xfId="0" applyNumberFormat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 tint="0.39994506668294322"/>
        </patternFill>
      </fill>
    </dxf>
    <dxf>
      <fill>
        <patternFill>
          <bgColor rgb="FFFF5B5B"/>
        </patternFill>
      </fill>
    </dxf>
    <dxf>
      <fill>
        <patternFill>
          <bgColor rgb="FFFFFF89"/>
        </patternFill>
      </fill>
    </dxf>
    <dxf>
      <fill>
        <patternFill>
          <bgColor rgb="FF4BB2FF"/>
        </patternFill>
      </fill>
    </dxf>
    <dxf>
      <fill>
        <patternFill>
          <bgColor theme="9" tint="0.39994506668294322"/>
        </patternFill>
      </fill>
    </dxf>
    <dxf>
      <fill>
        <patternFill>
          <bgColor rgb="FFFF5B5B"/>
        </patternFill>
      </fill>
    </dxf>
    <dxf>
      <fill>
        <patternFill>
          <bgColor rgb="FFFFFF89"/>
        </patternFill>
      </fill>
    </dxf>
    <dxf>
      <fill>
        <patternFill>
          <bgColor rgb="FF4BB2FF"/>
        </patternFill>
      </fill>
    </dxf>
    <dxf>
      <fill>
        <patternFill>
          <bgColor theme="9" tint="0.39994506668294322"/>
        </patternFill>
      </fill>
    </dxf>
    <dxf>
      <fill>
        <patternFill>
          <bgColor rgb="FFFF5B5B"/>
        </patternFill>
      </fill>
    </dxf>
    <dxf>
      <fill>
        <patternFill>
          <bgColor rgb="FFFFFF89"/>
        </patternFill>
      </fill>
    </dxf>
    <dxf>
      <fill>
        <patternFill>
          <bgColor rgb="FF4BB2FF"/>
        </patternFill>
      </fill>
    </dxf>
  </dxfs>
  <tableStyles count="0" defaultTableStyle="TableStyleMedium2" defaultPivotStyle="PivotStyleLight16"/>
  <colors>
    <mruColors>
      <color rgb="FFA32121"/>
      <color rgb="FF961619"/>
      <color rgb="FFE70B10"/>
      <color rgb="FF4BB2FF"/>
      <color rgb="FF60C93B"/>
      <color rgb="FF76B531"/>
      <color rgb="FF820000"/>
      <color rgb="FFFFFF89"/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[Crowdfunding_Book.xlsx]Category Campaigns!PivotTable1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Campaigns'!$B$3:$B$4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Campaigns'!$A$5:$A$14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Campaigns'!$B$5:$B$14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F-40AF-A2A9-55395A27CE64}"/>
            </c:ext>
          </c:extLst>
        </c:ser>
        <c:ser>
          <c:idx val="1"/>
          <c:order val="1"/>
          <c:tx>
            <c:strRef>
              <c:f>'Category Campaigns'!$C$3:$C$4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Campaigns'!$A$5:$A$14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Campaigns'!$C$5:$C$14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F-40AF-A2A9-55395A27CE64}"/>
            </c:ext>
          </c:extLst>
        </c:ser>
        <c:ser>
          <c:idx val="2"/>
          <c:order val="2"/>
          <c:tx>
            <c:strRef>
              <c:f>'Category Campaigns'!$D$3:$D$4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Campaigns'!$A$5:$A$14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Campaigns'!$D$5:$D$14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6F-40AF-A2A9-55395A27CE64}"/>
            </c:ext>
          </c:extLst>
        </c:ser>
        <c:ser>
          <c:idx val="3"/>
          <c:order val="3"/>
          <c:tx>
            <c:strRef>
              <c:f>'Category Campaigns'!$E$3:$E$4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Campaigns'!$A$5:$A$14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Campaigns'!$E$5:$E$14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6F-40AF-A2A9-55395A27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175224"/>
        <c:axId val="559178040"/>
      </c:barChart>
      <c:catAx>
        <c:axId val="55917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78040"/>
        <c:crosses val="autoZero"/>
        <c:auto val="1"/>
        <c:lblAlgn val="ctr"/>
        <c:lblOffset val="100"/>
        <c:noMultiLvlLbl val="0"/>
      </c:catAx>
      <c:valAx>
        <c:axId val="55917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7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[Crowdfunding_Book.xlsx]Sub-Category Campaigns!PivotTable2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Campaigns'!$B$4:$B$5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Campaigns'!$A$6:$A$17</c:f>
              <c:strCache>
                <c:ptCount val="11"/>
                <c:pt idx="0">
                  <c:v>animation</c:v>
                </c:pt>
                <c:pt idx="1">
                  <c:v>documentary</c:v>
                </c:pt>
                <c:pt idx="2">
                  <c:v>indie rock</c:v>
                </c:pt>
                <c:pt idx="3">
                  <c:v>jazz</c:v>
                </c:pt>
                <c:pt idx="4">
                  <c:v>nonfiction</c:v>
                </c:pt>
                <c:pt idx="5">
                  <c:v>plays</c:v>
                </c:pt>
                <c:pt idx="6">
                  <c:v>radio &amp; podcasts</c:v>
                </c:pt>
                <c:pt idx="7">
                  <c:v>rock</c:v>
                </c:pt>
                <c:pt idx="8">
                  <c:v>shorts</c:v>
                </c:pt>
                <c:pt idx="9">
                  <c:v>video games</c:v>
                </c:pt>
                <c:pt idx="10">
                  <c:v>wearables</c:v>
                </c:pt>
              </c:strCache>
            </c:strRef>
          </c:cat>
          <c:val>
            <c:numRef>
              <c:f>'Sub-Category Campaigns'!$B$6:$B$17</c:f>
              <c:numCache>
                <c:formatCode>General</c:formatCode>
                <c:ptCount val="11"/>
                <c:pt idx="2">
                  <c:v>2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8-4DFA-AC97-C727F13757D7}"/>
            </c:ext>
          </c:extLst>
        </c:ser>
        <c:ser>
          <c:idx val="1"/>
          <c:order val="1"/>
          <c:tx>
            <c:strRef>
              <c:f>'Sub-Category Campaigns'!$C$4:$C$5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Campaigns'!$A$6:$A$17</c:f>
              <c:strCache>
                <c:ptCount val="11"/>
                <c:pt idx="0">
                  <c:v>animation</c:v>
                </c:pt>
                <c:pt idx="1">
                  <c:v>documentary</c:v>
                </c:pt>
                <c:pt idx="2">
                  <c:v>indie rock</c:v>
                </c:pt>
                <c:pt idx="3">
                  <c:v>jazz</c:v>
                </c:pt>
                <c:pt idx="4">
                  <c:v>nonfiction</c:v>
                </c:pt>
                <c:pt idx="5">
                  <c:v>plays</c:v>
                </c:pt>
                <c:pt idx="6">
                  <c:v>radio &amp; podcasts</c:v>
                </c:pt>
                <c:pt idx="7">
                  <c:v>rock</c:v>
                </c:pt>
                <c:pt idx="8">
                  <c:v>shorts</c:v>
                </c:pt>
                <c:pt idx="9">
                  <c:v>video games</c:v>
                </c:pt>
                <c:pt idx="10">
                  <c:v>wearables</c:v>
                </c:pt>
              </c:strCache>
            </c:strRef>
          </c:cat>
          <c:val>
            <c:numRef>
              <c:f>'Sub-Category Campaigns'!$C$6:$C$17</c:f>
              <c:numCache>
                <c:formatCode>General</c:formatCode>
                <c:ptCount val="11"/>
                <c:pt idx="1">
                  <c:v>2</c:v>
                </c:pt>
                <c:pt idx="5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8-4DFA-AC97-C727F13757D7}"/>
            </c:ext>
          </c:extLst>
        </c:ser>
        <c:ser>
          <c:idx val="2"/>
          <c:order val="2"/>
          <c:tx>
            <c:strRef>
              <c:f>'Sub-Category Campaigns'!$D$4:$D$5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Campaigns'!$A$6:$A$17</c:f>
              <c:strCache>
                <c:ptCount val="11"/>
                <c:pt idx="0">
                  <c:v>animation</c:v>
                </c:pt>
                <c:pt idx="1">
                  <c:v>documentary</c:v>
                </c:pt>
                <c:pt idx="2">
                  <c:v>indie rock</c:v>
                </c:pt>
                <c:pt idx="3">
                  <c:v>jazz</c:v>
                </c:pt>
                <c:pt idx="4">
                  <c:v>nonfiction</c:v>
                </c:pt>
                <c:pt idx="5">
                  <c:v>plays</c:v>
                </c:pt>
                <c:pt idx="6">
                  <c:v>radio &amp; podcasts</c:v>
                </c:pt>
                <c:pt idx="7">
                  <c:v>rock</c:v>
                </c:pt>
                <c:pt idx="8">
                  <c:v>shorts</c:v>
                </c:pt>
                <c:pt idx="9">
                  <c:v>video games</c:v>
                </c:pt>
                <c:pt idx="10">
                  <c:v>wearables</c:v>
                </c:pt>
              </c:strCache>
            </c:strRef>
          </c:cat>
          <c:val>
            <c:numRef>
              <c:f>'Sub-Category Campaigns'!$D$6:$D$17</c:f>
              <c:numCache>
                <c:formatCode>General</c:formatCode>
                <c:ptCount val="11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8-4DFA-AC97-C727F13757D7}"/>
            </c:ext>
          </c:extLst>
        </c:ser>
        <c:ser>
          <c:idx val="3"/>
          <c:order val="3"/>
          <c:tx>
            <c:strRef>
              <c:f>'Sub-Category Campaigns'!$E$4:$E$5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Campaigns'!$A$6:$A$17</c:f>
              <c:strCache>
                <c:ptCount val="11"/>
                <c:pt idx="0">
                  <c:v>animation</c:v>
                </c:pt>
                <c:pt idx="1">
                  <c:v>documentary</c:v>
                </c:pt>
                <c:pt idx="2">
                  <c:v>indie rock</c:v>
                </c:pt>
                <c:pt idx="3">
                  <c:v>jazz</c:v>
                </c:pt>
                <c:pt idx="4">
                  <c:v>nonfiction</c:v>
                </c:pt>
                <c:pt idx="5">
                  <c:v>plays</c:v>
                </c:pt>
                <c:pt idx="6">
                  <c:v>radio &amp; podcasts</c:v>
                </c:pt>
                <c:pt idx="7">
                  <c:v>rock</c:v>
                </c:pt>
                <c:pt idx="8">
                  <c:v>shorts</c:v>
                </c:pt>
                <c:pt idx="9">
                  <c:v>video games</c:v>
                </c:pt>
                <c:pt idx="10">
                  <c:v>wearables</c:v>
                </c:pt>
              </c:strCache>
            </c:strRef>
          </c:cat>
          <c:val>
            <c:numRef>
              <c:f>'Sub-Category Campaigns'!$E$6:$E$17</c:f>
              <c:numCache>
                <c:formatCode>General</c:formatCode>
                <c:ptCount val="11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D8-4DFA-AC97-C727F1375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634808"/>
        <c:axId val="584635160"/>
      </c:barChart>
      <c:catAx>
        <c:axId val="58463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35160"/>
        <c:crosses val="autoZero"/>
        <c:auto val="1"/>
        <c:lblAlgn val="ctr"/>
        <c:lblOffset val="100"/>
        <c:noMultiLvlLbl val="0"/>
      </c:catAx>
      <c:valAx>
        <c:axId val="58463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3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[Crowdfunding_Book.xlsx]Outcome by Time!PivotTable6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Time'!$B$6:$B$18</c:f>
              <c:numCache>
                <c:formatCode>General</c:formatCode>
                <c:ptCount val="12"/>
                <c:pt idx="2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5-46AB-B6EE-800E3E6D0762}"/>
            </c:ext>
          </c:extLst>
        </c:ser>
        <c:ser>
          <c:idx val="1"/>
          <c:order val="1"/>
          <c:tx>
            <c:strRef>
              <c:f>'Outcome by 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Time'!$C$6:$C$18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E5-46AB-B6EE-800E3E6D0762}"/>
            </c:ext>
          </c:extLst>
        </c:ser>
        <c:ser>
          <c:idx val="2"/>
          <c:order val="2"/>
          <c:tx>
            <c:strRef>
              <c:f>'Outcome by Time'!$D$4:$D$5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Time'!$D$6:$D$18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E5-46AB-B6EE-800E3E6D0762}"/>
            </c:ext>
          </c:extLst>
        </c:ser>
        <c:ser>
          <c:idx val="3"/>
          <c:order val="3"/>
          <c:tx>
            <c:strRef>
              <c:f>'Outcome by Time'!$E$4:$E$5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by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Time'!$E$6:$E$18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7E5-46AB-B6EE-800E3E6D0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86248"/>
        <c:axId val="989688008"/>
      </c:lineChart>
      <c:catAx>
        <c:axId val="98968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88008"/>
        <c:crosses val="autoZero"/>
        <c:auto val="1"/>
        <c:lblAlgn val="ctr"/>
        <c:lblOffset val="100"/>
        <c:noMultiLvlLbl val="0"/>
      </c:catAx>
      <c:valAx>
        <c:axId val="98968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8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5-4B18-A92B-EC8D158FBBCD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5-4B18-A92B-EC8D158FBBCD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5-4B18-A92B-EC8D158FB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514184"/>
        <c:axId val="869513832"/>
      </c:lineChart>
      <c:catAx>
        <c:axId val="86951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13832"/>
        <c:crosses val="autoZero"/>
        <c:auto val="1"/>
        <c:lblAlgn val="ctr"/>
        <c:lblOffset val="100"/>
        <c:noMultiLvlLbl val="0"/>
      </c:catAx>
      <c:valAx>
        <c:axId val="86951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1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0</xdr:rowOff>
    </xdr:from>
    <xdr:to>
      <xdr:col>13</xdr:col>
      <xdr:colOff>547687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E0CF7-6822-0C6F-D2C9-0E4D39B06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47624</xdr:rowOff>
    </xdr:from>
    <xdr:to>
      <xdr:col>13</xdr:col>
      <xdr:colOff>171450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94AEC-F64A-8263-F819-E5F886CA6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1</xdr:row>
      <xdr:rowOff>47625</xdr:rowOff>
    </xdr:from>
    <xdr:to>
      <xdr:col>12</xdr:col>
      <xdr:colOff>681037</xdr:colOff>
      <xdr:row>17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56227-6AA0-B2B7-B1D0-559F11806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1338261</xdr:colOff>
      <xdr:row>13</xdr:row>
      <xdr:rowOff>28581</xdr:rowOff>
    </xdr:from>
    <xdr:to>
      <xdr:col>7</xdr:col>
      <xdr:colOff>628649</xdr:colOff>
      <xdr:row>26</xdr:row>
      <xdr:rowOff>171456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44208F-D379-C6D8-2F92-78D51C05D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lyc" refreshedDate="45090.567019444446" createdVersion="8" refreshedVersion="8" minRefreshableVersion="3" recordCount="1000" xr:uid="{317B2CF9-D6E9-451D-95BC-019FAF0487AA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lyc" refreshedDate="45090.916614351852" backgroundQuery="1" createdVersion="8" refreshedVersion="8" minRefreshableVersion="3" recordCount="0" supportSubquery="1" supportAdvancedDrill="1" xr:uid="{10FE322D-715E-43BB-A277-B1297DB8006E}">
  <cacheSource type="external" connectionId="1"/>
  <cacheFields count="5">
    <cacheField name="[Range].[outcome].[outcome]" caption="outcome" numFmtId="0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19" level="32767"/>
    <cacheField name="[Range].[country].[country]" caption="country" numFmtId="0" hierarchy="3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1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13" level="1">
      <sharedItems containsSemiMixedTypes="0" containsNonDate="0" containsString="0"/>
    </cacheField>
  </cacheFields>
  <cacheHierarchies count="20"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89A03-2649-4FC1-A672-A46D7C31F79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81426-219E-434B-8058-59BFFC46B0F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12">
    <i>
      <x/>
    </i>
    <i>
      <x v="2"/>
    </i>
    <i>
      <x v="7"/>
    </i>
    <i>
      <x v="8"/>
    </i>
    <i>
      <x v="11"/>
    </i>
    <i>
      <x v="13"/>
    </i>
    <i>
      <x v="14"/>
    </i>
    <i>
      <x v="15"/>
    </i>
    <i>
      <x v="17"/>
    </i>
    <i>
      <x v="20"/>
    </i>
    <i>
      <x v="2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item="2" hier="-1"/>
    <pageField fld="1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62587-47D1-4435-98FF-E1F2987DCCD3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2" hier="3" name="[Range].[country].[All]" cap="All"/>
    <pageField fld="4" hier="13" name="[Range].[date created conversion (Year)].&amp;[2011]" cap="2011"/>
  </pageFields>
  <dataFields count="1">
    <dataField name="Count of outcome" fld="1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G:$S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Custom 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C000"/>
      </a:accent1>
      <a:accent2>
        <a:srgbClr val="FF0000"/>
      </a:accent2>
      <a:accent3>
        <a:srgbClr val="5B9BD5"/>
      </a:accent3>
      <a:accent4>
        <a:srgbClr val="70AD47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H1" sqref="H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25" bestFit="1" customWidth="1"/>
    <col min="8" max="8" width="13" bestFit="1" customWidth="1"/>
    <col min="9" max="9" width="16.125" style="7" bestFit="1" customWidth="1"/>
    <col min="12" max="13" width="11.125" bestFit="1" customWidth="1"/>
    <col min="14" max="14" width="22" style="12" bestFit="1" customWidth="1"/>
    <col min="15" max="15" width="22" customWidth="1"/>
    <col min="18" max="18" width="28" bestFit="1" customWidth="1"/>
    <col min="19" max="19" width="14.75" bestFit="1" customWidth="1"/>
    <col min="20" max="20" width="16.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2042</v>
      </c>
      <c r="G1" s="1" t="s">
        <v>4</v>
      </c>
      <c r="H1" s="1" t="s">
        <v>5</v>
      </c>
      <c r="I1" s="5" t="s">
        <v>2043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2045</v>
      </c>
      <c r="T1" s="1" t="s">
        <v>2044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 s="6" t="str">
        <f>IF(E2 = 0, "0", E2 / H2)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FIND("/",R2) -1)</f>
        <v>food</v>
      </c>
      <c r="T2" t="str">
        <f>TRIM(MID(R2,(FIND("/",R2)+1),(LEN(R2)+1)-(FIND("/",R2)+1)))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6">
        <f t="shared" ref="I3:I66" si="1">IF(E3 = 0, "0", E3 / 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FIND("/",R3) -1)</f>
        <v>music</v>
      </c>
      <c r="T3" t="str">
        <f t="shared" ref="T3:T66" si="5">TRIM(MID(R3,(FIND("/",R3)+1),(LEN(R3)+1)-(FIND("/",R3)+1)))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(E67/D67)*100</f>
        <v>236.14754098360655</v>
      </c>
      <c r="G67" t="s">
        <v>20</v>
      </c>
      <c r="H67">
        <v>236</v>
      </c>
      <c r="I67" s="6">
        <f t="shared" ref="I67:I130" si="7">IF(E67 = 0, "0", E67 / 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8">(((L67/60)/60)/24)+DATE(1970,1,1)</f>
        <v>40570.25</v>
      </c>
      <c r="O67" s="10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FIND("/",R67) -1)</f>
        <v>theater</v>
      </c>
      <c r="T67" t="str">
        <f t="shared" ref="T67:T130" si="11">TRIM(MID(R67,(FIND("/",R67)+1),(LEN(R67)+1)-(FIND("/",R67)+1)))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8"/>
        <v>42102.208333333328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8"/>
        <v>40203.25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8"/>
        <v>42943.208333333328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8"/>
        <v>40531.25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8"/>
        <v>40484.208333333336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8"/>
        <v>43799.25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8"/>
        <v>42186.208333333328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8"/>
        <v>42701.25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8"/>
        <v>42456.208333333328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8"/>
        <v>43296.208333333328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8"/>
        <v>42027.25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8"/>
        <v>40448.208333333336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8"/>
        <v>43206.208333333328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8"/>
        <v>43267.208333333328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8"/>
        <v>42976.208333333328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8"/>
        <v>43062.25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8"/>
        <v>43482.25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8"/>
        <v>42579.208333333328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8"/>
        <v>41118.208333333336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8"/>
        <v>40797.208333333336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8"/>
        <v>42128.208333333328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8"/>
        <v>40610.25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8"/>
        <v>42110.208333333328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8"/>
        <v>40283.208333333336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8"/>
        <v>42425.25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8"/>
        <v>42588.208333333328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8"/>
        <v>40352.208333333336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8"/>
        <v>41202.208333333336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8"/>
        <v>43562.208333333328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8"/>
        <v>43752.208333333328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8"/>
        <v>40612.25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8"/>
        <v>42180.208333333328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8"/>
        <v>42212.208333333328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8"/>
        <v>41968.25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8"/>
        <v>40835.208333333336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8"/>
        <v>42056.25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8"/>
        <v>43234.208333333328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8"/>
        <v>40475.208333333336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8"/>
        <v>42878.208333333328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8"/>
        <v>41366.208333333336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8"/>
        <v>43716.208333333328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8"/>
        <v>43213.208333333328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8"/>
        <v>41005.208333333336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8"/>
        <v>41651.25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8"/>
        <v>43354.208333333328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8"/>
        <v>41174.208333333336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8"/>
        <v>41875.208333333336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8"/>
        <v>42990.208333333328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8"/>
        <v>43564.208333333328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8"/>
        <v>43056.25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8"/>
        <v>42265.208333333328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8"/>
        <v>40808.208333333336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8"/>
        <v>41665.25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8"/>
        <v>41806.208333333336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8"/>
        <v>42111.208333333328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8"/>
        <v>41917.208333333336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8"/>
        <v>41970.25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8"/>
        <v>42332.25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8"/>
        <v>43598.208333333328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8"/>
        <v>43362.208333333328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8"/>
        <v>42596.208333333328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8"/>
        <v>40310.208333333336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8"/>
        <v>40417.208333333336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(E131/D131)*100</f>
        <v>3.202693602693603</v>
      </c>
      <c r="G131" t="s">
        <v>74</v>
      </c>
      <c r="H131">
        <v>55</v>
      </c>
      <c r="I131" s="6">
        <f t="shared" ref="I131:I194" si="13">IF(E131 = 0, "0", E131 / 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4">(((L131/60)/60)/24)+DATE(1970,1,1)</f>
        <v>42038.25</v>
      </c>
      <c r="O131" s="10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FIND("/",R131) -1)</f>
        <v>food</v>
      </c>
      <c r="T131" t="str">
        <f t="shared" ref="T131:T194" si="17">TRIM(MID(R131,(FIND("/",R131)+1),(LEN(R131)+1)-(FIND("/",R131)+1)))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4"/>
        <v>40842.208333333336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4"/>
        <v>41607.25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4"/>
        <v>43112.25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4"/>
        <v>40767.208333333336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4"/>
        <v>40713.208333333336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4"/>
        <v>41340.25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4"/>
        <v>41797.208333333336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4"/>
        <v>40457.208333333336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4"/>
        <v>41180.208333333336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4"/>
        <v>42115.208333333328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4"/>
        <v>43156.25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4"/>
        <v>42167.208333333328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4"/>
        <v>41005.208333333336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4"/>
        <v>40357.208333333336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4"/>
        <v>43633.208333333328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4"/>
        <v>41889.208333333336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4"/>
        <v>40855.25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4"/>
        <v>42534.208333333328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4"/>
        <v>42941.208333333328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4"/>
        <v>41275.25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4"/>
        <v>43450.25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4"/>
        <v>41799.208333333336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4"/>
        <v>42783.25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4"/>
        <v>41201.208333333336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4"/>
        <v>42502.208333333328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4"/>
        <v>40262.208333333336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4"/>
        <v>43743.208333333328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4"/>
        <v>41638.25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4"/>
        <v>42346.25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4"/>
        <v>43551.208333333328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4"/>
        <v>43582.208333333328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4"/>
        <v>42270.208333333328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4"/>
        <v>43442.25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4"/>
        <v>43028.208333333328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4"/>
        <v>43016.208333333328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4"/>
        <v>42948.208333333328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4"/>
        <v>40534.25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4"/>
        <v>41435.208333333336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4"/>
        <v>43518.25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4"/>
        <v>41077.208333333336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4"/>
        <v>42950.208333333328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4"/>
        <v>41718.208333333336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4"/>
        <v>41839.208333333336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4"/>
        <v>41412.208333333336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4"/>
        <v>42282.208333333328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4"/>
        <v>42613.208333333328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4"/>
        <v>42616.208333333328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4"/>
        <v>40497.25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4"/>
        <v>42999.208333333328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4"/>
        <v>41350.208333333336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4"/>
        <v>40259.208333333336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4"/>
        <v>43012.208333333328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4"/>
        <v>43631.208333333328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4"/>
        <v>40430.208333333336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4"/>
        <v>43588.208333333328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4"/>
        <v>43233.208333333328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4"/>
        <v>41782.208333333336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4"/>
        <v>41328.25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4"/>
        <v>41975.25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4"/>
        <v>42433.25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4"/>
        <v>41429.208333333336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4"/>
        <v>43536.208333333328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4"/>
        <v>41817.208333333336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(E195/D195)*100</f>
        <v>45.636363636363633</v>
      </c>
      <c r="G195" t="s">
        <v>14</v>
      </c>
      <c r="H195">
        <v>65</v>
      </c>
      <c r="I195" s="6">
        <f t="shared" ref="I195:I258" si="19">IF(E195 = 0, "0", E195 / 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20">(((L195/60)/60)/24)+DATE(1970,1,1)</f>
        <v>43198.208333333328</v>
      </c>
      <c r="O195" s="10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FIND("/",R195) -1)</f>
        <v>music</v>
      </c>
      <c r="T195" t="str">
        <f t="shared" ref="T195:T258" si="23">TRIM(MID(R195,(FIND("/",R195)+1),(LEN(R195)+1)-(FIND("/",R195)+1)))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20"/>
        <v>42261.208333333328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20"/>
        <v>43310.208333333328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20"/>
        <v>42616.208333333328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20"/>
        <v>42909.208333333328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20"/>
        <v>40396.208333333336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20"/>
        <v>42192.208333333328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20"/>
        <v>40262.208333333336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20"/>
        <v>41845.208333333336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20"/>
        <v>40818.208333333336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20"/>
        <v>42752.25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20"/>
        <v>40636.208333333336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20"/>
        <v>43390.208333333328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20"/>
        <v>40236.25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20"/>
        <v>43340.208333333328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20"/>
        <v>43048.25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20"/>
        <v>42496.208333333328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20"/>
        <v>42797.25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20"/>
        <v>41513.208333333336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20"/>
        <v>43814.25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20"/>
        <v>40488.208333333336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20"/>
        <v>40409.208333333336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20"/>
        <v>43509.25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20"/>
        <v>40869.25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20"/>
        <v>43583.208333333328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20"/>
        <v>40858.25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20"/>
        <v>41137.208333333336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20"/>
        <v>40725.208333333336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20"/>
        <v>41081.208333333336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20"/>
        <v>41914.208333333336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20"/>
        <v>42445.208333333328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20"/>
        <v>41906.208333333336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20"/>
        <v>41762.208333333336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20"/>
        <v>40276.208333333336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20"/>
        <v>42139.208333333328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20"/>
        <v>42613.208333333328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20"/>
        <v>42887.208333333328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20"/>
        <v>43805.25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20"/>
        <v>41415.208333333336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20"/>
        <v>42576.208333333328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20"/>
        <v>40706.208333333336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20"/>
        <v>42969.208333333328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20"/>
        <v>42779.25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20"/>
        <v>43641.208333333328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20"/>
        <v>41754.208333333336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20"/>
        <v>43083.25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20"/>
        <v>42245.208333333328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20"/>
        <v>40396.208333333336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20"/>
        <v>41742.208333333336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20"/>
        <v>42865.208333333328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20"/>
        <v>43163.25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20"/>
        <v>41834.208333333336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20"/>
        <v>41736.208333333336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20"/>
        <v>41491.208333333336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20"/>
        <v>42726.25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20"/>
        <v>42004.25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20"/>
        <v>42006.25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20"/>
        <v>40203.25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20"/>
        <v>41252.25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20"/>
        <v>41572.208333333336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20"/>
        <v>40641.208333333336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20"/>
        <v>42787.25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20"/>
        <v>40590.25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20"/>
        <v>42393.25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(E259/D259)*100</f>
        <v>146</v>
      </c>
      <c r="G259" t="s">
        <v>20</v>
      </c>
      <c r="H259">
        <v>92</v>
      </c>
      <c r="I259" s="6">
        <f t="shared" ref="I259:I322" si="25">IF(E259 = 0, "0", E259 / 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26">(((L259/60)/60)/24)+DATE(1970,1,1)</f>
        <v>41338.25</v>
      </c>
      <c r="O259" s="10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FIND("/",R259) -1)</f>
        <v>theater</v>
      </c>
      <c r="T259" t="str">
        <f t="shared" ref="T259:T322" si="29">TRIM(MID(R259,(FIND("/",R259)+1),(LEN(R259)+1)-(FIND("/",R259)+1)))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26"/>
        <v>42712.25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26"/>
        <v>41251.25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26"/>
        <v>41180.208333333336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26"/>
        <v>40415.208333333336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26"/>
        <v>40638.208333333336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26"/>
        <v>40187.25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26"/>
        <v>41317.25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26"/>
        <v>42372.25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26"/>
        <v>41950.25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26"/>
        <v>41206.208333333336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26"/>
        <v>41186.208333333336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26"/>
        <v>43496.25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26"/>
        <v>40514.25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26"/>
        <v>42345.25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26"/>
        <v>43656.208333333328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26"/>
        <v>42995.208333333328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26"/>
        <v>43045.25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26"/>
        <v>43561.208333333328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26"/>
        <v>41018.208333333336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26"/>
        <v>40378.208333333336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26"/>
        <v>41239.25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26"/>
        <v>43346.208333333328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26"/>
        <v>43060.25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26"/>
        <v>40979.25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26"/>
        <v>42701.25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26"/>
        <v>42520.208333333328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26"/>
        <v>41030.208333333336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26"/>
        <v>42623.208333333328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26"/>
        <v>42697.25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26"/>
        <v>42122.208333333328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26"/>
        <v>40982.208333333336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26"/>
        <v>42219.208333333328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26"/>
        <v>41404.208333333336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26"/>
        <v>40831.208333333336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26"/>
        <v>40984.208333333336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26"/>
        <v>40456.208333333336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26"/>
        <v>43399.208333333328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26"/>
        <v>41562.208333333336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26"/>
        <v>43493.25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26"/>
        <v>41653.25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26"/>
        <v>42426.25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26"/>
        <v>42432.25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26"/>
        <v>42977.208333333328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26"/>
        <v>42061.25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26"/>
        <v>43345.208333333328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26"/>
        <v>42376.25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26"/>
        <v>42589.208333333328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26"/>
        <v>42448.208333333328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26"/>
        <v>42930.208333333328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26"/>
        <v>41066.208333333336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26"/>
        <v>40651.208333333336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26"/>
        <v>40807.208333333336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26"/>
        <v>40277.208333333336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26"/>
        <v>40590.25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26"/>
        <v>41572.208333333336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26"/>
        <v>40966.25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26"/>
        <v>43536.208333333328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26"/>
        <v>41783.208333333336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26"/>
        <v>43788.25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26"/>
        <v>42869.208333333328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26"/>
        <v>41684.25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26"/>
        <v>40402.208333333336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26"/>
        <v>40673.208333333336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(E323/D323)*100</f>
        <v>94.144366197183089</v>
      </c>
      <c r="G323" t="s">
        <v>14</v>
      </c>
      <c r="H323">
        <v>2468</v>
      </c>
      <c r="I323" s="6">
        <f t="shared" ref="I323:I386" si="31">IF(E323 = 0, "0", E323 / 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32">(((L323/60)/60)/24)+DATE(1970,1,1)</f>
        <v>40634.208333333336</v>
      </c>
      <c r="O323" s="10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FIND("/",R323) -1)</f>
        <v>film &amp; video</v>
      </c>
      <c r="T323" t="str">
        <f t="shared" ref="T323:T386" si="35">TRIM(MID(R323,(FIND("/",R323)+1),(LEN(R323)+1)-(FIND("/",R323)+1)))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32"/>
        <v>40507.25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32"/>
        <v>41725.208333333336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32"/>
        <v>42176.208333333328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32"/>
        <v>43267.208333333328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32"/>
        <v>42364.25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32"/>
        <v>43705.208333333328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32"/>
        <v>43434.25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32"/>
        <v>42716.25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32"/>
        <v>43077.25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32"/>
        <v>40896.25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32"/>
        <v>41361.208333333336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32"/>
        <v>43424.25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32"/>
        <v>43110.25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32"/>
        <v>43784.25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32"/>
        <v>40527.25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32"/>
        <v>43780.25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32"/>
        <v>40821.208333333336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32"/>
        <v>42949.208333333328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32"/>
        <v>40889.25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32"/>
        <v>42244.208333333328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32"/>
        <v>41475.208333333336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32"/>
        <v>41597.25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32"/>
        <v>43122.25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32"/>
        <v>42194.208333333328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32"/>
        <v>42971.208333333328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32"/>
        <v>42046.25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32"/>
        <v>42782.25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32"/>
        <v>42930.208333333328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32"/>
        <v>42144.208333333328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32"/>
        <v>42240.208333333328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32"/>
        <v>42315.25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32"/>
        <v>43651.208333333328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32"/>
        <v>41520.208333333336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32"/>
        <v>42757.25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32"/>
        <v>40922.25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32"/>
        <v>42250.208333333328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32"/>
        <v>43322.208333333328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32"/>
        <v>40782.208333333336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32"/>
        <v>40544.25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32"/>
        <v>43015.208333333328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32"/>
        <v>40570.25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32"/>
        <v>40904.25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32"/>
        <v>43164.25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32"/>
        <v>42733.25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32"/>
        <v>40546.25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32"/>
        <v>41930.208333333336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32"/>
        <v>40464.208333333336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32"/>
        <v>41308.25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32"/>
        <v>43570.208333333328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32"/>
        <v>42043.25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32"/>
        <v>42012.25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32"/>
        <v>42964.208333333328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32"/>
        <v>43476.25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32"/>
        <v>42293.208333333328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32"/>
        <v>41826.208333333336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32"/>
        <v>43760.208333333328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32"/>
        <v>43241.208333333328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32"/>
        <v>40843.208333333336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32"/>
        <v>41448.208333333336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32"/>
        <v>42163.208333333328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32"/>
        <v>43024.208333333328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32"/>
        <v>43509.25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32"/>
        <v>42776.25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(E387/D387)*100</f>
        <v>146.16709511568124</v>
      </c>
      <c r="G387" t="s">
        <v>20</v>
      </c>
      <c r="H387">
        <v>1137</v>
      </c>
      <c r="I387" s="6">
        <f t="shared" ref="I387:I450" si="37">IF(E387 = 0, "0", E387 / 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38">(((L387/60)/60)/24)+DATE(1970,1,1)</f>
        <v>43553.208333333328</v>
      </c>
      <c r="O387" s="10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FIND("/",R387) -1)</f>
        <v>publishing</v>
      </c>
      <c r="T387" t="str">
        <f t="shared" ref="T387:T450" si="41">TRIM(MID(R387,(FIND("/",R387)+1),(LEN(R387)+1)-(FIND("/",R387)+1)))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38"/>
        <v>40355.208333333336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38"/>
        <v>41072.208333333336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38"/>
        <v>40912.25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38"/>
        <v>40479.208333333336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38"/>
        <v>41530.208333333336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38"/>
        <v>41653.25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38"/>
        <v>40549.25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38"/>
        <v>42933.208333333328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38"/>
        <v>41484.208333333336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38"/>
        <v>40885.25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38"/>
        <v>43378.208333333328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38"/>
        <v>41417.208333333336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38"/>
        <v>43228.208333333328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38"/>
        <v>40576.25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38"/>
        <v>41502.208333333336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38"/>
        <v>43765.208333333328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38"/>
        <v>40914.25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38"/>
        <v>40310.208333333336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38"/>
        <v>43053.25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38"/>
        <v>43255.208333333328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38"/>
        <v>41304.25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38"/>
        <v>43751.208333333328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38"/>
        <v>42541.208333333328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38"/>
        <v>42843.208333333328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38"/>
        <v>42122.208333333328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38"/>
        <v>42884.208333333328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38"/>
        <v>41642.25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38"/>
        <v>43431.25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38"/>
        <v>40288.208333333336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38"/>
        <v>40921.25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38"/>
        <v>40560.25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38"/>
        <v>43407.208333333328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38"/>
        <v>41035.208333333336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38"/>
        <v>40899.25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38"/>
        <v>42911.208333333328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38"/>
        <v>42915.208333333328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38"/>
        <v>40285.208333333336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38"/>
        <v>40808.208333333336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38"/>
        <v>43208.208333333328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38"/>
        <v>42213.208333333328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38"/>
        <v>41332.25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38"/>
        <v>41895.208333333336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38"/>
        <v>40585.25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38"/>
        <v>41680.25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38"/>
        <v>43737.208333333328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38"/>
        <v>43273.208333333328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38"/>
        <v>41761.208333333336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38"/>
        <v>41603.25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38"/>
        <v>42705.25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38"/>
        <v>41988.25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38"/>
        <v>43575.208333333328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38"/>
        <v>42260.208333333328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38"/>
        <v>41337.25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38"/>
        <v>42680.208333333328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38"/>
        <v>42916.208333333328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38"/>
        <v>41025.208333333336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38"/>
        <v>42980.208333333328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38"/>
        <v>40451.208333333336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38"/>
        <v>40748.208333333336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38"/>
        <v>40515.25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38"/>
        <v>41261.25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38"/>
        <v>43088.25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38"/>
        <v>41378.208333333336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(E451/D451)*100</f>
        <v>967</v>
      </c>
      <c r="G451" t="s">
        <v>20</v>
      </c>
      <c r="H451">
        <v>86</v>
      </c>
      <c r="I451" s="6">
        <f t="shared" ref="I451:I514" si="43">IF(E451 = 0, "0", E451 / 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44">(((L451/60)/60)/24)+DATE(1970,1,1)</f>
        <v>43530.25</v>
      </c>
      <c r="O451" s="10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FIND("/",R451) -1)</f>
        <v>games</v>
      </c>
      <c r="T451" t="str">
        <f t="shared" ref="T451:T514" si="47">TRIM(MID(R451,(FIND("/",R451)+1),(LEN(R451)+1)-(FIND("/",R451)+1)))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44"/>
        <v>43394.208333333328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44"/>
        <v>42935.208333333328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44"/>
        <v>40365.208333333336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44"/>
        <v>42705.25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44"/>
        <v>41568.208333333336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44"/>
        <v>40809.208333333336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44"/>
        <v>43141.25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44"/>
        <v>42657.208333333328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44"/>
        <v>40265.208333333336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44"/>
        <v>42001.25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44"/>
        <v>40399.208333333336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44"/>
        <v>41757.208333333336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44"/>
        <v>41304.25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44"/>
        <v>41639.25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44"/>
        <v>43142.25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44"/>
        <v>43127.25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44"/>
        <v>41409.208333333336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44"/>
        <v>42331.25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44"/>
        <v>43569.208333333328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44"/>
        <v>42142.208333333328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44"/>
        <v>42716.25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44"/>
        <v>41031.208333333336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44"/>
        <v>43535.208333333328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44"/>
        <v>43277.208333333328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44"/>
        <v>41989.25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44"/>
        <v>41450.208333333336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44"/>
        <v>43322.208333333328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44"/>
        <v>40720.208333333336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44"/>
        <v>42072.208333333328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44"/>
        <v>42945.208333333328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44"/>
        <v>40248.25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44"/>
        <v>41913.208333333336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44"/>
        <v>40963.25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44"/>
        <v>43811.25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44"/>
        <v>41855.208333333336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44"/>
        <v>43626.208333333328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44"/>
        <v>43168.25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44"/>
        <v>42845.208333333328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44"/>
        <v>42403.25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44"/>
        <v>40406.208333333336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44"/>
        <v>43786.25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44"/>
        <v>41456.208333333336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44"/>
        <v>40336.208333333336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44"/>
        <v>43645.208333333328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44"/>
        <v>40990.208333333336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44"/>
        <v>41800.208333333336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44"/>
        <v>42876.208333333328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44"/>
        <v>42724.25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44"/>
        <v>42005.25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44"/>
        <v>42444.208333333328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6" t="str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44"/>
        <v>41395.208333333336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44"/>
        <v>41345.208333333336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44"/>
        <v>41117.208333333336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44"/>
        <v>42186.208333333328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44"/>
        <v>42142.208333333328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44"/>
        <v>41341.25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44"/>
        <v>43062.25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44"/>
        <v>41373.208333333336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44"/>
        <v>43310.208333333328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44"/>
        <v>41034.208333333336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44"/>
        <v>43251.208333333328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44"/>
        <v>43671.208333333328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44"/>
        <v>41825.208333333336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(E515/D515)*100</f>
        <v>39.277108433734945</v>
      </c>
      <c r="G515" t="s">
        <v>74</v>
      </c>
      <c r="H515">
        <v>35</v>
      </c>
      <c r="I515" s="6">
        <f t="shared" ref="I515:I578" si="49">IF(E515 = 0, "0", E515 / 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50">(((L515/60)/60)/24)+DATE(1970,1,1)</f>
        <v>40430.208333333336</v>
      </c>
      <c r="O515" s="10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FIND("/",R515) -1)</f>
        <v>film &amp; video</v>
      </c>
      <c r="T515" t="str">
        <f t="shared" ref="T515:T578" si="53">TRIM(MID(R515,(FIND("/",R515)+1),(LEN(R515)+1)-(FIND("/",R515)+1)))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50"/>
        <v>41614.25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50"/>
        <v>40900.25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50"/>
        <v>40396.208333333336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50"/>
        <v>42860.208333333328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50"/>
        <v>43154.25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50"/>
        <v>42012.25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50"/>
        <v>43574.208333333328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50"/>
        <v>42605.208333333328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50"/>
        <v>41093.208333333336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50"/>
        <v>40241.25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50"/>
        <v>40294.208333333336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50"/>
        <v>40505.25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50"/>
        <v>42364.25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50"/>
        <v>42405.25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50"/>
        <v>41601.25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50"/>
        <v>41769.208333333336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50"/>
        <v>40421.208333333336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50"/>
        <v>41589.25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50"/>
        <v>43125.25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50"/>
        <v>41479.208333333336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50"/>
        <v>43329.208333333328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50"/>
        <v>43259.208333333328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50"/>
        <v>40414.208333333336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50"/>
        <v>43342.208333333328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50"/>
        <v>41539.208333333336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50"/>
        <v>43647.208333333328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50"/>
        <v>43225.208333333328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50"/>
        <v>42165.208333333328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50"/>
        <v>42391.25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50"/>
        <v>41528.208333333336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50"/>
        <v>42377.25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50"/>
        <v>43824.25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50"/>
        <v>43360.208333333328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50"/>
        <v>42029.25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50"/>
        <v>42461.208333333328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50"/>
        <v>41422.208333333336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50"/>
        <v>40968.25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50"/>
        <v>41993.25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50"/>
        <v>42700.25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50"/>
        <v>40545.25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50"/>
        <v>42723.25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50"/>
        <v>41731.208333333336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50"/>
        <v>40792.208333333336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50"/>
        <v>42279.208333333328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50"/>
        <v>42424.25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50"/>
        <v>42584.208333333328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50"/>
        <v>40865.25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50"/>
        <v>40833.208333333336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50"/>
        <v>43536.208333333328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50"/>
        <v>43417.25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50"/>
        <v>42078.208333333328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50"/>
        <v>40862.25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50"/>
        <v>42424.25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50"/>
        <v>41830.208333333336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50"/>
        <v>40374.208333333336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50"/>
        <v>40554.25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50"/>
        <v>41993.25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50"/>
        <v>42174.208333333328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50"/>
        <v>42275.208333333328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50"/>
        <v>41761.208333333336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50"/>
        <v>43806.25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50"/>
        <v>41779.208333333336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50"/>
        <v>43040.208333333328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(E579/D579)*100</f>
        <v>18.853658536585368</v>
      </c>
      <c r="G579" t="s">
        <v>74</v>
      </c>
      <c r="H579">
        <v>37</v>
      </c>
      <c r="I579" s="6">
        <f t="shared" ref="I579:I642" si="55">IF(E579 = 0, "0", E579 / 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56">(((L579/60)/60)/24)+DATE(1970,1,1)</f>
        <v>40613.25</v>
      </c>
      <c r="O579" s="10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FIND("/",R579) -1)</f>
        <v>music</v>
      </c>
      <c r="T579" t="str">
        <f t="shared" ref="T579:T642" si="59">TRIM(MID(R579,(FIND("/",R579)+1),(LEN(R579)+1)-(FIND("/",R579)+1)))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56"/>
        <v>40878.25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56"/>
        <v>40762.208333333336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56"/>
        <v>41696.25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56"/>
        <v>40662.208333333336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56"/>
        <v>42165.208333333328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56"/>
        <v>40959.25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56"/>
        <v>41024.208333333336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56"/>
        <v>40255.208333333336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56"/>
        <v>40499.25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56"/>
        <v>43484.25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56"/>
        <v>40262.208333333336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56"/>
        <v>42190.208333333328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56"/>
        <v>41994.25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56"/>
        <v>40373.208333333336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56"/>
        <v>41789.208333333336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56"/>
        <v>41724.208333333336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56"/>
        <v>42548.208333333328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56"/>
        <v>40253.208333333336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56"/>
        <v>42434.25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56"/>
        <v>43786.25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56"/>
        <v>40344.208333333336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56"/>
        <v>42047.25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56"/>
        <v>41485.208333333336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56"/>
        <v>41789.208333333336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56"/>
        <v>42160.208333333328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56"/>
        <v>43573.208333333328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56"/>
        <v>40565.25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56"/>
        <v>42280.208333333328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56"/>
        <v>42436.25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56"/>
        <v>41721.208333333336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56"/>
        <v>43530.25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56"/>
        <v>43481.25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56"/>
        <v>41259.25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56"/>
        <v>41480.208333333336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56"/>
        <v>40474.208333333336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56"/>
        <v>42973.208333333328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56"/>
        <v>42746.25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56"/>
        <v>42489.208333333328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56"/>
        <v>41537.208333333336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56"/>
        <v>41794.208333333336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56"/>
        <v>41396.208333333336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56"/>
        <v>40669.208333333336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56"/>
        <v>42559.208333333328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56"/>
        <v>42626.208333333328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56"/>
        <v>43205.208333333328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56"/>
        <v>42201.208333333328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56"/>
        <v>42029.25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56"/>
        <v>43857.25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56"/>
        <v>40449.208333333336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56"/>
        <v>40345.208333333336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56"/>
        <v>40455.208333333336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56"/>
        <v>42557.208333333328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56"/>
        <v>43586.208333333328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56"/>
        <v>43550.208333333328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56"/>
        <v>41945.208333333336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56"/>
        <v>42315.25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56"/>
        <v>42819.208333333328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56"/>
        <v>41314.25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56"/>
        <v>40926.25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56"/>
        <v>42688.25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56"/>
        <v>40386.208333333336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56"/>
        <v>43309.208333333328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56"/>
        <v>42387.25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(E643/D643)*100</f>
        <v>119.96808510638297</v>
      </c>
      <c r="G643" t="s">
        <v>20</v>
      </c>
      <c r="H643">
        <v>194</v>
      </c>
      <c r="I643" s="6">
        <f t="shared" ref="I643:I706" si="61">IF(E643 = 0, "0", E643 / 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62">(((L643/60)/60)/24)+DATE(1970,1,1)</f>
        <v>42786.25</v>
      </c>
      <c r="O643" s="10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FIND("/",R643) -1)</f>
        <v>theater</v>
      </c>
      <c r="T643" t="str">
        <f t="shared" ref="T643:T706" si="65">TRIM(MID(R643,(FIND("/",R643)+1),(LEN(R643)+1)-(FIND("/",R643)+1)))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62"/>
        <v>43451.25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62"/>
        <v>42795.25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62"/>
        <v>43452.25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62"/>
        <v>43369.208333333328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62"/>
        <v>41346.208333333336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62"/>
        <v>43199.208333333328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62"/>
        <v>42922.208333333328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62"/>
        <v>40471.208333333336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62"/>
        <v>41828.208333333336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62"/>
        <v>41692.25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62"/>
        <v>42587.208333333328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62"/>
        <v>42468.208333333328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62"/>
        <v>42240.208333333328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62"/>
        <v>42796.25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62"/>
        <v>43097.25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62"/>
        <v>43096.25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62"/>
        <v>42246.208333333328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62"/>
        <v>40570.25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62"/>
        <v>42237.208333333328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62"/>
        <v>40996.208333333336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62"/>
        <v>43443.25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62"/>
        <v>40458.208333333336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62"/>
        <v>40959.25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62"/>
        <v>40733.208333333336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62"/>
        <v>41516.208333333336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62"/>
        <v>41892.208333333336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62"/>
        <v>41122.208333333336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62"/>
        <v>42912.208333333328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62"/>
        <v>42425.25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62"/>
        <v>40390.208333333336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62"/>
        <v>43180.208333333328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62"/>
        <v>42475.208333333328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62"/>
        <v>40774.208333333336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62"/>
        <v>43719.208333333328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62"/>
        <v>41178.208333333336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62"/>
        <v>42561.208333333328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62"/>
        <v>43484.25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62"/>
        <v>43756.208333333328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62"/>
        <v>43813.25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62"/>
        <v>40898.25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62"/>
        <v>41619.25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62"/>
        <v>43359.208333333328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62"/>
        <v>40358.208333333336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62"/>
        <v>42239.208333333328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62"/>
        <v>43186.208333333328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62"/>
        <v>42806.25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62"/>
        <v>43475.25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62"/>
        <v>41576.208333333336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62"/>
        <v>40874.25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62"/>
        <v>41185.208333333336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62"/>
        <v>43655.208333333328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62"/>
        <v>43025.208333333328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62"/>
        <v>43066.25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62"/>
        <v>42322.25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62"/>
        <v>42114.208333333328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62"/>
        <v>43190.208333333328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62"/>
        <v>40871.25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62"/>
        <v>43641.208333333328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62"/>
        <v>40203.25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62"/>
        <v>40629.208333333336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62"/>
        <v>41477.208333333336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62"/>
        <v>41020.208333333336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62"/>
        <v>42555.208333333328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(E707/D707)*100</f>
        <v>99.026517383618156</v>
      </c>
      <c r="G707" t="s">
        <v>14</v>
      </c>
      <c r="H707">
        <v>2025</v>
      </c>
      <c r="I707" s="6">
        <f t="shared" ref="I707:I770" si="67">IF(E707 = 0, "0", E707 / 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68">(((L707/60)/60)/24)+DATE(1970,1,1)</f>
        <v>41619.25</v>
      </c>
      <c r="O707" s="10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FIND("/",R707) -1)</f>
        <v>publishing</v>
      </c>
      <c r="T707" t="str">
        <f t="shared" ref="T707:T770" si="71">TRIM(MID(R707,(FIND("/",R707)+1),(LEN(R707)+1)-(FIND("/",R707)+1)))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68"/>
        <v>43471.25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68"/>
        <v>43442.25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68"/>
        <v>42877.208333333328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68"/>
        <v>41018.208333333336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68"/>
        <v>43295.208333333328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68"/>
        <v>42393.25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68"/>
        <v>42559.208333333328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68"/>
        <v>42604.208333333328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68"/>
        <v>41870.208333333336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68"/>
        <v>40397.208333333336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68"/>
        <v>41465.208333333336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68"/>
        <v>40777.208333333336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68"/>
        <v>41442.208333333336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68"/>
        <v>41058.208333333336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68"/>
        <v>43152.25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68"/>
        <v>43194.208333333328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68"/>
        <v>43045.25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68"/>
        <v>42431.25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68"/>
        <v>41934.208333333336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68"/>
        <v>41958.25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68"/>
        <v>40476.208333333336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68"/>
        <v>43485.25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68"/>
        <v>42515.208333333328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68"/>
        <v>41309.25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68"/>
        <v>42147.208333333328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68"/>
        <v>42939.208333333328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68"/>
        <v>42816.208333333328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68"/>
        <v>41844.208333333336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68"/>
        <v>42763.25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68"/>
        <v>42459.208333333328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68"/>
        <v>42055.25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68"/>
        <v>42685.25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68"/>
        <v>41959.25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68"/>
        <v>41089.208333333336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68"/>
        <v>42769.25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68"/>
        <v>40321.208333333336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68"/>
        <v>40197.25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68"/>
        <v>42298.208333333328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68"/>
        <v>43322.208333333328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68"/>
        <v>40328.208333333336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68"/>
        <v>40825.208333333336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68"/>
        <v>40423.208333333336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68"/>
        <v>40238.25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68"/>
        <v>41920.208333333336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68"/>
        <v>40360.208333333336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68"/>
        <v>42446.208333333328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68"/>
        <v>40395.208333333336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68"/>
        <v>40321.208333333336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68"/>
        <v>41210.208333333336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68"/>
        <v>43096.25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68"/>
        <v>42024.25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68"/>
        <v>40675.208333333336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68"/>
        <v>41936.208333333336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68"/>
        <v>43136.25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68"/>
        <v>43678.208333333328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68"/>
        <v>42938.208333333328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68"/>
        <v>41241.25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68"/>
        <v>41037.208333333336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68"/>
        <v>40676.208333333336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68"/>
        <v>42840.208333333328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68"/>
        <v>43362.208333333328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68"/>
        <v>42283.208333333328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68"/>
        <v>41619.25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(E771/D771)*100</f>
        <v>86.867834394904463</v>
      </c>
      <c r="G771" t="s">
        <v>14</v>
      </c>
      <c r="H771">
        <v>3410</v>
      </c>
      <c r="I771" s="6">
        <f t="shared" ref="I771:I834" si="73">IF(E771 = 0, "0", E771 / 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74">(((L771/60)/60)/24)+DATE(1970,1,1)</f>
        <v>41501.208333333336</v>
      </c>
      <c r="O771" s="10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FIND("/",R771) -1)</f>
        <v>games</v>
      </c>
      <c r="T771" t="str">
        <f t="shared" ref="T771:T834" si="77">TRIM(MID(R771,(FIND("/",R771)+1),(LEN(R771)+1)-(FIND("/",R771)+1)))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74"/>
        <v>41743.208333333336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74"/>
        <v>43491.25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74"/>
        <v>43505.25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74"/>
        <v>42838.208333333328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74"/>
        <v>42513.208333333328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74"/>
        <v>41949.25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74"/>
        <v>43650.208333333328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74"/>
        <v>40809.208333333336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74"/>
        <v>40768.208333333336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74"/>
        <v>42230.208333333328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74"/>
        <v>42573.208333333328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74"/>
        <v>40482.208333333336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74"/>
        <v>40603.25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74"/>
        <v>41625.25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74"/>
        <v>42435.25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74"/>
        <v>43582.208333333328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74"/>
        <v>43186.208333333328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74"/>
        <v>40684.208333333336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74"/>
        <v>41202.208333333336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74"/>
        <v>41786.208333333336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74"/>
        <v>40223.25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74"/>
        <v>42715.25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74"/>
        <v>41451.208333333336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74"/>
        <v>41450.208333333336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74"/>
        <v>43091.25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74"/>
        <v>42675.208333333328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74"/>
        <v>41859.208333333336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74"/>
        <v>43464.25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74"/>
        <v>41060.208333333336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74"/>
        <v>42399.25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74"/>
        <v>42167.208333333328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74"/>
        <v>43830.25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74"/>
        <v>43650.208333333328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74"/>
        <v>43492.25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74"/>
        <v>43102.25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74"/>
        <v>41958.25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74"/>
        <v>40973.25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74"/>
        <v>43753.208333333328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74"/>
        <v>42507.208333333328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74"/>
        <v>41135.208333333336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74"/>
        <v>43067.25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74"/>
        <v>42378.25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74"/>
        <v>43206.208333333328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74"/>
        <v>41148.208333333336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74"/>
        <v>42517.208333333328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74"/>
        <v>43068.25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74"/>
        <v>41680.25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74"/>
        <v>43589.208333333328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74"/>
        <v>43486.25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74"/>
        <v>41237.25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74"/>
        <v>43310.208333333328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74"/>
        <v>42794.25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74"/>
        <v>41698.25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74"/>
        <v>41892.208333333336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74"/>
        <v>40348.208333333336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74"/>
        <v>42941.208333333328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74"/>
        <v>40525.25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74"/>
        <v>40666.208333333336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74"/>
        <v>43340.208333333328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74"/>
        <v>42164.208333333328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74"/>
        <v>43103.25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74"/>
        <v>40994.208333333336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74"/>
        <v>42299.208333333328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(E835/D835)*100</f>
        <v>157.69117647058823</v>
      </c>
      <c r="G835" t="s">
        <v>20</v>
      </c>
      <c r="H835">
        <v>165</v>
      </c>
      <c r="I835" s="6">
        <f t="shared" ref="I835:I898" si="79">IF(E835 = 0, "0", E835 / 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80">(((L835/60)/60)/24)+DATE(1970,1,1)</f>
        <v>40588.25</v>
      </c>
      <c r="O835" s="10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FIND("/",R835) -1)</f>
        <v>publishing</v>
      </c>
      <c r="T835" t="str">
        <f t="shared" ref="T835:T898" si="83">TRIM(MID(R835,(FIND("/",R835)+1),(LEN(R835)+1)-(FIND("/",R835)+1)))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80"/>
        <v>41448.208333333336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80"/>
        <v>42063.25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80"/>
        <v>40214.25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80"/>
        <v>40629.208333333336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80"/>
        <v>43370.208333333328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80"/>
        <v>41715.208333333336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80"/>
        <v>41836.208333333336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80"/>
        <v>42419.25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80"/>
        <v>43266.208333333328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80"/>
        <v>43338.208333333328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80"/>
        <v>40930.25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80"/>
        <v>43235.208333333328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80"/>
        <v>43302.208333333328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80"/>
        <v>43107.25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80"/>
        <v>40341.208333333336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80"/>
        <v>40948.25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80"/>
        <v>40866.25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80"/>
        <v>41031.208333333336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80"/>
        <v>40740.208333333336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80"/>
        <v>40714.208333333336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80"/>
        <v>43787.25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80"/>
        <v>40712.208333333336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80"/>
        <v>41023.208333333336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80"/>
        <v>40944.25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80"/>
        <v>43211.208333333328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80"/>
        <v>41334.25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80"/>
        <v>43515.25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80"/>
        <v>40258.208333333336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80"/>
        <v>40756.208333333336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80"/>
        <v>42172.208333333328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80"/>
        <v>42601.208333333328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80"/>
        <v>41897.208333333336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80"/>
        <v>40671.208333333336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80"/>
        <v>43382.208333333328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80"/>
        <v>41559.208333333336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80"/>
        <v>40350.208333333336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80"/>
        <v>42240.208333333328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80"/>
        <v>43040.208333333328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80"/>
        <v>43346.208333333328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80"/>
        <v>41647.25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80"/>
        <v>40291.208333333336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80"/>
        <v>40556.25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80"/>
        <v>43624.208333333328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80"/>
        <v>42577.208333333328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80"/>
        <v>43845.25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80"/>
        <v>42788.25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80"/>
        <v>43667.208333333328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80"/>
        <v>42194.208333333328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80"/>
        <v>42025.25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80"/>
        <v>40323.208333333336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80"/>
        <v>41763.208333333336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80"/>
        <v>40335.208333333336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80"/>
        <v>40416.208333333336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80"/>
        <v>42202.208333333328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80"/>
        <v>42836.208333333328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80"/>
        <v>41710.208333333336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80"/>
        <v>43640.208333333328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80"/>
        <v>40880.25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80"/>
        <v>40319.208333333336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80"/>
        <v>42170.208333333328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80"/>
        <v>41466.208333333336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80"/>
        <v>43134.25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80"/>
        <v>40738.208333333336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(E899/D899)*100</f>
        <v>27.693181818181817</v>
      </c>
      <c r="G899" t="s">
        <v>14</v>
      </c>
      <c r="H899">
        <v>27</v>
      </c>
      <c r="I899" s="6">
        <f t="shared" ref="I899:I962" si="85">IF(E899 = 0, "0", E899 / 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86">(((L899/60)/60)/24)+DATE(1970,1,1)</f>
        <v>43583.208333333328</v>
      </c>
      <c r="O899" s="10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FIND("/",R899) -1)</f>
        <v>theater</v>
      </c>
      <c r="T899" t="str">
        <f t="shared" ref="T899:T962" si="89">TRIM(MID(R899,(FIND("/",R899)+1),(LEN(R899)+1)-(FIND("/",R899)+1)))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86"/>
        <v>43815.25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86"/>
        <v>41554.208333333336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86"/>
        <v>41901.208333333336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86"/>
        <v>43298.208333333328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86"/>
        <v>42399.25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86"/>
        <v>41034.208333333336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86"/>
        <v>41186.208333333336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86"/>
        <v>41536.208333333336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86"/>
        <v>42868.208333333328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86"/>
        <v>40660.208333333336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86"/>
        <v>41031.208333333336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86"/>
        <v>43255.208333333328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86"/>
        <v>42026.25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86"/>
        <v>43717.208333333328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86"/>
        <v>41157.208333333336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86"/>
        <v>43597.208333333328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86"/>
        <v>41490.208333333336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86"/>
        <v>42976.208333333328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86"/>
        <v>41991.25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86"/>
        <v>40722.208333333336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86"/>
        <v>41117.208333333336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86"/>
        <v>43022.208333333328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86"/>
        <v>43503.25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86"/>
        <v>40951.25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86"/>
        <v>43443.25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86"/>
        <v>40373.208333333336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86"/>
        <v>43769.208333333328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86"/>
        <v>43000.208333333328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86"/>
        <v>42502.208333333328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86"/>
        <v>41102.208333333336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86"/>
        <v>41637.25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86"/>
        <v>42858.208333333328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86"/>
        <v>42060.25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86"/>
        <v>41818.208333333336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86"/>
        <v>41709.208333333336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86"/>
        <v>41372.208333333336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86"/>
        <v>42422.25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86"/>
        <v>42209.208333333328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86"/>
        <v>43668.208333333328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86"/>
        <v>42334.25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86"/>
        <v>43263.208333333328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86"/>
        <v>40670.208333333336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86"/>
        <v>41244.25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86"/>
        <v>40552.25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86"/>
        <v>40568.25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86"/>
        <v>41906.208333333336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86"/>
        <v>42776.25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86"/>
        <v>41004.208333333336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86"/>
        <v>40710.208333333336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86"/>
        <v>41908.208333333336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86"/>
        <v>41985.25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86"/>
        <v>42112.208333333328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86"/>
        <v>43571.208333333328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86"/>
        <v>42730.25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86"/>
        <v>42591.208333333328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86"/>
        <v>42358.25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86"/>
        <v>41174.208333333336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86"/>
        <v>41238.25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86"/>
        <v>42360.25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86"/>
        <v>40955.25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86"/>
        <v>40350.208333333336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86"/>
        <v>40357.208333333336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86"/>
        <v>42408.25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(E963/D963)*100</f>
        <v>119.29824561403508</v>
      </c>
      <c r="G963" t="s">
        <v>20</v>
      </c>
      <c r="H963">
        <v>155</v>
      </c>
      <c r="I963" s="6">
        <f t="shared" ref="I963:I1001" si="91">IF(E963 = 0, "0", E963 / 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92">(((L963/60)/60)/24)+DATE(1970,1,1)</f>
        <v>40591.25</v>
      </c>
      <c r="O963" s="10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FIND("/",R963) -1)</f>
        <v>publishing</v>
      </c>
      <c r="T963" t="str">
        <f t="shared" ref="T963:T1001" si="95">TRIM(MID(R963,(FIND("/",R963)+1),(LEN(R963)+1)-(FIND("/",R963)+1)))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92"/>
        <v>41592.25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92"/>
        <v>40607.25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92"/>
        <v>42135.208333333328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92"/>
        <v>40203.25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92"/>
        <v>42901.208333333328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92"/>
        <v>41005.208333333336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92"/>
        <v>40544.25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92"/>
        <v>43821.25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92"/>
        <v>40672.208333333336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92"/>
        <v>41555.208333333336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92"/>
        <v>41792.208333333336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92"/>
        <v>40522.25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92"/>
        <v>41412.208333333336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92"/>
        <v>42337.25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92"/>
        <v>40571.25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92"/>
        <v>43138.25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92"/>
        <v>42686.25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92"/>
        <v>42078.208333333328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92"/>
        <v>42307.208333333328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92"/>
        <v>43094.25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92"/>
        <v>40743.208333333336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92"/>
        <v>43681.208333333328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92"/>
        <v>43716.208333333328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92"/>
        <v>41614.25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92"/>
        <v>40638.208333333336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92"/>
        <v>42852.208333333328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92"/>
        <v>42686.25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92"/>
        <v>43571.208333333328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92"/>
        <v>42432.25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92"/>
        <v>41907.208333333336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92"/>
        <v>43227.208333333328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92"/>
        <v>42362.25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92"/>
        <v>41929.208333333336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92"/>
        <v>43408.208333333328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92"/>
        <v>41276.25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92"/>
        <v>41659.25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92"/>
        <v>40220.25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92"/>
        <v>42550.208333333328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G1048576">
    <cfRule type="containsText" dxfId="11" priority="3" operator="containsText" text="live">
      <formula>NOT(ISERROR(SEARCH("live",G1)))</formula>
    </cfRule>
    <cfRule type="containsText" dxfId="10" priority="4" operator="containsText" text="canceled">
      <formula>NOT(ISERROR(SEARCH("canceled",G1)))</formula>
    </cfRule>
    <cfRule type="containsText" dxfId="9" priority="5" operator="containsText" text="failed">
      <formula>NOT(ISERROR(SEARCH("failed",G1)))</formula>
    </cfRule>
    <cfRule type="containsText" dxfId="8" priority="6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60C93B"/>
        <color rgb="FF4BB2FF"/>
      </colorScale>
    </cfRule>
    <cfRule type="colorScale" priority="2">
      <colorScale>
        <cfvo type="num" val="0"/>
        <cfvo type="num" val="100"/>
        <cfvo type="num" val="200"/>
        <color rgb="FFC00000"/>
        <color rgb="FF60C93B"/>
        <color rgb="FF4BB2FF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1733-997E-4EE8-8AB2-4322918D370F}">
  <dimension ref="A3:F14"/>
  <sheetViews>
    <sheetView topLeftCell="F22" workbookViewId="0">
      <selection activeCell="G5" sqref="G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8" t="s">
        <v>2058</v>
      </c>
      <c r="B3" s="8" t="s">
        <v>2046</v>
      </c>
    </row>
    <row r="4" spans="1:6" x14ac:dyDescent="0.25">
      <c r="A4" s="8" t="s">
        <v>2048</v>
      </c>
      <c r="B4" t="s">
        <v>74</v>
      </c>
      <c r="C4" t="s">
        <v>14</v>
      </c>
      <c r="D4" t="s">
        <v>47</v>
      </c>
      <c r="E4" t="s">
        <v>20</v>
      </c>
      <c r="F4" t="s">
        <v>2047</v>
      </c>
    </row>
    <row r="5" spans="1:6" x14ac:dyDescent="0.25">
      <c r="A5" s="9" t="s">
        <v>2049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2050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2051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2052</v>
      </c>
      <c r="E8">
        <v>4</v>
      </c>
      <c r="F8">
        <v>4</v>
      </c>
    </row>
    <row r="9" spans="1:6" x14ac:dyDescent="0.25">
      <c r="A9" s="9" t="s">
        <v>2053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2055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2056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2057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2047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55F5-C607-4DA3-A325-5AB60039E58B}">
  <dimension ref="A1:F17"/>
  <sheetViews>
    <sheetView topLeftCell="A4" workbookViewId="0">
      <selection activeCell="E5" sqref="E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98</v>
      </c>
    </row>
    <row r="2" spans="1:6" x14ac:dyDescent="0.25">
      <c r="A2" s="8" t="s">
        <v>2045</v>
      </c>
      <c r="B2" t="s">
        <v>2059</v>
      </c>
    </row>
    <row r="4" spans="1:6" x14ac:dyDescent="0.25">
      <c r="A4" s="8" t="s">
        <v>2058</v>
      </c>
      <c r="B4" s="8" t="s">
        <v>2046</v>
      </c>
    </row>
    <row r="5" spans="1:6" x14ac:dyDescent="0.25">
      <c r="A5" s="8" t="s">
        <v>2048</v>
      </c>
      <c r="B5" t="s">
        <v>74</v>
      </c>
      <c r="C5" t="s">
        <v>14</v>
      </c>
      <c r="D5" t="s">
        <v>47</v>
      </c>
      <c r="E5" t="s">
        <v>20</v>
      </c>
      <c r="F5" t="s">
        <v>2047</v>
      </c>
    </row>
    <row r="6" spans="1:6" x14ac:dyDescent="0.25">
      <c r="A6" s="9" t="s">
        <v>2060</v>
      </c>
      <c r="E6">
        <v>1</v>
      </c>
      <c r="F6">
        <v>1</v>
      </c>
    </row>
    <row r="7" spans="1:6" x14ac:dyDescent="0.25">
      <c r="A7" s="9" t="s">
        <v>2061</v>
      </c>
      <c r="C7">
        <v>2</v>
      </c>
      <c r="F7">
        <v>2</v>
      </c>
    </row>
    <row r="8" spans="1:6" x14ac:dyDescent="0.25">
      <c r="A8" s="9" t="s">
        <v>2062</v>
      </c>
      <c r="B8">
        <v>2</v>
      </c>
      <c r="F8">
        <v>2</v>
      </c>
    </row>
    <row r="9" spans="1:6" x14ac:dyDescent="0.25">
      <c r="A9" s="9" t="s">
        <v>2063</v>
      </c>
      <c r="E9">
        <v>1</v>
      </c>
      <c r="F9">
        <v>1</v>
      </c>
    </row>
    <row r="10" spans="1:6" x14ac:dyDescent="0.25">
      <c r="A10" s="9" t="s">
        <v>2064</v>
      </c>
      <c r="E10">
        <v>1</v>
      </c>
      <c r="F10">
        <v>1</v>
      </c>
    </row>
    <row r="11" spans="1:6" x14ac:dyDescent="0.25">
      <c r="A11" s="9" t="s">
        <v>2065</v>
      </c>
      <c r="B11">
        <v>1</v>
      </c>
      <c r="C11">
        <v>2</v>
      </c>
      <c r="E11">
        <v>3</v>
      </c>
      <c r="F11">
        <v>6</v>
      </c>
    </row>
    <row r="12" spans="1:6" x14ac:dyDescent="0.25">
      <c r="A12" s="9" t="s">
        <v>2066</v>
      </c>
      <c r="E12">
        <v>1</v>
      </c>
      <c r="F12">
        <v>1</v>
      </c>
    </row>
    <row r="13" spans="1:6" x14ac:dyDescent="0.25">
      <c r="A13" s="9" t="s">
        <v>2067</v>
      </c>
      <c r="B13">
        <v>1</v>
      </c>
      <c r="C13">
        <v>2</v>
      </c>
      <c r="E13">
        <v>1</v>
      </c>
      <c r="F13">
        <v>4</v>
      </c>
    </row>
    <row r="14" spans="1:6" x14ac:dyDescent="0.25">
      <c r="A14" s="9" t="s">
        <v>2068</v>
      </c>
      <c r="E14">
        <v>2</v>
      </c>
      <c r="F14">
        <v>2</v>
      </c>
    </row>
    <row r="15" spans="1:6" x14ac:dyDescent="0.25">
      <c r="A15" s="9" t="s">
        <v>2069</v>
      </c>
      <c r="D15">
        <v>1</v>
      </c>
      <c r="E15">
        <v>1</v>
      </c>
      <c r="F15">
        <v>2</v>
      </c>
    </row>
    <row r="16" spans="1:6" x14ac:dyDescent="0.25">
      <c r="A16" s="9" t="s">
        <v>2070</v>
      </c>
      <c r="E16">
        <v>1</v>
      </c>
      <c r="F16">
        <v>1</v>
      </c>
    </row>
    <row r="17" spans="1:6" x14ac:dyDescent="0.25">
      <c r="A17" s="9" t="s">
        <v>2047</v>
      </c>
      <c r="B17">
        <v>4</v>
      </c>
      <c r="C17">
        <v>6</v>
      </c>
      <c r="D17">
        <v>1</v>
      </c>
      <c r="E17">
        <v>12</v>
      </c>
      <c r="F17">
        <v>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EE8E-148F-4F16-9A4A-7D3AC7305436}">
  <dimension ref="A1:F18"/>
  <sheetViews>
    <sheetView workbookViewId="0">
      <selection activeCell="E2" sqref="E2"/>
    </sheetView>
  </sheetViews>
  <sheetFormatPr defaultRowHeight="15.75" x14ac:dyDescent="0.25"/>
  <cols>
    <col min="1" max="1" width="26.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 vm="1">
        <v>2086</v>
      </c>
    </row>
    <row r="2" spans="1:6" x14ac:dyDescent="0.25">
      <c r="A2" s="8" t="s">
        <v>2087</v>
      </c>
      <c r="B2" t="s" vm="2">
        <v>2085</v>
      </c>
    </row>
    <row r="4" spans="1:6" x14ac:dyDescent="0.25">
      <c r="A4" s="8" t="s">
        <v>2058</v>
      </c>
      <c r="B4" s="8" t="s">
        <v>2046</v>
      </c>
    </row>
    <row r="5" spans="1:6" x14ac:dyDescent="0.25">
      <c r="A5" s="8" t="s">
        <v>2048</v>
      </c>
      <c r="B5" t="s">
        <v>74</v>
      </c>
      <c r="C5" t="s">
        <v>14</v>
      </c>
      <c r="D5" t="s">
        <v>47</v>
      </c>
      <c r="E5" t="s">
        <v>20</v>
      </c>
      <c r="F5" t="s">
        <v>2047</v>
      </c>
    </row>
    <row r="6" spans="1:6" x14ac:dyDescent="0.25">
      <c r="A6" s="9" t="s">
        <v>2073</v>
      </c>
      <c r="C6">
        <v>7</v>
      </c>
      <c r="E6">
        <v>9</v>
      </c>
      <c r="F6">
        <v>16</v>
      </c>
    </row>
    <row r="7" spans="1:6" x14ac:dyDescent="0.25">
      <c r="A7" s="9" t="s">
        <v>2074</v>
      </c>
      <c r="C7">
        <v>3</v>
      </c>
      <c r="E7">
        <v>5</v>
      </c>
      <c r="F7">
        <v>8</v>
      </c>
    </row>
    <row r="8" spans="1:6" x14ac:dyDescent="0.25">
      <c r="A8" s="9" t="s">
        <v>2075</v>
      </c>
      <c r="B8">
        <v>1</v>
      </c>
      <c r="C8">
        <v>2</v>
      </c>
      <c r="E8">
        <v>4</v>
      </c>
      <c r="F8">
        <v>7</v>
      </c>
    </row>
    <row r="9" spans="1:6" x14ac:dyDescent="0.25">
      <c r="A9" s="9" t="s">
        <v>2076</v>
      </c>
      <c r="C9">
        <v>7</v>
      </c>
      <c r="E9">
        <v>1</v>
      </c>
      <c r="F9">
        <v>8</v>
      </c>
    </row>
    <row r="10" spans="1:6" x14ac:dyDescent="0.25">
      <c r="A10" s="9" t="s">
        <v>2077</v>
      </c>
      <c r="B10">
        <v>1</v>
      </c>
      <c r="C10">
        <v>5</v>
      </c>
      <c r="E10">
        <v>4</v>
      </c>
      <c r="F10">
        <v>10</v>
      </c>
    </row>
    <row r="11" spans="1:6" x14ac:dyDescent="0.25">
      <c r="A11" s="9" t="s">
        <v>2078</v>
      </c>
      <c r="C11">
        <v>3</v>
      </c>
      <c r="D11">
        <v>1</v>
      </c>
      <c r="E11">
        <v>3</v>
      </c>
      <c r="F11">
        <v>7</v>
      </c>
    </row>
    <row r="12" spans="1:6" x14ac:dyDescent="0.25">
      <c r="A12" s="9" t="s">
        <v>2079</v>
      </c>
      <c r="C12">
        <v>3</v>
      </c>
      <c r="E12">
        <v>4</v>
      </c>
      <c r="F12">
        <v>7</v>
      </c>
    </row>
    <row r="13" spans="1:6" x14ac:dyDescent="0.25">
      <c r="A13" s="9" t="s">
        <v>2080</v>
      </c>
      <c r="B13">
        <v>1</v>
      </c>
      <c r="C13">
        <v>1</v>
      </c>
      <c r="E13">
        <v>6</v>
      </c>
      <c r="F13">
        <v>8</v>
      </c>
    </row>
    <row r="14" spans="1:6" x14ac:dyDescent="0.25">
      <c r="A14" s="9" t="s">
        <v>2081</v>
      </c>
      <c r="B14">
        <v>1</v>
      </c>
      <c r="C14">
        <v>2</v>
      </c>
      <c r="E14">
        <v>4</v>
      </c>
      <c r="F14">
        <v>7</v>
      </c>
    </row>
    <row r="15" spans="1:6" x14ac:dyDescent="0.25">
      <c r="A15" s="9" t="s">
        <v>2082</v>
      </c>
      <c r="B15">
        <v>1</v>
      </c>
      <c r="C15">
        <v>2</v>
      </c>
      <c r="E15">
        <v>5</v>
      </c>
      <c r="F15">
        <v>8</v>
      </c>
    </row>
    <row r="16" spans="1:6" x14ac:dyDescent="0.25">
      <c r="A16" s="9" t="s">
        <v>2083</v>
      </c>
      <c r="B16">
        <v>1</v>
      </c>
      <c r="C16">
        <v>1</v>
      </c>
      <c r="E16">
        <v>6</v>
      </c>
      <c r="F16">
        <v>8</v>
      </c>
    </row>
    <row r="17" spans="1:6" x14ac:dyDescent="0.25">
      <c r="A17" s="9" t="s">
        <v>2084</v>
      </c>
      <c r="C17">
        <v>4</v>
      </c>
      <c r="E17">
        <v>5</v>
      </c>
      <c r="F17">
        <v>9</v>
      </c>
    </row>
    <row r="18" spans="1:6" x14ac:dyDescent="0.25">
      <c r="A18" s="9" t="s">
        <v>2047</v>
      </c>
      <c r="B18">
        <v>6</v>
      </c>
      <c r="C18">
        <v>40</v>
      </c>
      <c r="D18">
        <v>1</v>
      </c>
      <c r="E18">
        <v>56</v>
      </c>
      <c r="F18">
        <v>103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404C-5847-47E0-8031-615CFC1659E8}">
  <dimension ref="A1:H13"/>
  <sheetViews>
    <sheetView workbookViewId="0">
      <selection activeCell="B14" sqref="B14"/>
    </sheetView>
  </sheetViews>
  <sheetFormatPr defaultRowHeight="15.75" x14ac:dyDescent="0.25"/>
  <cols>
    <col min="1" max="1" width="26.375" bestFit="1" customWidth="1"/>
    <col min="2" max="2" width="17.75" bestFit="1" customWidth="1"/>
    <col min="3" max="3" width="14" bestFit="1" customWidth="1"/>
    <col min="4" max="4" width="16.625" bestFit="1" customWidth="1"/>
    <col min="5" max="5" width="13.25" bestFit="1" customWidth="1"/>
    <col min="6" max="6" width="20.375" bestFit="1" customWidth="1"/>
    <col min="7" max="7" width="16.625" bestFit="1" customWidth="1"/>
    <col min="8" max="8" width="19.375" bestFit="1" customWidth="1"/>
  </cols>
  <sheetData>
    <row r="1" spans="1:8" x14ac:dyDescent="0.25">
      <c r="A1" s="13" t="s">
        <v>2029</v>
      </c>
      <c r="B1" s="13" t="s">
        <v>2088</v>
      </c>
      <c r="C1" s="13" t="s">
        <v>2089</v>
      </c>
      <c r="D1" s="13" t="s">
        <v>2090</v>
      </c>
      <c r="E1" s="13" t="s">
        <v>2091</v>
      </c>
      <c r="F1" s="13" t="s">
        <v>2092</v>
      </c>
      <c r="G1" s="13" t="s">
        <v>2093</v>
      </c>
      <c r="H1" s="13" t="s">
        <v>2094</v>
      </c>
    </row>
    <row r="2" spans="1:8" x14ac:dyDescent="0.25">
      <c r="A2" t="s">
        <v>2030</v>
      </c>
      <c r="B2">
        <f>COUNTIFS(Crowdfunding!D2:D1001,"&lt;1000",Crowdfunding!G2:G1001,"successful")</f>
        <v>30</v>
      </c>
      <c r="C2">
        <f>COUNTIFS(Crowdfunding!D2:D1001,"&lt;1000", Crowdfunding!G2:G1001, "failed")</f>
        <v>20</v>
      </c>
      <c r="D2">
        <f>COUNTIFS(Crowdfunding!D2:D1001,"&lt;1000",  Crowdfunding!G2:G1001, "canceled")</f>
        <v>1</v>
      </c>
      <c r="E2">
        <f>B2+C2+D2</f>
        <v>51</v>
      </c>
      <c r="F2" s="16">
        <f>(B2/E2)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25">
      <c r="A3" t="s">
        <v>2031</v>
      </c>
      <c r="B3" s="14">
        <f>COUNTIFS(Crowdfunding!D2:D1001, "&gt;=1000", Crowdfunding!D2:D1001, "&lt;=4999", Crowdfunding!G2:G1001, "successful")</f>
        <v>191</v>
      </c>
      <c r="C3">
        <f>COUNTIFS(Crowdfunding!D2:D1001, "&gt;=1000", Crowdfunding!D2:D1001, "&lt;=4999", Crowdfunding!G2:G1001, "failed")</f>
        <v>38</v>
      </c>
      <c r="D3">
        <f>COUNTIFS(Crowdfunding!D2:D1001, "&gt;=1000", Crowdfunding!D2:D1001, "&lt;=4999", Crowdfunding!G2:G1001, "canceled")</f>
        <v>2</v>
      </c>
      <c r="E3">
        <f t="shared" ref="E3:E13" si="0">B3+C3+D3</f>
        <v>231</v>
      </c>
      <c r="F3" s="16">
        <f t="shared" ref="F3:F13" si="1">(B3/E3)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x14ac:dyDescent="0.25">
      <c r="A4" t="s">
        <v>2032</v>
      </c>
      <c r="B4" s="15">
        <f>COUNTIFS(Crowdfunding!D2:D1001, "&gt;=5000", Crowdfunding!D2:D1001, "&lt;=9999", Crowdfunding!G2:G1001, "successful")</f>
        <v>164</v>
      </c>
      <c r="C4">
        <f>COUNTIFS(Crowdfunding!D2:D1001, "&gt;=5000", Crowdfunding!D2:D1001, "&lt;=9999", Crowdfunding!G2:G1001, "failed")</f>
        <v>126</v>
      </c>
      <c r="D4">
        <f>COUNTIFS(Crowdfunding!D2:D1001, "&gt;=5000", Crowdfunding!D2:D1001, "&lt;=9999", Crowdfunding!G2:G1001, "canceled")</f>
        <v>25</v>
      </c>
      <c r="E4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25">
      <c r="A5" t="s">
        <v>2033</v>
      </c>
      <c r="B5" s="15">
        <f>COUNTIFS(Crowdfunding!D2:D1001,"&gt;=10000", Crowdfunding!D2:D1001,"&lt;=14999", Crowdfunding!G2:G1001,"successful")</f>
        <v>4</v>
      </c>
      <c r="C5">
        <f>COUNTIFS(Crowdfunding!D2:D1001,"&gt;=10000", Crowdfunding!D2:D1001,"&lt;=14999", Crowdfunding!G2:G1001,"failed")</f>
        <v>5</v>
      </c>
      <c r="D5">
        <f>COUNTIFS(Crowdfunding!D2:D1001,"&gt;=10000", Crowdfunding!D2:D1001,"&lt;=14999", Crowdfunding!G2:G1001,"canceled")</f>
        <v>0</v>
      </c>
      <c r="E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25">
      <c r="A6" t="s">
        <v>2034</v>
      </c>
      <c r="B6">
        <f>COUNTIFS(Crowdfunding!D2:D1001, "&gt;=15000", Crowdfunding!D2:D1001, "&lt;=19999", Crowdfunding!G2:G1001, "successful")</f>
        <v>10</v>
      </c>
      <c r="C6">
        <f>COUNTIFS(Crowdfunding!D2:D1001, "&gt;=15000", Crowdfunding!D2:D1001, "&lt;=19999", Crowdfunding!G2:G1001, "failed")</f>
        <v>0</v>
      </c>
      <c r="D6">
        <f>COUNTIFS(Crowdfunding!D2:D1001, "&gt;=15000", Crowdfunding!D2:D1001, "&lt;=19999", Crowdfunding!G2:G1001, "canceled")</f>
        <v>0</v>
      </c>
      <c r="E6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25">
      <c r="A7" t="s">
        <v>2035</v>
      </c>
      <c r="B7">
        <f>COUNTIFS(Crowdfunding!D2:D1001, "&gt;=20000", Crowdfunding!D2:D1001, "&lt;=24999", Crowdfunding!G2:G1001, "successful")</f>
        <v>7</v>
      </c>
      <c r="C7">
        <f>COUNTIFS(Crowdfunding!D2:D1001, "&gt;=20000", Crowdfunding!D2:D1001, "&lt;=24999", Crowdfunding!G2:G1001, "failed")</f>
        <v>0</v>
      </c>
      <c r="D7">
        <f>COUNTIFS(Crowdfunding!D2:D1001, "&gt;=20000", Crowdfunding!D2:D1001, "&lt;=24999", Crowdfunding!G2:G1001, "canceled")</f>
        <v>0</v>
      </c>
      <c r="E7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25">
      <c r="A8" t="s">
        <v>2036</v>
      </c>
      <c r="B8">
        <f>COUNTIFS(Crowdfunding!D2:D1001, "&gt;=25000", Crowdfunding!D2:D1001, "&lt;=29999", Crowdfunding!G2:G1001, "successful")</f>
        <v>11</v>
      </c>
      <c r="C8">
        <f>COUNTIFS(Crowdfunding!D2:D1001, "&gt;=25000", Crowdfunding!D2:D1001, "&lt;=29999", Crowdfunding!G2:G1001, "failed")</f>
        <v>3</v>
      </c>
      <c r="D8">
        <f>COUNTIFS(Crowdfunding!D2:D1001, "&gt;=25000", Crowdfunding!D2:D1001, "&lt;=29999", Crowdfunding!G2:G1001, "canceled")</f>
        <v>0</v>
      </c>
      <c r="E8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25">
      <c r="A9" t="s">
        <v>2037</v>
      </c>
      <c r="B9">
        <f>COUNTIFS(Crowdfunding!D2:D1001, "&gt;=30000", Crowdfunding!D2:D1001, "&lt;=34999", Crowdfunding!G2:G1001, "successful")</f>
        <v>7</v>
      </c>
      <c r="C9">
        <f>COUNTIFS(Crowdfunding!D2:D1001, "&gt;=30000", Crowdfunding!D2:D1001, "&lt;=34999", Crowdfunding!G2:G1001, "failed")</f>
        <v>0</v>
      </c>
      <c r="D9">
        <f>COUNTIFS(Crowdfunding!D2:D1001, "&gt;=30000", Crowdfunding!D2:D1001, "&lt;=34999", Crowdfunding!G2:G1001, "failed")</f>
        <v>0</v>
      </c>
      <c r="E9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25">
      <c r="A10" t="s">
        <v>2038</v>
      </c>
      <c r="B10">
        <f>COUNTIFS(Crowdfunding!D2:D1001, "&gt;=35000", Crowdfunding!D2:D1001, "&lt;=39999", Crowdfunding!G2:G1001, "successful")</f>
        <v>8</v>
      </c>
      <c r="C10">
        <f>COUNTIFS(Crowdfunding!D2:D1001, "&gt;=35000", Crowdfunding!D2:D1001, "&lt;=39999", Crowdfunding!G2:G1001, "failed")</f>
        <v>3</v>
      </c>
      <c r="D10">
        <f>COUNTIFS(Crowdfunding!D2:D1001, "&gt;=35000", Crowdfunding!D2:D1001, "&lt;=39999", Crowdfunding!G2:G1001, "canceled")</f>
        <v>1</v>
      </c>
      <c r="E10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25">
      <c r="A11" t="s">
        <v>2039</v>
      </c>
      <c r="B11">
        <f>COUNTIFS(Crowdfunding!D2:D1001, "&gt;=40000", Crowdfunding!D2:D1001, "&lt;=44999", Crowdfunding!G2:G1001, "successful")</f>
        <v>11</v>
      </c>
      <c r="C11">
        <f>COUNTIFS(Crowdfunding!D2:D1001, "&gt;=40000", Crowdfunding!D2:D1001, "&lt;=44999", Crowdfunding!G2:G1001, "failed")</f>
        <v>3</v>
      </c>
      <c r="D11">
        <f>COUNTIFS(Crowdfunding!D2:D1001, "&gt;=40000", Crowdfunding!D2:D1001, "&lt;=44999", Crowdfunding!G2:G1001, "canceled")</f>
        <v>0</v>
      </c>
      <c r="E11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25">
      <c r="A12" t="s">
        <v>2040</v>
      </c>
      <c r="B12">
        <f>COUNTIFS(Crowdfunding!D2:D1001, "&gt;=45000", Crowdfunding!D2:D1001, "&lt;=49999", Crowdfunding!G2:G1001, "successful")</f>
        <v>8</v>
      </c>
      <c r="C12">
        <f>COUNTIFS(Crowdfunding!D2:D1001, "&gt;=45000", Crowdfunding!D2:D1001, "&lt;=49999", Crowdfunding!G2:G1001, "failed")</f>
        <v>3</v>
      </c>
      <c r="D12">
        <f>COUNTIFS(Crowdfunding!D2:D1001, "&gt;=45000", Crowdfunding!D2:D1001, "&lt;=49999", Crowdfunding!G2:G1001, "canceled")</f>
        <v>0</v>
      </c>
      <c r="E12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25">
      <c r="A13" t="s">
        <v>2041</v>
      </c>
      <c r="B13">
        <f>COUNTIFS(Crowdfunding!D2:D1001,"&gt;=50000", Crowdfunding!G2:G1001, "successful")</f>
        <v>114</v>
      </c>
      <c r="C13">
        <f>COUNTIFS(Crowdfunding!D2:D1001,"&gt;=50000", Crowdfunding!G2:G1001, "failed")</f>
        <v>163</v>
      </c>
      <c r="D13">
        <f>COUNTIFS(Crowdfunding!D2:D1001,"&gt;=50000", Crowdfunding!G2:G1001, "canceled")</f>
        <v>28</v>
      </c>
      <c r="E13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CE58D-781D-4B0B-AFCB-5B0E46F203B8}">
  <dimension ref="A1:L566"/>
  <sheetViews>
    <sheetView tabSelected="1" workbookViewId="0">
      <selection activeCell="H6" sqref="H6"/>
    </sheetView>
  </sheetViews>
  <sheetFormatPr defaultRowHeight="15.75" x14ac:dyDescent="0.25"/>
  <cols>
    <col min="2" max="2" width="13.5" bestFit="1" customWidth="1"/>
    <col min="8" max="8" width="38.25" bestFit="1" customWidth="1"/>
    <col min="11" max="11" width="38.25" bestFit="1" customWidth="1"/>
  </cols>
  <sheetData>
    <row r="1" spans="1:12" x14ac:dyDescent="0.25">
      <c r="A1" s="1" t="s">
        <v>4</v>
      </c>
      <c r="B1" s="1" t="s">
        <v>5</v>
      </c>
      <c r="D1" s="1" t="s">
        <v>4</v>
      </c>
      <c r="E1" s="1" t="s">
        <v>5</v>
      </c>
      <c r="H1" s="17" t="s">
        <v>2095</v>
      </c>
      <c r="K1" s="18" t="s">
        <v>2096</v>
      </c>
    </row>
    <row r="2" spans="1:12" x14ac:dyDescent="0.25">
      <c r="A2" t="s">
        <v>20</v>
      </c>
      <c r="B2">
        <v>158</v>
      </c>
      <c r="D2" t="s">
        <v>14</v>
      </c>
      <c r="E2">
        <v>0</v>
      </c>
    </row>
    <row r="3" spans="1:12" x14ac:dyDescent="0.25">
      <c r="A3" t="s">
        <v>20</v>
      </c>
      <c r="B3">
        <v>1425</v>
      </c>
      <c r="D3" t="s">
        <v>14</v>
      </c>
      <c r="E3">
        <v>24</v>
      </c>
      <c r="H3" t="s">
        <v>2097</v>
      </c>
      <c r="I3" s="13">
        <f>AVERAGE(B2:B566)</f>
        <v>851.14690265486729</v>
      </c>
      <c r="K3" t="s">
        <v>2097</v>
      </c>
      <c r="L3" s="13">
        <f>AVERAGE(E2:E365)</f>
        <v>585.61538461538464</v>
      </c>
    </row>
    <row r="4" spans="1:12" x14ac:dyDescent="0.25">
      <c r="A4" t="s">
        <v>20</v>
      </c>
      <c r="B4">
        <v>174</v>
      </c>
      <c r="D4" t="s">
        <v>14</v>
      </c>
      <c r="E4">
        <v>53</v>
      </c>
      <c r="H4" t="s">
        <v>2098</v>
      </c>
      <c r="I4" s="13">
        <f>MEDIAN(B3:B567)</f>
        <v>201.5</v>
      </c>
      <c r="K4" t="s">
        <v>2098</v>
      </c>
      <c r="L4" s="13">
        <f>MEDIAN(E2:E365)</f>
        <v>114.5</v>
      </c>
    </row>
    <row r="5" spans="1:12" x14ac:dyDescent="0.25">
      <c r="A5" t="s">
        <v>20</v>
      </c>
      <c r="B5">
        <v>227</v>
      </c>
      <c r="D5" t="s">
        <v>14</v>
      </c>
      <c r="E5">
        <v>18</v>
      </c>
      <c r="H5" t="s">
        <v>2100</v>
      </c>
      <c r="I5" s="13">
        <f>MIN(B3:B567)</f>
        <v>16</v>
      </c>
      <c r="K5" t="s">
        <v>2100</v>
      </c>
      <c r="L5" s="13">
        <f>MIN(E2:E365)</f>
        <v>0</v>
      </c>
    </row>
    <row r="6" spans="1:12" x14ac:dyDescent="0.25">
      <c r="A6" t="s">
        <v>20</v>
      </c>
      <c r="B6">
        <v>220</v>
      </c>
      <c r="D6" t="s">
        <v>14</v>
      </c>
      <c r="E6">
        <v>44</v>
      </c>
      <c r="H6" t="s">
        <v>2099</v>
      </c>
      <c r="I6" s="13">
        <f>MAX(B3:B567)</f>
        <v>7295</v>
      </c>
      <c r="K6" t="s">
        <v>2099</v>
      </c>
      <c r="L6" s="13">
        <f>MAX(E2:E365)</f>
        <v>6080</v>
      </c>
    </row>
    <row r="7" spans="1:12" x14ac:dyDescent="0.25">
      <c r="A7" t="s">
        <v>20</v>
      </c>
      <c r="B7">
        <v>98</v>
      </c>
      <c r="D7" t="s">
        <v>14</v>
      </c>
      <c r="E7">
        <v>27</v>
      </c>
      <c r="H7" t="s">
        <v>2101</v>
      </c>
      <c r="I7" s="13">
        <f>VAR(B3:B567)</f>
        <v>1608214.6613002785</v>
      </c>
      <c r="K7" t="s">
        <v>2101</v>
      </c>
      <c r="L7" s="13">
        <f>VAR(E2:E365)</f>
        <v>924113.45496927318</v>
      </c>
    </row>
    <row r="8" spans="1:12" x14ac:dyDescent="0.25">
      <c r="A8" t="s">
        <v>20</v>
      </c>
      <c r="B8">
        <v>100</v>
      </c>
      <c r="D8" t="s">
        <v>14</v>
      </c>
      <c r="E8">
        <v>55</v>
      </c>
      <c r="H8" t="s">
        <v>2102</v>
      </c>
      <c r="I8" s="13">
        <f>STDEV(B3:B567)</f>
        <v>1268.1540368978362</v>
      </c>
      <c r="K8" t="s">
        <v>2102</v>
      </c>
      <c r="L8" s="13">
        <f>STDEV(E2:E365)</f>
        <v>961.30819978260524</v>
      </c>
    </row>
    <row r="9" spans="1:12" x14ac:dyDescent="0.25">
      <c r="A9" t="s">
        <v>20</v>
      </c>
      <c r="B9">
        <v>1249</v>
      </c>
      <c r="D9" t="s">
        <v>14</v>
      </c>
      <c r="E9">
        <v>200</v>
      </c>
    </row>
    <row r="10" spans="1:12" x14ac:dyDescent="0.25">
      <c r="A10" t="s">
        <v>20</v>
      </c>
      <c r="B10">
        <v>1396</v>
      </c>
      <c r="D10" t="s">
        <v>14</v>
      </c>
      <c r="E10">
        <v>452</v>
      </c>
    </row>
    <row r="11" spans="1:12" x14ac:dyDescent="0.25">
      <c r="A11" t="s">
        <v>20</v>
      </c>
      <c r="B11">
        <v>890</v>
      </c>
      <c r="D11" t="s">
        <v>14</v>
      </c>
      <c r="E11">
        <v>674</v>
      </c>
    </row>
    <row r="12" spans="1:12" x14ac:dyDescent="0.25">
      <c r="A12" t="s">
        <v>20</v>
      </c>
      <c r="B12">
        <v>142</v>
      </c>
      <c r="D12" t="s">
        <v>14</v>
      </c>
      <c r="E12">
        <v>558</v>
      </c>
    </row>
    <row r="13" spans="1:12" x14ac:dyDescent="0.25">
      <c r="A13" t="s">
        <v>20</v>
      </c>
      <c r="B13">
        <v>2673</v>
      </c>
      <c r="D13" t="s">
        <v>14</v>
      </c>
      <c r="E13">
        <v>15</v>
      </c>
    </row>
    <row r="14" spans="1:12" x14ac:dyDescent="0.25">
      <c r="A14" t="s">
        <v>20</v>
      </c>
      <c r="B14">
        <v>163</v>
      </c>
      <c r="D14" t="s">
        <v>14</v>
      </c>
      <c r="E14">
        <v>2307</v>
      </c>
    </row>
    <row r="15" spans="1:12" x14ac:dyDescent="0.25">
      <c r="A15" t="s">
        <v>20</v>
      </c>
      <c r="B15">
        <v>2220</v>
      </c>
      <c r="D15" t="s">
        <v>14</v>
      </c>
      <c r="E15">
        <v>88</v>
      </c>
    </row>
    <row r="16" spans="1:12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566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failed">
      <formula>NOT(ISERROR(SEARCH("failed",A1)))</formula>
    </cfRule>
    <cfRule type="containsText" dxfId="4" priority="8" operator="containsText" text="successful">
      <formula>NOT(ISERROR(SEARCH("successful",A1)))</formula>
    </cfRule>
  </conditionalFormatting>
  <conditionalFormatting sqref="D1:D365">
    <cfRule type="containsText" dxfId="3" priority="1" operator="containsText" text="live">
      <formula>NOT(ISERROR(SEARCH("live",D1)))</formula>
    </cfRule>
    <cfRule type="containsText" dxfId="2" priority="2" operator="containsText" text="canceled">
      <formula>NOT(ISERROR(SEARCH("canceled",D1)))</formula>
    </cfRule>
    <cfRule type="containsText" dxfId="1" priority="3" operator="containsText" text="failed">
      <formula>NOT(ISERROR(SEARCH("failed",D1)))</formula>
    </cfRule>
    <cfRule type="containsText" dxfId="0" priority="4" operator="containsText" text="successful">
      <formula>NOT(ISERROR(SEARCH("successful",D1)))</formula>
    </cfRule>
  </conditionalFormatting>
  <pageMargins left="0.7" right="0.7" top="0.75" bottom="0.75" header="0.3" footer="0.3"/>
  <pageSetup orientation="portrait" r:id="rId1"/>
  <ignoredErrors>
    <ignoredError sqref="I4 I6:I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Campaigns</vt:lpstr>
      <vt:lpstr>Sub-Category Campaigns</vt:lpstr>
      <vt:lpstr>Outcome by Time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jolycielfullerton@gmail.com</cp:lastModifiedBy>
  <dcterms:created xsi:type="dcterms:W3CDTF">2021-09-29T18:52:28Z</dcterms:created>
  <dcterms:modified xsi:type="dcterms:W3CDTF">2023-06-14T05:55:01Z</dcterms:modified>
</cp:coreProperties>
</file>