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unir\OneDrive\Documents\Haseeba Exports\"/>
    </mc:Choice>
  </mc:AlternateContent>
  <xr:revisionPtr revIDLastSave="0" documentId="8_{9D494EFE-AABC-4AB4-ADB8-2010783A0D36}" xr6:coauthVersionLast="43" xr6:coauthVersionMax="43" xr10:uidLastSave="{00000000-0000-0000-0000-000000000000}"/>
  <bookViews>
    <workbookView xWindow="-120" yWindow="-120" windowWidth="24240" windowHeight="13140" tabRatio="662" firstSheet="3" activeTab="3" xr2:uid="{8520B106-D2C7-4542-B1E1-21A827C626BA}"/>
  </bookViews>
  <sheets>
    <sheet name="Shipment one R" sheetId="1" r:id="rId1"/>
    <sheet name="Sheet2" sheetId="3" r:id="rId2"/>
    <sheet name="Sheet3" sheetId="4" r:id="rId3"/>
    <sheet name="Shipment2" sheetId="5" r:id="rId4"/>
    <sheet name="InvAuto-1003" sheetId="6" r:id="rId5"/>
    <sheet name="SOA Summary" sheetId="10" r:id="rId6"/>
    <sheet name="Sheet1" sheetId="12" r:id="rId7"/>
    <sheet name="SOA" sheetId="9" r:id="rId8"/>
    <sheet name="Mahindra Ledger" sheetId="11" r:id="rId9"/>
  </sheets>
  <externalReferences>
    <externalReference r:id="rId10"/>
    <externalReference r:id="rId11"/>
  </externalReferences>
  <definedNames>
    <definedName name="_xlnm._FilterDatabase" localSheetId="3" hidden="1">Shipment2!$A$3:$AQ$81</definedName>
    <definedName name="_xlnm._FilterDatabase" localSheetId="7" hidden="1">SOA!$A$1:$L$57</definedName>
    <definedName name="ITEM_CODESANDVALUES">[1]USD!$A$2:$I$77</definedName>
    <definedName name="_xlnm.Print_Area" localSheetId="4">'InvAuto-1003'!$A$4:$AJ$61</definedName>
    <definedName name="_xlnm.Print_Area" localSheetId="0">'Shipment one R'!$A$4:$X$75</definedName>
    <definedName name="_xlnm.Print_Area" localSheetId="3">Shipment2!$A$4:$AK$75</definedName>
    <definedName name="_xlnm.Print_Titles" localSheetId="4">'InvAuto-1003'!$A:$E,'InvAuto-1003'!$3:$3</definedName>
    <definedName name="_xlnm.Print_Titles" localSheetId="0">'Shipment one R'!$A:$E,'Shipment one R'!$3:$3</definedName>
    <definedName name="_xlnm.Print_Titles" localSheetId="3">Shipment2!$A:$E,Shipment2!$3:$3</definedName>
  </definedName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9" l="1"/>
  <c r="I53" i="9"/>
  <c r="I52" i="9"/>
  <c r="I49" i="9"/>
  <c r="S70" i="5" l="1"/>
  <c r="J50" i="9"/>
  <c r="S57" i="5"/>
  <c r="AS30" i="5"/>
  <c r="AR25" i="5"/>
  <c r="AR29" i="5" l="1"/>
  <c r="AR64" i="5"/>
  <c r="AR40" i="5"/>
  <c r="AR9" i="5"/>
  <c r="I38" i="9" l="1"/>
  <c r="J27" i="9"/>
  <c r="J12" i="9"/>
  <c r="J2" i="9"/>
  <c r="I26" i="9"/>
  <c r="L24" i="9"/>
  <c r="I21" i="9"/>
  <c r="L22" i="9" s="1"/>
  <c r="I16" i="9"/>
  <c r="AR4" i="5"/>
  <c r="I14" i="9"/>
  <c r="I3" i="9"/>
  <c r="J61" i="9" l="1"/>
  <c r="I5" i="9"/>
  <c r="U43" i="5"/>
  <c r="S43" i="5"/>
  <c r="V43" i="5" s="1"/>
  <c r="O43" i="5"/>
  <c r="P43" i="5" s="1"/>
  <c r="Q43" i="5" s="1"/>
  <c r="M43" i="5"/>
  <c r="K43" i="5"/>
  <c r="L43" i="5" s="1"/>
  <c r="AR27" i="5"/>
  <c r="AT27" i="5" s="1"/>
  <c r="AR32" i="5"/>
  <c r="AT32" i="5" s="1"/>
  <c r="AR33" i="5"/>
  <c r="AR77" i="5"/>
  <c r="AS64" i="5"/>
  <c r="AT29" i="5"/>
  <c r="AR59" i="5"/>
  <c r="AR36" i="5"/>
  <c r="AR42" i="5"/>
  <c r="AS42" i="5" s="1"/>
  <c r="AR53" i="5"/>
  <c r="AS53" i="5" s="1"/>
  <c r="AR45" i="5"/>
  <c r="AR46" i="5"/>
  <c r="AR69" i="5"/>
  <c r="AT69" i="5" s="1"/>
  <c r="AR67" i="5"/>
  <c r="AS67" i="5" s="1"/>
  <c r="AR21" i="5"/>
  <c r="AR7" i="5"/>
  <c r="AT7" i="5" s="1"/>
  <c r="AR18" i="5"/>
  <c r="AS18" i="5" s="1"/>
  <c r="AR20" i="5"/>
  <c r="AT20" i="5" s="1"/>
  <c r="AR55" i="5"/>
  <c r="AS5" i="5"/>
  <c r="AT5" i="5"/>
  <c r="AS6" i="5"/>
  <c r="AT6" i="5"/>
  <c r="AS7" i="5"/>
  <c r="AS8" i="5"/>
  <c r="AT8" i="5"/>
  <c r="AS9" i="5"/>
  <c r="AT9" i="5"/>
  <c r="AS10" i="5"/>
  <c r="AT10" i="5"/>
  <c r="AS11" i="5"/>
  <c r="AT11" i="5"/>
  <c r="AS12" i="5"/>
  <c r="AT12" i="5"/>
  <c r="AS13" i="5"/>
  <c r="AT13" i="5"/>
  <c r="AS14" i="5"/>
  <c r="AT14" i="5"/>
  <c r="AS15" i="5"/>
  <c r="AT15" i="5"/>
  <c r="AS16" i="5"/>
  <c r="AT16" i="5"/>
  <c r="AS17" i="5"/>
  <c r="AT17" i="5"/>
  <c r="AS19" i="5"/>
  <c r="AT19" i="5"/>
  <c r="AS21" i="5"/>
  <c r="AT21" i="5"/>
  <c r="AS22" i="5"/>
  <c r="AT22" i="5"/>
  <c r="AS23" i="5"/>
  <c r="AT23" i="5"/>
  <c r="AS24" i="5"/>
  <c r="AT24" i="5"/>
  <c r="AS25" i="5"/>
  <c r="AT25" i="5"/>
  <c r="AS26" i="5"/>
  <c r="AT26" i="5"/>
  <c r="AS27" i="5"/>
  <c r="AS28" i="5"/>
  <c r="AT28" i="5"/>
  <c r="AS29" i="5"/>
  <c r="AT30" i="5"/>
  <c r="AS31" i="5"/>
  <c r="AT31" i="5"/>
  <c r="AS33" i="5"/>
  <c r="AT33" i="5"/>
  <c r="AS34" i="5"/>
  <c r="AT34" i="5"/>
  <c r="AS35" i="5"/>
  <c r="AT35" i="5"/>
  <c r="AS36" i="5"/>
  <c r="AT36" i="5"/>
  <c r="AS37" i="5"/>
  <c r="AT37" i="5"/>
  <c r="AS38" i="5"/>
  <c r="AT38" i="5"/>
  <c r="AS39" i="5"/>
  <c r="AT39" i="5"/>
  <c r="AS40" i="5"/>
  <c r="AT40" i="5"/>
  <c r="AS41" i="5"/>
  <c r="AT41" i="5"/>
  <c r="AT42" i="5"/>
  <c r="AS43" i="5"/>
  <c r="AT43" i="5"/>
  <c r="AS44" i="5"/>
  <c r="AT44" i="5"/>
  <c r="AS45" i="5"/>
  <c r="AT45" i="5"/>
  <c r="AS46" i="5"/>
  <c r="AT46" i="5"/>
  <c r="AS47" i="5"/>
  <c r="AT47" i="5"/>
  <c r="AS48" i="5"/>
  <c r="AT48" i="5"/>
  <c r="AS49" i="5"/>
  <c r="AT49" i="5"/>
  <c r="AS50" i="5"/>
  <c r="AT50" i="5"/>
  <c r="AS51" i="5"/>
  <c r="AT51" i="5"/>
  <c r="AS52" i="5"/>
  <c r="AT52" i="5"/>
  <c r="AT53" i="5"/>
  <c r="AS54" i="5"/>
  <c r="AT54" i="5"/>
  <c r="AS55" i="5"/>
  <c r="AT55" i="5"/>
  <c r="AS56" i="5"/>
  <c r="AT56" i="5"/>
  <c r="AS57" i="5"/>
  <c r="AT57" i="5"/>
  <c r="AS58" i="5"/>
  <c r="AT58" i="5"/>
  <c r="AS59" i="5"/>
  <c r="AT59" i="5"/>
  <c r="AS60" i="5"/>
  <c r="AT60" i="5"/>
  <c r="AS61" i="5"/>
  <c r="AT61" i="5"/>
  <c r="AS62" i="5"/>
  <c r="AT62" i="5"/>
  <c r="AS63" i="5"/>
  <c r="AT63" i="5"/>
  <c r="AS65" i="5"/>
  <c r="AT65" i="5"/>
  <c r="AS66" i="5"/>
  <c r="AT66" i="5"/>
  <c r="AT67" i="5"/>
  <c r="AS68" i="5"/>
  <c r="AT68" i="5"/>
  <c r="AS69" i="5"/>
  <c r="AS70" i="5"/>
  <c r="AT70" i="5"/>
  <c r="AS71" i="5"/>
  <c r="AT71" i="5"/>
  <c r="AS72" i="5"/>
  <c r="AT72" i="5"/>
  <c r="AS73" i="5"/>
  <c r="AT73" i="5"/>
  <c r="AS74" i="5"/>
  <c r="AT74" i="5"/>
  <c r="AT4" i="5"/>
  <c r="AS4" i="5"/>
  <c r="AM5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4" i="6"/>
  <c r="AH66" i="6"/>
  <c r="AD66" i="6" s="1"/>
  <c r="AH65" i="6"/>
  <c r="AD65" i="6" s="1"/>
  <c r="AH64" i="6"/>
  <c r="AD64" i="6" s="1"/>
  <c r="AA64" i="6"/>
  <c r="AH62" i="6"/>
  <c r="AD62" i="6" s="1"/>
  <c r="AA62" i="6"/>
  <c r="AE61" i="6"/>
  <c r="X61" i="6"/>
  <c r="V61" i="6"/>
  <c r="H61" i="6"/>
  <c r="AP60" i="6"/>
  <c r="AN60" i="6"/>
  <c r="AQ60" i="6" s="1"/>
  <c r="AK60" i="6"/>
  <c r="AJ60" i="6"/>
  <c r="AG60" i="6"/>
  <c r="AF60" i="6"/>
  <c r="Y60" i="6"/>
  <c r="Z60" i="6" s="1"/>
  <c r="U60" i="6"/>
  <c r="S60" i="6"/>
  <c r="V60" i="6" s="1"/>
  <c r="N60" i="6"/>
  <c r="M60" i="6"/>
  <c r="K60" i="6"/>
  <c r="L60" i="6" s="1"/>
  <c r="AP59" i="6"/>
  <c r="AN59" i="6"/>
  <c r="AK59" i="6"/>
  <c r="AJ59" i="6"/>
  <c r="AG59" i="6"/>
  <c r="AF59" i="6"/>
  <c r="Y59" i="6"/>
  <c r="Z59" i="6" s="1"/>
  <c r="U59" i="6"/>
  <c r="S59" i="6"/>
  <c r="V59" i="6" s="1"/>
  <c r="N59" i="6"/>
  <c r="M59" i="6"/>
  <c r="K59" i="6"/>
  <c r="L59" i="6" s="1"/>
  <c r="AP58" i="6"/>
  <c r="AN58" i="6"/>
  <c r="AI58" i="6"/>
  <c r="AG58" i="6"/>
  <c r="AF58" i="6"/>
  <c r="U58" i="6"/>
  <c r="S58" i="6"/>
  <c r="V58" i="6" s="1"/>
  <c r="O58" i="6"/>
  <c r="P58" i="6" s="1"/>
  <c r="Q58" i="6" s="1"/>
  <c r="M58" i="6"/>
  <c r="K58" i="6"/>
  <c r="L58" i="6" s="1"/>
  <c r="AP57" i="6"/>
  <c r="AN57" i="6"/>
  <c r="AI57" i="6"/>
  <c r="AG57" i="6"/>
  <c r="AF57" i="6"/>
  <c r="U57" i="6"/>
  <c r="S57" i="6"/>
  <c r="V57" i="6" s="1"/>
  <c r="O57" i="6"/>
  <c r="P57" i="6" s="1"/>
  <c r="Q57" i="6" s="1"/>
  <c r="M57" i="6"/>
  <c r="K57" i="6"/>
  <c r="L57" i="6" s="1"/>
  <c r="AP56" i="6"/>
  <c r="AN56" i="6"/>
  <c r="AK56" i="6"/>
  <c r="AJ56" i="6"/>
  <c r="AG56" i="6"/>
  <c r="AF56" i="6"/>
  <c r="Y56" i="6"/>
  <c r="Z56" i="6" s="1"/>
  <c r="U56" i="6"/>
  <c r="S56" i="6"/>
  <c r="V56" i="6" s="1"/>
  <c r="O56" i="6"/>
  <c r="P56" i="6" s="1"/>
  <c r="Q56" i="6" s="1"/>
  <c r="M56" i="6"/>
  <c r="K56" i="6"/>
  <c r="L56" i="6" s="1"/>
  <c r="AP55" i="6"/>
  <c r="AN55" i="6"/>
  <c r="AI55" i="6"/>
  <c r="Y55" i="6" s="1"/>
  <c r="Z55" i="6" s="1"/>
  <c r="AG55" i="6"/>
  <c r="AF55" i="6"/>
  <c r="U55" i="6"/>
  <c r="S55" i="6"/>
  <c r="V55" i="6" s="1"/>
  <c r="O55" i="6"/>
  <c r="P55" i="6" s="1"/>
  <c r="Q55" i="6" s="1"/>
  <c r="M55" i="6"/>
  <c r="K55" i="6"/>
  <c r="L55" i="6" s="1"/>
  <c r="AP54" i="6"/>
  <c r="AN54" i="6"/>
  <c r="AI54" i="6"/>
  <c r="AG54" i="6"/>
  <c r="AF54" i="6"/>
  <c r="U54" i="6"/>
  <c r="S54" i="6"/>
  <c r="V54" i="6" s="1"/>
  <c r="O54" i="6"/>
  <c r="P54" i="6" s="1"/>
  <c r="Q54" i="6" s="1"/>
  <c r="M54" i="6"/>
  <c r="K54" i="6"/>
  <c r="L54" i="6" s="1"/>
  <c r="AP53" i="6"/>
  <c r="AN53" i="6"/>
  <c r="AK53" i="6"/>
  <c r="AJ53" i="6"/>
  <c r="AG53" i="6"/>
  <c r="AF53" i="6"/>
  <c r="Y53" i="6"/>
  <c r="Z53" i="6" s="1"/>
  <c r="U53" i="6"/>
  <c r="S53" i="6"/>
  <c r="V53" i="6" s="1"/>
  <c r="O53" i="6"/>
  <c r="P53" i="6" s="1"/>
  <c r="Q53" i="6" s="1"/>
  <c r="M53" i="6"/>
  <c r="K53" i="6"/>
  <c r="L53" i="6" s="1"/>
  <c r="AP52" i="6"/>
  <c r="AN52" i="6"/>
  <c r="AK52" i="6"/>
  <c r="AJ52" i="6"/>
  <c r="AG52" i="6"/>
  <c r="AF52" i="6"/>
  <c r="Y52" i="6"/>
  <c r="Z52" i="6" s="1"/>
  <c r="U52" i="6"/>
  <c r="S52" i="6"/>
  <c r="V52" i="6" s="1"/>
  <c r="O52" i="6"/>
  <c r="P52" i="6" s="1"/>
  <c r="Q52" i="6" s="1"/>
  <c r="M52" i="6"/>
  <c r="K52" i="6"/>
  <c r="L52" i="6" s="1"/>
  <c r="AM51" i="6"/>
  <c r="AN51" i="6" s="1"/>
  <c r="AK51" i="6"/>
  <c r="AJ51" i="6"/>
  <c r="AG51" i="6"/>
  <c r="AF51" i="6"/>
  <c r="U51" i="6"/>
  <c r="S51" i="6"/>
  <c r="V51" i="6" s="1"/>
  <c r="O51" i="6"/>
  <c r="P51" i="6" s="1"/>
  <c r="Q51" i="6" s="1"/>
  <c r="M51" i="6"/>
  <c r="K51" i="6"/>
  <c r="L51" i="6" s="1"/>
  <c r="AP50" i="6"/>
  <c r="AN50" i="6"/>
  <c r="AI50" i="6"/>
  <c r="Y50" i="6" s="1"/>
  <c r="Z50" i="6" s="1"/>
  <c r="AG50" i="6"/>
  <c r="AF50" i="6"/>
  <c r="U50" i="6"/>
  <c r="S50" i="6"/>
  <c r="V50" i="6" s="1"/>
  <c r="O50" i="6"/>
  <c r="P50" i="6" s="1"/>
  <c r="Q50" i="6" s="1"/>
  <c r="M50" i="6"/>
  <c r="K50" i="6"/>
  <c r="L50" i="6" s="1"/>
  <c r="AP49" i="6"/>
  <c r="AN49" i="6"/>
  <c r="AK49" i="6"/>
  <c r="AJ49" i="6"/>
  <c r="AG49" i="6"/>
  <c r="AF49" i="6"/>
  <c r="Y49" i="6"/>
  <c r="Z49" i="6" s="1"/>
  <c r="U49" i="6"/>
  <c r="S49" i="6"/>
  <c r="V49" i="6" s="1"/>
  <c r="O49" i="6"/>
  <c r="P49" i="6" s="1"/>
  <c r="Q49" i="6" s="1"/>
  <c r="M49" i="6"/>
  <c r="K49" i="6"/>
  <c r="L49" i="6" s="1"/>
  <c r="AP48" i="6"/>
  <c r="AN48" i="6"/>
  <c r="AI48" i="6"/>
  <c r="AG48" i="6"/>
  <c r="AF48" i="6"/>
  <c r="U48" i="6"/>
  <c r="S48" i="6"/>
  <c r="V48" i="6" s="1"/>
  <c r="O48" i="6"/>
  <c r="P48" i="6" s="1"/>
  <c r="Q48" i="6" s="1"/>
  <c r="M48" i="6"/>
  <c r="K48" i="6"/>
  <c r="L48" i="6" s="1"/>
  <c r="AM47" i="6"/>
  <c r="AI47" i="6"/>
  <c r="AG47" i="6"/>
  <c r="AF47" i="6"/>
  <c r="U47" i="6"/>
  <c r="S47" i="6"/>
  <c r="V47" i="6" s="1"/>
  <c r="O47" i="6"/>
  <c r="P47" i="6" s="1"/>
  <c r="Q47" i="6" s="1"/>
  <c r="M47" i="6"/>
  <c r="K47" i="6"/>
  <c r="L47" i="6" s="1"/>
  <c r="AP46" i="6"/>
  <c r="AN46" i="6"/>
  <c r="AK46" i="6"/>
  <c r="AJ46" i="6"/>
  <c r="AG46" i="6"/>
  <c r="AF46" i="6"/>
  <c r="Y46" i="6"/>
  <c r="Z46" i="6" s="1"/>
  <c r="U46" i="6"/>
  <c r="S46" i="6"/>
  <c r="V46" i="6" s="1"/>
  <c r="M46" i="6"/>
  <c r="N46" i="6" s="1"/>
  <c r="K46" i="6"/>
  <c r="L46" i="6" s="1"/>
  <c r="AM45" i="6"/>
  <c r="Y45" i="6" s="1"/>
  <c r="Z45" i="6" s="1"/>
  <c r="AK45" i="6"/>
  <c r="AJ45" i="6"/>
  <c r="AG45" i="6"/>
  <c r="AF45" i="6"/>
  <c r="U45" i="6"/>
  <c r="S45" i="6"/>
  <c r="V45" i="6" s="1"/>
  <c r="O45" i="6"/>
  <c r="P45" i="6" s="1"/>
  <c r="Q45" i="6" s="1"/>
  <c r="M45" i="6"/>
  <c r="K45" i="6"/>
  <c r="L45" i="6" s="1"/>
  <c r="AP44" i="6"/>
  <c r="AN44" i="6"/>
  <c r="AI44" i="6"/>
  <c r="AG44" i="6"/>
  <c r="AF44" i="6"/>
  <c r="U44" i="6"/>
  <c r="S44" i="6"/>
  <c r="V44" i="6" s="1"/>
  <c r="O44" i="6"/>
  <c r="P44" i="6" s="1"/>
  <c r="Q44" i="6" s="1"/>
  <c r="M44" i="6"/>
  <c r="K44" i="6"/>
  <c r="L44" i="6" s="1"/>
  <c r="AP43" i="6"/>
  <c r="AN43" i="6"/>
  <c r="AI43" i="6"/>
  <c r="AG43" i="6"/>
  <c r="AF43" i="6"/>
  <c r="U43" i="6"/>
  <c r="S43" i="6"/>
  <c r="V43" i="6" s="1"/>
  <c r="O43" i="6"/>
  <c r="P43" i="6" s="1"/>
  <c r="Q43" i="6" s="1"/>
  <c r="M43" i="6"/>
  <c r="K43" i="6"/>
  <c r="L43" i="6" s="1"/>
  <c r="AP42" i="6"/>
  <c r="AN42" i="6"/>
  <c r="AK42" i="6"/>
  <c r="AJ42" i="6"/>
  <c r="AG42" i="6"/>
  <c r="AF42" i="6"/>
  <c r="Y42" i="6"/>
  <c r="Z42" i="6" s="1"/>
  <c r="U42" i="6"/>
  <c r="S42" i="6"/>
  <c r="O42" i="6"/>
  <c r="P42" i="6" s="1"/>
  <c r="Q42" i="6" s="1"/>
  <c r="M42" i="6"/>
  <c r="K42" i="6"/>
  <c r="L42" i="6" s="1"/>
  <c r="AP41" i="6"/>
  <c r="AN41" i="6"/>
  <c r="AK41" i="6"/>
  <c r="AJ41" i="6"/>
  <c r="AG41" i="6"/>
  <c r="AF41" i="6"/>
  <c r="Y41" i="6"/>
  <c r="Z41" i="6" s="1"/>
  <c r="U41" i="6"/>
  <c r="S41" i="6"/>
  <c r="O41" i="6"/>
  <c r="P41" i="6" s="1"/>
  <c r="Q41" i="6" s="1"/>
  <c r="M41" i="6"/>
  <c r="K41" i="6"/>
  <c r="L41" i="6" s="1"/>
  <c r="AP40" i="6"/>
  <c r="AN40" i="6"/>
  <c r="AI40" i="6"/>
  <c r="AJ40" i="6" s="1"/>
  <c r="AG40" i="6"/>
  <c r="AF40" i="6"/>
  <c r="U40" i="6"/>
  <c r="S40" i="6"/>
  <c r="V40" i="6" s="1"/>
  <c r="O40" i="6"/>
  <c r="P40" i="6" s="1"/>
  <c r="Q40" i="6" s="1"/>
  <c r="M40" i="6"/>
  <c r="K40" i="6"/>
  <c r="L40" i="6" s="1"/>
  <c r="AP39" i="6"/>
  <c r="AN39" i="6"/>
  <c r="AI39" i="6"/>
  <c r="AJ39" i="6" s="1"/>
  <c r="AG39" i="6"/>
  <c r="AF39" i="6"/>
  <c r="U39" i="6"/>
  <c r="S39" i="6"/>
  <c r="O39" i="6"/>
  <c r="P39" i="6" s="1"/>
  <c r="Q39" i="6" s="1"/>
  <c r="M39" i="6"/>
  <c r="K39" i="6"/>
  <c r="L39" i="6" s="1"/>
  <c r="AP38" i="6"/>
  <c r="AN38" i="6"/>
  <c r="AI38" i="6"/>
  <c r="AJ38" i="6" s="1"/>
  <c r="AG38" i="6"/>
  <c r="AF38" i="6"/>
  <c r="U38" i="6"/>
  <c r="S38" i="6"/>
  <c r="V38" i="6" s="1"/>
  <c r="O38" i="6"/>
  <c r="P38" i="6" s="1"/>
  <c r="Q38" i="6" s="1"/>
  <c r="M38" i="6"/>
  <c r="K38" i="6"/>
  <c r="L38" i="6" s="1"/>
  <c r="AP37" i="6"/>
  <c r="AN37" i="6"/>
  <c r="AI37" i="6"/>
  <c r="AJ37" i="6" s="1"/>
  <c r="AG37" i="6"/>
  <c r="AF37" i="6"/>
  <c r="U37" i="6"/>
  <c r="S37" i="6"/>
  <c r="O37" i="6"/>
  <c r="P37" i="6" s="1"/>
  <c r="Q37" i="6" s="1"/>
  <c r="M37" i="6"/>
  <c r="K37" i="6"/>
  <c r="L37" i="6" s="1"/>
  <c r="AM36" i="6"/>
  <c r="AN36" i="6" s="1"/>
  <c r="AK36" i="6"/>
  <c r="AJ36" i="6"/>
  <c r="AG36" i="6"/>
  <c r="AF36" i="6"/>
  <c r="U36" i="6"/>
  <c r="S36" i="6"/>
  <c r="V36" i="6" s="1"/>
  <c r="O36" i="6"/>
  <c r="P36" i="6" s="1"/>
  <c r="Q36" i="6" s="1"/>
  <c r="M36" i="6"/>
  <c r="K36" i="6"/>
  <c r="L36" i="6" s="1"/>
  <c r="AM35" i="6"/>
  <c r="Y35" i="6" s="1"/>
  <c r="Z35" i="6" s="1"/>
  <c r="AK35" i="6"/>
  <c r="AJ35" i="6"/>
  <c r="AG35" i="6"/>
  <c r="AF35" i="6"/>
  <c r="U35" i="6"/>
  <c r="S35" i="6"/>
  <c r="V35" i="6" s="1"/>
  <c r="O35" i="6"/>
  <c r="P35" i="6" s="1"/>
  <c r="Q35" i="6" s="1"/>
  <c r="M35" i="6"/>
  <c r="K35" i="6"/>
  <c r="L35" i="6" s="1"/>
  <c r="AM34" i="6"/>
  <c r="AK34" i="6"/>
  <c r="AJ34" i="6"/>
  <c r="AG34" i="6"/>
  <c r="AF34" i="6"/>
  <c r="U34" i="6"/>
  <c r="S34" i="6"/>
  <c r="V34" i="6" s="1"/>
  <c r="O34" i="6"/>
  <c r="P34" i="6" s="1"/>
  <c r="Q34" i="6" s="1"/>
  <c r="M34" i="6"/>
  <c r="K34" i="6"/>
  <c r="L34" i="6" s="1"/>
  <c r="AM33" i="6"/>
  <c r="AI33" i="6"/>
  <c r="AG33" i="6"/>
  <c r="AF33" i="6"/>
  <c r="U33" i="6"/>
  <c r="S33" i="6"/>
  <c r="V33" i="6" s="1"/>
  <c r="O33" i="6"/>
  <c r="P33" i="6" s="1"/>
  <c r="Q33" i="6" s="1"/>
  <c r="M33" i="6"/>
  <c r="K33" i="6"/>
  <c r="L33" i="6" s="1"/>
  <c r="AP32" i="6"/>
  <c r="AN32" i="6"/>
  <c r="AI32" i="6"/>
  <c r="AK32" i="6" s="1"/>
  <c r="AG32" i="6"/>
  <c r="AF32" i="6"/>
  <c r="U32" i="6"/>
  <c r="S32" i="6"/>
  <c r="V32" i="6" s="1"/>
  <c r="O32" i="6"/>
  <c r="P32" i="6" s="1"/>
  <c r="Q32" i="6" s="1"/>
  <c r="M32" i="6"/>
  <c r="K32" i="6"/>
  <c r="L32" i="6" s="1"/>
  <c r="AM31" i="6"/>
  <c r="AN31" i="6" s="1"/>
  <c r="AI31" i="6"/>
  <c r="AG31" i="6"/>
  <c r="AF31" i="6"/>
  <c r="U31" i="6"/>
  <c r="S31" i="6"/>
  <c r="V31" i="6" s="1"/>
  <c r="O31" i="6"/>
  <c r="P31" i="6" s="1"/>
  <c r="Q31" i="6" s="1"/>
  <c r="M31" i="6"/>
  <c r="K31" i="6"/>
  <c r="L31" i="6" s="1"/>
  <c r="AP30" i="6"/>
  <c r="AN30" i="6"/>
  <c r="AK30" i="6"/>
  <c r="AJ30" i="6"/>
  <c r="AG30" i="6"/>
  <c r="AF30" i="6"/>
  <c r="Y30" i="6"/>
  <c r="Z30" i="6" s="1"/>
  <c r="U30" i="6"/>
  <c r="S30" i="6"/>
  <c r="V30" i="6" s="1"/>
  <c r="O30" i="6"/>
  <c r="P30" i="6" s="1"/>
  <c r="Q30" i="6" s="1"/>
  <c r="M30" i="6"/>
  <c r="K30" i="6"/>
  <c r="L30" i="6" s="1"/>
  <c r="AP29" i="6"/>
  <c r="AN29" i="6"/>
  <c r="AI29" i="6"/>
  <c r="AG29" i="6"/>
  <c r="AF29" i="6"/>
  <c r="U29" i="6"/>
  <c r="S29" i="6"/>
  <c r="V29" i="6" s="1"/>
  <c r="O29" i="6"/>
  <c r="P29" i="6" s="1"/>
  <c r="Q29" i="6" s="1"/>
  <c r="M29" i="6"/>
  <c r="K29" i="6"/>
  <c r="L29" i="6" s="1"/>
  <c r="AM28" i="6"/>
  <c r="AI28" i="6"/>
  <c r="AG28" i="6"/>
  <c r="AF28" i="6"/>
  <c r="U28" i="6"/>
  <c r="S28" i="6"/>
  <c r="V28" i="6" s="1"/>
  <c r="O28" i="6"/>
  <c r="P28" i="6" s="1"/>
  <c r="Q28" i="6" s="1"/>
  <c r="M28" i="6"/>
  <c r="K28" i="6"/>
  <c r="L28" i="6" s="1"/>
  <c r="AP27" i="6"/>
  <c r="AN27" i="6"/>
  <c r="AI27" i="6"/>
  <c r="AJ27" i="6" s="1"/>
  <c r="AG27" i="6"/>
  <c r="AF27" i="6"/>
  <c r="U27" i="6"/>
  <c r="S27" i="6"/>
  <c r="V27" i="6" s="1"/>
  <c r="O27" i="6"/>
  <c r="P27" i="6" s="1"/>
  <c r="Q27" i="6" s="1"/>
  <c r="M27" i="6"/>
  <c r="K27" i="6"/>
  <c r="L27" i="6" s="1"/>
  <c r="AP26" i="6"/>
  <c r="AN26" i="6"/>
  <c r="AI26" i="6"/>
  <c r="AG26" i="6"/>
  <c r="AF26" i="6"/>
  <c r="U26" i="6"/>
  <c r="S26" i="6"/>
  <c r="V26" i="6" s="1"/>
  <c r="O26" i="6"/>
  <c r="P26" i="6" s="1"/>
  <c r="Q26" i="6" s="1"/>
  <c r="M26" i="6"/>
  <c r="K26" i="6"/>
  <c r="L26" i="6" s="1"/>
  <c r="AP25" i="6"/>
  <c r="AN25" i="6"/>
  <c r="AK25" i="6"/>
  <c r="AJ25" i="6"/>
  <c r="AG25" i="6"/>
  <c r="AF25" i="6"/>
  <c r="Y25" i="6"/>
  <c r="Z25" i="6" s="1"/>
  <c r="U25" i="6"/>
  <c r="S25" i="6"/>
  <c r="V25" i="6" s="1"/>
  <c r="O25" i="6"/>
  <c r="P25" i="6" s="1"/>
  <c r="Q25" i="6" s="1"/>
  <c r="M25" i="6"/>
  <c r="K25" i="6"/>
  <c r="L25" i="6" s="1"/>
  <c r="AP24" i="6"/>
  <c r="AN24" i="6"/>
  <c r="AK24" i="6"/>
  <c r="AJ24" i="6"/>
  <c r="AG24" i="6"/>
  <c r="AF24" i="6"/>
  <c r="Y24" i="6"/>
  <c r="Z24" i="6" s="1"/>
  <c r="U24" i="6"/>
  <c r="S24" i="6"/>
  <c r="V24" i="6" s="1"/>
  <c r="O24" i="6"/>
  <c r="P24" i="6" s="1"/>
  <c r="Q24" i="6" s="1"/>
  <c r="M24" i="6"/>
  <c r="K24" i="6"/>
  <c r="L24" i="6" s="1"/>
  <c r="AP23" i="6"/>
  <c r="AN23" i="6"/>
  <c r="AI23" i="6"/>
  <c r="AG23" i="6"/>
  <c r="AF23" i="6"/>
  <c r="U23" i="6"/>
  <c r="S23" i="6"/>
  <c r="V23" i="6" s="1"/>
  <c r="O23" i="6"/>
  <c r="P23" i="6" s="1"/>
  <c r="Q23" i="6" s="1"/>
  <c r="M23" i="6"/>
  <c r="K23" i="6"/>
  <c r="L23" i="6" s="1"/>
  <c r="AP22" i="6"/>
  <c r="AN22" i="6"/>
  <c r="AI22" i="6"/>
  <c r="AJ22" i="6" s="1"/>
  <c r="AG22" i="6"/>
  <c r="AF22" i="6"/>
  <c r="U22" i="6"/>
  <c r="S22" i="6"/>
  <c r="V22" i="6" s="1"/>
  <c r="O22" i="6"/>
  <c r="P22" i="6" s="1"/>
  <c r="Q22" i="6" s="1"/>
  <c r="M22" i="6"/>
  <c r="K22" i="6"/>
  <c r="L22" i="6" s="1"/>
  <c r="AM21" i="6"/>
  <c r="AP21" i="6" s="1"/>
  <c r="AI21" i="6"/>
  <c r="AK21" i="6" s="1"/>
  <c r="AG21" i="6"/>
  <c r="AF21" i="6"/>
  <c r="U21" i="6"/>
  <c r="S21" i="6"/>
  <c r="O21" i="6"/>
  <c r="P21" i="6" s="1"/>
  <c r="Q21" i="6" s="1"/>
  <c r="M21" i="6"/>
  <c r="K21" i="6"/>
  <c r="L21" i="6" s="1"/>
  <c r="AP20" i="6"/>
  <c r="AN20" i="6"/>
  <c r="AK20" i="6"/>
  <c r="AJ20" i="6"/>
  <c r="AG20" i="6"/>
  <c r="AF20" i="6"/>
  <c r="Y20" i="6"/>
  <c r="Z20" i="6" s="1"/>
  <c r="U20" i="6"/>
  <c r="S20" i="6"/>
  <c r="V20" i="6" s="1"/>
  <c r="O20" i="6"/>
  <c r="P20" i="6" s="1"/>
  <c r="Q20" i="6" s="1"/>
  <c r="M20" i="6"/>
  <c r="K20" i="6"/>
  <c r="L20" i="6" s="1"/>
  <c r="AP19" i="6"/>
  <c r="AN19" i="6"/>
  <c r="AK19" i="6"/>
  <c r="AJ19" i="6"/>
  <c r="AG19" i="6"/>
  <c r="AF19" i="6"/>
  <c r="Y19" i="6"/>
  <c r="Z19" i="6" s="1"/>
  <c r="U19" i="6"/>
  <c r="S19" i="6"/>
  <c r="V19" i="6" s="1"/>
  <c r="O19" i="6"/>
  <c r="P19" i="6" s="1"/>
  <c r="Q19" i="6" s="1"/>
  <c r="M19" i="6"/>
  <c r="K19" i="6"/>
  <c r="L19" i="6" s="1"/>
  <c r="AM18" i="6"/>
  <c r="AN18" i="6" s="1"/>
  <c r="AI18" i="6"/>
  <c r="AK18" i="6" s="1"/>
  <c r="AG18" i="6"/>
  <c r="AF18" i="6"/>
  <c r="U18" i="6"/>
  <c r="S18" i="6"/>
  <c r="V18" i="6" s="1"/>
  <c r="O18" i="6"/>
  <c r="P18" i="6" s="1"/>
  <c r="Q18" i="6" s="1"/>
  <c r="M18" i="6"/>
  <c r="K18" i="6"/>
  <c r="L18" i="6" s="1"/>
  <c r="AM17" i="6"/>
  <c r="AP17" i="6" s="1"/>
  <c r="AI17" i="6"/>
  <c r="AK17" i="6" s="1"/>
  <c r="AG17" i="6"/>
  <c r="AF17" i="6"/>
  <c r="U17" i="6"/>
  <c r="S17" i="6"/>
  <c r="V17" i="6" s="1"/>
  <c r="O17" i="6"/>
  <c r="P17" i="6" s="1"/>
  <c r="Q17" i="6" s="1"/>
  <c r="M17" i="6"/>
  <c r="K17" i="6"/>
  <c r="L17" i="6" s="1"/>
  <c r="AM16" i="6"/>
  <c r="AP16" i="6" s="1"/>
  <c r="AI16" i="6"/>
  <c r="AG16" i="6"/>
  <c r="AF16" i="6"/>
  <c r="U16" i="6"/>
  <c r="S16" i="6"/>
  <c r="O16" i="6"/>
  <c r="P16" i="6" s="1"/>
  <c r="Q16" i="6" s="1"/>
  <c r="M16" i="6"/>
  <c r="K16" i="6"/>
  <c r="L16" i="6" s="1"/>
  <c r="AP15" i="6"/>
  <c r="AN15" i="6"/>
  <c r="AK15" i="6"/>
  <c r="AJ15" i="6"/>
  <c r="AG15" i="6"/>
  <c r="AF15" i="6"/>
  <c r="Y15" i="6"/>
  <c r="Z15" i="6" s="1"/>
  <c r="U15" i="6"/>
  <c r="S15" i="6"/>
  <c r="V15" i="6" s="1"/>
  <c r="O15" i="6"/>
  <c r="P15" i="6" s="1"/>
  <c r="Q15" i="6" s="1"/>
  <c r="M15" i="6"/>
  <c r="K15" i="6"/>
  <c r="L15" i="6" s="1"/>
  <c r="AM14" i="6"/>
  <c r="AP14" i="6" s="1"/>
  <c r="AI14" i="6"/>
  <c r="AG14" i="6"/>
  <c r="AF14" i="6"/>
  <c r="U14" i="6"/>
  <c r="S14" i="6"/>
  <c r="O14" i="6"/>
  <c r="P14" i="6" s="1"/>
  <c r="Q14" i="6" s="1"/>
  <c r="M14" i="6"/>
  <c r="K14" i="6"/>
  <c r="L14" i="6" s="1"/>
  <c r="AM13" i="6"/>
  <c r="AP13" i="6" s="1"/>
  <c r="AK13" i="6"/>
  <c r="AJ13" i="6"/>
  <c r="AG13" i="6"/>
  <c r="AF13" i="6"/>
  <c r="U13" i="6"/>
  <c r="S13" i="6"/>
  <c r="O13" i="6"/>
  <c r="P13" i="6" s="1"/>
  <c r="Q13" i="6" s="1"/>
  <c r="M13" i="6"/>
  <c r="K13" i="6"/>
  <c r="L13" i="6" s="1"/>
  <c r="AM12" i="6"/>
  <c r="AP12" i="6" s="1"/>
  <c r="AI12" i="6"/>
  <c r="AK12" i="6" s="1"/>
  <c r="AG12" i="6"/>
  <c r="AF12" i="6"/>
  <c r="U12" i="6"/>
  <c r="S12" i="6"/>
  <c r="V12" i="6" s="1"/>
  <c r="O12" i="6"/>
  <c r="P12" i="6" s="1"/>
  <c r="Q12" i="6" s="1"/>
  <c r="M12" i="6"/>
  <c r="K12" i="6"/>
  <c r="L12" i="6" s="1"/>
  <c r="AM11" i="6"/>
  <c r="AN11" i="6" s="1"/>
  <c r="AK11" i="6"/>
  <c r="AJ11" i="6"/>
  <c r="AG11" i="6"/>
  <c r="AF11" i="6"/>
  <c r="U11" i="6"/>
  <c r="S11" i="6"/>
  <c r="V11" i="6" s="1"/>
  <c r="O11" i="6"/>
  <c r="P11" i="6" s="1"/>
  <c r="Q11" i="6" s="1"/>
  <c r="M11" i="6"/>
  <c r="K11" i="6"/>
  <c r="L11" i="6" s="1"/>
  <c r="AP10" i="6"/>
  <c r="AN10" i="6"/>
  <c r="AI10" i="6"/>
  <c r="Y10" i="6" s="1"/>
  <c r="Z10" i="6" s="1"/>
  <c r="AG10" i="6"/>
  <c r="AF10" i="6"/>
  <c r="U10" i="6"/>
  <c r="S10" i="6"/>
  <c r="V10" i="6" s="1"/>
  <c r="O10" i="6"/>
  <c r="P10" i="6" s="1"/>
  <c r="Q10" i="6" s="1"/>
  <c r="M10" i="6"/>
  <c r="K10" i="6"/>
  <c r="L10" i="6" s="1"/>
  <c r="AM9" i="6"/>
  <c r="AP9" i="6" s="1"/>
  <c r="AK9" i="6"/>
  <c r="AJ9" i="6"/>
  <c r="AG9" i="6"/>
  <c r="AF9" i="6"/>
  <c r="U9" i="6"/>
  <c r="S9" i="6"/>
  <c r="V9" i="6" s="1"/>
  <c r="O9" i="6"/>
  <c r="P9" i="6" s="1"/>
  <c r="Q9" i="6" s="1"/>
  <c r="M9" i="6"/>
  <c r="K9" i="6"/>
  <c r="L9" i="6" s="1"/>
  <c r="AM8" i="6"/>
  <c r="AP8" i="6" s="1"/>
  <c r="AI8" i="6"/>
  <c r="AK8" i="6" s="1"/>
  <c r="AG8" i="6"/>
  <c r="AF8" i="6"/>
  <c r="U8" i="6"/>
  <c r="S8" i="6"/>
  <c r="V8" i="6" s="1"/>
  <c r="O8" i="6"/>
  <c r="P8" i="6" s="1"/>
  <c r="Q8" i="6" s="1"/>
  <c r="M8" i="6"/>
  <c r="K8" i="6"/>
  <c r="L8" i="6" s="1"/>
  <c r="AM7" i="6"/>
  <c r="AN7" i="6" s="1"/>
  <c r="AI7" i="6"/>
  <c r="AJ7" i="6" s="1"/>
  <c r="AG7" i="6"/>
  <c r="AF7" i="6"/>
  <c r="U7" i="6"/>
  <c r="S7" i="6"/>
  <c r="V7" i="6" s="1"/>
  <c r="O7" i="6"/>
  <c r="P7" i="6" s="1"/>
  <c r="Q7" i="6" s="1"/>
  <c r="M7" i="6"/>
  <c r="K7" i="6"/>
  <c r="L7" i="6" s="1"/>
  <c r="AM6" i="6"/>
  <c r="AP6" i="6" s="1"/>
  <c r="AI6" i="6"/>
  <c r="AK6" i="6" s="1"/>
  <c r="AG6" i="6"/>
  <c r="AF6" i="6"/>
  <c r="U6" i="6"/>
  <c r="S6" i="6"/>
  <c r="V6" i="6" s="1"/>
  <c r="O6" i="6"/>
  <c r="P6" i="6" s="1"/>
  <c r="Q6" i="6" s="1"/>
  <c r="M6" i="6"/>
  <c r="K6" i="6"/>
  <c r="L6" i="6" s="1"/>
  <c r="AP5" i="6"/>
  <c r="AI5" i="6"/>
  <c r="AG5" i="6"/>
  <c r="AF5" i="6"/>
  <c r="U5" i="6"/>
  <c r="S5" i="6"/>
  <c r="O5" i="6"/>
  <c r="P5" i="6" s="1"/>
  <c r="Q5" i="6" s="1"/>
  <c r="M5" i="6"/>
  <c r="K5" i="6"/>
  <c r="L5" i="6" s="1"/>
  <c r="AM4" i="6"/>
  <c r="AN4" i="6" s="1"/>
  <c r="AI4" i="6"/>
  <c r="AK4" i="6" s="1"/>
  <c r="AG4" i="6"/>
  <c r="AF4" i="6"/>
  <c r="U4" i="6"/>
  <c r="S4" i="6"/>
  <c r="O4" i="6"/>
  <c r="P4" i="6" s="1"/>
  <c r="Q4" i="6" s="1"/>
  <c r="M4" i="6"/>
  <c r="K4" i="6"/>
  <c r="L4" i="6" s="1"/>
  <c r="AP43" i="5"/>
  <c r="AO43" i="5"/>
  <c r="AP30" i="5"/>
  <c r="AO30" i="5"/>
  <c r="AP72" i="5"/>
  <c r="AO72" i="5"/>
  <c r="AP73" i="5"/>
  <c r="AO73" i="5"/>
  <c r="AP17" i="5"/>
  <c r="AO17" i="5"/>
  <c r="AP19" i="5"/>
  <c r="AO19" i="5"/>
  <c r="AP13" i="5"/>
  <c r="AO13" i="5"/>
  <c r="AP18" i="5"/>
  <c r="AO18" i="5"/>
  <c r="AP14" i="5"/>
  <c r="AO14" i="5"/>
  <c r="AP16" i="5"/>
  <c r="AO16" i="5"/>
  <c r="AP15" i="5"/>
  <c r="AO15" i="5"/>
  <c r="AP55" i="5"/>
  <c r="AO55" i="5"/>
  <c r="AP4" i="5"/>
  <c r="AO4" i="5"/>
  <c r="AP49" i="5"/>
  <c r="AO49" i="5"/>
  <c r="AP57" i="5"/>
  <c r="AO57" i="5"/>
  <c r="AP56" i="5"/>
  <c r="AO56" i="5"/>
  <c r="AP20" i="5"/>
  <c r="AO20" i="5"/>
  <c r="AP40" i="5"/>
  <c r="AO40" i="5"/>
  <c r="AP74" i="5"/>
  <c r="AO74" i="5"/>
  <c r="AP70" i="5"/>
  <c r="AO70" i="5"/>
  <c r="AP68" i="5"/>
  <c r="AO68" i="5"/>
  <c r="AP67" i="5"/>
  <c r="AO67" i="5"/>
  <c r="AP69" i="5"/>
  <c r="AO69" i="5"/>
  <c r="AP66" i="5"/>
  <c r="AO66" i="5"/>
  <c r="AP65" i="5"/>
  <c r="AO65" i="5"/>
  <c r="AP10" i="5"/>
  <c r="AO10" i="5"/>
  <c r="AP9" i="5"/>
  <c r="AO9" i="5"/>
  <c r="AP11" i="5"/>
  <c r="AO11" i="5"/>
  <c r="AP12" i="5"/>
  <c r="AO12" i="5"/>
  <c r="AP6" i="5"/>
  <c r="AO6" i="5"/>
  <c r="AP50" i="5"/>
  <c r="AO50" i="5"/>
  <c r="AP51" i="5"/>
  <c r="AO51" i="5"/>
  <c r="AP52" i="5"/>
  <c r="AO52" i="5"/>
  <c r="AP54" i="5"/>
  <c r="AO54" i="5"/>
  <c r="AP44" i="5"/>
  <c r="AO44" i="5"/>
  <c r="AP42" i="5"/>
  <c r="AO42" i="5"/>
  <c r="AP46" i="5"/>
  <c r="AO46" i="5"/>
  <c r="AP45" i="5"/>
  <c r="AO45" i="5"/>
  <c r="AP27" i="5"/>
  <c r="AO27" i="5"/>
  <c r="AP26" i="5"/>
  <c r="AO26" i="5"/>
  <c r="AP58" i="5"/>
  <c r="AO58" i="5"/>
  <c r="AP62" i="5"/>
  <c r="AO62" i="5"/>
  <c r="AP60" i="5"/>
  <c r="AO60" i="5"/>
  <c r="AP36" i="5"/>
  <c r="AO36" i="5"/>
  <c r="AP31" i="5"/>
  <c r="AO31" i="5"/>
  <c r="AP32" i="5"/>
  <c r="AO32" i="5"/>
  <c r="AP71" i="5"/>
  <c r="AO71" i="5"/>
  <c r="AP22" i="5"/>
  <c r="AO22" i="5"/>
  <c r="AO35" i="5"/>
  <c r="AP64" i="5"/>
  <c r="AO64" i="5"/>
  <c r="AP23" i="5"/>
  <c r="AO23" i="5"/>
  <c r="AP25" i="5"/>
  <c r="AO25" i="5"/>
  <c r="AP37" i="5"/>
  <c r="AO37" i="5"/>
  <c r="AP38" i="5"/>
  <c r="AO38" i="5"/>
  <c r="AP39" i="5"/>
  <c r="AO39" i="5"/>
  <c r="AO21" i="5"/>
  <c r="AN63" i="5"/>
  <c r="AP63" i="5" s="1"/>
  <c r="AN61" i="5"/>
  <c r="AP61" i="5" s="1"/>
  <c r="AN59" i="5"/>
  <c r="AP59" i="5" s="1"/>
  <c r="AN53" i="5"/>
  <c r="AP53" i="5" s="1"/>
  <c r="AN48" i="5"/>
  <c r="AP48" i="5" s="1"/>
  <c r="AN47" i="5"/>
  <c r="AP47" i="5" s="1"/>
  <c r="AN41" i="5"/>
  <c r="AP41" i="5" s="1"/>
  <c r="AN40" i="5"/>
  <c r="AN38" i="5"/>
  <c r="AN35" i="5"/>
  <c r="AP35" i="5" s="1"/>
  <c r="AN34" i="5"/>
  <c r="AP34" i="5" s="1"/>
  <c r="AN33" i="5"/>
  <c r="AP33" i="5" s="1"/>
  <c r="AN32" i="5"/>
  <c r="AN29" i="5"/>
  <c r="AP29" i="5" s="1"/>
  <c r="AN28" i="5"/>
  <c r="AP28" i="5" s="1"/>
  <c r="AN25" i="5"/>
  <c r="Y25" i="5" s="1"/>
  <c r="Z25" i="5" s="1"/>
  <c r="AN24" i="5"/>
  <c r="AP24" i="5" s="1"/>
  <c r="AN21" i="5"/>
  <c r="AP21" i="5" s="1"/>
  <c r="AN8" i="5"/>
  <c r="AP8" i="5" s="1"/>
  <c r="AN7" i="5"/>
  <c r="Y7" i="5" s="1"/>
  <c r="Z7" i="5" s="1"/>
  <c r="AN6" i="5"/>
  <c r="AN5" i="5"/>
  <c r="AP5" i="5" s="1"/>
  <c r="AI76" i="5"/>
  <c r="AE76" i="5" s="1"/>
  <c r="AI78" i="5"/>
  <c r="AE78" i="5" s="1"/>
  <c r="AI79" i="5"/>
  <c r="AE79" i="5" s="1"/>
  <c r="AI80" i="5"/>
  <c r="AE80" i="5" s="1"/>
  <c r="AB76" i="5"/>
  <c r="Y23" i="5"/>
  <c r="Z23" i="5" s="1"/>
  <c r="Y33" i="5"/>
  <c r="Z33" i="5" s="1"/>
  <c r="Y71" i="5"/>
  <c r="Z71" i="5" s="1"/>
  <c r="Y31" i="5"/>
  <c r="Z31" i="5" s="1"/>
  <c r="Y60" i="5"/>
  <c r="Y26" i="5"/>
  <c r="Z26" i="5" s="1"/>
  <c r="Y27" i="5"/>
  <c r="Y44" i="5"/>
  <c r="Z44" i="5" s="1"/>
  <c r="Y8" i="5"/>
  <c r="Z8" i="5" s="1"/>
  <c r="Y65" i="5"/>
  <c r="Y66" i="5"/>
  <c r="Y47" i="5"/>
  <c r="Z47" i="5" s="1"/>
  <c r="Y70" i="5"/>
  <c r="Z70" i="5" s="1"/>
  <c r="Y74" i="5"/>
  <c r="Y56" i="5"/>
  <c r="Z56" i="5" s="1"/>
  <c r="Y57" i="5"/>
  <c r="Y48" i="5"/>
  <c r="Z48" i="5" s="1"/>
  <c r="Y4" i="5"/>
  <c r="Z4" i="5" s="1"/>
  <c r="Y55" i="5"/>
  <c r="Y15" i="5"/>
  <c r="Z15" i="5" s="1"/>
  <c r="Y16" i="5"/>
  <c r="Z16" i="5" s="1"/>
  <c r="Y13" i="5"/>
  <c r="Z13" i="5" s="1"/>
  <c r="Y73" i="5"/>
  <c r="Y72" i="5"/>
  <c r="Y30" i="5"/>
  <c r="Z30" i="5" s="1"/>
  <c r="Y43" i="5"/>
  <c r="Z43" i="5" s="1"/>
  <c r="AB78" i="5"/>
  <c r="AF75" i="5"/>
  <c r="X75" i="5"/>
  <c r="H75" i="5"/>
  <c r="AL43" i="5"/>
  <c r="AK43" i="5"/>
  <c r="AH43" i="5"/>
  <c r="AG43" i="5"/>
  <c r="AL30" i="5"/>
  <c r="AK30" i="5"/>
  <c r="AH30" i="5"/>
  <c r="AG30" i="5"/>
  <c r="S30" i="5"/>
  <c r="AL72" i="5"/>
  <c r="AK72" i="5"/>
  <c r="AH72" i="5"/>
  <c r="AG72" i="5"/>
  <c r="U72" i="5"/>
  <c r="S72" i="5"/>
  <c r="N72" i="5"/>
  <c r="O72" i="5" s="1"/>
  <c r="P72" i="5" s="1"/>
  <c r="Q72" i="5" s="1"/>
  <c r="M72" i="5"/>
  <c r="K72" i="5"/>
  <c r="L72" i="5" s="1"/>
  <c r="AL73" i="5"/>
  <c r="AK73" i="5"/>
  <c r="AH73" i="5"/>
  <c r="AG73" i="5"/>
  <c r="U73" i="5"/>
  <c r="S73" i="5"/>
  <c r="V73" i="5" s="1"/>
  <c r="N73" i="5"/>
  <c r="O73" i="5" s="1"/>
  <c r="P73" i="5" s="1"/>
  <c r="Q73" i="5" s="1"/>
  <c r="M73" i="5"/>
  <c r="K73" i="5"/>
  <c r="L73" i="5" s="1"/>
  <c r="AJ17" i="5"/>
  <c r="AL17" i="5" s="1"/>
  <c r="AH17" i="5"/>
  <c r="AG17" i="5"/>
  <c r="U17" i="5"/>
  <c r="S17" i="5"/>
  <c r="V17" i="5" s="1"/>
  <c r="O17" i="5"/>
  <c r="P17" i="5" s="1"/>
  <c r="Q17" i="5" s="1"/>
  <c r="M17" i="5"/>
  <c r="K17" i="5"/>
  <c r="L17" i="5" s="1"/>
  <c r="AJ19" i="5"/>
  <c r="AL19" i="5" s="1"/>
  <c r="AH19" i="5"/>
  <c r="AG19" i="5"/>
  <c r="U19" i="5"/>
  <c r="S19" i="5"/>
  <c r="V19" i="5" s="1"/>
  <c r="O19" i="5"/>
  <c r="P19" i="5" s="1"/>
  <c r="Q19" i="5" s="1"/>
  <c r="M19" i="5"/>
  <c r="K19" i="5"/>
  <c r="L19" i="5" s="1"/>
  <c r="AL13" i="5"/>
  <c r="AK13" i="5"/>
  <c r="AH13" i="5"/>
  <c r="AG13" i="5"/>
  <c r="U13" i="5"/>
  <c r="S13" i="5"/>
  <c r="V13" i="5" s="1"/>
  <c r="O13" i="5"/>
  <c r="P13" i="5" s="1"/>
  <c r="Q13" i="5" s="1"/>
  <c r="M13" i="5"/>
  <c r="K13" i="5"/>
  <c r="L13" i="5" s="1"/>
  <c r="AJ18" i="5"/>
  <c r="AL18" i="5" s="1"/>
  <c r="AH18" i="5"/>
  <c r="AG18" i="5"/>
  <c r="U18" i="5"/>
  <c r="S18" i="5"/>
  <c r="O18" i="5"/>
  <c r="P18" i="5" s="1"/>
  <c r="Q18" i="5" s="1"/>
  <c r="M18" i="5"/>
  <c r="K18" i="5"/>
  <c r="L18" i="5" s="1"/>
  <c r="AJ14" i="5"/>
  <c r="AL14" i="5" s="1"/>
  <c r="AH14" i="5"/>
  <c r="AG14" i="5"/>
  <c r="U14" i="5"/>
  <c r="S14" i="5"/>
  <c r="O14" i="5"/>
  <c r="P14" i="5" s="1"/>
  <c r="Q14" i="5" s="1"/>
  <c r="M14" i="5"/>
  <c r="K14" i="5"/>
  <c r="L14" i="5" s="1"/>
  <c r="AL16" i="5"/>
  <c r="AK16" i="5"/>
  <c r="AH16" i="5"/>
  <c r="AG16" i="5"/>
  <c r="U16" i="5"/>
  <c r="S16" i="5"/>
  <c r="O16" i="5"/>
  <c r="P16" i="5" s="1"/>
  <c r="Q16" i="5" s="1"/>
  <c r="M16" i="5"/>
  <c r="K16" i="5"/>
  <c r="L16" i="5" s="1"/>
  <c r="AL15" i="5"/>
  <c r="AK15" i="5"/>
  <c r="AH15" i="5"/>
  <c r="AG15" i="5"/>
  <c r="U15" i="5"/>
  <c r="S15" i="5"/>
  <c r="V15" i="5" s="1"/>
  <c r="O15" i="5"/>
  <c r="P15" i="5" s="1"/>
  <c r="Q15" i="5" s="1"/>
  <c r="M15" i="5"/>
  <c r="K15" i="5"/>
  <c r="L15" i="5" s="1"/>
  <c r="AL55" i="5"/>
  <c r="AK55" i="5"/>
  <c r="AH55" i="5"/>
  <c r="AG55" i="5"/>
  <c r="U55" i="5"/>
  <c r="S55" i="5"/>
  <c r="V55" i="5" s="1"/>
  <c r="O55" i="5"/>
  <c r="P55" i="5" s="1"/>
  <c r="Q55" i="5" s="1"/>
  <c r="M55" i="5"/>
  <c r="K55" i="5"/>
  <c r="L55" i="5" s="1"/>
  <c r="AL4" i="5"/>
  <c r="AK4" i="5"/>
  <c r="AH4" i="5"/>
  <c r="AG4" i="5"/>
  <c r="U4" i="5"/>
  <c r="S4" i="5"/>
  <c r="O4" i="5"/>
  <c r="P4" i="5" s="1"/>
  <c r="Q4" i="5" s="1"/>
  <c r="M4" i="5"/>
  <c r="K4" i="5"/>
  <c r="L4" i="5" s="1"/>
  <c r="AL48" i="5"/>
  <c r="AK48" i="5"/>
  <c r="AH48" i="5"/>
  <c r="AG48" i="5"/>
  <c r="U48" i="5"/>
  <c r="S48" i="5"/>
  <c r="O48" i="5"/>
  <c r="P48" i="5" s="1"/>
  <c r="Q48" i="5" s="1"/>
  <c r="M48" i="5"/>
  <c r="K48" i="5"/>
  <c r="L48" i="5" s="1"/>
  <c r="AJ49" i="5"/>
  <c r="AK49" i="5" s="1"/>
  <c r="AH49" i="5"/>
  <c r="AG49" i="5"/>
  <c r="U49" i="5"/>
  <c r="S49" i="5"/>
  <c r="V49" i="5" s="1"/>
  <c r="O49" i="5"/>
  <c r="P49" i="5" s="1"/>
  <c r="Q49" i="5" s="1"/>
  <c r="M49" i="5"/>
  <c r="K49" i="5"/>
  <c r="L49" i="5" s="1"/>
  <c r="AL57" i="5"/>
  <c r="AK57" i="5"/>
  <c r="AH57" i="5"/>
  <c r="AG57" i="5"/>
  <c r="Z57" i="5"/>
  <c r="V57" i="5"/>
  <c r="U57" i="5"/>
  <c r="O57" i="5"/>
  <c r="P57" i="5" s="1"/>
  <c r="Q57" i="5" s="1"/>
  <c r="M57" i="5"/>
  <c r="K57" i="5"/>
  <c r="L57" i="5" s="1"/>
  <c r="AL56" i="5"/>
  <c r="AK56" i="5"/>
  <c r="AH56" i="5"/>
  <c r="AG56" i="5"/>
  <c r="U56" i="5"/>
  <c r="S56" i="5"/>
  <c r="O56" i="5"/>
  <c r="P56" i="5" s="1"/>
  <c r="Q56" i="5" s="1"/>
  <c r="M56" i="5"/>
  <c r="K56" i="5"/>
  <c r="L56" i="5" s="1"/>
  <c r="AJ20" i="5"/>
  <c r="AL20" i="5" s="1"/>
  <c r="AH20" i="5"/>
  <c r="AG20" i="5"/>
  <c r="U20" i="5"/>
  <c r="S20" i="5"/>
  <c r="O20" i="5"/>
  <c r="P20" i="5" s="1"/>
  <c r="Q20" i="5" s="1"/>
  <c r="M20" i="5"/>
  <c r="K20" i="5"/>
  <c r="L20" i="5" s="1"/>
  <c r="AJ40" i="5"/>
  <c r="AL40" i="5" s="1"/>
  <c r="AH40" i="5"/>
  <c r="AG40" i="5"/>
  <c r="U40" i="5"/>
  <c r="S40" i="5"/>
  <c r="O40" i="5"/>
  <c r="P40" i="5" s="1"/>
  <c r="Q40" i="5" s="1"/>
  <c r="M40" i="5"/>
  <c r="K40" i="5"/>
  <c r="L40" i="5" s="1"/>
  <c r="AL74" i="5"/>
  <c r="AK74" i="5"/>
  <c r="AH74" i="5"/>
  <c r="AG74" i="5"/>
  <c r="U74" i="5"/>
  <c r="S74" i="5"/>
  <c r="O74" i="5"/>
  <c r="P74" i="5" s="1"/>
  <c r="Q74" i="5" s="1"/>
  <c r="M74" i="5"/>
  <c r="K74" i="5"/>
  <c r="L74" i="5" s="1"/>
  <c r="AL70" i="5"/>
  <c r="AK70" i="5"/>
  <c r="AH70" i="5"/>
  <c r="AG70" i="5"/>
  <c r="U70" i="5"/>
  <c r="V70" i="5"/>
  <c r="M70" i="5"/>
  <c r="N70" i="5" s="1"/>
  <c r="O70" i="5" s="1"/>
  <c r="P70" i="5" s="1"/>
  <c r="Q70" i="5" s="1"/>
  <c r="K70" i="5"/>
  <c r="L70" i="5" s="1"/>
  <c r="AL47" i="5"/>
  <c r="AK47" i="5"/>
  <c r="AH47" i="5"/>
  <c r="AG47" i="5"/>
  <c r="U47" i="5"/>
  <c r="S47" i="5"/>
  <c r="V47" i="5" s="1"/>
  <c r="O47" i="5"/>
  <c r="P47" i="5" s="1"/>
  <c r="Q47" i="5" s="1"/>
  <c r="M47" i="5"/>
  <c r="K47" i="5"/>
  <c r="L47" i="5" s="1"/>
  <c r="AJ68" i="5"/>
  <c r="AL68" i="5" s="1"/>
  <c r="AH68" i="5"/>
  <c r="AG68" i="5"/>
  <c r="U68" i="5"/>
  <c r="S68" i="5"/>
  <c r="V68" i="5" s="1"/>
  <c r="O68" i="5"/>
  <c r="P68" i="5" s="1"/>
  <c r="Q68" i="5" s="1"/>
  <c r="M68" i="5"/>
  <c r="K68" i="5"/>
  <c r="L68" i="5" s="1"/>
  <c r="AJ67" i="5"/>
  <c r="AL67" i="5" s="1"/>
  <c r="AH67" i="5"/>
  <c r="AG67" i="5"/>
  <c r="U67" i="5"/>
  <c r="S67" i="5"/>
  <c r="V67" i="5" s="1"/>
  <c r="O67" i="5"/>
  <c r="P67" i="5" s="1"/>
  <c r="Q67" i="5" s="1"/>
  <c r="M67" i="5"/>
  <c r="K67" i="5"/>
  <c r="L67" i="5" s="1"/>
  <c r="AJ69" i="5"/>
  <c r="AH69" i="5"/>
  <c r="AG69" i="5"/>
  <c r="U69" i="5"/>
  <c r="S69" i="5"/>
  <c r="V69" i="5" s="1"/>
  <c r="O69" i="5"/>
  <c r="P69" i="5" s="1"/>
  <c r="Q69" i="5" s="1"/>
  <c r="M69" i="5"/>
  <c r="K69" i="5"/>
  <c r="L69" i="5" s="1"/>
  <c r="AH66" i="5"/>
  <c r="AG66" i="5"/>
  <c r="U66" i="5"/>
  <c r="S66" i="5"/>
  <c r="V66" i="5" s="1"/>
  <c r="O66" i="5"/>
  <c r="P66" i="5" s="1"/>
  <c r="Q66" i="5" s="1"/>
  <c r="M66" i="5"/>
  <c r="K66" i="5"/>
  <c r="L66" i="5" s="1"/>
  <c r="AH65" i="5"/>
  <c r="AG65" i="5"/>
  <c r="U65" i="5"/>
  <c r="S65" i="5"/>
  <c r="V65" i="5" s="1"/>
  <c r="O65" i="5"/>
  <c r="P65" i="5" s="1"/>
  <c r="Q65" i="5" s="1"/>
  <c r="M65" i="5"/>
  <c r="K65" i="5"/>
  <c r="L65" i="5" s="1"/>
  <c r="AJ10" i="5"/>
  <c r="Y10" i="5" s="1"/>
  <c r="AH10" i="5"/>
  <c r="AG10" i="5"/>
  <c r="U10" i="5"/>
  <c r="S10" i="5"/>
  <c r="V10" i="5" s="1"/>
  <c r="O10" i="5"/>
  <c r="P10" i="5" s="1"/>
  <c r="Q10" i="5" s="1"/>
  <c r="M10" i="5"/>
  <c r="K10" i="5"/>
  <c r="L10" i="5" s="1"/>
  <c r="AJ9" i="5"/>
  <c r="Y9" i="5" s="1"/>
  <c r="AH9" i="5"/>
  <c r="AG9" i="5"/>
  <c r="U9" i="5"/>
  <c r="S9" i="5"/>
  <c r="V9" i="5" s="1"/>
  <c r="O9" i="5"/>
  <c r="P9" i="5" s="1"/>
  <c r="Q9" i="5" s="1"/>
  <c r="M9" i="5"/>
  <c r="K9" i="5"/>
  <c r="L9" i="5" s="1"/>
  <c r="AJ11" i="5"/>
  <c r="AK11" i="5" s="1"/>
  <c r="AH11" i="5"/>
  <c r="AG11" i="5"/>
  <c r="U11" i="5"/>
  <c r="S11" i="5"/>
  <c r="O11" i="5"/>
  <c r="P11" i="5" s="1"/>
  <c r="Q11" i="5" s="1"/>
  <c r="M11" i="5"/>
  <c r="K11" i="5"/>
  <c r="L11" i="5" s="1"/>
  <c r="AL12" i="5"/>
  <c r="AJ12" i="5"/>
  <c r="AK12" i="5" s="1"/>
  <c r="AH12" i="5"/>
  <c r="AG12" i="5"/>
  <c r="U12" i="5"/>
  <c r="S12" i="5"/>
  <c r="V12" i="5" s="1"/>
  <c r="O12" i="5"/>
  <c r="P12" i="5" s="1"/>
  <c r="Q12" i="5" s="1"/>
  <c r="M12" i="5"/>
  <c r="K12" i="5"/>
  <c r="L12" i="5" s="1"/>
  <c r="AL5" i="5"/>
  <c r="AK5" i="5"/>
  <c r="AH5" i="5"/>
  <c r="AG5" i="5"/>
  <c r="U5" i="5"/>
  <c r="S5" i="5"/>
  <c r="O5" i="5"/>
  <c r="P5" i="5" s="1"/>
  <c r="Q5" i="5" s="1"/>
  <c r="M5" i="5"/>
  <c r="K5" i="5"/>
  <c r="L5" i="5" s="1"/>
  <c r="AL8" i="5"/>
  <c r="AK8" i="5"/>
  <c r="AH8" i="5"/>
  <c r="AG8" i="5"/>
  <c r="U8" i="5"/>
  <c r="S8" i="5"/>
  <c r="V8" i="5" s="1"/>
  <c r="O8" i="5"/>
  <c r="P8" i="5" s="1"/>
  <c r="Q8" i="5" s="1"/>
  <c r="M8" i="5"/>
  <c r="K8" i="5"/>
  <c r="L8" i="5" s="1"/>
  <c r="AK7" i="5"/>
  <c r="AH7" i="5"/>
  <c r="AG7" i="5"/>
  <c r="U7" i="5"/>
  <c r="S7" i="5"/>
  <c r="O7" i="5"/>
  <c r="P7" i="5" s="1"/>
  <c r="Q7" i="5" s="1"/>
  <c r="M7" i="5"/>
  <c r="K7" i="5"/>
  <c r="L7" i="5" s="1"/>
  <c r="AJ6" i="5"/>
  <c r="AL6" i="5" s="1"/>
  <c r="AH6" i="5"/>
  <c r="AG6" i="5"/>
  <c r="U6" i="5"/>
  <c r="S6" i="5"/>
  <c r="V6" i="5" s="1"/>
  <c r="O6" i="5"/>
  <c r="P6" i="5" s="1"/>
  <c r="Q6" i="5" s="1"/>
  <c r="M6" i="5"/>
  <c r="K6" i="5"/>
  <c r="L6" i="5" s="1"/>
  <c r="AJ50" i="5"/>
  <c r="Y50" i="5" s="1"/>
  <c r="Z50" i="5" s="1"/>
  <c r="AH50" i="5"/>
  <c r="AG50" i="5"/>
  <c r="U50" i="5"/>
  <c r="S50" i="5"/>
  <c r="V50" i="5" s="1"/>
  <c r="O50" i="5"/>
  <c r="P50" i="5" s="1"/>
  <c r="Q50" i="5" s="1"/>
  <c r="M50" i="5"/>
  <c r="K50" i="5"/>
  <c r="L50" i="5" s="1"/>
  <c r="AL51" i="5"/>
  <c r="AJ51" i="5"/>
  <c r="Y51" i="5" s="1"/>
  <c r="Z51" i="5" s="1"/>
  <c r="AH51" i="5"/>
  <c r="AG51" i="5"/>
  <c r="U51" i="5"/>
  <c r="S51" i="5"/>
  <c r="V51" i="5" s="1"/>
  <c r="O51" i="5"/>
  <c r="P51" i="5" s="1"/>
  <c r="Q51" i="5" s="1"/>
  <c r="M51" i="5"/>
  <c r="K51" i="5"/>
  <c r="L51" i="5" s="1"/>
  <c r="AJ52" i="5"/>
  <c r="AH52" i="5"/>
  <c r="AG52" i="5"/>
  <c r="U52" i="5"/>
  <c r="S52" i="5"/>
  <c r="V52" i="5" s="1"/>
  <c r="O52" i="5"/>
  <c r="P52" i="5" s="1"/>
  <c r="Q52" i="5" s="1"/>
  <c r="M52" i="5"/>
  <c r="K52" i="5"/>
  <c r="L52" i="5" s="1"/>
  <c r="AJ54" i="5"/>
  <c r="Y54" i="5" s="1"/>
  <c r="Z54" i="5" s="1"/>
  <c r="AH54" i="5"/>
  <c r="AG54" i="5"/>
  <c r="U54" i="5"/>
  <c r="S54" i="5"/>
  <c r="V54" i="5" s="1"/>
  <c r="O54" i="5"/>
  <c r="P54" i="5" s="1"/>
  <c r="Q54" i="5" s="1"/>
  <c r="M54" i="5"/>
  <c r="K54" i="5"/>
  <c r="L54" i="5" s="1"/>
  <c r="AJ53" i="5"/>
  <c r="AH53" i="5"/>
  <c r="AG53" i="5"/>
  <c r="U53" i="5"/>
  <c r="S53" i="5"/>
  <c r="V53" i="5" s="1"/>
  <c r="O53" i="5"/>
  <c r="P53" i="5" s="1"/>
  <c r="Q53" i="5" s="1"/>
  <c r="M53" i="5"/>
  <c r="K53" i="5"/>
  <c r="L53" i="5" s="1"/>
  <c r="AL44" i="5"/>
  <c r="AK44" i="5"/>
  <c r="AH44" i="5"/>
  <c r="AG44" i="5"/>
  <c r="U44" i="5"/>
  <c r="S44" i="5"/>
  <c r="V44" i="5" s="1"/>
  <c r="O44" i="5"/>
  <c r="P44" i="5" s="1"/>
  <c r="Q44" i="5" s="1"/>
  <c r="M44" i="5"/>
  <c r="K44" i="5"/>
  <c r="L44" i="5" s="1"/>
  <c r="AL42" i="5"/>
  <c r="AK42" i="5"/>
  <c r="AJ42" i="5"/>
  <c r="Y42" i="5" s="1"/>
  <c r="Z42" i="5" s="1"/>
  <c r="AH42" i="5"/>
  <c r="AG42" i="5"/>
  <c r="U42" i="5"/>
  <c r="S42" i="5"/>
  <c r="V42" i="5" s="1"/>
  <c r="O42" i="5"/>
  <c r="P42" i="5" s="1"/>
  <c r="Q42" i="5" s="1"/>
  <c r="M42" i="5"/>
  <c r="K42" i="5"/>
  <c r="L42" i="5" s="1"/>
  <c r="AJ41" i="5"/>
  <c r="AH41" i="5"/>
  <c r="AG41" i="5"/>
  <c r="U41" i="5"/>
  <c r="S41" i="5"/>
  <c r="V41" i="5" s="1"/>
  <c r="O41" i="5"/>
  <c r="P41" i="5" s="1"/>
  <c r="Q41" i="5" s="1"/>
  <c r="M41" i="5"/>
  <c r="K41" i="5"/>
  <c r="L41" i="5" s="1"/>
  <c r="AJ46" i="5"/>
  <c r="Y46" i="5" s="1"/>
  <c r="Z46" i="5" s="1"/>
  <c r="AH46" i="5"/>
  <c r="AG46" i="5"/>
  <c r="U46" i="5"/>
  <c r="S46" i="5"/>
  <c r="V46" i="5" s="1"/>
  <c r="O46" i="5"/>
  <c r="P46" i="5" s="1"/>
  <c r="Q46" i="5" s="1"/>
  <c r="M46" i="5"/>
  <c r="K46" i="5"/>
  <c r="L46" i="5" s="1"/>
  <c r="AL45" i="5"/>
  <c r="AJ45" i="5"/>
  <c r="Y45" i="5" s="1"/>
  <c r="Z45" i="5" s="1"/>
  <c r="AH45" i="5"/>
  <c r="AG45" i="5"/>
  <c r="U45" i="5"/>
  <c r="S45" i="5"/>
  <c r="V45" i="5" s="1"/>
  <c r="O45" i="5"/>
  <c r="P45" i="5" s="1"/>
  <c r="Q45" i="5" s="1"/>
  <c r="M45" i="5"/>
  <c r="K45" i="5"/>
  <c r="L45" i="5" s="1"/>
  <c r="AL27" i="5"/>
  <c r="AK27" i="5"/>
  <c r="AH27" i="5"/>
  <c r="AG27" i="5"/>
  <c r="Z27" i="5"/>
  <c r="U27" i="5"/>
  <c r="S27" i="5"/>
  <c r="V27" i="5" s="1"/>
  <c r="O27" i="5"/>
  <c r="P27" i="5" s="1"/>
  <c r="Q27" i="5" s="1"/>
  <c r="M27" i="5"/>
  <c r="K27" i="5"/>
  <c r="L27" i="5" s="1"/>
  <c r="AL26" i="5"/>
  <c r="AK26" i="5"/>
  <c r="AH26" i="5"/>
  <c r="AG26" i="5"/>
  <c r="U26" i="5"/>
  <c r="S26" i="5"/>
  <c r="V26" i="5" s="1"/>
  <c r="O26" i="5"/>
  <c r="P26" i="5" s="1"/>
  <c r="Q26" i="5" s="1"/>
  <c r="M26" i="5"/>
  <c r="K26" i="5"/>
  <c r="L26" i="5" s="1"/>
  <c r="AJ58" i="5"/>
  <c r="AH58" i="5"/>
  <c r="AG58" i="5"/>
  <c r="U58" i="5"/>
  <c r="S58" i="5"/>
  <c r="V58" i="5" s="1"/>
  <c r="O58" i="5"/>
  <c r="P58" i="5" s="1"/>
  <c r="Q58" i="5" s="1"/>
  <c r="M58" i="5"/>
  <c r="K58" i="5"/>
  <c r="L58" i="5" s="1"/>
  <c r="AJ62" i="5"/>
  <c r="AH62" i="5"/>
  <c r="AG62" i="5"/>
  <c r="U62" i="5"/>
  <c r="S62" i="5"/>
  <c r="V62" i="5" s="1"/>
  <c r="O62" i="5"/>
  <c r="P62" i="5" s="1"/>
  <c r="Q62" i="5" s="1"/>
  <c r="M62" i="5"/>
  <c r="K62" i="5"/>
  <c r="L62" i="5" s="1"/>
  <c r="AJ24" i="5"/>
  <c r="AH24" i="5"/>
  <c r="AG24" i="5"/>
  <c r="U24" i="5"/>
  <c r="S24" i="5"/>
  <c r="V24" i="5" s="1"/>
  <c r="O24" i="5"/>
  <c r="P24" i="5" s="1"/>
  <c r="Q24" i="5" s="1"/>
  <c r="M24" i="5"/>
  <c r="K24" i="5"/>
  <c r="L24" i="5" s="1"/>
  <c r="AL60" i="5"/>
  <c r="AK60" i="5"/>
  <c r="AH60" i="5"/>
  <c r="AG60" i="5"/>
  <c r="U60" i="5"/>
  <c r="S60" i="5"/>
  <c r="V60" i="5" s="1"/>
  <c r="O60" i="5"/>
  <c r="P60" i="5" s="1"/>
  <c r="Q60" i="5" s="1"/>
  <c r="M60" i="5"/>
  <c r="K60" i="5"/>
  <c r="L60" i="5" s="1"/>
  <c r="AL36" i="5"/>
  <c r="AJ36" i="5"/>
  <c r="AH36" i="5"/>
  <c r="AG36" i="5"/>
  <c r="U36" i="5"/>
  <c r="S36" i="5"/>
  <c r="V36" i="5" s="1"/>
  <c r="O36" i="5"/>
  <c r="P36" i="5" s="1"/>
  <c r="Q36" i="5" s="1"/>
  <c r="M36" i="5"/>
  <c r="K36" i="5"/>
  <c r="L36" i="5" s="1"/>
  <c r="AL31" i="5"/>
  <c r="AK31" i="5"/>
  <c r="AH31" i="5"/>
  <c r="AG31" i="5"/>
  <c r="U31" i="5"/>
  <c r="S31" i="5"/>
  <c r="O31" i="5"/>
  <c r="P31" i="5" s="1"/>
  <c r="Q31" i="5" s="1"/>
  <c r="M31" i="5"/>
  <c r="K31" i="5"/>
  <c r="L31" i="5" s="1"/>
  <c r="AJ29" i="5"/>
  <c r="AH29" i="5"/>
  <c r="AG29" i="5"/>
  <c r="U29" i="5"/>
  <c r="S29" i="5"/>
  <c r="O29" i="5"/>
  <c r="P29" i="5" s="1"/>
  <c r="Q29" i="5" s="1"/>
  <c r="M29" i="5"/>
  <c r="K29" i="5"/>
  <c r="L29" i="5" s="1"/>
  <c r="AK32" i="5"/>
  <c r="AJ32" i="5"/>
  <c r="AH32" i="5"/>
  <c r="AG32" i="5"/>
  <c r="U32" i="5"/>
  <c r="S32" i="5"/>
  <c r="O32" i="5"/>
  <c r="P32" i="5" s="1"/>
  <c r="Q32" i="5" s="1"/>
  <c r="M32" i="5"/>
  <c r="K32" i="5"/>
  <c r="L32" i="5" s="1"/>
  <c r="AJ61" i="5"/>
  <c r="AK61" i="5" s="1"/>
  <c r="AH61" i="5"/>
  <c r="AG61" i="5"/>
  <c r="U61" i="5"/>
  <c r="S61" i="5"/>
  <c r="O61" i="5"/>
  <c r="P61" i="5" s="1"/>
  <c r="Q61" i="5" s="1"/>
  <c r="M61" i="5"/>
  <c r="K61" i="5"/>
  <c r="L61" i="5" s="1"/>
  <c r="AL71" i="5"/>
  <c r="AK71" i="5"/>
  <c r="AH71" i="5"/>
  <c r="AG71" i="5"/>
  <c r="U71" i="5"/>
  <c r="S71" i="5"/>
  <c r="O71" i="5"/>
  <c r="P71" i="5" s="1"/>
  <c r="Q71" i="5" s="1"/>
  <c r="M71" i="5"/>
  <c r="K71" i="5"/>
  <c r="L71" i="5" s="1"/>
  <c r="AJ28" i="5"/>
  <c r="AH28" i="5"/>
  <c r="AG28" i="5"/>
  <c r="U28" i="5"/>
  <c r="S28" i="5"/>
  <c r="V28" i="5" s="1"/>
  <c r="O28" i="5"/>
  <c r="P28" i="5" s="1"/>
  <c r="Q28" i="5" s="1"/>
  <c r="M28" i="5"/>
  <c r="K28" i="5"/>
  <c r="L28" i="5" s="1"/>
  <c r="AJ22" i="5"/>
  <c r="AH22" i="5"/>
  <c r="AG22" i="5"/>
  <c r="U22" i="5"/>
  <c r="S22" i="5"/>
  <c r="V22" i="5" s="1"/>
  <c r="O22" i="5"/>
  <c r="P22" i="5" s="1"/>
  <c r="Q22" i="5" s="1"/>
  <c r="M22" i="5"/>
  <c r="K22" i="5"/>
  <c r="L22" i="5" s="1"/>
  <c r="AL34" i="5"/>
  <c r="AK34" i="5"/>
  <c r="AH34" i="5"/>
  <c r="AG34" i="5"/>
  <c r="U34" i="5"/>
  <c r="S34" i="5"/>
  <c r="V34" i="5" s="1"/>
  <c r="O34" i="5"/>
  <c r="P34" i="5" s="1"/>
  <c r="Q34" i="5" s="1"/>
  <c r="M34" i="5"/>
  <c r="K34" i="5"/>
  <c r="L34" i="5" s="1"/>
  <c r="AJ35" i="5"/>
  <c r="Y35" i="5" s="1"/>
  <c r="Z35" i="5" s="1"/>
  <c r="AH35" i="5"/>
  <c r="AG35" i="5"/>
  <c r="U35" i="5"/>
  <c r="S35" i="5"/>
  <c r="O35" i="5"/>
  <c r="P35" i="5" s="1"/>
  <c r="Q35" i="5" s="1"/>
  <c r="M35" i="5"/>
  <c r="K35" i="5"/>
  <c r="L35" i="5" s="1"/>
  <c r="AL33" i="5"/>
  <c r="AK33" i="5"/>
  <c r="AH33" i="5"/>
  <c r="AG33" i="5"/>
  <c r="U33" i="5"/>
  <c r="S33" i="5"/>
  <c r="O33" i="5"/>
  <c r="P33" i="5" s="1"/>
  <c r="Q33" i="5" s="1"/>
  <c r="M33" i="5"/>
  <c r="K33" i="5"/>
  <c r="L33" i="5" s="1"/>
  <c r="AJ64" i="5"/>
  <c r="AL64" i="5" s="1"/>
  <c r="AH64" i="5"/>
  <c r="AG64" i="5"/>
  <c r="U64" i="5"/>
  <c r="S64" i="5"/>
  <c r="O64" i="5"/>
  <c r="P64" i="5" s="1"/>
  <c r="Q64" i="5" s="1"/>
  <c r="M64" i="5"/>
  <c r="K64" i="5"/>
  <c r="L64" i="5" s="1"/>
  <c r="AL23" i="5"/>
  <c r="AK23" i="5"/>
  <c r="AH23" i="5"/>
  <c r="AG23" i="5"/>
  <c r="U23" i="5"/>
  <c r="S23" i="5"/>
  <c r="O23" i="5"/>
  <c r="P23" i="5" s="1"/>
  <c r="Q23" i="5" s="1"/>
  <c r="M23" i="5"/>
  <c r="K23" i="5"/>
  <c r="L23" i="5" s="1"/>
  <c r="AL25" i="5"/>
  <c r="AK25" i="5"/>
  <c r="AH25" i="5"/>
  <c r="AG25" i="5"/>
  <c r="U25" i="5"/>
  <c r="S25" i="5"/>
  <c r="V25" i="5" s="1"/>
  <c r="O25" i="5"/>
  <c r="P25" i="5" s="1"/>
  <c r="Q25" i="5" s="1"/>
  <c r="M25" i="5"/>
  <c r="K25" i="5"/>
  <c r="L25" i="5" s="1"/>
  <c r="AJ37" i="5"/>
  <c r="AH37" i="5"/>
  <c r="AG37" i="5"/>
  <c r="U37" i="5"/>
  <c r="S37" i="5"/>
  <c r="V37" i="5" s="1"/>
  <c r="O37" i="5"/>
  <c r="P37" i="5" s="1"/>
  <c r="Q37" i="5" s="1"/>
  <c r="M37" i="5"/>
  <c r="K37" i="5"/>
  <c r="L37" i="5" s="1"/>
  <c r="AJ38" i="5"/>
  <c r="AH38" i="5"/>
  <c r="AG38" i="5"/>
  <c r="U38" i="5"/>
  <c r="S38" i="5"/>
  <c r="V38" i="5" s="1"/>
  <c r="O38" i="5"/>
  <c r="P38" i="5" s="1"/>
  <c r="Q38" i="5" s="1"/>
  <c r="M38" i="5"/>
  <c r="K38" i="5"/>
  <c r="L38" i="5" s="1"/>
  <c r="AJ63" i="5"/>
  <c r="AH63" i="5"/>
  <c r="AG63" i="5"/>
  <c r="U63" i="5"/>
  <c r="S63" i="5"/>
  <c r="V63" i="5" s="1"/>
  <c r="O63" i="5"/>
  <c r="P63" i="5" s="1"/>
  <c r="Q63" i="5" s="1"/>
  <c r="M63" i="5"/>
  <c r="K63" i="5"/>
  <c r="L63" i="5" s="1"/>
  <c r="AJ59" i="5"/>
  <c r="AH59" i="5"/>
  <c r="AG59" i="5"/>
  <c r="U59" i="5"/>
  <c r="S59" i="5"/>
  <c r="V59" i="5" s="1"/>
  <c r="O59" i="5"/>
  <c r="P59" i="5" s="1"/>
  <c r="Q59" i="5" s="1"/>
  <c r="M59" i="5"/>
  <c r="K59" i="5"/>
  <c r="L59" i="5" s="1"/>
  <c r="AJ39" i="5"/>
  <c r="AH39" i="5"/>
  <c r="AG39" i="5"/>
  <c r="U39" i="5"/>
  <c r="S39" i="5"/>
  <c r="V39" i="5" s="1"/>
  <c r="O39" i="5"/>
  <c r="P39" i="5" s="1"/>
  <c r="Q39" i="5" s="1"/>
  <c r="M39" i="5"/>
  <c r="K39" i="5"/>
  <c r="L39" i="5" s="1"/>
  <c r="AJ21" i="5"/>
  <c r="Y21" i="5" s="1"/>
  <c r="AH21" i="5"/>
  <c r="AG21" i="5"/>
  <c r="U21" i="5"/>
  <c r="S21" i="5"/>
  <c r="O21" i="5"/>
  <c r="P21" i="5" s="1"/>
  <c r="Q21" i="5" s="1"/>
  <c r="M21" i="5"/>
  <c r="K21" i="5"/>
  <c r="L21" i="5" s="1"/>
  <c r="AJ35" i="1"/>
  <c r="AC78" i="1"/>
  <c r="AQ36" i="5" l="1"/>
  <c r="AQ30" i="5"/>
  <c r="AQ42" i="5"/>
  <c r="AQ66" i="5"/>
  <c r="AQ16" i="5"/>
  <c r="AQ19" i="5"/>
  <c r="AU72" i="5"/>
  <c r="AU73" i="5"/>
  <c r="AU57" i="5"/>
  <c r="AI7" i="5"/>
  <c r="AU68" i="5"/>
  <c r="W43" i="5"/>
  <c r="AA31" i="5"/>
  <c r="AB31" i="5" s="1"/>
  <c r="AA26" i="5"/>
  <c r="AB26" i="5" s="1"/>
  <c r="AA42" i="5"/>
  <c r="AB42" i="5" s="1"/>
  <c r="AA11" i="5"/>
  <c r="AB11" i="5" s="1"/>
  <c r="AA56" i="5"/>
  <c r="AB56" i="5" s="1"/>
  <c r="AA16" i="5"/>
  <c r="AB16" i="5" s="1"/>
  <c r="AI72" i="5"/>
  <c r="AM30" i="5"/>
  <c r="AU55" i="5"/>
  <c r="AA23" i="5"/>
  <c r="AB23" i="5" s="1"/>
  <c r="W49" i="5"/>
  <c r="AA4" i="5"/>
  <c r="AB4" i="5" s="1"/>
  <c r="W15" i="5"/>
  <c r="AA13" i="5"/>
  <c r="AB13" i="5" s="1"/>
  <c r="AA30" i="5"/>
  <c r="AB30" i="5" s="1"/>
  <c r="AQ39" i="5"/>
  <c r="AU44" i="5"/>
  <c r="AA71" i="5"/>
  <c r="AB71" i="5" s="1"/>
  <c r="W9" i="5"/>
  <c r="AI28" i="5"/>
  <c r="AA25" i="5"/>
  <c r="AB25" i="5" s="1"/>
  <c r="AA27" i="5"/>
  <c r="AB27" i="5" s="1"/>
  <c r="AA44" i="5"/>
  <c r="AB44" i="5" s="1"/>
  <c r="AA70" i="5"/>
  <c r="AB70" i="5" s="1"/>
  <c r="AA57" i="5"/>
  <c r="AB57" i="5" s="1"/>
  <c r="AA55" i="5"/>
  <c r="AB55" i="5" s="1"/>
  <c r="AA73" i="5"/>
  <c r="AB73" i="5" s="1"/>
  <c r="AQ46" i="5"/>
  <c r="AQ50" i="5"/>
  <c r="AQ20" i="5"/>
  <c r="AU28" i="5"/>
  <c r="AU22" i="5"/>
  <c r="AU5" i="5"/>
  <c r="AU69" i="5"/>
  <c r="AU27" i="5"/>
  <c r="AI22" i="5"/>
  <c r="AI29" i="5"/>
  <c r="W59" i="5"/>
  <c r="W63" i="5"/>
  <c r="AA60" i="5"/>
  <c r="AB60" i="5" s="1"/>
  <c r="AI54" i="5"/>
  <c r="AA12" i="5"/>
  <c r="AB12" i="5" s="1"/>
  <c r="AA74" i="5"/>
  <c r="AB74" i="5" s="1"/>
  <c r="AA49" i="5"/>
  <c r="AB49" i="5" s="1"/>
  <c r="AI15" i="5"/>
  <c r="W13" i="5"/>
  <c r="AA43" i="5"/>
  <c r="AB43" i="5" s="1"/>
  <c r="AU65" i="5"/>
  <c r="AU62" i="5"/>
  <c r="AU60" i="5"/>
  <c r="AU58" i="5"/>
  <c r="AM73" i="5"/>
  <c r="Z73" i="5" s="1"/>
  <c r="AU52" i="5"/>
  <c r="AU48" i="5"/>
  <c r="AU46" i="5"/>
  <c r="AU40" i="5"/>
  <c r="AU38" i="5"/>
  <c r="AU36" i="5"/>
  <c r="AU34" i="5"/>
  <c r="AU16" i="5"/>
  <c r="AU12" i="5"/>
  <c r="AU8" i="5"/>
  <c r="AU29" i="5"/>
  <c r="AI37" i="5"/>
  <c r="AI61" i="5"/>
  <c r="AI36" i="5"/>
  <c r="AA72" i="5"/>
  <c r="AB72" i="5" s="1"/>
  <c r="AI6" i="5"/>
  <c r="AM8" i="5"/>
  <c r="AM16" i="5"/>
  <c r="AI17" i="5"/>
  <c r="AQ35" i="5"/>
  <c r="AQ37" i="5"/>
  <c r="AU51" i="5"/>
  <c r="AU49" i="5"/>
  <c r="AU47" i="5"/>
  <c r="AU45" i="5"/>
  <c r="AU37" i="5"/>
  <c r="AU35" i="5"/>
  <c r="AU30" i="5"/>
  <c r="AU25" i="5"/>
  <c r="AU23" i="5"/>
  <c r="AU17" i="5"/>
  <c r="AU15" i="5"/>
  <c r="AU13" i="5"/>
  <c r="AU9" i="5"/>
  <c r="AA15" i="5"/>
  <c r="AB15" i="5" s="1"/>
  <c r="AI66" i="5"/>
  <c r="AI21" i="5"/>
  <c r="AI39" i="5"/>
  <c r="AI59" i="5"/>
  <c r="AI64" i="5"/>
  <c r="W22" i="5"/>
  <c r="AI62" i="5"/>
  <c r="AI58" i="5"/>
  <c r="AI46" i="5"/>
  <c r="AK6" i="5"/>
  <c r="AA6" i="5" s="1"/>
  <c r="AB6" i="5" s="1"/>
  <c r="AI69" i="5"/>
  <c r="AI68" i="5"/>
  <c r="AM56" i="5"/>
  <c r="AC14" i="5"/>
  <c r="AD14" i="5" s="1"/>
  <c r="AC30" i="5"/>
  <c r="AD30" i="5" s="1"/>
  <c r="AO59" i="5"/>
  <c r="AQ59" i="5" s="1"/>
  <c r="AO41" i="5"/>
  <c r="AQ41" i="5" s="1"/>
  <c r="AO8" i="5"/>
  <c r="AQ8" i="5" s="1"/>
  <c r="AU67" i="5"/>
  <c r="AU53" i="5"/>
  <c r="AC55" i="5"/>
  <c r="AD55" i="5" s="1"/>
  <c r="AC73" i="5"/>
  <c r="AD73" i="5" s="1"/>
  <c r="AQ38" i="5"/>
  <c r="AQ22" i="5"/>
  <c r="AQ31" i="5"/>
  <c r="AQ60" i="5"/>
  <c r="AQ45" i="5"/>
  <c r="AQ51" i="5"/>
  <c r="AQ6" i="5"/>
  <c r="AQ9" i="5"/>
  <c r="AQ65" i="5"/>
  <c r="AQ69" i="5"/>
  <c r="AQ40" i="5"/>
  <c r="AU42" i="5"/>
  <c r="AU33" i="5"/>
  <c r="AU14" i="5"/>
  <c r="AU10" i="5"/>
  <c r="AC25" i="5"/>
  <c r="AD25" i="5" s="1"/>
  <c r="AI35" i="5"/>
  <c r="AI34" i="5"/>
  <c r="AC60" i="5"/>
  <c r="AD60" i="5" s="1"/>
  <c r="AM26" i="5"/>
  <c r="AK46" i="5"/>
  <c r="AA46" i="5" s="1"/>
  <c r="AB46" i="5" s="1"/>
  <c r="W41" i="5"/>
  <c r="AK51" i="5"/>
  <c r="AA51" i="5" s="1"/>
  <c r="AB51" i="5" s="1"/>
  <c r="AI9" i="5"/>
  <c r="AI10" i="5"/>
  <c r="AI65" i="5"/>
  <c r="AM47" i="5"/>
  <c r="AI40" i="5"/>
  <c r="W57" i="5"/>
  <c r="AI49" i="5"/>
  <c r="AC48" i="5"/>
  <c r="AD48" i="5" s="1"/>
  <c r="AM4" i="5"/>
  <c r="W55" i="5"/>
  <c r="AO63" i="5"/>
  <c r="AQ63" i="5" s="1"/>
  <c r="AO33" i="5"/>
  <c r="AQ33" i="5" s="1"/>
  <c r="AO34" i="5"/>
  <c r="AQ34" i="5" s="1"/>
  <c r="AO28" i="5"/>
  <c r="AQ28" i="5" s="1"/>
  <c r="AO61" i="5"/>
  <c r="AQ61" i="5" s="1"/>
  <c r="AO29" i="5"/>
  <c r="AQ29" i="5" s="1"/>
  <c r="AO24" i="5"/>
  <c r="AQ24" i="5" s="1"/>
  <c r="AQ27" i="5"/>
  <c r="AO53" i="5"/>
  <c r="AQ52" i="5"/>
  <c r="AO7" i="5"/>
  <c r="AA7" i="5" s="1"/>
  <c r="AB7" i="5" s="1"/>
  <c r="AO5" i="5"/>
  <c r="AA5" i="5" s="1"/>
  <c r="AQ11" i="5"/>
  <c r="AQ67" i="5"/>
  <c r="AO47" i="5"/>
  <c r="AQ47" i="5" s="1"/>
  <c r="AQ57" i="5"/>
  <c r="AO48" i="5"/>
  <c r="AQ48" i="5" s="1"/>
  <c r="AQ14" i="5"/>
  <c r="AQ17" i="5"/>
  <c r="AQ72" i="5"/>
  <c r="AQ43" i="5"/>
  <c r="AT64" i="5"/>
  <c r="AU64" i="5" s="1"/>
  <c r="AU56" i="5"/>
  <c r="AU54" i="5"/>
  <c r="AS32" i="5"/>
  <c r="AU32" i="5" s="1"/>
  <c r="AU26" i="5"/>
  <c r="AS20" i="5"/>
  <c r="AU20" i="5" s="1"/>
  <c r="AU7" i="5"/>
  <c r="Y5" i="5"/>
  <c r="Y34" i="5"/>
  <c r="Z34" i="5" s="1"/>
  <c r="AN77" i="5"/>
  <c r="AP7" i="5"/>
  <c r="AQ18" i="5"/>
  <c r="AU74" i="5"/>
  <c r="AU71" i="5"/>
  <c r="AU63" i="5"/>
  <c r="AU61" i="5"/>
  <c r="AU59" i="5"/>
  <c r="AU50" i="5"/>
  <c r="AU43" i="5"/>
  <c r="AU41" i="5"/>
  <c r="AU31" i="5"/>
  <c r="AU19" i="5"/>
  <c r="AU4" i="5"/>
  <c r="AU70" i="5"/>
  <c r="AU21" i="5"/>
  <c r="AU6" i="5"/>
  <c r="AT18" i="5"/>
  <c r="AU18" i="5" s="1"/>
  <c r="AU11" i="5"/>
  <c r="AU39" i="5"/>
  <c r="AU66" i="5"/>
  <c r="AU24" i="5"/>
  <c r="AC31" i="5"/>
  <c r="AD31" i="5" s="1"/>
  <c r="AQ70" i="5"/>
  <c r="AM70" i="5"/>
  <c r="AI70" i="5"/>
  <c r="AC33" i="5"/>
  <c r="AD33" i="5" s="1"/>
  <c r="AI32" i="5"/>
  <c r="AI24" i="5"/>
  <c r="AI41" i="5"/>
  <c r="AI42" i="5"/>
  <c r="AI53" i="5"/>
  <c r="AI52" i="5"/>
  <c r="AI51" i="5"/>
  <c r="AI74" i="5"/>
  <c r="AM15" i="5"/>
  <c r="AM13" i="5"/>
  <c r="AI63" i="5"/>
  <c r="AI38" i="5"/>
  <c r="AI23" i="5"/>
  <c r="AC27" i="5"/>
  <c r="AD27" i="5" s="1"/>
  <c r="AI13" i="5"/>
  <c r="AQ25" i="5"/>
  <c r="AQ64" i="5"/>
  <c r="AQ62" i="5"/>
  <c r="AQ26" i="5"/>
  <c r="AQ53" i="5"/>
  <c r="AQ12" i="5"/>
  <c r="AQ74" i="5"/>
  <c r="AQ56" i="5"/>
  <c r="AQ49" i="5"/>
  <c r="W62" i="5"/>
  <c r="AI26" i="5"/>
  <c r="AI45" i="5"/>
  <c r="AC44" i="5"/>
  <c r="AD44" i="5" s="1"/>
  <c r="AI50" i="5"/>
  <c r="AI8" i="5"/>
  <c r="AI11" i="5"/>
  <c r="AI67" i="5"/>
  <c r="AC47" i="5"/>
  <c r="AD47" i="5" s="1"/>
  <c r="AM74" i="5"/>
  <c r="Z74" i="5" s="1"/>
  <c r="AM57" i="5"/>
  <c r="AM72" i="5"/>
  <c r="AM43" i="5"/>
  <c r="AI60" i="5"/>
  <c r="AQ4" i="5"/>
  <c r="AQ15" i="5"/>
  <c r="AQ73" i="5"/>
  <c r="AM23" i="5"/>
  <c r="AI5" i="5"/>
  <c r="AM12" i="5"/>
  <c r="W47" i="5"/>
  <c r="AQ21" i="5"/>
  <c r="AQ23" i="5"/>
  <c r="AQ71" i="5"/>
  <c r="AQ32" i="5"/>
  <c r="AQ58" i="5"/>
  <c r="AQ44" i="5"/>
  <c r="AQ54" i="5"/>
  <c r="AQ10" i="5"/>
  <c r="AQ68" i="5"/>
  <c r="AQ55" i="5"/>
  <c r="AQ13" i="5"/>
  <c r="W8" i="6"/>
  <c r="AH10" i="6"/>
  <c r="AH14" i="6"/>
  <c r="W31" i="6"/>
  <c r="AH4" i="6"/>
  <c r="W45" i="6"/>
  <c r="AA46" i="6"/>
  <c r="W50" i="6"/>
  <c r="W44" i="6"/>
  <c r="AH59" i="6"/>
  <c r="AL35" i="6"/>
  <c r="AQ38" i="6"/>
  <c r="AQ54" i="6"/>
  <c r="AQ25" i="6"/>
  <c r="W46" i="6"/>
  <c r="AH51" i="6"/>
  <c r="Y4" i="6"/>
  <c r="Z4" i="6" s="1"/>
  <c r="AQ22" i="6"/>
  <c r="AL19" i="6"/>
  <c r="Y21" i="6"/>
  <c r="Z21" i="6" s="1"/>
  <c r="AJ21" i="6"/>
  <c r="AL21" i="6" s="1"/>
  <c r="Y9" i="6"/>
  <c r="Z9" i="6" s="1"/>
  <c r="AQ19" i="6"/>
  <c r="W25" i="6"/>
  <c r="AL46" i="6"/>
  <c r="AL60" i="6"/>
  <c r="W11" i="6"/>
  <c r="AH12" i="6"/>
  <c r="AH44" i="6"/>
  <c r="AQ15" i="6"/>
  <c r="AN21" i="6"/>
  <c r="AH22" i="6"/>
  <c r="AK27" i="6"/>
  <c r="AL27" i="6" s="1"/>
  <c r="AL30" i="6"/>
  <c r="Y39" i="6"/>
  <c r="Z39" i="6" s="1"/>
  <c r="AK39" i="6"/>
  <c r="AL39" i="6" s="1"/>
  <c r="AQ40" i="6"/>
  <c r="AB41" i="6"/>
  <c r="AC41" i="6" s="1"/>
  <c r="AQ46" i="6"/>
  <c r="AJ4" i="6"/>
  <c r="AL4" i="6" s="1"/>
  <c r="AJ6" i="6"/>
  <c r="AL6" i="6" s="1"/>
  <c r="AP18" i="6"/>
  <c r="AQ18" i="6" s="1"/>
  <c r="AP4" i="6"/>
  <c r="AQ4" i="6" s="1"/>
  <c r="AN6" i="6"/>
  <c r="AQ6" i="6" s="1"/>
  <c r="AH7" i="6"/>
  <c r="AH8" i="6"/>
  <c r="AJ50" i="6"/>
  <c r="AA50" i="6" s="1"/>
  <c r="W7" i="6"/>
  <c r="AB20" i="6"/>
  <c r="AQ20" i="6"/>
  <c r="AH21" i="6"/>
  <c r="AH23" i="6"/>
  <c r="AH31" i="6"/>
  <c r="AH38" i="6"/>
  <c r="AN45" i="6"/>
  <c r="AA45" i="6" s="1"/>
  <c r="W56" i="6"/>
  <c r="AQ58" i="6"/>
  <c r="AH5" i="6"/>
  <c r="AP7" i="6"/>
  <c r="AQ7" i="6" s="1"/>
  <c r="Y17" i="6"/>
  <c r="Z17" i="6" s="1"/>
  <c r="AH18" i="6"/>
  <c r="AL20" i="6"/>
  <c r="AB21" i="6"/>
  <c r="AC21" i="6" s="1"/>
  <c r="W22" i="6"/>
  <c r="AQ27" i="6"/>
  <c r="AH28" i="6"/>
  <c r="W29" i="6"/>
  <c r="AH30" i="6"/>
  <c r="AH40" i="6"/>
  <c r="AH42" i="6"/>
  <c r="AQ44" i="6"/>
  <c r="W49" i="6"/>
  <c r="AK50" i="6"/>
  <c r="AL51" i="6"/>
  <c r="W52" i="6"/>
  <c r="AH58" i="6"/>
  <c r="AN17" i="6"/>
  <c r="AQ17" i="6" s="1"/>
  <c r="AL15" i="6"/>
  <c r="AJ17" i="6"/>
  <c r="AL17" i="6" s="1"/>
  <c r="AJ18" i="6"/>
  <c r="AL18" i="6" s="1"/>
  <c r="Y32" i="6"/>
  <c r="Z32" i="6" s="1"/>
  <c r="AQ39" i="6"/>
  <c r="AH43" i="6"/>
  <c r="AP45" i="6"/>
  <c r="AB45" i="6" s="1"/>
  <c r="AC45" i="6" s="1"/>
  <c r="AH55" i="6"/>
  <c r="W60" i="6"/>
  <c r="W9" i="6"/>
  <c r="AH9" i="6"/>
  <c r="AN9" i="6"/>
  <c r="AQ9" i="6" s="1"/>
  <c r="AP11" i="6"/>
  <c r="AB11" i="6" s="1"/>
  <c r="AC11" i="6" s="1"/>
  <c r="W17" i="6"/>
  <c r="AH17" i="6"/>
  <c r="W20" i="6"/>
  <c r="W24" i="6"/>
  <c r="AQ24" i="6"/>
  <c r="W30" i="6"/>
  <c r="AP31" i="6"/>
  <c r="AQ31" i="6" s="1"/>
  <c r="Y37" i="6"/>
  <c r="Z37" i="6" s="1"/>
  <c r="AK37" i="6"/>
  <c r="AL37" i="6" s="1"/>
  <c r="AA39" i="6"/>
  <c r="AA40" i="6"/>
  <c r="AL41" i="6"/>
  <c r="AQ42" i="6"/>
  <c r="W43" i="6"/>
  <c r="AH47" i="6"/>
  <c r="AL49" i="6"/>
  <c r="AQ53" i="6"/>
  <c r="AH57" i="6"/>
  <c r="W58" i="6"/>
  <c r="O60" i="6"/>
  <c r="P60" i="6" s="1"/>
  <c r="Q60" i="6" s="1"/>
  <c r="W6" i="6"/>
  <c r="AL9" i="6"/>
  <c r="W12" i="6"/>
  <c r="W15" i="6"/>
  <c r="AA27" i="6"/>
  <c r="W32" i="6"/>
  <c r="W35" i="6"/>
  <c r="AB56" i="6"/>
  <c r="AL59" i="6"/>
  <c r="AB12" i="6"/>
  <c r="AC12" i="6" s="1"/>
  <c r="AB8" i="6"/>
  <c r="AC8" i="6" s="1"/>
  <c r="Y5" i="6"/>
  <c r="Z5" i="6" s="1"/>
  <c r="AK7" i="6"/>
  <c r="AB7" i="6" s="1"/>
  <c r="AC7" i="6" s="1"/>
  <c r="AJ8" i="6"/>
  <c r="AN8" i="6"/>
  <c r="AQ8" i="6" s="1"/>
  <c r="W10" i="6"/>
  <c r="AJ10" i="6"/>
  <c r="AA10" i="6" s="1"/>
  <c r="AQ10" i="6"/>
  <c r="Y11" i="6"/>
  <c r="Z11" i="6" s="1"/>
  <c r="AL11" i="6"/>
  <c r="AJ12" i="6"/>
  <c r="AL12" i="6" s="1"/>
  <c r="AN12" i="6"/>
  <c r="AQ12" i="6" s="1"/>
  <c r="AH13" i="6"/>
  <c r="AN13" i="6"/>
  <c r="AA13" i="6" s="1"/>
  <c r="Y14" i="6"/>
  <c r="Z14" i="6" s="1"/>
  <c r="W18" i="6"/>
  <c r="W19" i="6"/>
  <c r="AH19" i="6"/>
  <c r="AK22" i="6"/>
  <c r="AH33" i="6"/>
  <c r="AA36" i="6"/>
  <c r="AQ48" i="6"/>
  <c r="AA52" i="6"/>
  <c r="AQ52" i="6"/>
  <c r="Y54" i="6"/>
  <c r="Z54" i="6" s="1"/>
  <c r="AK54" i="6"/>
  <c r="AB54" i="6" s="1"/>
  <c r="AC54" i="6" s="1"/>
  <c r="AJ54" i="6"/>
  <c r="AA54" i="6" s="1"/>
  <c r="AQ56" i="6"/>
  <c r="AQ57" i="6"/>
  <c r="S61" i="6"/>
  <c r="Y6" i="6"/>
  <c r="Z6" i="6" s="1"/>
  <c r="Y8" i="6"/>
  <c r="Z8" i="6" s="1"/>
  <c r="AK10" i="6"/>
  <c r="AH11" i="6"/>
  <c r="AA11" i="6"/>
  <c r="Y12" i="6"/>
  <c r="Z12" i="6" s="1"/>
  <c r="Y13" i="6"/>
  <c r="Z13" i="6" s="1"/>
  <c r="AL13" i="6"/>
  <c r="AA19" i="6"/>
  <c r="V21" i="6"/>
  <c r="W21" i="6" s="1"/>
  <c r="AL24" i="6"/>
  <c r="AA25" i="6"/>
  <c r="AQ26" i="6"/>
  <c r="AK29" i="6"/>
  <c r="AB29" i="6" s="1"/>
  <c r="AC29" i="6" s="1"/>
  <c r="AJ29" i="6"/>
  <c r="Y29" i="6"/>
  <c r="Z29" i="6" s="1"/>
  <c r="AJ32" i="6"/>
  <c r="AP34" i="6"/>
  <c r="AB34" i="6" s="1"/>
  <c r="AC34" i="6" s="1"/>
  <c r="Y34" i="6"/>
  <c r="Z34" i="6" s="1"/>
  <c r="AN34" i="6"/>
  <c r="AA34" i="6" s="1"/>
  <c r="AA37" i="6"/>
  <c r="AH37" i="6"/>
  <c r="AQ37" i="6"/>
  <c r="AH41" i="6"/>
  <c r="AP51" i="6"/>
  <c r="AB51" i="6" s="1"/>
  <c r="AC51" i="6" s="1"/>
  <c r="Y51" i="6"/>
  <c r="Z51" i="6" s="1"/>
  <c r="W54" i="6"/>
  <c r="AL56" i="6"/>
  <c r="AH24" i="6"/>
  <c r="AB24" i="6"/>
  <c r="AC24" i="6" s="1"/>
  <c r="AH6" i="6"/>
  <c r="AH15" i="6"/>
  <c r="AJ31" i="6"/>
  <c r="AA31" i="6" s="1"/>
  <c r="AK31" i="6"/>
  <c r="W34" i="6"/>
  <c r="AP36" i="6"/>
  <c r="AQ36" i="6" s="1"/>
  <c r="Y36" i="6"/>
  <c r="Z36" i="6" s="1"/>
  <c r="AH39" i="6"/>
  <c r="AK58" i="6"/>
  <c r="Y58" i="6"/>
  <c r="Z58" i="6" s="1"/>
  <c r="AJ58" i="6"/>
  <c r="AA58" i="6" s="1"/>
  <c r="AH16" i="6"/>
  <c r="AA20" i="6"/>
  <c r="AH20" i="6"/>
  <c r="AH26" i="6"/>
  <c r="AH27" i="6"/>
  <c r="AH32" i="6"/>
  <c r="AH34" i="6"/>
  <c r="AH35" i="6"/>
  <c r="AH48" i="6"/>
  <c r="AA56" i="6"/>
  <c r="Y16" i="6"/>
  <c r="Z16" i="6" s="1"/>
  <c r="AA22" i="6"/>
  <c r="AQ23" i="6"/>
  <c r="AA24" i="6"/>
  <c r="AH25" i="6"/>
  <c r="W27" i="6"/>
  <c r="AH29" i="6"/>
  <c r="AQ43" i="6"/>
  <c r="AQ50" i="6"/>
  <c r="AL52" i="6"/>
  <c r="AA53" i="6"/>
  <c r="AH53" i="6"/>
  <c r="W55" i="6"/>
  <c r="AQ55" i="6"/>
  <c r="AC56" i="6"/>
  <c r="AA59" i="6"/>
  <c r="AA60" i="6"/>
  <c r="AB6" i="6"/>
  <c r="AC6" i="6" s="1"/>
  <c r="AA7" i="6"/>
  <c r="AB17" i="6"/>
  <c r="AC17" i="6" s="1"/>
  <c r="AB13" i="6"/>
  <c r="AC13" i="6" s="1"/>
  <c r="AB9" i="6"/>
  <c r="AC9" i="6" s="1"/>
  <c r="AL25" i="6"/>
  <c r="AB25" i="6"/>
  <c r="AC25" i="6" s="1"/>
  <c r="AQ30" i="6"/>
  <c r="AA30" i="6"/>
  <c r="V37" i="6"/>
  <c r="W37" i="6" s="1"/>
  <c r="V41" i="6"/>
  <c r="W41" i="6" s="1"/>
  <c r="AL45" i="6"/>
  <c r="Y48" i="6"/>
  <c r="Z48" i="6" s="1"/>
  <c r="AK48" i="6"/>
  <c r="AJ48" i="6"/>
  <c r="AA48" i="6" s="1"/>
  <c r="AA15" i="6"/>
  <c r="U61" i="6"/>
  <c r="AI61" i="6"/>
  <c r="AI63" i="6" s="1"/>
  <c r="AM63" i="6"/>
  <c r="V5" i="6"/>
  <c r="W5" i="6" s="1"/>
  <c r="AJ5" i="6"/>
  <c r="AN5" i="6"/>
  <c r="AQ5" i="6" s="1"/>
  <c r="Y7" i="6"/>
  <c r="Z7" i="6" s="1"/>
  <c r="V13" i="6"/>
  <c r="W13" i="6" s="1"/>
  <c r="V14" i="6"/>
  <c r="W14" i="6" s="1"/>
  <c r="AJ14" i="6"/>
  <c r="AN14" i="6"/>
  <c r="AQ14" i="6" s="1"/>
  <c r="AB15" i="6"/>
  <c r="AC15" i="6" s="1"/>
  <c r="V16" i="6"/>
  <c r="W16" i="6" s="1"/>
  <c r="AJ16" i="6"/>
  <c r="AN16" i="6"/>
  <c r="AQ16" i="6" s="1"/>
  <c r="AB19" i="6"/>
  <c r="AC19" i="6" s="1"/>
  <c r="AC20" i="6"/>
  <c r="W23" i="6"/>
  <c r="W26" i="6"/>
  <c r="Y28" i="6"/>
  <c r="Z28" i="6" s="1"/>
  <c r="AK28" i="6"/>
  <c r="AJ28" i="6"/>
  <c r="AQ32" i="6"/>
  <c r="AB32" i="6"/>
  <c r="AC32" i="6" s="1"/>
  <c r="AA38" i="6"/>
  <c r="AA42" i="6"/>
  <c r="AF61" i="6"/>
  <c r="AF63" i="6" s="1"/>
  <c r="AH63" i="6" s="1"/>
  <c r="AK14" i="6"/>
  <c r="AK16" i="6"/>
  <c r="AP28" i="6"/>
  <c r="AN28" i="6"/>
  <c r="AQ29" i="6"/>
  <c r="AK33" i="6"/>
  <c r="AJ33" i="6"/>
  <c r="Y33" i="6"/>
  <c r="Z33" i="6" s="1"/>
  <c r="V39" i="6"/>
  <c r="W39" i="6" s="1"/>
  <c r="V4" i="6"/>
  <c r="W4" i="6" s="1"/>
  <c r="AK5" i="6"/>
  <c r="AG61" i="6"/>
  <c r="AB10" i="6"/>
  <c r="AC10" i="6" s="1"/>
  <c r="Y18" i="6"/>
  <c r="Z18" i="6" s="1"/>
  <c r="Y23" i="6"/>
  <c r="Z23" i="6" s="1"/>
  <c r="AK23" i="6"/>
  <c r="AJ23" i="6"/>
  <c r="AA23" i="6" s="1"/>
  <c r="Y26" i="6"/>
  <c r="Z26" i="6" s="1"/>
  <c r="AK26" i="6"/>
  <c r="AJ26" i="6"/>
  <c r="AA26" i="6" s="1"/>
  <c r="W28" i="6"/>
  <c r="AH52" i="6"/>
  <c r="AB52" i="6"/>
  <c r="AC52" i="6" s="1"/>
  <c r="Y22" i="6"/>
  <c r="Z22" i="6" s="1"/>
  <c r="Y27" i="6"/>
  <c r="Z27" i="6" s="1"/>
  <c r="Y31" i="6"/>
  <c r="Z31" i="6" s="1"/>
  <c r="AH36" i="6"/>
  <c r="W38" i="6"/>
  <c r="W40" i="6"/>
  <c r="AA41" i="6"/>
  <c r="AQ41" i="6"/>
  <c r="AJ43" i="6"/>
  <c r="AA43" i="6" s="1"/>
  <c r="AK43" i="6"/>
  <c r="AJ44" i="6"/>
  <c r="AA44" i="6" s="1"/>
  <c r="AK44" i="6"/>
  <c r="AH46" i="6"/>
  <c r="AB46" i="6"/>
  <c r="AC46" i="6" s="1"/>
  <c r="AH49" i="6"/>
  <c r="AB49" i="6"/>
  <c r="AC49" i="6" s="1"/>
  <c r="W51" i="6"/>
  <c r="AP33" i="6"/>
  <c r="AN33" i="6"/>
  <c r="AL34" i="6"/>
  <c r="O46" i="6"/>
  <c r="P46" i="6" s="1"/>
  <c r="Q46" i="6" s="1"/>
  <c r="AK47" i="6"/>
  <c r="AJ47" i="6"/>
  <c r="Y47" i="6"/>
  <c r="Z47" i="6" s="1"/>
  <c r="AA51" i="6"/>
  <c r="Y57" i="6"/>
  <c r="Z57" i="6" s="1"/>
  <c r="AK57" i="6"/>
  <c r="AJ57" i="6"/>
  <c r="AA57" i="6" s="1"/>
  <c r="AB59" i="6"/>
  <c r="AC59" i="6" s="1"/>
  <c r="AQ59" i="6"/>
  <c r="AB30" i="6"/>
  <c r="AC30" i="6" s="1"/>
  <c r="W33" i="6"/>
  <c r="AP35" i="6"/>
  <c r="AN35" i="6"/>
  <c r="AA35" i="6" s="1"/>
  <c r="W36" i="6"/>
  <c r="AL36" i="6"/>
  <c r="Y38" i="6"/>
  <c r="Z38" i="6" s="1"/>
  <c r="AK38" i="6"/>
  <c r="Y40" i="6"/>
  <c r="Z40" i="6" s="1"/>
  <c r="AK40" i="6"/>
  <c r="V42" i="6"/>
  <c r="W42" i="6" s="1"/>
  <c r="AL42" i="6"/>
  <c r="AB42" i="6"/>
  <c r="AC42" i="6" s="1"/>
  <c r="Y43" i="6"/>
  <c r="Z43" i="6" s="1"/>
  <c r="Y44" i="6"/>
  <c r="Z44" i="6" s="1"/>
  <c r="W47" i="6"/>
  <c r="AH50" i="6"/>
  <c r="W53" i="6"/>
  <c r="AL53" i="6"/>
  <c r="AB53" i="6"/>
  <c r="AC53" i="6" s="1"/>
  <c r="W59" i="6"/>
  <c r="AH60" i="6"/>
  <c r="AB60" i="6"/>
  <c r="AC60" i="6" s="1"/>
  <c r="AH56" i="6"/>
  <c r="AH45" i="6"/>
  <c r="AP47" i="6"/>
  <c r="AN47" i="6"/>
  <c r="W48" i="6"/>
  <c r="AA49" i="6"/>
  <c r="AQ49" i="6"/>
  <c r="AH54" i="6"/>
  <c r="AK55" i="6"/>
  <c r="AJ55" i="6"/>
  <c r="AA55" i="6" s="1"/>
  <c r="W57" i="6"/>
  <c r="O59" i="6"/>
  <c r="P59" i="6" s="1"/>
  <c r="Q59" i="6" s="1"/>
  <c r="AC12" i="5"/>
  <c r="AD12" i="5" s="1"/>
  <c r="AM60" i="5"/>
  <c r="AC26" i="5"/>
  <c r="AD26" i="5" s="1"/>
  <c r="AL46" i="5"/>
  <c r="AC46" i="5" s="1"/>
  <c r="AD46" i="5" s="1"/>
  <c r="AM44" i="5"/>
  <c r="AK50" i="5"/>
  <c r="AA50" i="5" s="1"/>
  <c r="AB50" i="5" s="1"/>
  <c r="AC6" i="5"/>
  <c r="AD6" i="5" s="1"/>
  <c r="W8" i="5"/>
  <c r="AK40" i="5"/>
  <c r="AA40" i="5" s="1"/>
  <c r="AB40" i="5" s="1"/>
  <c r="AC20" i="5"/>
  <c r="AD20" i="5" s="1"/>
  <c r="AC57" i="5"/>
  <c r="AD57" i="5" s="1"/>
  <c r="AM48" i="5"/>
  <c r="AM55" i="5"/>
  <c r="Z55" i="5" s="1"/>
  <c r="AC15" i="5"/>
  <c r="AD15" i="5" s="1"/>
  <c r="AC13" i="5"/>
  <c r="AD13" i="5" s="1"/>
  <c r="AI73" i="5"/>
  <c r="AI18" i="5"/>
  <c r="AI55" i="5"/>
  <c r="AI57" i="5"/>
  <c r="AI12" i="5"/>
  <c r="W39" i="5"/>
  <c r="W38" i="5"/>
  <c r="W37" i="5"/>
  <c r="AC23" i="5"/>
  <c r="AD23" i="5" s="1"/>
  <c r="AL35" i="5"/>
  <c r="AC35" i="5" s="1"/>
  <c r="AD35" i="5" s="1"/>
  <c r="W34" i="5"/>
  <c r="AC34" i="5"/>
  <c r="AD34" i="5" s="1"/>
  <c r="AC71" i="5"/>
  <c r="AD71" i="5" s="1"/>
  <c r="AM31" i="5"/>
  <c r="W26" i="5"/>
  <c r="W54" i="5"/>
  <c r="AL50" i="5"/>
  <c r="AC50" i="5" s="1"/>
  <c r="AD50" i="5" s="1"/>
  <c r="AC5" i="5"/>
  <c r="AD5" i="5" s="1"/>
  <c r="W69" i="5"/>
  <c r="AC67" i="5"/>
  <c r="AD67" i="5" s="1"/>
  <c r="AC74" i="5"/>
  <c r="AD74" i="5" s="1"/>
  <c r="AC56" i="5"/>
  <c r="AD56" i="5" s="1"/>
  <c r="AC4" i="5"/>
  <c r="AC16" i="5"/>
  <c r="AD16" i="5" s="1"/>
  <c r="AC19" i="5"/>
  <c r="AD19" i="5" s="1"/>
  <c r="AC72" i="5"/>
  <c r="AD72" i="5" s="1"/>
  <c r="AC43" i="5"/>
  <c r="AD43" i="5" s="1"/>
  <c r="AI43" i="5"/>
  <c r="AI14" i="5"/>
  <c r="AI4" i="5"/>
  <c r="AI56" i="5"/>
  <c r="AI44" i="5"/>
  <c r="AI31" i="5"/>
  <c r="AI71" i="5"/>
  <c r="AI25" i="5"/>
  <c r="W46" i="5"/>
  <c r="AC68" i="5"/>
  <c r="AD68" i="5" s="1"/>
  <c r="AC40" i="5"/>
  <c r="AD40" i="5" s="1"/>
  <c r="W19" i="5"/>
  <c r="AC17" i="5"/>
  <c r="AD17" i="5" s="1"/>
  <c r="AI30" i="5"/>
  <c r="AI19" i="5"/>
  <c r="AI16" i="5"/>
  <c r="AI48" i="5"/>
  <c r="AI20" i="5"/>
  <c r="AI47" i="5"/>
  <c r="AI27" i="5"/>
  <c r="AI33" i="5"/>
  <c r="AL59" i="5"/>
  <c r="AC59" i="5" s="1"/>
  <c r="AD59" i="5" s="1"/>
  <c r="Y59" i="5"/>
  <c r="Z59" i="5" s="1"/>
  <c r="AL28" i="5"/>
  <c r="Y28" i="5"/>
  <c r="Z28" i="5" s="1"/>
  <c r="AL61" i="5"/>
  <c r="AM61" i="5" s="1"/>
  <c r="Y61" i="5"/>
  <c r="Z61" i="5" s="1"/>
  <c r="W24" i="5"/>
  <c r="W58" i="5"/>
  <c r="AM27" i="5"/>
  <c r="AC45" i="5"/>
  <c r="AD45" i="5" s="1"/>
  <c r="AK53" i="5"/>
  <c r="AL53" i="5"/>
  <c r="AC53" i="5" s="1"/>
  <c r="AD53" i="5" s="1"/>
  <c r="Y53" i="5"/>
  <c r="Z53" i="5" s="1"/>
  <c r="Y52" i="5"/>
  <c r="Z52" i="5" s="1"/>
  <c r="AL52" i="5"/>
  <c r="AK52" i="5"/>
  <c r="AA52" i="5" s="1"/>
  <c r="AB52" i="5" s="1"/>
  <c r="AM5" i="5"/>
  <c r="AL58" i="5"/>
  <c r="AC58" i="5" s="1"/>
  <c r="AD58" i="5" s="1"/>
  <c r="Y58" i="5"/>
  <c r="Z58" i="5" s="1"/>
  <c r="AL39" i="5"/>
  <c r="AC39" i="5" s="1"/>
  <c r="AD39" i="5" s="1"/>
  <c r="Y39" i="5"/>
  <c r="Z39" i="5" s="1"/>
  <c r="AL37" i="5"/>
  <c r="Y37" i="5"/>
  <c r="Z37" i="5" s="1"/>
  <c r="W25" i="5"/>
  <c r="V35" i="5"/>
  <c r="W35" i="5" s="1"/>
  <c r="AL22" i="5"/>
  <c r="Y22" i="5"/>
  <c r="Z22" i="5" s="1"/>
  <c r="W28" i="5"/>
  <c r="AL29" i="5"/>
  <c r="Y29" i="5"/>
  <c r="Z29" i="5" s="1"/>
  <c r="AC36" i="5"/>
  <c r="AD36" i="5" s="1"/>
  <c r="AL62" i="5"/>
  <c r="Y62" i="5"/>
  <c r="Z62" i="5" s="1"/>
  <c r="Y41" i="5"/>
  <c r="Z41" i="5" s="1"/>
  <c r="AL41" i="5"/>
  <c r="AM42" i="5"/>
  <c r="AC8" i="5"/>
  <c r="AD8" i="5" s="1"/>
  <c r="AC70" i="5"/>
  <c r="AD70" i="5" s="1"/>
  <c r="AL63" i="5"/>
  <c r="AC63" i="5" s="1"/>
  <c r="AD63" i="5" s="1"/>
  <c r="Y63" i="5"/>
  <c r="Z63" i="5" s="1"/>
  <c r="AL24" i="5"/>
  <c r="AC24" i="5" s="1"/>
  <c r="AD24" i="5" s="1"/>
  <c r="Y24" i="5"/>
  <c r="Z24" i="5" s="1"/>
  <c r="S75" i="5"/>
  <c r="S76" i="5" s="1"/>
  <c r="V21" i="5"/>
  <c r="W21" i="5" s="1"/>
  <c r="AL38" i="5"/>
  <c r="Y38" i="5"/>
  <c r="Z38" i="5" s="1"/>
  <c r="AM25" i="5"/>
  <c r="AK64" i="5"/>
  <c r="AM64" i="5" s="1"/>
  <c r="Y64" i="5"/>
  <c r="Z64" i="5" s="1"/>
  <c r="AM33" i="5"/>
  <c r="AK35" i="5"/>
  <c r="AA35" i="5" s="1"/>
  <c r="AB35" i="5" s="1"/>
  <c r="AM34" i="5"/>
  <c r="AM71" i="5"/>
  <c r="AL32" i="5"/>
  <c r="AM32" i="5" s="1"/>
  <c r="Y32" i="5"/>
  <c r="Z32" i="5" s="1"/>
  <c r="AK29" i="5"/>
  <c r="AK36" i="5"/>
  <c r="AM36" i="5" s="1"/>
  <c r="Y36" i="5"/>
  <c r="Z36" i="5" s="1"/>
  <c r="W27" i="5"/>
  <c r="AK45" i="5"/>
  <c r="AM45" i="5" s="1"/>
  <c r="AK41" i="5"/>
  <c r="AC42" i="5"/>
  <c r="AD42" i="5" s="1"/>
  <c r="AK69" i="5"/>
  <c r="AA69" i="5" s="1"/>
  <c r="AB69" i="5" s="1"/>
  <c r="Y69" i="5"/>
  <c r="Z69" i="5" s="1"/>
  <c r="AL69" i="5"/>
  <c r="Y18" i="5"/>
  <c r="Y67" i="5"/>
  <c r="Z67" i="5" s="1"/>
  <c r="W53" i="5"/>
  <c r="AK18" i="5"/>
  <c r="AM18" i="5" s="1"/>
  <c r="W73" i="5"/>
  <c r="Y17" i="5"/>
  <c r="Z17" i="5" s="1"/>
  <c r="Y14" i="5"/>
  <c r="Z14" i="5" s="1"/>
  <c r="W45" i="5"/>
  <c r="W42" i="5"/>
  <c r="AK54" i="5"/>
  <c r="AA54" i="5" s="1"/>
  <c r="AB54" i="5" s="1"/>
  <c r="W51" i="5"/>
  <c r="W50" i="5"/>
  <c r="W6" i="5"/>
  <c r="W67" i="5"/>
  <c r="W17" i="5"/>
  <c r="Y19" i="5"/>
  <c r="Z19" i="5" s="1"/>
  <c r="Y20" i="5"/>
  <c r="Z20" i="5" s="1"/>
  <c r="Y11" i="5"/>
  <c r="Z11" i="5" s="1"/>
  <c r="AC51" i="5"/>
  <c r="AD51" i="5" s="1"/>
  <c r="AL54" i="5"/>
  <c r="W52" i="5"/>
  <c r="W12" i="5"/>
  <c r="W65" i="5"/>
  <c r="W68" i="5"/>
  <c r="W70" i="5"/>
  <c r="AK20" i="5"/>
  <c r="V48" i="5"/>
  <c r="W48" i="5" s="1"/>
  <c r="V16" i="5"/>
  <c r="W16" i="5" s="1"/>
  <c r="AK14" i="5"/>
  <c r="AA14" i="5" s="1"/>
  <c r="AB14" i="5" s="1"/>
  <c r="Y49" i="5"/>
  <c r="Z49" i="5" s="1"/>
  <c r="Y40" i="5"/>
  <c r="Z40" i="5" s="1"/>
  <c r="Y68" i="5"/>
  <c r="Z68" i="5" s="1"/>
  <c r="Y12" i="5"/>
  <c r="Z12" i="5" s="1"/>
  <c r="Y6" i="5"/>
  <c r="Z6" i="5" s="1"/>
  <c r="Z60" i="5"/>
  <c r="V72" i="5"/>
  <c r="W72" i="5" s="1"/>
  <c r="U75" i="5"/>
  <c r="W44" i="5"/>
  <c r="AG75" i="5"/>
  <c r="AG77" i="5" s="1"/>
  <c r="AI77" i="5" s="1"/>
  <c r="V71" i="5"/>
  <c r="W71" i="5" s="1"/>
  <c r="AH75" i="5"/>
  <c r="Q75" i="5"/>
  <c r="Q77" i="5" s="1"/>
  <c r="AJ75" i="5"/>
  <c r="AJ77" i="5" s="1"/>
  <c r="Z21" i="5"/>
  <c r="AK21" i="5"/>
  <c r="AA21" i="5" s="1"/>
  <c r="AB21" i="5" s="1"/>
  <c r="AK39" i="5"/>
  <c r="AA39" i="5" s="1"/>
  <c r="AB39" i="5" s="1"/>
  <c r="AK59" i="5"/>
  <c r="AK63" i="5"/>
  <c r="AK38" i="5"/>
  <c r="AA38" i="5" s="1"/>
  <c r="AB38" i="5" s="1"/>
  <c r="AK37" i="5"/>
  <c r="AA37" i="5" s="1"/>
  <c r="AB37" i="5" s="1"/>
  <c r="V64" i="5"/>
  <c r="W64" i="5" s="1"/>
  <c r="V33" i="5"/>
  <c r="W33" i="5" s="1"/>
  <c r="AK22" i="5"/>
  <c r="AA22" i="5" s="1"/>
  <c r="AB22" i="5" s="1"/>
  <c r="AK28" i="5"/>
  <c r="AL21" i="5"/>
  <c r="V23" i="5"/>
  <c r="W23" i="5" s="1"/>
  <c r="V61" i="5"/>
  <c r="W61" i="5" s="1"/>
  <c r="V32" i="5"/>
  <c r="W32" i="5" s="1"/>
  <c r="V29" i="5"/>
  <c r="W29" i="5" s="1"/>
  <c r="V31" i="5"/>
  <c r="W31" i="5" s="1"/>
  <c r="W60" i="5"/>
  <c r="W10" i="5"/>
  <c r="W66" i="5"/>
  <c r="W36" i="5"/>
  <c r="V7" i="5"/>
  <c r="W7" i="5" s="1"/>
  <c r="V5" i="5"/>
  <c r="W5" i="5" s="1"/>
  <c r="AK9" i="5"/>
  <c r="AA9" i="5" s="1"/>
  <c r="AB9" i="5" s="1"/>
  <c r="Z9" i="5"/>
  <c r="AL9" i="5"/>
  <c r="AC9" i="5" s="1"/>
  <c r="AD9" i="5" s="1"/>
  <c r="AK65" i="5"/>
  <c r="AA65" i="5" s="1"/>
  <c r="AB65" i="5" s="1"/>
  <c r="Z65" i="5"/>
  <c r="AL65" i="5"/>
  <c r="AC65" i="5" s="1"/>
  <c r="AK24" i="5"/>
  <c r="AK62" i="5"/>
  <c r="AA62" i="5" s="1"/>
  <c r="AB62" i="5" s="1"/>
  <c r="AK58" i="5"/>
  <c r="AA58" i="5" s="1"/>
  <c r="AB58" i="5" s="1"/>
  <c r="V11" i="5"/>
  <c r="W11" i="5" s="1"/>
  <c r="AK10" i="5"/>
  <c r="AA10" i="5" s="1"/>
  <c r="AB10" i="5" s="1"/>
  <c r="Z10" i="5"/>
  <c r="AK66" i="5"/>
  <c r="AA66" i="5" s="1"/>
  <c r="AB66" i="5" s="1"/>
  <c r="Z66" i="5"/>
  <c r="AL7" i="5"/>
  <c r="AL11" i="5"/>
  <c r="AM11" i="5" s="1"/>
  <c r="AL10" i="5"/>
  <c r="AL66" i="5"/>
  <c r="AC66" i="5" s="1"/>
  <c r="V40" i="5"/>
  <c r="W40" i="5" s="1"/>
  <c r="V20" i="5"/>
  <c r="W20" i="5" s="1"/>
  <c r="V56" i="5"/>
  <c r="W56" i="5" s="1"/>
  <c r="AL49" i="5"/>
  <c r="V4" i="5"/>
  <c r="W4" i="5" s="1"/>
  <c r="V14" i="5"/>
  <c r="W14" i="5" s="1"/>
  <c r="V18" i="5"/>
  <c r="W18" i="5" s="1"/>
  <c r="AK67" i="5"/>
  <c r="AM67" i="5" s="1"/>
  <c r="AK68" i="5"/>
  <c r="AA68" i="5" s="1"/>
  <c r="AB68" i="5" s="1"/>
  <c r="V74" i="5"/>
  <c r="AK19" i="5"/>
  <c r="AM19" i="5" s="1"/>
  <c r="AK17" i="5"/>
  <c r="AM17" i="5" s="1"/>
  <c r="I62" i="3"/>
  <c r="H62" i="3"/>
  <c r="AK72" i="1"/>
  <c r="AC75" i="1"/>
  <c r="AB75" i="1"/>
  <c r="AB74" i="1"/>
  <c r="AC74" i="1" s="1"/>
  <c r="AB73" i="1"/>
  <c r="AC73" i="1" s="1"/>
  <c r="AB72" i="1"/>
  <c r="AC72" i="1" s="1"/>
  <c r="AB71" i="1"/>
  <c r="AC71" i="1" s="1"/>
  <c r="AB70" i="1"/>
  <c r="AC70" i="1" s="1"/>
  <c r="AB69" i="1"/>
  <c r="AC69" i="1" s="1"/>
  <c r="AB68" i="1"/>
  <c r="AC68" i="1" s="1"/>
  <c r="AB67" i="1"/>
  <c r="AC67" i="1" s="1"/>
  <c r="AB66" i="1"/>
  <c r="AC66" i="1" s="1"/>
  <c r="AB65" i="1"/>
  <c r="AC65" i="1" s="1"/>
  <c r="AB64" i="1"/>
  <c r="AC64" i="1" s="1"/>
  <c r="AB63" i="1"/>
  <c r="AC63" i="1" s="1"/>
  <c r="AB62" i="1"/>
  <c r="AC62" i="1" s="1"/>
  <c r="AB61" i="1"/>
  <c r="AC61" i="1" s="1"/>
  <c r="AB60" i="1"/>
  <c r="AC60" i="1" s="1"/>
  <c r="AB59" i="1"/>
  <c r="AC59" i="1" s="1"/>
  <c r="AB58" i="1"/>
  <c r="AC58" i="1" s="1"/>
  <c r="AB57" i="1"/>
  <c r="AC57" i="1" s="1"/>
  <c r="AB56" i="1"/>
  <c r="AC56" i="1" s="1"/>
  <c r="AB55" i="1"/>
  <c r="AC55" i="1" s="1"/>
  <c r="AB54" i="1"/>
  <c r="AC54" i="1" s="1"/>
  <c r="AB53" i="1"/>
  <c r="AC53" i="1" s="1"/>
  <c r="AB52" i="1"/>
  <c r="AC52" i="1" s="1"/>
  <c r="AB51" i="1"/>
  <c r="AC51" i="1" s="1"/>
  <c r="AB50" i="1"/>
  <c r="AC50" i="1" s="1"/>
  <c r="AB49" i="1"/>
  <c r="AC49" i="1" s="1"/>
  <c r="AB48" i="1"/>
  <c r="AC48" i="1" s="1"/>
  <c r="AB47" i="1"/>
  <c r="AC47" i="1" s="1"/>
  <c r="AB46" i="1"/>
  <c r="AC46" i="1" s="1"/>
  <c r="AB45" i="1"/>
  <c r="AC45" i="1" s="1"/>
  <c r="AB44" i="1"/>
  <c r="AC44" i="1" s="1"/>
  <c r="AB43" i="1"/>
  <c r="AC43" i="1" s="1"/>
  <c r="AB42" i="1"/>
  <c r="AC42" i="1" s="1"/>
  <c r="AB41" i="1"/>
  <c r="AC41" i="1" s="1"/>
  <c r="AB40" i="1"/>
  <c r="AC40" i="1" s="1"/>
  <c r="AB39" i="1"/>
  <c r="AC39" i="1" s="1"/>
  <c r="AB38" i="1"/>
  <c r="AC38" i="1" s="1"/>
  <c r="AB37" i="1"/>
  <c r="AC37" i="1" s="1"/>
  <c r="AB36" i="1"/>
  <c r="AC36" i="1" s="1"/>
  <c r="AB35" i="1"/>
  <c r="AC35" i="1" s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C4" i="1"/>
  <c r="AB4" i="1"/>
  <c r="AG50" i="1"/>
  <c r="AG66" i="1"/>
  <c r="AG52" i="1"/>
  <c r="AG17" i="1"/>
  <c r="AH17" i="1" s="1"/>
  <c r="AG6" i="1"/>
  <c r="AH6" i="1" s="1"/>
  <c r="AG56" i="1"/>
  <c r="AG60" i="1"/>
  <c r="AG14" i="1"/>
  <c r="AH14" i="1" s="1"/>
  <c r="AG35" i="1"/>
  <c r="AG57" i="1"/>
  <c r="AG33" i="1"/>
  <c r="AH33" i="1" s="1"/>
  <c r="AG23" i="1"/>
  <c r="AH23" i="1" s="1"/>
  <c r="AG36" i="1"/>
  <c r="AG37" i="1"/>
  <c r="AG8" i="1"/>
  <c r="AH8" i="1" s="1"/>
  <c r="AG20" i="1"/>
  <c r="AH20" i="1" s="1"/>
  <c r="AG16" i="1"/>
  <c r="AG69" i="1"/>
  <c r="AG67" i="1"/>
  <c r="AG44" i="1"/>
  <c r="Y44" i="1" s="1"/>
  <c r="AG45" i="1"/>
  <c r="AG47" i="1"/>
  <c r="AG46" i="1"/>
  <c r="AG70" i="1"/>
  <c r="AH70" i="1" s="1"/>
  <c r="AG38" i="1"/>
  <c r="AG39" i="1"/>
  <c r="AG31" i="1"/>
  <c r="AG9" i="1"/>
  <c r="AH9" i="1" s="1"/>
  <c r="AG12" i="1"/>
  <c r="AH12" i="1" s="1"/>
  <c r="AG51" i="1"/>
  <c r="AG19" i="1"/>
  <c r="AH19" i="1" s="1"/>
  <c r="AG5" i="1"/>
  <c r="AH5" i="1" s="1"/>
  <c r="AG25" i="1"/>
  <c r="AH10" i="1"/>
  <c r="AH11" i="1"/>
  <c r="AH13" i="1"/>
  <c r="AH15" i="1"/>
  <c r="AH16" i="1"/>
  <c r="AH18" i="1"/>
  <c r="AH22" i="1"/>
  <c r="AH24" i="1"/>
  <c r="AH25" i="1"/>
  <c r="AH28" i="1"/>
  <c r="AH29" i="1"/>
  <c r="AH31" i="1"/>
  <c r="AH34" i="1"/>
  <c r="AH35" i="1"/>
  <c r="AH36" i="1"/>
  <c r="AH37" i="1"/>
  <c r="AH38" i="1"/>
  <c r="AH39" i="1"/>
  <c r="AH42" i="1"/>
  <c r="AH43" i="1"/>
  <c r="AH45" i="1"/>
  <c r="AH46" i="1"/>
  <c r="AH47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1" i="1"/>
  <c r="AH72" i="1"/>
  <c r="AH73" i="1"/>
  <c r="AA73" i="1" s="1"/>
  <c r="AH7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4" i="1"/>
  <c r="AE75" i="1" s="1"/>
  <c r="AE77" i="1" s="1"/>
  <c r="AD75" i="1"/>
  <c r="AA74" i="1"/>
  <c r="AA76" i="1"/>
  <c r="AA78" i="1"/>
  <c r="Y6" i="1"/>
  <c r="Y8" i="1"/>
  <c r="Y10" i="1"/>
  <c r="Y11" i="1"/>
  <c r="Y12" i="1"/>
  <c r="Y13" i="1"/>
  <c r="Y15" i="1"/>
  <c r="Y16" i="1"/>
  <c r="Y18" i="1"/>
  <c r="Y19" i="1"/>
  <c r="Y20" i="1"/>
  <c r="Y22" i="1"/>
  <c r="Y24" i="1"/>
  <c r="Y25" i="1"/>
  <c r="Y28" i="1"/>
  <c r="Y29" i="1"/>
  <c r="Y31" i="1"/>
  <c r="Y33" i="1"/>
  <c r="Y34" i="1"/>
  <c r="Y35" i="1"/>
  <c r="Y36" i="1"/>
  <c r="Y37" i="1"/>
  <c r="Y38" i="1"/>
  <c r="Y39" i="1"/>
  <c r="Y42" i="1"/>
  <c r="Y43" i="1"/>
  <c r="Y45" i="1"/>
  <c r="Y46" i="1"/>
  <c r="Y47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1" i="1"/>
  <c r="Y72" i="1"/>
  <c r="Y73" i="1"/>
  <c r="Y74" i="1"/>
  <c r="AI74" i="1"/>
  <c r="AI73" i="1"/>
  <c r="AI72" i="1"/>
  <c r="AI71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7" i="1"/>
  <c r="AI46" i="1"/>
  <c r="AI45" i="1"/>
  <c r="AI43" i="1"/>
  <c r="AI42" i="1"/>
  <c r="AI39" i="1"/>
  <c r="AI38" i="1"/>
  <c r="AI37" i="1"/>
  <c r="AI36" i="1"/>
  <c r="AI35" i="1"/>
  <c r="AI34" i="1"/>
  <c r="AI33" i="1"/>
  <c r="AI31" i="1"/>
  <c r="AI29" i="1"/>
  <c r="AI28" i="1"/>
  <c r="AI25" i="1"/>
  <c r="AI24" i="1"/>
  <c r="AI22" i="1"/>
  <c r="AI19" i="1"/>
  <c r="AI18" i="1"/>
  <c r="AI16" i="1"/>
  <c r="AI15" i="1"/>
  <c r="AI13" i="1"/>
  <c r="AI12" i="1"/>
  <c r="AI11" i="1"/>
  <c r="AI10" i="1"/>
  <c r="AI8" i="1"/>
  <c r="AI6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75" i="1" s="1"/>
  <c r="AG41" i="1"/>
  <c r="Y41" i="1" s="1"/>
  <c r="AG27" i="1"/>
  <c r="AH27" i="1" s="1"/>
  <c r="AG21" i="1"/>
  <c r="Y21" i="1" s="1"/>
  <c r="AG4" i="1"/>
  <c r="AH4" i="1" s="1"/>
  <c r="AG7" i="1"/>
  <c r="AH7" i="1" s="1"/>
  <c r="AG49" i="1"/>
  <c r="Y49" i="1" s="1"/>
  <c r="AG48" i="1"/>
  <c r="Y48" i="1" s="1"/>
  <c r="AG26" i="1"/>
  <c r="AH26" i="1" s="1"/>
  <c r="AG30" i="1"/>
  <c r="AH30" i="1" s="1"/>
  <c r="AG40" i="1"/>
  <c r="Y40" i="1" s="1"/>
  <c r="V75" i="5" l="1"/>
  <c r="AA29" i="5"/>
  <c r="AB29" i="5" s="1"/>
  <c r="AE36" i="5"/>
  <c r="AD4" i="5"/>
  <c r="AE15" i="5"/>
  <c r="AM51" i="5"/>
  <c r="AA41" i="5"/>
  <c r="AB41" i="5" s="1"/>
  <c r="AA24" i="5"/>
  <c r="AB24" i="5" s="1"/>
  <c r="AA20" i="5"/>
  <c r="AB20" i="5" s="1"/>
  <c r="AM6" i="5"/>
  <c r="AE72" i="5"/>
  <c r="AC7" i="5"/>
  <c r="AD7" i="5" s="1"/>
  <c r="AA28" i="5"/>
  <c r="AB28" i="5" s="1"/>
  <c r="AA59" i="5"/>
  <c r="AB59" i="5" s="1"/>
  <c r="AA32" i="5"/>
  <c r="AB32" i="5" s="1"/>
  <c r="AA19" i="5"/>
  <c r="AB19" i="5" s="1"/>
  <c r="AA63" i="5"/>
  <c r="AB63" i="5" s="1"/>
  <c r="AE70" i="5"/>
  <c r="AM54" i="5"/>
  <c r="AE54" i="5" s="1"/>
  <c r="AA53" i="5"/>
  <c r="AB53" i="5" s="1"/>
  <c r="AA48" i="5"/>
  <c r="AB48" i="5" s="1"/>
  <c r="AA61" i="5"/>
  <c r="AB61" i="5" s="1"/>
  <c r="AA67" i="5"/>
  <c r="AB67" i="5" s="1"/>
  <c r="AA8" i="5"/>
  <c r="AB8" i="5" s="1"/>
  <c r="AB5" i="5"/>
  <c r="AE6" i="5"/>
  <c r="AA18" i="5"/>
  <c r="AB18" i="5" s="1"/>
  <c r="AA64" i="5"/>
  <c r="AB64" i="5" s="1"/>
  <c r="AA34" i="5"/>
  <c r="AB34" i="5" s="1"/>
  <c r="AM10" i="5"/>
  <c r="AE10" i="5" s="1"/>
  <c r="AE43" i="5"/>
  <c r="AE60" i="5"/>
  <c r="AC18" i="5"/>
  <c r="AD18" i="5" s="1"/>
  <c r="AA45" i="5"/>
  <c r="AB45" i="5" s="1"/>
  <c r="AA47" i="5"/>
  <c r="AB47" i="5" s="1"/>
  <c r="AE30" i="5"/>
  <c r="AE27" i="5"/>
  <c r="AE16" i="5"/>
  <c r="AO77" i="5"/>
  <c r="AA36" i="5"/>
  <c r="AB36" i="5" s="1"/>
  <c r="AA33" i="5"/>
  <c r="AB33" i="5" s="1"/>
  <c r="AA17" i="5"/>
  <c r="AB17" i="5" s="1"/>
  <c r="AS77" i="5"/>
  <c r="AS78" i="5" s="1"/>
  <c r="AS80" i="5" s="1"/>
  <c r="AE34" i="5"/>
  <c r="AE47" i="5"/>
  <c r="AM50" i="5"/>
  <c r="AE50" i="5" s="1"/>
  <c r="AC64" i="5"/>
  <c r="AD64" i="5" s="1"/>
  <c r="Z5" i="5"/>
  <c r="AE31" i="5"/>
  <c r="AE11" i="5"/>
  <c r="AU77" i="5"/>
  <c r="AQ7" i="5"/>
  <c r="AP77" i="5"/>
  <c r="AT77" i="5"/>
  <c r="AE51" i="5"/>
  <c r="AE17" i="5"/>
  <c r="AE19" i="5"/>
  <c r="AE13" i="5"/>
  <c r="AQ5" i="5"/>
  <c r="AE5" i="5" s="1"/>
  <c r="AE67" i="5"/>
  <c r="AM69" i="5"/>
  <c r="AE69" i="5" s="1"/>
  <c r="AE45" i="5"/>
  <c r="AE61" i="5"/>
  <c r="AE33" i="5"/>
  <c r="AE48" i="5"/>
  <c r="AM40" i="5"/>
  <c r="AE40" i="5" s="1"/>
  <c r="AE57" i="5"/>
  <c r="AM46" i="5"/>
  <c r="AE46" i="5" s="1"/>
  <c r="AE42" i="5"/>
  <c r="Z18" i="5"/>
  <c r="AE18" i="5"/>
  <c r="AE4" i="5"/>
  <c r="AE12" i="5"/>
  <c r="AE55" i="5"/>
  <c r="AE32" i="5"/>
  <c r="AE8" i="5"/>
  <c r="AE64" i="5"/>
  <c r="AM14" i="5"/>
  <c r="AE14" i="5" s="1"/>
  <c r="AE71" i="5"/>
  <c r="AE73" i="5"/>
  <c r="AE56" i="5"/>
  <c r="AE25" i="5"/>
  <c r="W74" i="5"/>
  <c r="AM41" i="5"/>
  <c r="AE41" i="5" s="1"/>
  <c r="AM37" i="5"/>
  <c r="AE37" i="5" s="1"/>
  <c r="AE44" i="5"/>
  <c r="AE23" i="5"/>
  <c r="AE74" i="5"/>
  <c r="AE26" i="5"/>
  <c r="AA18" i="6"/>
  <c r="AQ51" i="6"/>
  <c r="AD19" i="6"/>
  <c r="AD60" i="6"/>
  <c r="AB18" i="6"/>
  <c r="AC18" i="6" s="1"/>
  <c r="AB27" i="6"/>
  <c r="AC27" i="6" s="1"/>
  <c r="AB39" i="6"/>
  <c r="AC39" i="6" s="1"/>
  <c r="AB31" i="6"/>
  <c r="AC31" i="6" s="1"/>
  <c r="AA9" i="6"/>
  <c r="AQ34" i="6"/>
  <c r="AD34" i="6" s="1"/>
  <c r="AB4" i="6"/>
  <c r="AC4" i="6" s="1"/>
  <c r="AD37" i="6"/>
  <c r="AL29" i="6"/>
  <c r="AD29" i="6" s="1"/>
  <c r="AD59" i="6"/>
  <c r="AL54" i="6"/>
  <c r="AL50" i="6"/>
  <c r="AD50" i="6" s="1"/>
  <c r="AD51" i="6"/>
  <c r="AA6" i="6"/>
  <c r="AD15" i="6"/>
  <c r="AA4" i="6"/>
  <c r="AD27" i="6"/>
  <c r="AD52" i="6"/>
  <c r="AD25" i="6"/>
  <c r="AD4" i="6"/>
  <c r="AQ45" i="6"/>
  <c r="AD45" i="6" s="1"/>
  <c r="AQ13" i="6"/>
  <c r="AD13" i="6" s="1"/>
  <c r="AA21" i="6"/>
  <c r="AD6" i="6"/>
  <c r="AD46" i="6"/>
  <c r="AD18" i="6"/>
  <c r="AQ11" i="6"/>
  <c r="AD11" i="6" s="1"/>
  <c r="AQ21" i="6"/>
  <c r="AD21" i="6" s="1"/>
  <c r="AL10" i="6"/>
  <c r="AD10" i="6" s="1"/>
  <c r="AB50" i="6"/>
  <c r="AC50" i="6" s="1"/>
  <c r="AD42" i="6"/>
  <c r="AD53" i="6"/>
  <c r="AD30" i="6"/>
  <c r="AD20" i="6"/>
  <c r="AD39" i="6"/>
  <c r="AA28" i="6"/>
  <c r="AD9" i="6"/>
  <c r="AD12" i="6"/>
  <c r="AA8" i="6"/>
  <c r="AA17" i="6"/>
  <c r="AB36" i="6"/>
  <c r="AC36" i="6" s="1"/>
  <c r="AQ35" i="6"/>
  <c r="AD35" i="6" s="1"/>
  <c r="AA29" i="6"/>
  <c r="AQ28" i="6"/>
  <c r="AB35" i="6"/>
  <c r="AC35" i="6" s="1"/>
  <c r="AA16" i="6"/>
  <c r="AA14" i="6"/>
  <c r="AL7" i="6"/>
  <c r="AD7" i="6" s="1"/>
  <c r="AD24" i="6"/>
  <c r="AB37" i="6"/>
  <c r="AC37" i="6" s="1"/>
  <c r="AD41" i="6"/>
  <c r="AD17" i="6"/>
  <c r="AN63" i="6"/>
  <c r="AA5" i="6"/>
  <c r="AL22" i="6"/>
  <c r="AD22" i="6" s="1"/>
  <c r="AB22" i="6"/>
  <c r="AC22" i="6" s="1"/>
  <c r="AP63" i="6"/>
  <c r="AL58" i="6"/>
  <c r="AD58" i="6" s="1"/>
  <c r="AB58" i="6"/>
  <c r="AC58" i="6" s="1"/>
  <c r="AL32" i="6"/>
  <c r="AD32" i="6" s="1"/>
  <c r="AA32" i="6"/>
  <c r="AK61" i="6"/>
  <c r="AD56" i="6"/>
  <c r="AA47" i="6"/>
  <c r="AA33" i="6"/>
  <c r="Z63" i="6"/>
  <c r="Z64" i="6" s="1"/>
  <c r="AL31" i="6"/>
  <c r="AD31" i="6" s="1"/>
  <c r="AA12" i="6"/>
  <c r="AL8" i="6"/>
  <c r="AD8" i="6" s="1"/>
  <c r="Q61" i="6"/>
  <c r="Q63" i="6" s="1"/>
  <c r="AD54" i="6"/>
  <c r="AL5" i="6"/>
  <c r="AB5" i="6"/>
  <c r="AC5" i="6" s="1"/>
  <c r="AL14" i="6"/>
  <c r="AD14" i="6" s="1"/>
  <c r="AB14" i="6"/>
  <c r="AC14" i="6" s="1"/>
  <c r="AL28" i="6"/>
  <c r="AB28" i="6"/>
  <c r="AC28" i="6" s="1"/>
  <c r="AB47" i="6"/>
  <c r="AC47" i="6" s="1"/>
  <c r="AL47" i="6"/>
  <c r="AD49" i="6"/>
  <c r="AL43" i="6"/>
  <c r="AD43" i="6" s="1"/>
  <c r="AB43" i="6"/>
  <c r="AC43" i="6" s="1"/>
  <c r="AJ61" i="6"/>
  <c r="AA61" i="6" s="1"/>
  <c r="AB33" i="6"/>
  <c r="AC33" i="6" s="1"/>
  <c r="AL33" i="6"/>
  <c r="AB55" i="6"/>
  <c r="AC55" i="6" s="1"/>
  <c r="AL55" i="6"/>
  <c r="AD55" i="6" s="1"/>
  <c r="AL38" i="6"/>
  <c r="AD38" i="6" s="1"/>
  <c r="AB38" i="6"/>
  <c r="AC38" i="6" s="1"/>
  <c r="AL44" i="6"/>
  <c r="AD44" i="6" s="1"/>
  <c r="AB44" i="6"/>
  <c r="AC44" i="6" s="1"/>
  <c r="AL23" i="6"/>
  <c r="AD23" i="6" s="1"/>
  <c r="AB23" i="6"/>
  <c r="AC23" i="6" s="1"/>
  <c r="AH61" i="6"/>
  <c r="AB61" i="6"/>
  <c r="AQ47" i="6"/>
  <c r="AL40" i="6"/>
  <c r="AD40" i="6" s="1"/>
  <c r="AB40" i="6"/>
  <c r="AC40" i="6" s="1"/>
  <c r="AL57" i="6"/>
  <c r="AD57" i="6" s="1"/>
  <c r="AB57" i="6"/>
  <c r="AC57" i="6" s="1"/>
  <c r="AQ33" i="6"/>
  <c r="AD36" i="6"/>
  <c r="AL26" i="6"/>
  <c r="AD26" i="6" s="1"/>
  <c r="AB26" i="6"/>
  <c r="AC26" i="6" s="1"/>
  <c r="W61" i="6"/>
  <c r="AL16" i="6"/>
  <c r="AD16" i="6" s="1"/>
  <c r="AB16" i="6"/>
  <c r="AC16" i="6" s="1"/>
  <c r="AL48" i="6"/>
  <c r="AD48" i="6" s="1"/>
  <c r="AB48" i="6"/>
  <c r="AC48" i="6" s="1"/>
  <c r="AM21" i="5"/>
  <c r="AE21" i="5" s="1"/>
  <c r="AM29" i="5"/>
  <c r="AE29" i="5" s="1"/>
  <c r="AC61" i="5"/>
  <c r="AD61" i="5" s="1"/>
  <c r="AM52" i="5"/>
  <c r="AE52" i="5" s="1"/>
  <c r="AC10" i="5"/>
  <c r="AD10" i="5" s="1"/>
  <c r="AI75" i="5"/>
  <c r="AM62" i="5"/>
  <c r="AE62" i="5" s="1"/>
  <c r="AM35" i="5"/>
  <c r="AE35" i="5" s="1"/>
  <c r="AM38" i="5"/>
  <c r="AE38" i="5" s="1"/>
  <c r="AC38" i="5"/>
  <c r="AD38" i="5" s="1"/>
  <c r="AM63" i="5"/>
  <c r="AE63" i="5" s="1"/>
  <c r="AM68" i="5"/>
  <c r="AE68" i="5" s="1"/>
  <c r="AC29" i="5"/>
  <c r="AD29" i="5" s="1"/>
  <c r="AM49" i="5"/>
  <c r="AE49" i="5" s="1"/>
  <c r="AM9" i="5"/>
  <c r="AE9" i="5" s="1"/>
  <c r="AM20" i="5"/>
  <c r="AE20" i="5" s="1"/>
  <c r="AM24" i="5"/>
  <c r="AE24" i="5" s="1"/>
  <c r="AC11" i="5"/>
  <c r="AD11" i="5" s="1"/>
  <c r="AC32" i="5"/>
  <c r="AD32" i="5" s="1"/>
  <c r="AM22" i="5"/>
  <c r="AE22" i="5" s="1"/>
  <c r="AM39" i="5"/>
  <c r="AE39" i="5" s="1"/>
  <c r="AM58" i="5"/>
  <c r="AE58" i="5" s="1"/>
  <c r="AC41" i="5"/>
  <c r="AD41" i="5" s="1"/>
  <c r="AC62" i="5"/>
  <c r="AD62" i="5" s="1"/>
  <c r="AM28" i="5"/>
  <c r="AE28" i="5" s="1"/>
  <c r="AC49" i="5"/>
  <c r="AD49" i="5" s="1"/>
  <c r="AC54" i="5"/>
  <c r="AD54" i="5" s="1"/>
  <c r="AC37" i="5"/>
  <c r="AD37" i="5" s="1"/>
  <c r="AC52" i="5"/>
  <c r="AD52" i="5" s="1"/>
  <c r="AC21" i="5"/>
  <c r="AC69" i="5"/>
  <c r="AD69" i="5" s="1"/>
  <c r="AM53" i="5"/>
  <c r="AE53" i="5" s="1"/>
  <c r="AC22" i="5"/>
  <c r="AD22" i="5" s="1"/>
  <c r="AM59" i="5"/>
  <c r="AE59" i="5" s="1"/>
  <c r="AC28" i="5"/>
  <c r="AD28" i="5" s="1"/>
  <c r="AD66" i="5"/>
  <c r="AM66" i="5"/>
  <c r="AE66" i="5" s="1"/>
  <c r="AD65" i="5"/>
  <c r="AM65" i="5"/>
  <c r="AE65" i="5" s="1"/>
  <c r="AM7" i="5"/>
  <c r="W75" i="5"/>
  <c r="AL75" i="5"/>
  <c r="Z72" i="5" s="1"/>
  <c r="AK75" i="5"/>
  <c r="AI20" i="1"/>
  <c r="AI9" i="1"/>
  <c r="AI17" i="1"/>
  <c r="AI44" i="1"/>
  <c r="AI70" i="1"/>
  <c r="Y23" i="1"/>
  <c r="Y14" i="1"/>
  <c r="Y5" i="1"/>
  <c r="AH44" i="1"/>
  <c r="AI5" i="1"/>
  <c r="AI14" i="1"/>
  <c r="AI23" i="1"/>
  <c r="Y70" i="1"/>
  <c r="Y17" i="1"/>
  <c r="Y9" i="1"/>
  <c r="AI7" i="1"/>
  <c r="AI27" i="1"/>
  <c r="Y4" i="1"/>
  <c r="Y27" i="1"/>
  <c r="Y7" i="1"/>
  <c r="AH49" i="1"/>
  <c r="AH41" i="1"/>
  <c r="AH21" i="1"/>
  <c r="AI4" i="1"/>
  <c r="AI40" i="1"/>
  <c r="AI48" i="1"/>
  <c r="Y30" i="1"/>
  <c r="Y26" i="1"/>
  <c r="AH48" i="1"/>
  <c r="AH40" i="1"/>
  <c r="AI21" i="1"/>
  <c r="AI41" i="1"/>
  <c r="AI49" i="1"/>
  <c r="AI26" i="1"/>
  <c r="AI30" i="1"/>
  <c r="AG32" i="1"/>
  <c r="AG75" i="1" s="1"/>
  <c r="Z75" i="5" l="1"/>
  <c r="AE7" i="5"/>
  <c r="AC75" i="5"/>
  <c r="Z78" i="5"/>
  <c r="AQ77" i="5"/>
  <c r="AE77" i="5" s="1"/>
  <c r="AB77" i="5"/>
  <c r="AA77" i="5"/>
  <c r="AD28" i="6"/>
  <c r="AQ63" i="6"/>
  <c r="AD63" i="6" s="1"/>
  <c r="AC61" i="6"/>
  <c r="AC64" i="6" s="1"/>
  <c r="AD47" i="6"/>
  <c r="AD5" i="6"/>
  <c r="AL61" i="6"/>
  <c r="AD61" i="6" s="1"/>
  <c r="AD33" i="6"/>
  <c r="AJ65" i="6"/>
  <c r="AJ66" i="6"/>
  <c r="AM75" i="5"/>
  <c r="AE75" i="5" s="1"/>
  <c r="AK80" i="5"/>
  <c r="AK79" i="5"/>
  <c r="AD21" i="5"/>
  <c r="AD75" i="5" s="1"/>
  <c r="AD78" i="5" s="1"/>
  <c r="Y32" i="1"/>
  <c r="AH32" i="1"/>
  <c r="AH75" i="1" s="1"/>
  <c r="AI32" i="1"/>
  <c r="AI75" i="1" s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S74" i="1"/>
  <c r="S73" i="1"/>
  <c r="AJ67" i="6" l="1"/>
  <c r="AH79" i="1"/>
  <c r="AH80" i="1"/>
  <c r="Z77" i="1"/>
  <c r="S69" i="1"/>
  <c r="V69" i="1" s="1"/>
  <c r="S68" i="1"/>
  <c r="V68" i="1" s="1"/>
  <c r="S66" i="1"/>
  <c r="V66" i="1" s="1"/>
  <c r="S61" i="1"/>
  <c r="V61" i="1" s="1"/>
  <c r="V59" i="1"/>
  <c r="S54" i="1"/>
  <c r="V54" i="1" s="1"/>
  <c r="S53" i="1"/>
  <c r="V53" i="1" s="1"/>
  <c r="S52" i="1"/>
  <c r="V52" i="1" s="1"/>
  <c r="S51" i="1"/>
  <c r="V51" i="1" s="1"/>
  <c r="S45" i="1"/>
  <c r="V45" i="1" s="1"/>
  <c r="S44" i="1"/>
  <c r="V44" i="1" s="1"/>
  <c r="S39" i="1"/>
  <c r="V39" i="1" s="1"/>
  <c r="S38" i="1"/>
  <c r="V38" i="1" s="1"/>
  <c r="S31" i="1"/>
  <c r="V31" i="1" s="1"/>
  <c r="S26" i="1"/>
  <c r="V26" i="1" s="1"/>
  <c r="S72" i="1"/>
  <c r="V72" i="1" s="1"/>
  <c r="S71" i="1"/>
  <c r="V71" i="1" s="1"/>
  <c r="S70" i="1"/>
  <c r="V70" i="1" s="1"/>
  <c r="S67" i="1"/>
  <c r="V67" i="1" s="1"/>
  <c r="S65" i="1"/>
  <c r="V65" i="1" s="1"/>
  <c r="S64" i="1"/>
  <c r="V64" i="1" s="1"/>
  <c r="S63" i="1"/>
  <c r="V63" i="1" s="1"/>
  <c r="S62" i="1"/>
  <c r="V62" i="1" s="1"/>
  <c r="S60" i="1"/>
  <c r="V60" i="1" s="1"/>
  <c r="S58" i="1"/>
  <c r="V58" i="1" s="1"/>
  <c r="S57" i="1"/>
  <c r="V57" i="1" s="1"/>
  <c r="S56" i="1"/>
  <c r="V56" i="1" s="1"/>
  <c r="S55" i="1"/>
  <c r="V55" i="1" s="1"/>
  <c r="S50" i="1"/>
  <c r="V50" i="1" s="1"/>
  <c r="S49" i="1"/>
  <c r="V49" i="1" s="1"/>
  <c r="S48" i="1"/>
  <c r="V48" i="1" s="1"/>
  <c r="S47" i="1"/>
  <c r="V47" i="1" s="1"/>
  <c r="S46" i="1"/>
  <c r="V46" i="1" s="1"/>
  <c r="S43" i="1"/>
  <c r="V43" i="1" s="1"/>
  <c r="S42" i="1"/>
  <c r="V42" i="1" s="1"/>
  <c r="S41" i="1"/>
  <c r="V41" i="1" s="1"/>
  <c r="S40" i="1"/>
  <c r="V40" i="1" s="1"/>
  <c r="S37" i="1"/>
  <c r="V37" i="1" s="1"/>
  <c r="S36" i="1"/>
  <c r="V36" i="1" s="1"/>
  <c r="S35" i="1"/>
  <c r="V35" i="1" s="1"/>
  <c r="S34" i="1"/>
  <c r="V34" i="1" s="1"/>
  <c r="S33" i="1"/>
  <c r="V33" i="1" s="1"/>
  <c r="S32" i="1"/>
  <c r="V32" i="1" s="1"/>
  <c r="S30" i="1"/>
  <c r="V30" i="1" s="1"/>
  <c r="S29" i="1"/>
  <c r="V29" i="1" s="1"/>
  <c r="S28" i="1"/>
  <c r="V28" i="1" s="1"/>
  <c r="S27" i="1"/>
  <c r="V27" i="1" s="1"/>
  <c r="S25" i="1"/>
  <c r="V25" i="1" s="1"/>
  <c r="S24" i="1"/>
  <c r="V24" i="1" s="1"/>
  <c r="S23" i="1"/>
  <c r="V23" i="1" s="1"/>
  <c r="S22" i="1"/>
  <c r="V22" i="1" s="1"/>
  <c r="S21" i="1"/>
  <c r="V21" i="1" s="1"/>
  <c r="S19" i="1"/>
  <c r="V19" i="1" s="1"/>
  <c r="S16" i="1"/>
  <c r="V16" i="1" s="1"/>
  <c r="S15" i="1"/>
  <c r="V15" i="1" s="1"/>
  <c r="S12" i="1"/>
  <c r="V12" i="1" s="1"/>
  <c r="AJ75" i="1"/>
  <c r="X75" i="1"/>
  <c r="V75" i="1"/>
  <c r="H75" i="1"/>
  <c r="U72" i="1"/>
  <c r="AA72" i="1" s="1"/>
  <c r="AA75" i="1" s="1"/>
  <c r="N72" i="1"/>
  <c r="O72" i="1" s="1"/>
  <c r="M72" i="1"/>
  <c r="K72" i="1"/>
  <c r="L72" i="1" s="1"/>
  <c r="U71" i="1"/>
  <c r="AA71" i="1" s="1"/>
  <c r="N71" i="1"/>
  <c r="O71" i="1" s="1"/>
  <c r="P71" i="1" s="1"/>
  <c r="Q71" i="1" s="1"/>
  <c r="M71" i="1"/>
  <c r="K71" i="1"/>
  <c r="L71" i="1" s="1"/>
  <c r="U70" i="1"/>
  <c r="AA70" i="1" s="1"/>
  <c r="O70" i="1"/>
  <c r="P70" i="1" s="1"/>
  <c r="Q70" i="1" s="1"/>
  <c r="M70" i="1"/>
  <c r="K70" i="1"/>
  <c r="L70" i="1" s="1"/>
  <c r="U69" i="1"/>
  <c r="AA69" i="1" s="1"/>
  <c r="O69" i="1"/>
  <c r="P69" i="1" s="1"/>
  <c r="Q69" i="1" s="1"/>
  <c r="M69" i="1"/>
  <c r="K69" i="1"/>
  <c r="L69" i="1" s="1"/>
  <c r="U68" i="1"/>
  <c r="AA68" i="1" s="1"/>
  <c r="O68" i="1"/>
  <c r="P68" i="1" s="1"/>
  <c r="Q68" i="1" s="1"/>
  <c r="M68" i="1"/>
  <c r="K68" i="1"/>
  <c r="L68" i="1" s="1"/>
  <c r="U67" i="1"/>
  <c r="AA67" i="1" s="1"/>
  <c r="O67" i="1"/>
  <c r="P67" i="1" s="1"/>
  <c r="Q67" i="1" s="1"/>
  <c r="M67" i="1"/>
  <c r="K67" i="1"/>
  <c r="L67" i="1" s="1"/>
  <c r="U66" i="1"/>
  <c r="AA66" i="1" s="1"/>
  <c r="O66" i="1"/>
  <c r="P66" i="1" s="1"/>
  <c r="Q66" i="1" s="1"/>
  <c r="M66" i="1"/>
  <c r="K66" i="1"/>
  <c r="L66" i="1" s="1"/>
  <c r="U65" i="1"/>
  <c r="AA65" i="1" s="1"/>
  <c r="O65" i="1"/>
  <c r="P65" i="1" s="1"/>
  <c r="Q65" i="1" s="1"/>
  <c r="M65" i="1"/>
  <c r="K65" i="1"/>
  <c r="L65" i="1" s="1"/>
  <c r="U64" i="1"/>
  <c r="AA64" i="1" s="1"/>
  <c r="O64" i="1"/>
  <c r="P64" i="1" s="1"/>
  <c r="Q64" i="1" s="1"/>
  <c r="M64" i="1"/>
  <c r="K64" i="1"/>
  <c r="L64" i="1" s="1"/>
  <c r="U63" i="1"/>
  <c r="AA63" i="1" s="1"/>
  <c r="O63" i="1"/>
  <c r="P63" i="1" s="1"/>
  <c r="Q63" i="1" s="1"/>
  <c r="M63" i="1"/>
  <c r="K63" i="1"/>
  <c r="L63" i="1" s="1"/>
  <c r="U62" i="1"/>
  <c r="AA62" i="1" s="1"/>
  <c r="O62" i="1"/>
  <c r="P62" i="1" s="1"/>
  <c r="Q62" i="1" s="1"/>
  <c r="M62" i="1"/>
  <c r="K62" i="1"/>
  <c r="L62" i="1" s="1"/>
  <c r="U61" i="1"/>
  <c r="AA61" i="1" s="1"/>
  <c r="O61" i="1"/>
  <c r="P61" i="1" s="1"/>
  <c r="Q61" i="1" s="1"/>
  <c r="M61" i="1"/>
  <c r="K61" i="1"/>
  <c r="L61" i="1" s="1"/>
  <c r="U60" i="1"/>
  <c r="AA60" i="1" s="1"/>
  <c r="O60" i="1"/>
  <c r="P60" i="1" s="1"/>
  <c r="Q60" i="1" s="1"/>
  <c r="M60" i="1"/>
  <c r="K60" i="1"/>
  <c r="L60" i="1" s="1"/>
  <c r="U59" i="1"/>
  <c r="AA59" i="1" s="1"/>
  <c r="O59" i="1"/>
  <c r="P59" i="1" s="1"/>
  <c r="Q59" i="1" s="1"/>
  <c r="M59" i="1"/>
  <c r="K59" i="1"/>
  <c r="L59" i="1" s="1"/>
  <c r="U58" i="1"/>
  <c r="AA58" i="1" s="1"/>
  <c r="O58" i="1"/>
  <c r="P58" i="1" s="1"/>
  <c r="Q58" i="1" s="1"/>
  <c r="M58" i="1"/>
  <c r="K58" i="1"/>
  <c r="L58" i="1" s="1"/>
  <c r="U57" i="1"/>
  <c r="AA57" i="1" s="1"/>
  <c r="O57" i="1"/>
  <c r="P57" i="1" s="1"/>
  <c r="Q57" i="1" s="1"/>
  <c r="M57" i="1"/>
  <c r="K57" i="1"/>
  <c r="L57" i="1" s="1"/>
  <c r="U56" i="1"/>
  <c r="AA56" i="1" s="1"/>
  <c r="O56" i="1"/>
  <c r="P56" i="1" s="1"/>
  <c r="Q56" i="1" s="1"/>
  <c r="M56" i="1"/>
  <c r="K56" i="1"/>
  <c r="L56" i="1" s="1"/>
  <c r="U55" i="1"/>
  <c r="AA55" i="1" s="1"/>
  <c r="O55" i="1"/>
  <c r="P55" i="1" s="1"/>
  <c r="Q55" i="1" s="1"/>
  <c r="M55" i="1"/>
  <c r="K55" i="1"/>
  <c r="L55" i="1" s="1"/>
  <c r="U54" i="1"/>
  <c r="AA54" i="1" s="1"/>
  <c r="O54" i="1"/>
  <c r="P54" i="1" s="1"/>
  <c r="Q54" i="1" s="1"/>
  <c r="M54" i="1"/>
  <c r="K54" i="1"/>
  <c r="L54" i="1" s="1"/>
  <c r="U53" i="1"/>
  <c r="AA53" i="1" s="1"/>
  <c r="O53" i="1"/>
  <c r="P53" i="1" s="1"/>
  <c r="Q53" i="1" s="1"/>
  <c r="M53" i="1"/>
  <c r="K53" i="1"/>
  <c r="L53" i="1" s="1"/>
  <c r="U52" i="1"/>
  <c r="AA52" i="1" s="1"/>
  <c r="O52" i="1"/>
  <c r="P52" i="1" s="1"/>
  <c r="Q52" i="1" s="1"/>
  <c r="M52" i="1"/>
  <c r="K52" i="1"/>
  <c r="L52" i="1" s="1"/>
  <c r="U51" i="1"/>
  <c r="AA51" i="1" s="1"/>
  <c r="O51" i="1"/>
  <c r="P51" i="1" s="1"/>
  <c r="Q51" i="1" s="1"/>
  <c r="M51" i="1"/>
  <c r="K51" i="1"/>
  <c r="L51" i="1" s="1"/>
  <c r="U50" i="1"/>
  <c r="AA50" i="1" s="1"/>
  <c r="O50" i="1"/>
  <c r="P50" i="1" s="1"/>
  <c r="Q50" i="1" s="1"/>
  <c r="M50" i="1"/>
  <c r="K50" i="1"/>
  <c r="L50" i="1" s="1"/>
  <c r="U49" i="1"/>
  <c r="AA49" i="1" s="1"/>
  <c r="O49" i="1"/>
  <c r="P49" i="1" s="1"/>
  <c r="Q49" i="1" s="1"/>
  <c r="M49" i="1"/>
  <c r="K49" i="1"/>
  <c r="L49" i="1" s="1"/>
  <c r="U48" i="1"/>
  <c r="AA48" i="1" s="1"/>
  <c r="O48" i="1"/>
  <c r="P48" i="1" s="1"/>
  <c r="Q48" i="1" s="1"/>
  <c r="M48" i="1"/>
  <c r="K48" i="1"/>
  <c r="L48" i="1" s="1"/>
  <c r="U47" i="1"/>
  <c r="AA47" i="1" s="1"/>
  <c r="O47" i="1"/>
  <c r="P47" i="1" s="1"/>
  <c r="Q47" i="1" s="1"/>
  <c r="M47" i="1"/>
  <c r="K47" i="1"/>
  <c r="L47" i="1" s="1"/>
  <c r="U46" i="1"/>
  <c r="AA46" i="1" s="1"/>
  <c r="O46" i="1"/>
  <c r="P46" i="1" s="1"/>
  <c r="Q46" i="1" s="1"/>
  <c r="M46" i="1"/>
  <c r="K46" i="1"/>
  <c r="L46" i="1" s="1"/>
  <c r="U45" i="1"/>
  <c r="AA45" i="1" s="1"/>
  <c r="O45" i="1"/>
  <c r="P45" i="1" s="1"/>
  <c r="Q45" i="1" s="1"/>
  <c r="M45" i="1"/>
  <c r="K45" i="1"/>
  <c r="L45" i="1" s="1"/>
  <c r="U44" i="1"/>
  <c r="AA44" i="1" s="1"/>
  <c r="O44" i="1"/>
  <c r="P44" i="1" s="1"/>
  <c r="Q44" i="1" s="1"/>
  <c r="M44" i="1"/>
  <c r="K44" i="1"/>
  <c r="L44" i="1" s="1"/>
  <c r="U43" i="1"/>
  <c r="AA43" i="1" s="1"/>
  <c r="O43" i="1"/>
  <c r="P43" i="1" s="1"/>
  <c r="Q43" i="1" s="1"/>
  <c r="M43" i="1"/>
  <c r="K43" i="1"/>
  <c r="L43" i="1" s="1"/>
  <c r="U42" i="1"/>
  <c r="AA42" i="1" s="1"/>
  <c r="O42" i="1"/>
  <c r="P42" i="1" s="1"/>
  <c r="Q42" i="1" s="1"/>
  <c r="M42" i="1"/>
  <c r="K42" i="1"/>
  <c r="L42" i="1" s="1"/>
  <c r="U41" i="1"/>
  <c r="AA41" i="1" s="1"/>
  <c r="O41" i="1"/>
  <c r="P41" i="1" s="1"/>
  <c r="Q41" i="1" s="1"/>
  <c r="M41" i="1"/>
  <c r="K41" i="1"/>
  <c r="L41" i="1" s="1"/>
  <c r="U40" i="1"/>
  <c r="AA40" i="1" s="1"/>
  <c r="O40" i="1"/>
  <c r="P40" i="1" s="1"/>
  <c r="Q40" i="1" s="1"/>
  <c r="M40" i="1"/>
  <c r="K40" i="1"/>
  <c r="L40" i="1" s="1"/>
  <c r="U39" i="1"/>
  <c r="AA39" i="1" s="1"/>
  <c r="O39" i="1"/>
  <c r="P39" i="1" s="1"/>
  <c r="Q39" i="1" s="1"/>
  <c r="M39" i="1"/>
  <c r="K39" i="1"/>
  <c r="L39" i="1" s="1"/>
  <c r="U38" i="1"/>
  <c r="AA38" i="1" s="1"/>
  <c r="O38" i="1"/>
  <c r="P38" i="1" s="1"/>
  <c r="Q38" i="1" s="1"/>
  <c r="M38" i="1"/>
  <c r="K38" i="1"/>
  <c r="L38" i="1" s="1"/>
  <c r="U37" i="1"/>
  <c r="AA37" i="1" s="1"/>
  <c r="O37" i="1"/>
  <c r="P37" i="1" s="1"/>
  <c r="Q37" i="1" s="1"/>
  <c r="M37" i="1"/>
  <c r="K37" i="1"/>
  <c r="L37" i="1" s="1"/>
  <c r="U36" i="1"/>
  <c r="AA36" i="1" s="1"/>
  <c r="O36" i="1"/>
  <c r="P36" i="1" s="1"/>
  <c r="Q36" i="1" s="1"/>
  <c r="M36" i="1"/>
  <c r="K36" i="1"/>
  <c r="L36" i="1" s="1"/>
  <c r="U35" i="1"/>
  <c r="AA35" i="1" s="1"/>
  <c r="O35" i="1"/>
  <c r="P35" i="1" s="1"/>
  <c r="Q35" i="1" s="1"/>
  <c r="M35" i="1"/>
  <c r="K35" i="1"/>
  <c r="L35" i="1" s="1"/>
  <c r="U34" i="1"/>
  <c r="AA34" i="1" s="1"/>
  <c r="O34" i="1"/>
  <c r="P34" i="1" s="1"/>
  <c r="Q34" i="1" s="1"/>
  <c r="M34" i="1"/>
  <c r="K34" i="1"/>
  <c r="L34" i="1" s="1"/>
  <c r="U33" i="1"/>
  <c r="AA33" i="1" s="1"/>
  <c r="O33" i="1"/>
  <c r="P33" i="1" s="1"/>
  <c r="Q33" i="1" s="1"/>
  <c r="M33" i="1"/>
  <c r="K33" i="1"/>
  <c r="L33" i="1" s="1"/>
  <c r="U32" i="1"/>
  <c r="AA32" i="1" s="1"/>
  <c r="O32" i="1"/>
  <c r="P32" i="1" s="1"/>
  <c r="Q32" i="1" s="1"/>
  <c r="M32" i="1"/>
  <c r="K32" i="1"/>
  <c r="L32" i="1" s="1"/>
  <c r="U31" i="1"/>
  <c r="AA31" i="1" s="1"/>
  <c r="O31" i="1"/>
  <c r="P31" i="1" s="1"/>
  <c r="Q31" i="1" s="1"/>
  <c r="M31" i="1"/>
  <c r="K31" i="1"/>
  <c r="L31" i="1" s="1"/>
  <c r="U30" i="1"/>
  <c r="AA30" i="1" s="1"/>
  <c r="O30" i="1"/>
  <c r="P30" i="1" s="1"/>
  <c r="Q30" i="1" s="1"/>
  <c r="M30" i="1"/>
  <c r="K30" i="1"/>
  <c r="L30" i="1" s="1"/>
  <c r="U29" i="1"/>
  <c r="AA29" i="1" s="1"/>
  <c r="O29" i="1"/>
  <c r="P29" i="1" s="1"/>
  <c r="Q29" i="1" s="1"/>
  <c r="M29" i="1"/>
  <c r="K29" i="1"/>
  <c r="L29" i="1" s="1"/>
  <c r="U28" i="1"/>
  <c r="AA28" i="1" s="1"/>
  <c r="O28" i="1"/>
  <c r="P28" i="1" s="1"/>
  <c r="Q28" i="1" s="1"/>
  <c r="M28" i="1"/>
  <c r="K28" i="1"/>
  <c r="L28" i="1" s="1"/>
  <c r="U27" i="1"/>
  <c r="AA27" i="1" s="1"/>
  <c r="O27" i="1"/>
  <c r="P27" i="1" s="1"/>
  <c r="Q27" i="1" s="1"/>
  <c r="M27" i="1"/>
  <c r="K27" i="1"/>
  <c r="L27" i="1" s="1"/>
  <c r="U26" i="1"/>
  <c r="AA26" i="1" s="1"/>
  <c r="O26" i="1"/>
  <c r="P26" i="1" s="1"/>
  <c r="Q26" i="1" s="1"/>
  <c r="M26" i="1"/>
  <c r="K26" i="1"/>
  <c r="L26" i="1" s="1"/>
  <c r="U25" i="1"/>
  <c r="AA25" i="1" s="1"/>
  <c r="O25" i="1"/>
  <c r="P25" i="1" s="1"/>
  <c r="Q25" i="1" s="1"/>
  <c r="M25" i="1"/>
  <c r="K25" i="1"/>
  <c r="L25" i="1" s="1"/>
  <c r="U24" i="1"/>
  <c r="AA24" i="1" s="1"/>
  <c r="O24" i="1"/>
  <c r="P24" i="1" s="1"/>
  <c r="Q24" i="1" s="1"/>
  <c r="M24" i="1"/>
  <c r="K24" i="1"/>
  <c r="L24" i="1" s="1"/>
  <c r="U23" i="1"/>
  <c r="AA23" i="1" s="1"/>
  <c r="O23" i="1"/>
  <c r="P23" i="1" s="1"/>
  <c r="Q23" i="1" s="1"/>
  <c r="M23" i="1"/>
  <c r="K23" i="1"/>
  <c r="L23" i="1" s="1"/>
  <c r="U22" i="1"/>
  <c r="AA22" i="1" s="1"/>
  <c r="O22" i="1"/>
  <c r="P22" i="1" s="1"/>
  <c r="Q22" i="1" s="1"/>
  <c r="M22" i="1"/>
  <c r="K22" i="1"/>
  <c r="L22" i="1" s="1"/>
  <c r="U21" i="1"/>
  <c r="AA21" i="1" s="1"/>
  <c r="O21" i="1"/>
  <c r="P21" i="1" s="1"/>
  <c r="Q21" i="1" s="1"/>
  <c r="M21" i="1"/>
  <c r="K21" i="1"/>
  <c r="L21" i="1" s="1"/>
  <c r="U20" i="1"/>
  <c r="AA20" i="1" s="1"/>
  <c r="S20" i="1"/>
  <c r="V20" i="1" s="1"/>
  <c r="O20" i="1"/>
  <c r="P20" i="1" s="1"/>
  <c r="Q20" i="1" s="1"/>
  <c r="M20" i="1"/>
  <c r="K20" i="1"/>
  <c r="L20" i="1" s="1"/>
  <c r="U19" i="1"/>
  <c r="AA19" i="1" s="1"/>
  <c r="O19" i="1"/>
  <c r="P19" i="1" s="1"/>
  <c r="Q19" i="1" s="1"/>
  <c r="M19" i="1"/>
  <c r="K19" i="1"/>
  <c r="L19" i="1" s="1"/>
  <c r="U18" i="1"/>
  <c r="AA18" i="1" s="1"/>
  <c r="S18" i="1"/>
  <c r="V18" i="1" s="1"/>
  <c r="O18" i="1"/>
  <c r="P18" i="1" s="1"/>
  <c r="Q18" i="1" s="1"/>
  <c r="M18" i="1"/>
  <c r="K18" i="1"/>
  <c r="L18" i="1" s="1"/>
  <c r="U17" i="1"/>
  <c r="AA17" i="1" s="1"/>
  <c r="S17" i="1"/>
  <c r="V17" i="1" s="1"/>
  <c r="O17" i="1"/>
  <c r="P17" i="1" s="1"/>
  <c r="Q17" i="1" s="1"/>
  <c r="M17" i="1"/>
  <c r="K17" i="1"/>
  <c r="L17" i="1" s="1"/>
  <c r="U16" i="1"/>
  <c r="AA16" i="1" s="1"/>
  <c r="O16" i="1"/>
  <c r="P16" i="1" s="1"/>
  <c r="Q16" i="1" s="1"/>
  <c r="M16" i="1"/>
  <c r="K16" i="1"/>
  <c r="L16" i="1" s="1"/>
  <c r="U15" i="1"/>
  <c r="AA15" i="1" s="1"/>
  <c r="O15" i="1"/>
  <c r="P15" i="1" s="1"/>
  <c r="Q15" i="1" s="1"/>
  <c r="M15" i="1"/>
  <c r="K15" i="1"/>
  <c r="L15" i="1" s="1"/>
  <c r="U14" i="1"/>
  <c r="AA14" i="1" s="1"/>
  <c r="S14" i="1"/>
  <c r="V14" i="1" s="1"/>
  <c r="O14" i="1"/>
  <c r="P14" i="1" s="1"/>
  <c r="Q14" i="1" s="1"/>
  <c r="M14" i="1"/>
  <c r="K14" i="1"/>
  <c r="L14" i="1" s="1"/>
  <c r="U13" i="1"/>
  <c r="AA13" i="1" s="1"/>
  <c r="S13" i="1"/>
  <c r="V13" i="1" s="1"/>
  <c r="O13" i="1"/>
  <c r="P13" i="1" s="1"/>
  <c r="Q13" i="1" s="1"/>
  <c r="M13" i="1"/>
  <c r="K13" i="1"/>
  <c r="L13" i="1" s="1"/>
  <c r="U12" i="1"/>
  <c r="AA12" i="1" s="1"/>
  <c r="O12" i="1"/>
  <c r="P12" i="1" s="1"/>
  <c r="Q12" i="1" s="1"/>
  <c r="M12" i="1"/>
  <c r="K12" i="1"/>
  <c r="L12" i="1" s="1"/>
  <c r="U11" i="1"/>
  <c r="AA11" i="1" s="1"/>
  <c r="S11" i="1"/>
  <c r="V11" i="1" s="1"/>
  <c r="O11" i="1"/>
  <c r="P11" i="1" s="1"/>
  <c r="Q11" i="1" s="1"/>
  <c r="M11" i="1"/>
  <c r="K11" i="1"/>
  <c r="L11" i="1" s="1"/>
  <c r="U10" i="1"/>
  <c r="AA10" i="1" s="1"/>
  <c r="S10" i="1"/>
  <c r="V10" i="1" s="1"/>
  <c r="O10" i="1"/>
  <c r="P10" i="1" s="1"/>
  <c r="Q10" i="1" s="1"/>
  <c r="M10" i="1"/>
  <c r="K10" i="1"/>
  <c r="L10" i="1" s="1"/>
  <c r="U9" i="1"/>
  <c r="AA9" i="1" s="1"/>
  <c r="S9" i="1"/>
  <c r="V9" i="1" s="1"/>
  <c r="O9" i="1"/>
  <c r="P9" i="1" s="1"/>
  <c r="Q9" i="1" s="1"/>
  <c r="M9" i="1"/>
  <c r="K9" i="1"/>
  <c r="L9" i="1" s="1"/>
  <c r="U8" i="1"/>
  <c r="AA8" i="1" s="1"/>
  <c r="S8" i="1"/>
  <c r="V8" i="1" s="1"/>
  <c r="O8" i="1"/>
  <c r="P8" i="1" s="1"/>
  <c r="Q8" i="1" s="1"/>
  <c r="M8" i="1"/>
  <c r="K8" i="1"/>
  <c r="L8" i="1" s="1"/>
  <c r="U7" i="1"/>
  <c r="AA7" i="1" s="1"/>
  <c r="S7" i="1"/>
  <c r="V7" i="1" s="1"/>
  <c r="O7" i="1"/>
  <c r="P7" i="1" s="1"/>
  <c r="Q7" i="1" s="1"/>
  <c r="M7" i="1"/>
  <c r="K7" i="1"/>
  <c r="L7" i="1" s="1"/>
  <c r="U6" i="1"/>
  <c r="AA6" i="1" s="1"/>
  <c r="S6" i="1"/>
  <c r="V6" i="1" s="1"/>
  <c r="O6" i="1"/>
  <c r="P6" i="1" s="1"/>
  <c r="Q6" i="1" s="1"/>
  <c r="M6" i="1"/>
  <c r="K6" i="1"/>
  <c r="L6" i="1" s="1"/>
  <c r="U5" i="1"/>
  <c r="AA5" i="1" s="1"/>
  <c r="S5" i="1"/>
  <c r="V5" i="1" s="1"/>
  <c r="O5" i="1"/>
  <c r="P5" i="1" s="1"/>
  <c r="Q5" i="1" s="1"/>
  <c r="M5" i="1"/>
  <c r="K5" i="1"/>
  <c r="L5" i="1" s="1"/>
  <c r="U4" i="1"/>
  <c r="AA4" i="1" s="1"/>
  <c r="S4" i="1"/>
  <c r="V4" i="1" s="1"/>
  <c r="O4" i="1"/>
  <c r="P4" i="1" s="1"/>
  <c r="Q4" i="1" s="1"/>
  <c r="M4" i="1"/>
  <c r="K4" i="1"/>
  <c r="L4" i="1" s="1"/>
  <c r="AH81" i="1" l="1"/>
  <c r="Z78" i="1"/>
  <c r="W37" i="1"/>
  <c r="W20" i="1"/>
  <c r="W32" i="1"/>
  <c r="W17" i="1"/>
  <c r="P72" i="1"/>
  <c r="Q72" i="1" s="1"/>
  <c r="Q75" i="1" s="1"/>
  <c r="Q77" i="1" s="1"/>
  <c r="W6" i="1"/>
  <c r="W10" i="1"/>
  <c r="W67" i="1"/>
  <c r="W7" i="1"/>
  <c r="W27" i="1"/>
  <c r="W58" i="1"/>
  <c r="W44" i="1"/>
  <c r="W66" i="1"/>
  <c r="W47" i="1"/>
  <c r="W41" i="1"/>
  <c r="W49" i="1"/>
  <c r="W71" i="1"/>
  <c r="W36" i="1"/>
  <c r="W48" i="1"/>
  <c r="W28" i="1"/>
  <c r="W57" i="1"/>
  <c r="W72" i="1"/>
  <c r="W24" i="1"/>
  <c r="W52" i="1"/>
  <c r="W33" i="1"/>
  <c r="W21" i="1"/>
  <c r="W8" i="1"/>
  <c r="W31" i="1"/>
  <c r="W9" i="1"/>
  <c r="W45" i="1"/>
  <c r="W60" i="1"/>
  <c r="W63" i="1"/>
  <c r="W70" i="1"/>
  <c r="W5" i="1"/>
  <c r="W55" i="1"/>
  <c r="W59" i="1"/>
  <c r="W4" i="1"/>
  <c r="W13" i="1"/>
  <c r="W25" i="1"/>
  <c r="W29" i="1"/>
  <c r="W50" i="1"/>
  <c r="W51" i="1"/>
  <c r="W64" i="1"/>
  <c r="W12" i="1"/>
  <c r="W18" i="1"/>
  <c r="W16" i="1"/>
  <c r="W40" i="1"/>
  <c r="W56" i="1"/>
  <c r="W61" i="1"/>
  <c r="W68" i="1"/>
  <c r="W11" i="1"/>
  <c r="W14" i="1"/>
  <c r="U75" i="1"/>
  <c r="W15" i="1"/>
  <c r="W19" i="1"/>
  <c r="W34" i="1"/>
  <c r="W35" i="1"/>
  <c r="W42" i="1"/>
  <c r="W53" i="1"/>
  <c r="W65" i="1"/>
  <c r="S75" i="1"/>
  <c r="W22" i="1"/>
  <c r="W23" i="1"/>
  <c r="W38" i="1"/>
  <c r="W39" i="1"/>
  <c r="W46" i="1"/>
  <c r="W62" i="1"/>
  <c r="W30" i="1"/>
  <c r="W26" i="1"/>
  <c r="W43" i="1"/>
  <c r="W54" i="1"/>
  <c r="W69" i="1"/>
  <c r="W75" i="1" l="1"/>
  <c r="AG77" i="1" l="1"/>
  <c r="I48" i="9" l="1"/>
  <c r="I61" i="9" l="1"/>
  <c r="I63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PC7</author>
  </authors>
  <commentList>
    <comment ref="T9" authorId="0" shapeId="0" xr:uid="{8F6CDE30-4EC9-4403-8231-724A4FFD6A1E}">
      <text>
        <r>
          <rPr>
            <b/>
            <sz val="9"/>
            <color indexed="81"/>
            <rFont val="Tahoma"/>
            <family val="2"/>
          </rPr>
          <t>PC7:</t>
        </r>
        <r>
          <rPr>
            <sz val="9"/>
            <color indexed="81"/>
            <rFont val="Tahoma"/>
            <family val="2"/>
          </rPr>
          <t xml:space="preserve">
81.29</t>
        </r>
      </text>
    </comment>
    <comment ref="J23" authorId="0" shapeId="0" xr:uid="{EBCC6CC4-0C60-41E6-B98F-14935E60738D}">
      <text>
        <r>
          <rPr>
            <sz val="9"/>
            <color indexed="81"/>
            <rFont val="Tahoma"/>
            <family val="2"/>
          </rPr>
          <t>0303DM0060N replaced with 0302AAU00190N, price changed from Rs.197 to Rs. 196</t>
        </r>
      </text>
    </comment>
    <comment ref="T23" authorId="0" shapeId="0" xr:uid="{8082C4A4-E749-4E5F-9BC7-A3C55FA48E5C}">
      <text>
        <r>
          <rPr>
            <b/>
            <sz val="9"/>
            <color indexed="81"/>
            <rFont val="Tahoma"/>
            <charset val="1"/>
          </rPr>
          <t>price of alternative part 0302AAU00190N is Rs. 136.12, reduced from original price of R4S. 141.48</t>
        </r>
      </text>
    </comment>
    <comment ref="J70" authorId="0" shapeId="0" xr:uid="{5215E179-BD91-4BFA-963B-6FD7AA1FFE8E}">
      <text>
        <r>
          <rPr>
            <b/>
            <sz val="9"/>
            <color indexed="81"/>
            <rFont val="Tahoma"/>
            <family val="2"/>
          </rPr>
          <t>TPMS Sensor, original Part No. 1805BAA00791N, MRP for M2All INR 1492, replaced with 1805BAA01321N, NAME: TPMS, MRP 1,004</t>
        </r>
      </text>
    </comment>
    <comment ref="T70" authorId="0" shapeId="0" xr:uid="{1F8FE58E-B071-4961-B518-DCAA99EE449B}">
      <text>
        <r>
          <rPr>
            <b/>
            <sz val="9"/>
            <color indexed="81"/>
            <rFont val="Tahoma"/>
            <family val="2"/>
          </rPr>
          <t>PC7:</t>
        </r>
        <r>
          <rPr>
            <sz val="9"/>
            <color indexed="81"/>
            <rFont val="Tahoma"/>
            <family val="2"/>
          </rPr>
          <t xml:space="preserve">
reduced from 1071.59 for replacement from 1805BAA00791N
</t>
        </r>
      </text>
    </comment>
    <comment ref="T71" authorId="0" shapeId="0" xr:uid="{399948CE-88C1-4D90-AB44-3557596B6EF4}">
      <text>
        <r>
          <rPr>
            <b/>
            <sz val="9"/>
            <color indexed="81"/>
            <rFont val="Tahoma"/>
            <family val="2"/>
          </rPr>
          <t>PC7:</t>
        </r>
        <r>
          <rPr>
            <sz val="9"/>
            <color indexed="81"/>
            <rFont val="Tahoma"/>
            <family val="2"/>
          </rPr>
          <t xml:space="preserve">
23.71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PC7</author>
  </authors>
  <commentList>
    <comment ref="J46" authorId="0" shapeId="0" xr:uid="{406EC161-805D-4930-8BB3-655970D8DE6E}">
      <text>
        <r>
          <rPr>
            <b/>
            <sz val="9"/>
            <color indexed="81"/>
            <rFont val="Tahoma"/>
            <family val="2"/>
          </rPr>
          <t>TPMS Sensor, original Part No. 1805BAA00791N, MRP for M2All INR 1492, replaced with 1805BAA01321N, NAME: TPMS, MRP 1,004</t>
        </r>
      </text>
    </comment>
  </commentList>
</comments>
</file>

<file path=xl/sharedStrings.xml><?xml version="1.0" encoding="utf-8"?>
<sst xmlns="http://schemas.openxmlformats.org/spreadsheetml/2006/main" count="1900" uniqueCount="422">
  <si>
    <t>Freight Cost</t>
  </si>
  <si>
    <t>shipg</t>
  </si>
  <si>
    <t>Finance Cost</t>
  </si>
  <si>
    <t>Profit</t>
  </si>
  <si>
    <t>Exch</t>
  </si>
  <si>
    <t>as per US</t>
  </si>
  <si>
    <t>Packing + misc</t>
  </si>
  <si>
    <t>as per M2All</t>
  </si>
  <si>
    <t>Sr. No.</t>
  </si>
  <si>
    <t>Section</t>
  </si>
  <si>
    <t>Part No.</t>
  </si>
  <si>
    <t>Part Name</t>
  </si>
  <si>
    <t>HSN Code</t>
  </si>
  <si>
    <t>Group</t>
  </si>
  <si>
    <t>GST %ge</t>
  </si>
  <si>
    <t>MRP incl GST</t>
  </si>
  <si>
    <t>GST compo-nent of the MRP</t>
  </si>
  <si>
    <t>MRP without GST compo-nent</t>
  </si>
  <si>
    <t>MRP without GST Component R</t>
  </si>
  <si>
    <t>Revised Price by M2All 14Nov22</t>
  </si>
  <si>
    <t>Less: 18% discount</t>
  </si>
  <si>
    <t>Unit Price</t>
  </si>
  <si>
    <t>Total Amount</t>
  </si>
  <si>
    <t>Unit Sale Price C&amp;F</t>
  </si>
  <si>
    <t>Total Sale Price US$</t>
  </si>
  <si>
    <t>Unit Cost Price of M2All of 2Jan23</t>
  </si>
  <si>
    <t>Total Cost Price as per PI 2Jan23</t>
  </si>
  <si>
    <t>Total Sale Price in INR</t>
  </si>
  <si>
    <t>Gross Profit</t>
  </si>
  <si>
    <t>Remarks</t>
  </si>
  <si>
    <t>FILTERS</t>
  </si>
  <si>
    <t>0303BC0071N</t>
  </si>
  <si>
    <t>OIL FILTER</t>
  </si>
  <si>
    <t>87089900</t>
  </si>
  <si>
    <t>A</t>
  </si>
  <si>
    <t>0313AAM02161N</t>
  </si>
  <si>
    <t>AIR FILTER</t>
  </si>
  <si>
    <t>84213100</t>
  </si>
  <si>
    <t>1001CAA14881N</t>
  </si>
  <si>
    <t>KIT FILTER ELEMENT FUEL</t>
  </si>
  <si>
    <t>8421300</t>
  </si>
  <si>
    <t>1203CAA02820N</t>
  </si>
  <si>
    <t>A/C FILTER</t>
  </si>
  <si>
    <t>ENGINE COMPONENTS</t>
  </si>
  <si>
    <t>03090C0231N</t>
  </si>
  <si>
    <t>SENSOR ENGINE SPEED</t>
  </si>
  <si>
    <t>90318000</t>
  </si>
  <si>
    <t>To remove from M2All PI</t>
  </si>
  <si>
    <t>03090C0071N</t>
  </si>
  <si>
    <t>SENSOR WATER TEMPERATURE</t>
  </si>
  <si>
    <t>90328990</t>
  </si>
  <si>
    <t>0304AC0090N</t>
  </si>
  <si>
    <t>INTERCOOLER</t>
  </si>
  <si>
    <t>0303DM0060N</t>
  </si>
  <si>
    <t>OIL PRESSURE SWITCH</t>
  </si>
  <si>
    <t>1402AAA09141N</t>
  </si>
  <si>
    <t>ALTERNATOR</t>
  </si>
  <si>
    <t>85111000</t>
  </si>
  <si>
    <t>0306GM0141N</t>
  </si>
  <si>
    <t>BELT ALTERNATOR</t>
  </si>
  <si>
    <t>0306JM0041N</t>
  </si>
  <si>
    <t>BELT TENSIONER</t>
  </si>
  <si>
    <t>0306GS0030N</t>
  </si>
  <si>
    <t>PULLEY DRIVE BELT</t>
  </si>
  <si>
    <t>0303BM0080N</t>
  </si>
  <si>
    <t>DISPSTICK ASSY OIL LEVEL</t>
  </si>
  <si>
    <t>0304EM0050N</t>
  </si>
  <si>
    <t>ASSY WATER PUMP LCV LX</t>
  </si>
  <si>
    <t>84133090</t>
  </si>
  <si>
    <t>24107</t>
  </si>
  <si>
    <t>O RING WATER PUMP</t>
  </si>
  <si>
    <t>40169920</t>
  </si>
  <si>
    <t>1203AAA01061N</t>
  </si>
  <si>
    <t>A/C COMPRESSOR</t>
  </si>
  <si>
    <t>0306GAM00261N</t>
  </si>
  <si>
    <t>BELT A/C COM,PRESSOR &amp; WATER PUMP</t>
  </si>
  <si>
    <t>0304FM0090N</t>
  </si>
  <si>
    <t>FAN</t>
  </si>
  <si>
    <t>FULL SYSTEM</t>
  </si>
  <si>
    <t>0305BAM00270N</t>
  </si>
  <si>
    <t>INJECTOR - W201</t>
  </si>
  <si>
    <t>84099990</t>
  </si>
  <si>
    <t>STARTING SYSTEM</t>
  </si>
  <si>
    <t>0307CAM00321N</t>
  </si>
  <si>
    <t>STARTER MOTOR</t>
  </si>
  <si>
    <t>85114000</t>
  </si>
  <si>
    <t>STEERING</t>
  </si>
  <si>
    <t>1104AAA03161N</t>
  </si>
  <si>
    <t>ASSY INTERMEDIATE SHAFT</t>
  </si>
  <si>
    <t>COOLING SYSTEM</t>
  </si>
  <si>
    <t>0304AAM01221N</t>
  </si>
  <si>
    <t>RADIATOR ASSY</t>
  </si>
  <si>
    <t>87089100</t>
  </si>
  <si>
    <t>1203BA1661N</t>
  </si>
  <si>
    <t>CONDENSOR</t>
  </si>
  <si>
    <t>CLUTCH</t>
  </si>
  <si>
    <t>0801CAA01411N</t>
  </si>
  <si>
    <t>CLUTCH KIT ASSEMBLY</t>
  </si>
  <si>
    <t>87089300</t>
  </si>
  <si>
    <t>0304DAM01290N</t>
  </si>
  <si>
    <t>THERMOSTAT</t>
  </si>
  <si>
    <t>0304DAM06170N</t>
  </si>
  <si>
    <t>HOSE ASSY RADIATOR INLET</t>
  </si>
  <si>
    <t>40092200</t>
  </si>
  <si>
    <t>SUSPENSION</t>
  </si>
  <si>
    <t>0403ABB00391N</t>
  </si>
  <si>
    <t>SHOCK ABSORBER FRONT</t>
  </si>
  <si>
    <t xml:space="preserve">87088000 </t>
  </si>
  <si>
    <t>0403ADG00021N</t>
  </si>
  <si>
    <t>SHOCX ABSORBER REAR</t>
  </si>
  <si>
    <t>87088000</t>
  </si>
  <si>
    <t>0402AA1150N</t>
  </si>
  <si>
    <t>LEAF SPRING ASSY - REAR</t>
  </si>
  <si>
    <t>73201011</t>
  </si>
  <si>
    <t>0402BA0050N</t>
  </si>
  <si>
    <t>SUSPENSION ARM LOWER BUSHING LH (Bush Rubber Rear Suspens)</t>
  </si>
  <si>
    <t>73181600</t>
  </si>
  <si>
    <t>0402BA0260N</t>
  </si>
  <si>
    <t>LEAF SPRING - U BOLT</t>
  </si>
  <si>
    <t>73181500</t>
  </si>
  <si>
    <t>BRAKES</t>
  </si>
  <si>
    <t>0603BAB0023KT</t>
  </si>
  <si>
    <t>BRAKE LINERS CLIPPER ASSY</t>
  </si>
  <si>
    <t>0606AAB01891N</t>
  </si>
  <si>
    <t>MASTER CYLINDER ASSY ESP</t>
  </si>
  <si>
    <t>0602BB1420N</t>
  </si>
  <si>
    <t>WHEEL CYLINDER ASSY</t>
  </si>
  <si>
    <t>87087000</t>
  </si>
  <si>
    <t>0601BAB02241N</t>
  </si>
  <si>
    <t>ADJUSTER REAR BRAKE ASSY - RH</t>
  </si>
  <si>
    <t>87083000</t>
  </si>
  <si>
    <t>0601BAB02231N</t>
  </si>
  <si>
    <t>ADJUSTER REAR BRAKE ASSY - LH</t>
  </si>
  <si>
    <t>EXTERIOR COMPONENT</t>
  </si>
  <si>
    <t>0108AAG00431N</t>
  </si>
  <si>
    <t>BLACK GRILL ASSY FRONT</t>
  </si>
  <si>
    <t>0108BAG02140N</t>
  </si>
  <si>
    <t>CLADDING ASSY FRONT RH ( FENDER)</t>
  </si>
  <si>
    <t>87082900</t>
  </si>
  <si>
    <t>0108BAG02150N</t>
  </si>
  <si>
    <t>CLADDING ASSY FRONT LH ( FENDER)</t>
  </si>
  <si>
    <t>0108AAG00361N</t>
  </si>
  <si>
    <t>ADDON GRILL TOP PLATE</t>
  </si>
  <si>
    <t>0108FAG01390N</t>
  </si>
  <si>
    <t>MUD FLAP CARGO REAR - LH</t>
  </si>
  <si>
    <t>0108FAG01380N</t>
  </si>
  <si>
    <t>MUD FLAP CARGO REAR - RH</t>
  </si>
  <si>
    <t>0108BAL00140N</t>
  </si>
  <si>
    <t>MUD FLAP FRONT - RH</t>
  </si>
  <si>
    <t>0108BAL00150N</t>
  </si>
  <si>
    <t>MUD FLAP FRONT - LH</t>
  </si>
  <si>
    <t>LIGHTINGS</t>
  </si>
  <si>
    <t>1701AAA07521N</t>
  </si>
  <si>
    <t>HEAD LAMP LH</t>
  </si>
  <si>
    <t>85122010</t>
  </si>
  <si>
    <t>1701AAA07531N</t>
  </si>
  <si>
    <t>HEAD LAMP RH</t>
  </si>
  <si>
    <t>85122020</t>
  </si>
  <si>
    <t>1703AA0030N</t>
  </si>
  <si>
    <t>REAR TAIL LAMP - RH</t>
  </si>
  <si>
    <t>1701DAA00681N</t>
  </si>
  <si>
    <t>FRONT FOG LAMP ASSY - LH</t>
  </si>
  <si>
    <t>1701DAA00691N</t>
  </si>
  <si>
    <t>FRONT FOG LAMP ASSY - RH</t>
  </si>
  <si>
    <t>WHEELS &amp; TYRES</t>
  </si>
  <si>
    <t>0404AAA01421A</t>
  </si>
  <si>
    <t>WHEEL RIM</t>
  </si>
  <si>
    <t>1805BAA00791N</t>
  </si>
  <si>
    <t>TPMS SENSOR</t>
  </si>
  <si>
    <t>97882</t>
  </si>
  <si>
    <t>WHEEL NUT</t>
  </si>
  <si>
    <t>Engine Components</t>
  </si>
  <si>
    <t>0313BM0330N</t>
  </si>
  <si>
    <t>INTERCOOLER BRACKET RH</t>
  </si>
  <si>
    <t>997212</t>
  </si>
  <si>
    <t>B</t>
  </si>
  <si>
    <t>18%</t>
  </si>
  <si>
    <t>0203AD0430N</t>
  </si>
  <si>
    <t>ENGINE MOUNTING</t>
  </si>
  <si>
    <t>28%</t>
  </si>
  <si>
    <r>
      <t>0701AAJ00540</t>
    </r>
    <r>
      <rPr>
        <sz val="9"/>
        <rFont val="Arial Narrow"/>
        <family val="2"/>
      </rPr>
      <t>N</t>
    </r>
  </si>
  <si>
    <t>GEAR MOUNTING</t>
  </si>
  <si>
    <t>0703AAD06570N</t>
  </si>
  <si>
    <t>GEAR BOX ASSY</t>
  </si>
  <si>
    <t>Not quoted by M2All</t>
  </si>
  <si>
    <t>Suspension</t>
  </si>
  <si>
    <t>0503CA0570N</t>
  </si>
  <si>
    <t>FRONT HUB BEARING</t>
  </si>
  <si>
    <t>84829900</t>
  </si>
  <si>
    <r>
      <t>0502LAA00551</t>
    </r>
    <r>
      <rPr>
        <b/>
        <sz val="9"/>
        <rFont val="Arial Narrow"/>
        <family val="2"/>
      </rPr>
      <t>N</t>
    </r>
  </si>
  <si>
    <t>REAR HUB BEARING</t>
  </si>
  <si>
    <t>84821090</t>
  </si>
  <si>
    <t>0019405</t>
  </si>
  <si>
    <t>CROSS BEARING</t>
  </si>
  <si>
    <t>Brakes</t>
  </si>
  <si>
    <t xml:space="preserve">0606AB0350N </t>
  </si>
  <si>
    <t>CLUTCH MASTER CYLINDER ASSY ALUMINIUM</t>
  </si>
  <si>
    <t>Exterior Component</t>
  </si>
  <si>
    <t>0111HG0311N</t>
  </si>
  <si>
    <t>WINDOW MOTOR ASSY RH</t>
  </si>
  <si>
    <t>0111HG0321N</t>
  </si>
  <si>
    <t>WINDOW MOTOR ASSY LH</t>
  </si>
  <si>
    <t>0111HG0301N</t>
  </si>
  <si>
    <t>FRONT DOOR HANDLE OUTER RH</t>
  </si>
  <si>
    <t xml:space="preserve">0114DAG01740N
</t>
  </si>
  <si>
    <t>REAR DOOR HANDLE OUTER RH</t>
  </si>
  <si>
    <t>0111HG0291N</t>
  </si>
  <si>
    <t>FRONT DOOR HANDLE OUTER LH</t>
  </si>
  <si>
    <t>0114EL0060N</t>
  </si>
  <si>
    <t>REAR DOOR HANDLE OUTER LH</t>
  </si>
  <si>
    <t>0114DAG01650N</t>
  </si>
  <si>
    <t>REAR DOOR HANDLE WITH BOX</t>
  </si>
  <si>
    <t>Wheels &amp; Tyres</t>
  </si>
  <si>
    <t>97878</t>
  </si>
  <si>
    <t>WHEEL BOLT FRONT</t>
  </si>
  <si>
    <t>97871</t>
  </si>
  <si>
    <t>WHEEL BOLT REAR</t>
  </si>
  <si>
    <t>73181900</t>
  </si>
  <si>
    <t>Say</t>
  </si>
  <si>
    <t>Original Qnty</t>
  </si>
  <si>
    <t>Ordered Qnty</t>
  </si>
  <si>
    <t>FAN ASSY-Not included</t>
  </si>
  <si>
    <t>50</t>
  </si>
  <si>
    <t>Repeat Sr. No. 31</t>
  </si>
  <si>
    <t>Sr No 69 not quoted</t>
  </si>
  <si>
    <t>Shipment One</t>
  </si>
  <si>
    <t>Balance Qnty</t>
  </si>
  <si>
    <t>Total Shipped</t>
  </si>
  <si>
    <t>Qnty (Inv Auto-1001)</t>
  </si>
  <si>
    <t>M2All Value (INR)</t>
  </si>
  <si>
    <t>AlFahd Sale Amount (US$)</t>
  </si>
  <si>
    <t>Second Shipment</t>
  </si>
  <si>
    <t>Qnty</t>
  </si>
  <si>
    <t>Balance Value payable To M2All (INR)</t>
  </si>
  <si>
    <t>Less: 40% advance paid</t>
  </si>
  <si>
    <t>Total Payable for delivery</t>
  </si>
  <si>
    <t>Total Supplied to client-US$</t>
  </si>
  <si>
    <t>Balance To ship to client - US$</t>
  </si>
  <si>
    <t>0701AAJ00540N</t>
  </si>
  <si>
    <t>0502LAA00551N</t>
  </si>
  <si>
    <t>Inv Amount</t>
  </si>
  <si>
    <t>Unit Price US$</t>
  </si>
  <si>
    <t>TOTAL</t>
  </si>
  <si>
    <t>SECTION</t>
  </si>
  <si>
    <t>Part No</t>
  </si>
  <si>
    <t>Part Description</t>
  </si>
  <si>
    <t>HS Code</t>
  </si>
  <si>
    <t>84821011</t>
  </si>
  <si>
    <t>83025000</t>
  </si>
  <si>
    <t>Third Shipment</t>
  </si>
  <si>
    <t>Fourth Shipment</t>
  </si>
  <si>
    <t>1805BAA00791N / 1805BAA01321N</t>
  </si>
  <si>
    <t>TPMS</t>
  </si>
  <si>
    <t>Unit Price (US$)</t>
  </si>
  <si>
    <t>Total Amount (US$)</t>
  </si>
  <si>
    <t xml:space="preserve"> </t>
  </si>
  <si>
    <t>BELT A/C COMPRESSOR &amp; WATER PUMP</t>
  </si>
  <si>
    <t>SHOCK ABSORBER REAR</t>
  </si>
  <si>
    <t>Total Billed to M2All</t>
  </si>
  <si>
    <t>0303DM0060N /
0302AAU00190N</t>
  </si>
  <si>
    <t>Freight</t>
  </si>
  <si>
    <t>Details</t>
  </si>
  <si>
    <t>Account</t>
  </si>
  <si>
    <t>Inv No.</t>
  </si>
  <si>
    <t>Party</t>
  </si>
  <si>
    <t>DR</t>
  </si>
  <si>
    <t>CR</t>
  </si>
  <si>
    <t>Inv Dated</t>
  </si>
  <si>
    <t>Sales</t>
  </si>
  <si>
    <t>AlShahd Water Factory, AlQassim</t>
  </si>
  <si>
    <t>FC</t>
  </si>
  <si>
    <t>FC Amount</t>
  </si>
  <si>
    <t>US$</t>
  </si>
  <si>
    <t>Freight for First Shipment</t>
  </si>
  <si>
    <t>1256-22106020833</t>
  </si>
  <si>
    <t>Freight Systems</t>
  </si>
  <si>
    <t>INR</t>
  </si>
  <si>
    <t>1256-2210602832</t>
  </si>
  <si>
    <t>Customs Clearance</t>
  </si>
  <si>
    <t>Insurance</t>
  </si>
  <si>
    <t>Freight and other charges</t>
  </si>
  <si>
    <t>Legalization Expenses</t>
  </si>
  <si>
    <t>EEPC</t>
  </si>
  <si>
    <t>Auto-1001</t>
  </si>
  <si>
    <t>Auto-1002</t>
  </si>
  <si>
    <t>Exch Rate</t>
  </si>
  <si>
    <t>Fifth Gear Ventures Ltd</t>
  </si>
  <si>
    <t>Material Cost</t>
  </si>
  <si>
    <t>GST</t>
  </si>
  <si>
    <t>IN272327eb15492</t>
  </si>
  <si>
    <t>Material Cost - first shipment - 36 pkgs</t>
  </si>
  <si>
    <t>GST - 2nd shipment</t>
  </si>
  <si>
    <t>GST - 1st shipment</t>
  </si>
  <si>
    <t>Material Cost - shipment 2 - 199 pkgs</t>
  </si>
  <si>
    <t>Sales - second shipment</t>
  </si>
  <si>
    <t>Sales - first shipment</t>
  </si>
  <si>
    <t>Legalization - first shipment</t>
  </si>
  <si>
    <t>Certificate of origin</t>
  </si>
  <si>
    <t>Transport</t>
  </si>
  <si>
    <t>Insurance - 2nd shipment</t>
  </si>
  <si>
    <t>Freight for 2nd shipment</t>
  </si>
  <si>
    <t>1256-23106001011</t>
  </si>
  <si>
    <t>1256-23106001012</t>
  </si>
  <si>
    <t>IN272427EB0397</t>
  </si>
  <si>
    <t>IN272427EB0004</t>
  </si>
  <si>
    <t>GST for 2nd shipment Freight</t>
  </si>
  <si>
    <t>Material cost - 3rd shipment - 190 pkgs</t>
  </si>
  <si>
    <t>GST for 3rd shipment - 190 pkgs</t>
  </si>
  <si>
    <t>Auto-1003</t>
  </si>
  <si>
    <t>Sales - 3rd shipment</t>
  </si>
  <si>
    <t>USD</t>
  </si>
  <si>
    <t>HO/FEB/2223/0189</t>
  </si>
  <si>
    <t>Certificate of origin - first shipment</t>
  </si>
  <si>
    <t>GST - first shipment</t>
  </si>
  <si>
    <t>Freight - 3rd shipment</t>
  </si>
  <si>
    <t>Customs Clearance - third shipment</t>
  </si>
  <si>
    <t>Certificate of origin - third shipment</t>
  </si>
  <si>
    <t>Transportation</t>
  </si>
  <si>
    <t>inr</t>
  </si>
  <si>
    <t>Packing</t>
  </si>
  <si>
    <t>Insurance - 3rd shipment</t>
  </si>
  <si>
    <t>Nil</t>
  </si>
  <si>
    <t>GST Registration</t>
  </si>
  <si>
    <t>More &amp; Associates</t>
  </si>
  <si>
    <t>GST registration service charges</t>
  </si>
  <si>
    <t>JK Bank</t>
  </si>
  <si>
    <t>CC Processing Charges</t>
  </si>
  <si>
    <t>CC Processing Charges for CC of 25 lakhs</t>
  </si>
  <si>
    <t>Legalization</t>
  </si>
  <si>
    <t>Row Labels</t>
  </si>
  <si>
    <t>Grand Total</t>
  </si>
  <si>
    <t>CGST @ 9% - Freight for First Shipment</t>
  </si>
  <si>
    <t>sgst @ 9% - Freight for First Shipment</t>
  </si>
  <si>
    <t>Sum of DR</t>
  </si>
  <si>
    <t>Sum of CR</t>
  </si>
  <si>
    <t>2324-035</t>
  </si>
  <si>
    <t>USD 661.62 x 84.5</t>
  </si>
  <si>
    <t>2324-03</t>
  </si>
  <si>
    <t>2324-036</t>
  </si>
  <si>
    <t>Astraasl Logic Solutions Pvt Ltd</t>
  </si>
  <si>
    <t>GST on Freight 3rd shipment</t>
  </si>
  <si>
    <t>Freight Handling Charges - 3rd shipment</t>
  </si>
  <si>
    <t>Freight Handling</t>
  </si>
  <si>
    <t>GST on Freight Handling - 3rd shipment</t>
  </si>
  <si>
    <t>Credit control area</t>
  </si>
  <si>
    <t>Reference</t>
  </si>
  <si>
    <t>Posting Date</t>
  </si>
  <si>
    <t>Document Number</t>
  </si>
  <si>
    <t>Document Type</t>
  </si>
  <si>
    <t>Amount in Doc. Curr.</t>
  </si>
  <si>
    <t>Text</t>
  </si>
  <si>
    <t>CDM2301107</t>
  </si>
  <si>
    <t>VLDS</t>
  </si>
  <si>
    <t>DG_REC_APR23_03</t>
  </si>
  <si>
    <t>1700000016</t>
  </si>
  <si>
    <t>Collection</t>
  </si>
  <si>
    <t>CHQ DEP - MICR 8 CLEARING - MUMBAI CLEAR</t>
  </si>
  <si>
    <t>DG_REC_APR23_32</t>
  </si>
  <si>
    <t>1700000045</t>
  </si>
  <si>
    <t>RTGS Cr-SBIN0061278-HASEEBA EXPORTS-FIFT</t>
  </si>
  <si>
    <t>IN272427EB0153</t>
  </si>
  <si>
    <t>2260000152</t>
  </si>
  <si>
    <t>Invoice</t>
  </si>
  <si>
    <t/>
  </si>
  <si>
    <t>2260000421</t>
  </si>
  <si>
    <t>2260000422</t>
  </si>
  <si>
    <t>IN272327EB15492</t>
  </si>
  <si>
    <t>2260042544</t>
  </si>
  <si>
    <t>DG_REC_FEB23_87</t>
  </si>
  <si>
    <t>1700002106</t>
  </si>
  <si>
    <t>CHQ DEP MICR 08-MUM CLG - MICR CLG - MUM</t>
  </si>
  <si>
    <t>DG_REC_FEB23_56</t>
  </si>
  <si>
    <t>1700002067</t>
  </si>
  <si>
    <t>CHQ DEP - MICR 8 CLEARING - MUMBAI CLEAR: HASEEBA</t>
  </si>
  <si>
    <t>DG_PAY_FEB23_06</t>
  </si>
  <si>
    <t>2610103835</t>
  </si>
  <si>
    <t>Payment</t>
  </si>
  <si>
    <t>CHQ DEP RET- FUNDS INSUFFICIENT-Haseeba</t>
  </si>
  <si>
    <t>DG_REC_FEB23_09</t>
  </si>
  <si>
    <t>1700001999</t>
  </si>
  <si>
    <t>Material Cost - 2nd shipment - 199 pkgs</t>
  </si>
  <si>
    <t>GST for 2nd shipment- material cost</t>
  </si>
  <si>
    <t>Ledger advance</t>
  </si>
  <si>
    <t>Material Cost - 4th shipment - 218 pkgs</t>
  </si>
  <si>
    <t>IN272427EB0995</t>
  </si>
  <si>
    <t>Auto-1004</t>
  </si>
  <si>
    <t>Sales - 4th shipment - 218 pkgs</t>
  </si>
  <si>
    <t>Freight cost</t>
  </si>
  <si>
    <t>Freight cost plus GST 4th shipment</t>
  </si>
  <si>
    <t>Petty Cash</t>
  </si>
  <si>
    <t>To Be Announced</t>
  </si>
  <si>
    <t>various expenses in Petty Cash - 2/3rd</t>
  </si>
  <si>
    <t>various expenses in Petty Cash - 1/3rd</t>
  </si>
  <si>
    <t>Salary</t>
  </si>
  <si>
    <t>Salaries</t>
  </si>
  <si>
    <t>25% of monthly salaries for Feb, Mar, Apr 23</t>
  </si>
  <si>
    <t>Electricity</t>
  </si>
  <si>
    <t>25% of monthly salary for May 23</t>
  </si>
  <si>
    <t>25% of electricity bill for Feb, Mar, Apr 23</t>
  </si>
  <si>
    <t>Shipment</t>
  </si>
  <si>
    <t>2 trucks, open 40 ft - shipment 2</t>
  </si>
  <si>
    <t>Certificate of origin - shipment 2</t>
  </si>
  <si>
    <t>Customs Clearance - shipment 2</t>
  </si>
  <si>
    <t>GST on customs clearance - shipment 3</t>
  </si>
  <si>
    <t>GST on certificate of origin - shipment 3</t>
  </si>
  <si>
    <t>Transport - 2 x large trucks - shipment 3</t>
  </si>
  <si>
    <t>Labelling the Cartons - shipment 3</t>
  </si>
  <si>
    <t>GST on transport and Labelling - shipment 3</t>
  </si>
  <si>
    <t>Loading Unloading - for 1 out of 2 trucks: shipment 3</t>
  </si>
  <si>
    <t>GST on loading/unloading - shipment 3</t>
  </si>
  <si>
    <t>GST on insurance - shipment 3</t>
  </si>
  <si>
    <t>Dr. Zahid</t>
  </si>
  <si>
    <t>legalization - shipment 2</t>
  </si>
  <si>
    <t>Legalisation - shipment 4 - PROVISION</t>
  </si>
  <si>
    <t>Legaliation - shipment 3 - PROVISION</t>
  </si>
  <si>
    <t>Column Labels</t>
  </si>
  <si>
    <t>Total Sum of DR</t>
  </si>
  <si>
    <t>Total Sum of CR</t>
  </si>
  <si>
    <t>Govt of India-Rebate</t>
  </si>
  <si>
    <t>Export Rebate</t>
  </si>
  <si>
    <t>Export Rebate - Shipment 2</t>
  </si>
  <si>
    <t>Export Rebate - Shipment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</si>
</sst>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 * #,##0.000_ ;_ * \-#,##0.000_ ;_ * &quot;-&quot;??_ ;_ @_ "/>
  </numFmts>
  <fonts count="15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9"/>
      <color rgb="FF000000"/>
      <name val="Arial Narrow"/>
      <family val="2"/>
    </font>
    <font>
      <sz val="10"/>
      <color rgb="FF000000"/>
      <name val="Times New Roman"/>
      <family val="1"/>
    </font>
    <font>
      <b/>
      <sz val="9"/>
      <color rgb="FF000000"/>
      <name val="Arial Narrow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8"/>
      <color rgb="FF00000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38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164" fontId="3" fillId="0" borderId="0" xfId="1" applyNumberFormat="1" applyFont="1" applyAlignment="1">
      <alignment horizontal="right" vertical="top"/>
    </xf>
    <xf numFmtId="0" fontId="3" fillId="0" borderId="0" xfId="0" applyFont="1" applyAlignment="1">
      <alignment horizontal="right" vertical="top"/>
    </xf>
    <xf numFmtId="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49" fontId="3" fillId="0" borderId="2" xfId="0" applyNumberFormat="1" applyFont="1" applyBorder="1" applyAlignment="1">
      <alignment horizontal="left" vertical="top" wrapText="1"/>
    </xf>
    <xf numFmtId="49" fontId="6" fillId="0" borderId="2" xfId="0" applyNumberFormat="1" applyFont="1" applyBorder="1" applyAlignment="1">
      <alignment vertical="top" wrapText="1"/>
    </xf>
    <xf numFmtId="164" fontId="3" fillId="0" borderId="2" xfId="1" applyNumberFormat="1" applyFont="1" applyBorder="1" applyAlignment="1">
      <alignment vertical="top" wrapText="1"/>
    </xf>
    <xf numFmtId="9" fontId="3" fillId="0" borderId="2" xfId="2" applyFont="1" applyBorder="1" applyAlignment="1">
      <alignment vertical="top" wrapText="1"/>
    </xf>
    <xf numFmtId="43" fontId="3" fillId="0" borderId="2" xfId="1" applyFont="1" applyBorder="1" applyAlignment="1">
      <alignment horizontal="right" vertical="top" wrapText="1"/>
    </xf>
    <xf numFmtId="0" fontId="3" fillId="0" borderId="2" xfId="0" applyFont="1" applyBorder="1" applyAlignment="1">
      <alignment horizontal="right" vertical="top" wrapText="1"/>
    </xf>
    <xf numFmtId="43" fontId="3" fillId="0" borderId="2" xfId="1" applyFont="1" applyFill="1" applyBorder="1" applyAlignment="1">
      <alignment horizontal="right" vertical="top" wrapText="1"/>
    </xf>
    <xf numFmtId="43" fontId="3" fillId="0" borderId="2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right" vertical="top"/>
    </xf>
    <xf numFmtId="43" fontId="3" fillId="0" borderId="2" xfId="1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top" wrapText="1"/>
    </xf>
    <xf numFmtId="49" fontId="6" fillId="0" borderId="3" xfId="0" applyNumberFormat="1" applyFont="1" applyBorder="1" applyAlignment="1">
      <alignment vertical="top" wrapText="1"/>
    </xf>
    <xf numFmtId="164" fontId="3" fillId="0" borderId="3" xfId="1" applyNumberFormat="1" applyFont="1" applyBorder="1" applyAlignment="1">
      <alignment vertical="top" wrapText="1"/>
    </xf>
    <xf numFmtId="9" fontId="3" fillId="0" borderId="3" xfId="2" applyFont="1" applyBorder="1" applyAlignment="1">
      <alignment vertical="top" wrapText="1"/>
    </xf>
    <xf numFmtId="43" fontId="3" fillId="0" borderId="3" xfId="1" applyFont="1" applyBorder="1" applyAlignment="1">
      <alignment horizontal="right" vertical="top" wrapText="1"/>
    </xf>
    <xf numFmtId="0" fontId="3" fillId="0" borderId="3" xfId="0" applyFont="1" applyBorder="1" applyAlignment="1">
      <alignment horizontal="right" vertical="top" wrapText="1"/>
    </xf>
    <xf numFmtId="43" fontId="3" fillId="0" borderId="3" xfId="1" applyFont="1" applyFill="1" applyBorder="1" applyAlignment="1">
      <alignment horizontal="right" vertical="top" wrapText="1"/>
    </xf>
    <xf numFmtId="43" fontId="3" fillId="0" borderId="3" xfId="0" applyNumberFormat="1" applyFont="1" applyBorder="1" applyAlignment="1">
      <alignment horizontal="left" vertical="top"/>
    </xf>
    <xf numFmtId="0" fontId="3" fillId="0" borderId="3" xfId="0" applyFont="1" applyBorder="1" applyAlignment="1">
      <alignment horizontal="right" vertical="top"/>
    </xf>
    <xf numFmtId="43" fontId="3" fillId="0" borderId="3" xfId="1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3" fontId="3" fillId="0" borderId="3" xfId="0" applyNumberFormat="1" applyFont="1" applyBorder="1" applyAlignment="1">
      <alignment horizontal="left" vertical="top" wrapText="1"/>
    </xf>
    <xf numFmtId="49" fontId="3" fillId="0" borderId="3" xfId="0" quotePrefix="1" applyNumberFormat="1" applyFont="1" applyBorder="1" applyAlignment="1">
      <alignment horizontal="left" vertical="top" wrapText="1"/>
    </xf>
    <xf numFmtId="164" fontId="3" fillId="2" borderId="3" xfId="1" applyNumberFormat="1" applyFont="1" applyFill="1" applyBorder="1" applyAlignment="1">
      <alignment vertical="top" wrapText="1"/>
    </xf>
    <xf numFmtId="0" fontId="3" fillId="0" borderId="3" xfId="0" quotePrefix="1" applyFont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top"/>
    </xf>
    <xf numFmtId="49" fontId="7" fillId="2" borderId="3" xfId="0" applyNumberFormat="1" applyFont="1" applyFill="1" applyBorder="1" applyAlignment="1">
      <alignment vertical="top" wrapText="1"/>
    </xf>
    <xf numFmtId="49" fontId="7" fillId="0" borderId="3" xfId="0" applyNumberFormat="1" applyFont="1" applyBorder="1" applyAlignment="1">
      <alignment vertical="top" wrapText="1"/>
    </xf>
    <xf numFmtId="164" fontId="3" fillId="0" borderId="3" xfId="1" applyNumberFormat="1" applyFont="1" applyBorder="1" applyAlignment="1">
      <alignment vertical="top"/>
    </xf>
    <xf numFmtId="9" fontId="7" fillId="0" borderId="3" xfId="2" applyFont="1" applyBorder="1" applyAlignment="1">
      <alignment horizontal="right" vertical="top" wrapText="1"/>
    </xf>
    <xf numFmtId="43" fontId="3" fillId="0" borderId="3" xfId="1" applyFont="1" applyBorder="1" applyAlignment="1">
      <alignment horizontal="right" vertical="top"/>
    </xf>
    <xf numFmtId="49" fontId="8" fillId="0" borderId="3" xfId="0" applyNumberFormat="1" applyFont="1" applyBorder="1" applyAlignment="1">
      <alignment horizontal="left" vertical="top"/>
    </xf>
    <xf numFmtId="9" fontId="3" fillId="0" borderId="3" xfId="2" applyFont="1" applyBorder="1" applyAlignment="1">
      <alignment horizontal="right" vertical="top"/>
    </xf>
    <xf numFmtId="0" fontId="8" fillId="0" borderId="3" xfId="0" applyFont="1" applyBorder="1" applyAlignment="1">
      <alignment horizontal="left" vertical="top"/>
    </xf>
    <xf numFmtId="0" fontId="3" fillId="0" borderId="3" xfId="0" quotePrefix="1" applyFont="1" applyBorder="1" applyAlignment="1">
      <alignment horizontal="left" vertical="top"/>
    </xf>
    <xf numFmtId="0" fontId="8" fillId="0" borderId="3" xfId="0" applyFont="1" applyBorder="1" applyAlignment="1">
      <alignment horizontal="left" vertical="top" wrapText="1"/>
    </xf>
    <xf numFmtId="49" fontId="8" fillId="0" borderId="3" xfId="0" applyNumberFormat="1" applyFont="1" applyBorder="1" applyAlignment="1">
      <alignment vertical="top" wrapText="1"/>
    </xf>
    <xf numFmtId="0" fontId="3" fillId="0" borderId="3" xfId="0" applyFont="1" applyBorder="1" applyAlignment="1">
      <alignment vertical="top"/>
    </xf>
    <xf numFmtId="164" fontId="3" fillId="0" borderId="3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 vertical="top" wrapText="1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164" fontId="5" fillId="0" borderId="0" xfId="0" applyNumberFormat="1" applyFont="1" applyAlignment="1">
      <alignment horizontal="left" vertical="top"/>
    </xf>
    <xf numFmtId="43" fontId="3" fillId="0" borderId="0" xfId="0" applyNumberFormat="1" applyFont="1" applyAlignment="1">
      <alignment horizontal="left" vertical="top"/>
    </xf>
    <xf numFmtId="49" fontId="6" fillId="0" borderId="2" xfId="0" applyNumberFormat="1" applyFont="1" applyBorder="1" applyAlignment="1">
      <alignment horizontal="right" vertical="top" wrapText="1"/>
    </xf>
    <xf numFmtId="49" fontId="6" fillId="0" borderId="3" xfId="0" applyNumberFormat="1" applyFont="1" applyBorder="1" applyAlignment="1">
      <alignment horizontal="right" vertical="top" wrapText="1"/>
    </xf>
    <xf numFmtId="49" fontId="7" fillId="0" borderId="3" xfId="0" applyNumberFormat="1" applyFont="1" applyBorder="1" applyAlignment="1">
      <alignment horizontal="right" vertical="top" wrapText="1"/>
    </xf>
    <xf numFmtId="43" fontId="3" fillId="3" borderId="3" xfId="0" applyNumberFormat="1" applyFont="1" applyFill="1" applyBorder="1" applyAlignment="1">
      <alignment horizontal="left" vertical="top"/>
    </xf>
    <xf numFmtId="0" fontId="3" fillId="0" borderId="0" xfId="0" applyFont="1" applyAlignment="1">
      <alignment horizontal="right" vertical="top" wrapText="1"/>
    </xf>
    <xf numFmtId="0" fontId="5" fillId="0" borderId="0" xfId="0" applyFont="1" applyAlignment="1">
      <alignment horizontal="center" vertical="center" wrapText="1"/>
    </xf>
    <xf numFmtId="9" fontId="3" fillId="0" borderId="0" xfId="2" applyFont="1" applyAlignment="1">
      <alignment horizontal="left" vertical="top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right" vertical="top"/>
    </xf>
    <xf numFmtId="0" fontId="3" fillId="0" borderId="6" xfId="0" applyFont="1" applyBorder="1" applyAlignment="1">
      <alignment horizontal="right" vertical="top"/>
    </xf>
    <xf numFmtId="43" fontId="10" fillId="0" borderId="0" xfId="1" applyFont="1" applyBorder="1" applyAlignment="1">
      <alignment horizontal="right" vertical="top"/>
    </xf>
    <xf numFmtId="43" fontId="10" fillId="0" borderId="5" xfId="1" applyFont="1" applyBorder="1" applyAlignment="1">
      <alignment horizontal="right" vertical="top"/>
    </xf>
    <xf numFmtId="43" fontId="10" fillId="0" borderId="7" xfId="1" applyFont="1" applyBorder="1" applyAlignment="1">
      <alignment horizontal="right" vertical="top"/>
    </xf>
    <xf numFmtId="3" fontId="3" fillId="0" borderId="0" xfId="0" applyNumberFormat="1" applyFont="1" applyAlignment="1">
      <alignment horizontal="right" vertical="top"/>
    </xf>
    <xf numFmtId="164" fontId="3" fillId="0" borderId="2" xfId="0" applyNumberFormat="1" applyFont="1" applyBorder="1" applyAlignment="1">
      <alignment horizontal="left" vertical="top"/>
    </xf>
    <xf numFmtId="0" fontId="0" fillId="2" borderId="0" xfId="0" applyFill="1"/>
    <xf numFmtId="10" fontId="3" fillId="0" borderId="0" xfId="2" applyNumberFormat="1" applyFont="1" applyAlignment="1">
      <alignment horizontal="center" vertical="top"/>
    </xf>
    <xf numFmtId="0" fontId="3" fillId="0" borderId="11" xfId="0" applyFont="1" applyBorder="1" applyAlignment="1">
      <alignment horizontal="center" vertical="top" wrapText="1"/>
    </xf>
    <xf numFmtId="43" fontId="10" fillId="0" borderId="3" xfId="1" applyFont="1" applyBorder="1" applyAlignment="1">
      <alignment horizontal="right" vertical="top"/>
    </xf>
    <xf numFmtId="43" fontId="3" fillId="0" borderId="11" xfId="0" applyNumberFormat="1" applyFont="1" applyBorder="1" applyAlignment="1">
      <alignment horizontal="left" vertical="top"/>
    </xf>
    <xf numFmtId="43" fontId="3" fillId="0" borderId="12" xfId="0" applyNumberFormat="1" applyFont="1" applyBorder="1" applyAlignment="1">
      <alignment horizontal="left" vertical="top"/>
    </xf>
    <xf numFmtId="0" fontId="3" fillId="0" borderId="13" xfId="0" applyFont="1" applyBorder="1" applyAlignment="1">
      <alignment horizontal="center" vertical="top" wrapText="1"/>
    </xf>
    <xf numFmtId="43" fontId="10" fillId="0" borderId="13" xfId="1" applyFont="1" applyBorder="1" applyAlignment="1">
      <alignment horizontal="right" vertical="top"/>
    </xf>
    <xf numFmtId="43" fontId="10" fillId="0" borderId="14" xfId="1" applyFont="1" applyBorder="1" applyAlignment="1">
      <alignment horizontal="right" vertical="top"/>
    </xf>
    <xf numFmtId="43" fontId="3" fillId="0" borderId="15" xfId="0" applyNumberFormat="1" applyFont="1" applyBorder="1" applyAlignment="1">
      <alignment horizontal="left" vertical="top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  <xf numFmtId="43" fontId="3" fillId="0" borderId="0" xfId="1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164" fontId="3" fillId="0" borderId="3" xfId="0" applyNumberFormat="1" applyFont="1" applyBorder="1" applyAlignment="1">
      <alignment horizontal="right" vertical="top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left" vertical="top" wrapText="1"/>
    </xf>
    <xf numFmtId="43" fontId="10" fillId="0" borderId="2" xfId="1" applyFont="1" applyBorder="1" applyAlignment="1">
      <alignment horizontal="right" vertical="top"/>
    </xf>
    <xf numFmtId="43" fontId="3" fillId="0" borderId="20" xfId="0" applyNumberFormat="1" applyFont="1" applyBorder="1" applyAlignment="1">
      <alignment horizontal="left" vertical="top"/>
    </xf>
    <xf numFmtId="43" fontId="10" fillId="0" borderId="15" xfId="1" applyFont="1" applyBorder="1" applyAlignment="1">
      <alignment horizontal="right" vertical="top"/>
    </xf>
    <xf numFmtId="165" fontId="10" fillId="0" borderId="3" xfId="1" applyNumberFormat="1" applyFont="1" applyBorder="1" applyAlignment="1">
      <alignment horizontal="right" vertical="top"/>
    </xf>
    <xf numFmtId="43" fontId="3" fillId="0" borderId="0" xfId="1" applyFont="1" applyAlignment="1">
      <alignment horizontal="right" vertical="top"/>
    </xf>
    <xf numFmtId="164" fontId="3" fillId="2" borderId="3" xfId="1" applyNumberFormat="1" applyFont="1" applyFill="1" applyBorder="1" applyAlignment="1">
      <alignment horizontal="left" vertical="top"/>
    </xf>
    <xf numFmtId="43" fontId="10" fillId="0" borderId="3" xfId="1" applyFont="1" applyFill="1" applyBorder="1" applyAlignment="1">
      <alignment horizontal="right" vertical="top"/>
    </xf>
    <xf numFmtId="164" fontId="3" fillId="2" borderId="3" xfId="0" applyNumberFormat="1" applyFont="1" applyFill="1" applyBorder="1" applyAlignment="1">
      <alignment horizontal="left" vertical="top"/>
    </xf>
    <xf numFmtId="43" fontId="3" fillId="0" borderId="0" xfId="1" applyFont="1" applyFill="1" applyAlignment="1">
      <alignment horizontal="left" vertical="top"/>
    </xf>
    <xf numFmtId="0" fontId="0" fillId="0" borderId="0" xfId="0" applyAlignment="1">
      <alignment horizontal="center" vertical="top"/>
    </xf>
    <xf numFmtId="14" fontId="0" fillId="0" borderId="0" xfId="0" applyNumberFormat="1"/>
    <xf numFmtId="0" fontId="2" fillId="0" borderId="0" xfId="0" applyFont="1"/>
    <xf numFmtId="15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3" fillId="4" borderId="1" xfId="3" applyFill="1" applyBorder="1" applyAlignment="1">
      <alignment vertical="top" wrapText="1"/>
    </xf>
    <xf numFmtId="0" fontId="13" fillId="0" borderId="0" xfId="3" applyAlignment="1">
      <alignment vertical="top" wrapText="1"/>
    </xf>
    <xf numFmtId="0" fontId="13" fillId="0" borderId="0" xfId="3" applyAlignment="1">
      <alignment vertical="top"/>
    </xf>
    <xf numFmtId="14" fontId="13" fillId="0" borderId="0" xfId="3" applyNumberFormat="1" applyAlignment="1">
      <alignment horizontal="right" vertical="top" wrapText="1"/>
    </xf>
    <xf numFmtId="4" fontId="13" fillId="0" borderId="0" xfId="3" applyNumberFormat="1" applyAlignment="1">
      <alignment horizontal="right" vertical="top" wrapText="1"/>
    </xf>
    <xf numFmtId="0" fontId="13" fillId="5" borderId="1" xfId="3" applyFill="1" applyBorder="1" applyAlignment="1">
      <alignment vertical="top" wrapText="1"/>
    </xf>
    <xf numFmtId="14" fontId="13" fillId="5" borderId="1" xfId="3" applyNumberFormat="1" applyFill="1" applyBorder="1" applyAlignment="1">
      <alignment horizontal="right" vertical="top" wrapText="1"/>
    </xf>
    <xf numFmtId="4" fontId="13" fillId="5" borderId="1" xfId="3" applyNumberFormat="1" applyFill="1" applyBorder="1" applyAlignment="1">
      <alignment horizontal="right" vertical="top" wrapText="1"/>
    </xf>
    <xf numFmtId="4" fontId="13" fillId="0" borderId="0" xfId="3" applyNumberFormat="1" applyAlignment="1">
      <alignment vertical="top"/>
    </xf>
    <xf numFmtId="164" fontId="3" fillId="0" borderId="0" xfId="1" applyNumberFormat="1" applyFont="1" applyFill="1" applyAlignment="1">
      <alignment horizontal="left" vertical="top"/>
    </xf>
    <xf numFmtId="43" fontId="0" fillId="0" borderId="0" xfId="1" applyFont="1"/>
    <xf numFmtId="164" fontId="0" fillId="0" borderId="0" xfId="0" applyNumberFormat="1"/>
    <xf numFmtId="43" fontId="0" fillId="0" borderId="0" xfId="0" applyNumberFormat="1"/>
    <xf numFmtId="164" fontId="3" fillId="0" borderId="0" xfId="1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top"/>
    </xf>
    <xf numFmtId="0" fontId="3" fillId="0" borderId="19" xfId="0" applyFont="1" applyBorder="1" applyAlignment="1">
      <alignment horizontal="center" vertical="top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6">
    <cellStyle name="Comma" xfId="1" builtinId="3"/>
    <cellStyle name="Comma 2" xfId="5" xr:uid="{845E8A83-8F36-415C-A5C0-734D3C0ABBB6}"/>
    <cellStyle name="Normal" xfId="0" builtinId="0"/>
    <cellStyle name="Normal 2" xfId="3" xr:uid="{8D0D9E24-8D5B-4900-8B31-DFDA224F1883}"/>
    <cellStyle name="Normal 3" xfId="4" xr:uid="{F48053CA-1C18-4E25-ABBB-F5D3A9114CEC}"/>
    <cellStyle name="Percent" xfId="2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7/Documents/Haseeba%20Exports/Price%20Calculations%20-%20Mohi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7/Documents/Oct-Dec%20expen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D"/>
      <sheetName val="Sheet2"/>
      <sheetName val="Sheet3"/>
      <sheetName val="Sheet1"/>
      <sheetName val="Offer"/>
    </sheetNames>
    <sheetDataSet>
      <sheetData sheetId="0"/>
      <sheetData sheetId="1">
        <row r="2">
          <cell r="A2" t="str">
            <v>ITEM CODE</v>
          </cell>
          <cell r="B2" t="str">
            <v>DESCRIPTION</v>
          </cell>
          <cell r="C2" t="str">
            <v>Unit Price</v>
          </cell>
          <cell r="D2" t="str">
            <v>Unit Price</v>
          </cell>
          <cell r="E2" t="str">
            <v>Unit Price</v>
          </cell>
          <cell r="F2" t="str">
            <v>Unit Price</v>
          </cell>
          <cell r="G2" t="str">
            <v>Unit Price</v>
          </cell>
          <cell r="H2" t="str">
            <v>Unit Price</v>
          </cell>
          <cell r="I2" t="str">
            <v>Lowest</v>
          </cell>
        </row>
        <row r="3">
          <cell r="A3" t="str">
            <v>FILTERS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0303BC0071N</v>
          </cell>
          <cell r="B4" t="str">
            <v>OIL FILTER</v>
          </cell>
          <cell r="C4">
            <v>2.4300000000000002</v>
          </cell>
          <cell r="D4">
            <v>2.29</v>
          </cell>
          <cell r="E4">
            <v>2.9</v>
          </cell>
          <cell r="F4">
            <v>4.59</v>
          </cell>
          <cell r="G4">
            <v>6.9146666666666663</v>
          </cell>
          <cell r="H4">
            <v>3.13</v>
          </cell>
          <cell r="I4">
            <v>2.29</v>
          </cell>
        </row>
        <row r="5">
          <cell r="A5" t="str">
            <v>0313AAM02161N</v>
          </cell>
          <cell r="B5" t="str">
            <v>AIR FILTER</v>
          </cell>
          <cell r="C5">
            <v>9.6</v>
          </cell>
          <cell r="D5">
            <v>9.09</v>
          </cell>
          <cell r="E5">
            <v>18.38</v>
          </cell>
          <cell r="F5">
            <v>34.06</v>
          </cell>
          <cell r="G5">
            <v>24.653333333333332</v>
          </cell>
          <cell r="H5">
            <v>11.92</v>
          </cell>
          <cell r="I5">
            <v>9.09</v>
          </cell>
        </row>
        <row r="6">
          <cell r="A6" t="str">
            <v>1001CAA14881N</v>
          </cell>
          <cell r="B6" t="str">
            <v>KIT FILTER ELEMENT FUEL</v>
          </cell>
          <cell r="C6">
            <v>7.2</v>
          </cell>
          <cell r="D6">
            <v>6.8</v>
          </cell>
          <cell r="E6">
            <v>30.72</v>
          </cell>
          <cell r="F6">
            <v>18.12</v>
          </cell>
          <cell r="G6">
            <v>22.975999999999999</v>
          </cell>
          <cell r="H6">
            <v>8.98</v>
          </cell>
          <cell r="I6">
            <v>6.8</v>
          </cell>
        </row>
        <row r="7">
          <cell r="A7" t="str">
            <v>1203CAA02820N</v>
          </cell>
          <cell r="B7" t="str">
            <v>A/C FILTER</v>
          </cell>
          <cell r="C7">
            <v>7.4</v>
          </cell>
          <cell r="D7">
            <v>6.69</v>
          </cell>
          <cell r="E7">
            <v>12.24</v>
          </cell>
          <cell r="F7">
            <v>15.62</v>
          </cell>
          <cell r="G7">
            <v>19.069333333333336</v>
          </cell>
          <cell r="H7">
            <v>8.7799999999999994</v>
          </cell>
          <cell r="I7">
            <v>6.69</v>
          </cell>
        </row>
        <row r="8">
          <cell r="A8" t="str">
            <v>ENGINE COMPONENTS</v>
          </cell>
          <cell r="B8"/>
          <cell r="C8"/>
          <cell r="D8"/>
          <cell r="E8"/>
          <cell r="F8"/>
          <cell r="G8"/>
          <cell r="H8"/>
          <cell r="I8">
            <v>0</v>
          </cell>
        </row>
        <row r="9">
          <cell r="A9" t="str">
            <v>03090C0231N</v>
          </cell>
          <cell r="B9" t="str">
            <v>SENSOR ENGINE SPEED</v>
          </cell>
          <cell r="C9">
            <v>22.5</v>
          </cell>
          <cell r="D9">
            <v>20.46</v>
          </cell>
          <cell r="E9">
            <v>14.43</v>
          </cell>
          <cell r="F9">
            <v>56.15</v>
          </cell>
          <cell r="G9">
            <v>115.23733333333332</v>
          </cell>
          <cell r="H9">
            <v>27.07</v>
          </cell>
          <cell r="I9">
            <v>14.43</v>
          </cell>
        </row>
        <row r="10">
          <cell r="A10" t="str">
            <v>03090C0071N</v>
          </cell>
          <cell r="B10" t="str">
            <v>SENSOR WATER TEMPERATU</v>
          </cell>
          <cell r="C10">
            <v>8.5</v>
          </cell>
          <cell r="D10">
            <v>7.75</v>
          </cell>
          <cell r="E10">
            <v>7.86</v>
          </cell>
          <cell r="F10">
            <v>19.3</v>
          </cell>
          <cell r="G10">
            <v>25.983999999999998</v>
          </cell>
          <cell r="H10">
            <v>10.29</v>
          </cell>
          <cell r="I10">
            <v>7.75</v>
          </cell>
        </row>
        <row r="11">
          <cell r="A11" t="str">
            <v>0304AC0090N</v>
          </cell>
          <cell r="B11" t="str">
            <v>INTERCOOLER</v>
          </cell>
          <cell r="C11">
            <v>86</v>
          </cell>
          <cell r="D11">
            <v>78.180000000000007</v>
          </cell>
          <cell r="E11">
            <v>94.43</v>
          </cell>
          <cell r="F11">
            <v>115.95</v>
          </cell>
          <cell r="G11">
            <v>265.27199999999999</v>
          </cell>
          <cell r="H11">
            <v>110.98</v>
          </cell>
          <cell r="I11">
            <v>78.180000000000007</v>
          </cell>
        </row>
        <row r="12">
          <cell r="A12" t="str">
            <v>0303DM0060N</v>
          </cell>
          <cell r="B12" t="str">
            <v>OIL PRESSURE SWITCH</v>
          </cell>
          <cell r="C12">
            <v>2.4</v>
          </cell>
          <cell r="D12">
            <v>2.14</v>
          </cell>
          <cell r="E12">
            <v>2.58</v>
          </cell>
          <cell r="F12">
            <v>5.55</v>
          </cell>
          <cell r="G12">
            <v>5.4586666666666668</v>
          </cell>
          <cell r="H12">
            <v>2.91</v>
          </cell>
          <cell r="I12">
            <v>2.14</v>
          </cell>
        </row>
        <row r="13">
          <cell r="A13" t="str">
            <v>1402AAA09141N</v>
          </cell>
          <cell r="B13" t="str">
            <v>ALTERNATOR</v>
          </cell>
          <cell r="C13">
            <v>239.5</v>
          </cell>
          <cell r="D13">
            <v>217.76</v>
          </cell>
          <cell r="E13">
            <v>179.83</v>
          </cell>
          <cell r="F13">
            <v>323.81</v>
          </cell>
          <cell r="G13">
            <v>368.01599999999996</v>
          </cell>
          <cell r="H13">
            <v>309.08</v>
          </cell>
          <cell r="I13">
            <v>179.83</v>
          </cell>
        </row>
        <row r="14">
          <cell r="A14" t="str">
            <v>0306GM0141N</v>
          </cell>
          <cell r="B14" t="str">
            <v>BELT ALTERNATOR</v>
          </cell>
          <cell r="C14">
            <v>11.6</v>
          </cell>
          <cell r="D14">
            <v>10.57</v>
          </cell>
          <cell r="E14">
            <v>34.799999999999997</v>
          </cell>
          <cell r="F14">
            <v>30.38</v>
          </cell>
          <cell r="G14">
            <v>18.071999999999999</v>
          </cell>
          <cell r="H14">
            <v>13.59</v>
          </cell>
          <cell r="I14">
            <v>10.57</v>
          </cell>
        </row>
        <row r="15">
          <cell r="A15" t="str">
            <v>0306JM0041N</v>
          </cell>
          <cell r="B15" t="str">
            <v>BELT TENSIONER</v>
          </cell>
          <cell r="C15">
            <v>48.1</v>
          </cell>
          <cell r="D15">
            <v>43.7</v>
          </cell>
          <cell r="E15">
            <v>7.22</v>
          </cell>
          <cell r="F15">
            <v>282.9375</v>
          </cell>
          <cell r="G15">
            <v>116.10666666666665</v>
          </cell>
          <cell r="H15">
            <v>62.04</v>
          </cell>
          <cell r="I15">
            <v>7.22</v>
          </cell>
        </row>
        <row r="16">
          <cell r="A16" t="str">
            <v>0306GS0030N</v>
          </cell>
          <cell r="B16" t="str">
            <v>PULLEY DRIVE BELT</v>
          </cell>
          <cell r="C16">
            <v>31.7</v>
          </cell>
          <cell r="D16">
            <v>28.86</v>
          </cell>
          <cell r="E16">
            <v>36.6</v>
          </cell>
          <cell r="F16">
            <v>169.125</v>
          </cell>
          <cell r="G16">
            <v>61.570666666666661</v>
          </cell>
          <cell r="H16">
            <v>37.07</v>
          </cell>
          <cell r="I16">
            <v>28.86</v>
          </cell>
        </row>
        <row r="17">
          <cell r="A17" t="str">
            <v>0302BAM00351N</v>
          </cell>
          <cell r="B17" t="str">
            <v>CYLINDER HEAD GASKET</v>
          </cell>
          <cell r="C17">
            <v>24.5</v>
          </cell>
          <cell r="D17">
            <v>22.31</v>
          </cell>
          <cell r="E17">
            <v>25.53</v>
          </cell>
          <cell r="F17">
            <v>220.875</v>
          </cell>
          <cell r="G17">
            <v>47.634666666666668</v>
          </cell>
          <cell r="H17">
            <v>29.53</v>
          </cell>
          <cell r="I17">
            <v>22.31</v>
          </cell>
        </row>
        <row r="18">
          <cell r="A18" t="str">
            <v>0303BM0080N</v>
          </cell>
          <cell r="B18" t="str">
            <v>DIPSTICK ASSY OIL LEVEL</v>
          </cell>
          <cell r="C18">
            <v>5.6</v>
          </cell>
          <cell r="D18">
            <v>5.1100000000000003</v>
          </cell>
          <cell r="E18" t="str">
            <v>NA</v>
          </cell>
          <cell r="F18">
            <v>12.9</v>
          </cell>
          <cell r="G18">
            <v>10.544</v>
          </cell>
          <cell r="H18">
            <v>6.91</v>
          </cell>
          <cell r="I18">
            <v>5.1100000000000003</v>
          </cell>
        </row>
        <row r="19">
          <cell r="A19" t="str">
            <v>0304EM0050N</v>
          </cell>
          <cell r="B19" t="str">
            <v>ASSY WATER PUMP LCV LX</v>
          </cell>
          <cell r="C19">
            <v>69.900000000000006</v>
          </cell>
          <cell r="D19">
            <v>63.5</v>
          </cell>
          <cell r="E19">
            <v>73.930000000000007</v>
          </cell>
          <cell r="F19">
            <v>184.95</v>
          </cell>
          <cell r="G19">
            <v>92.87733333333334</v>
          </cell>
          <cell r="H19">
            <v>90.22</v>
          </cell>
          <cell r="I19">
            <v>63.5</v>
          </cell>
        </row>
        <row r="20">
          <cell r="A20">
            <v>24107</v>
          </cell>
          <cell r="B20" t="str">
            <v>O RING WATER PUMP</v>
          </cell>
          <cell r="C20">
            <v>0.19</v>
          </cell>
          <cell r="D20">
            <v>0.38</v>
          </cell>
          <cell r="E20">
            <v>0.27</v>
          </cell>
          <cell r="F20">
            <v>2.76</v>
          </cell>
          <cell r="G20">
            <v>0.89866666666666672</v>
          </cell>
          <cell r="H20">
            <v>0.51</v>
          </cell>
          <cell r="I20">
            <v>0.19</v>
          </cell>
        </row>
        <row r="21">
          <cell r="A21" t="str">
            <v>1203AAA01061N</v>
          </cell>
          <cell r="B21" t="str">
            <v>A/C COMPRESSOR</v>
          </cell>
          <cell r="C21">
            <v>338</v>
          </cell>
          <cell r="D21">
            <v>307.2</v>
          </cell>
          <cell r="E21">
            <v>378.22</v>
          </cell>
          <cell r="F21">
            <v>701.95</v>
          </cell>
          <cell r="G21">
            <v>421.70933333333335</v>
          </cell>
          <cell r="H21">
            <v>414.16</v>
          </cell>
          <cell r="I21">
            <v>307.2</v>
          </cell>
        </row>
        <row r="22">
          <cell r="A22" t="str">
            <v>0306GAM00261N</v>
          </cell>
          <cell r="B22" t="str">
            <v>BELT - A/C COMPRESSOR &amp; WATER PUMP</v>
          </cell>
          <cell r="C22">
            <v>11.5</v>
          </cell>
          <cell r="D22">
            <v>10.32</v>
          </cell>
          <cell r="E22">
            <v>9.64</v>
          </cell>
          <cell r="F22">
            <v>30.35</v>
          </cell>
          <cell r="G22">
            <v>34.837333333333326</v>
          </cell>
          <cell r="H22">
            <v>13.55</v>
          </cell>
          <cell r="I22">
            <v>9.64</v>
          </cell>
        </row>
        <row r="23">
          <cell r="A23" t="str">
            <v>0304FM0090N</v>
          </cell>
          <cell r="B23" t="str">
            <v>FAN</v>
          </cell>
          <cell r="C23">
            <v>63.5</v>
          </cell>
          <cell r="D23">
            <v>57.66</v>
          </cell>
          <cell r="E23">
            <v>68.34</v>
          </cell>
          <cell r="F23">
            <v>73.63</v>
          </cell>
          <cell r="G23">
            <v>157.21333333333331</v>
          </cell>
          <cell r="H23">
            <v>77.760000000000005</v>
          </cell>
          <cell r="I23">
            <v>57.66</v>
          </cell>
        </row>
        <row r="24">
          <cell r="A24" t="str">
            <v>FUEL SYSTEM</v>
          </cell>
          <cell r="B24"/>
          <cell r="C24"/>
          <cell r="D24"/>
          <cell r="E24"/>
          <cell r="F24"/>
          <cell r="G24"/>
          <cell r="H24"/>
          <cell r="I24">
            <v>0</v>
          </cell>
        </row>
        <row r="25">
          <cell r="A25" t="str">
            <v>0305BAM00270N</v>
          </cell>
          <cell r="B25" t="str">
            <v>INJECTOR - W201</v>
          </cell>
          <cell r="C25">
            <v>194</v>
          </cell>
          <cell r="D25">
            <v>176.5</v>
          </cell>
          <cell r="E25">
            <v>209.19</v>
          </cell>
          <cell r="F25">
            <v>329.8</v>
          </cell>
          <cell r="G25">
            <v>318.464</v>
          </cell>
          <cell r="H25">
            <v>263.06</v>
          </cell>
          <cell r="I25">
            <v>176.5</v>
          </cell>
        </row>
        <row r="26">
          <cell r="A26" t="str">
            <v>STARTING SYSTEM</v>
          </cell>
          <cell r="B26"/>
          <cell r="C26"/>
          <cell r="D26"/>
          <cell r="E26"/>
          <cell r="F26"/>
          <cell r="G26"/>
          <cell r="H26"/>
          <cell r="I26">
            <v>0</v>
          </cell>
        </row>
        <row r="27">
          <cell r="A27" t="str">
            <v>0307CAM00321N</v>
          </cell>
          <cell r="B27" t="str">
            <v>STARTER MOTOR</v>
          </cell>
          <cell r="C27">
            <v>345.9</v>
          </cell>
          <cell r="D27">
            <v>314.24</v>
          </cell>
          <cell r="E27">
            <v>75.58</v>
          </cell>
          <cell r="F27">
            <v>592.47</v>
          </cell>
          <cell r="G27">
            <v>378.01333333333332</v>
          </cell>
          <cell r="H27">
            <v>468.29</v>
          </cell>
          <cell r="I27">
            <v>75.58</v>
          </cell>
        </row>
        <row r="28">
          <cell r="A28" t="str">
            <v>STEERING</v>
          </cell>
          <cell r="B28"/>
          <cell r="C28"/>
          <cell r="D28"/>
          <cell r="E28"/>
          <cell r="F28"/>
          <cell r="G28"/>
          <cell r="H28"/>
          <cell r="I28">
            <v>0</v>
          </cell>
        </row>
        <row r="29">
          <cell r="A29" t="str">
            <v>1104AAA03161N</v>
          </cell>
          <cell r="B29" t="str">
            <v>ASSY INTERMEDIATE SHAFT</v>
          </cell>
          <cell r="C29">
            <v>27.1</v>
          </cell>
          <cell r="D29">
            <v>24.62</v>
          </cell>
          <cell r="E29">
            <v>10.06</v>
          </cell>
          <cell r="F29">
            <v>66.260000000000005</v>
          </cell>
          <cell r="G29">
            <v>57.082666666666668</v>
          </cell>
          <cell r="H29">
            <v>36.71</v>
          </cell>
          <cell r="I29">
            <v>10.06</v>
          </cell>
        </row>
        <row r="30">
          <cell r="A30" t="str">
            <v>CLUTCH</v>
          </cell>
          <cell r="B30"/>
          <cell r="C30"/>
          <cell r="D30"/>
          <cell r="E30"/>
          <cell r="F30"/>
          <cell r="G30"/>
          <cell r="H30"/>
          <cell r="I30">
            <v>0</v>
          </cell>
        </row>
        <row r="31">
          <cell r="A31" t="str">
            <v>0801CAA01411N</v>
          </cell>
          <cell r="B31" t="str">
            <v>CLUTCH KIT ASSEMBLY</v>
          </cell>
          <cell r="C31">
            <v>120.9</v>
          </cell>
          <cell r="D31">
            <v>109.71</v>
          </cell>
          <cell r="E31">
            <v>139.13999999999999</v>
          </cell>
          <cell r="F31">
            <v>238.25</v>
          </cell>
          <cell r="G31">
            <v>306.77066666666667</v>
          </cell>
          <cell r="H31">
            <v>160.41</v>
          </cell>
          <cell r="I31">
            <v>109.71</v>
          </cell>
        </row>
        <row r="32">
          <cell r="A32" t="str">
            <v>COOLING SYSTEM</v>
          </cell>
          <cell r="B32"/>
          <cell r="C32"/>
          <cell r="D32"/>
          <cell r="E32"/>
          <cell r="F32"/>
          <cell r="G32"/>
          <cell r="H32"/>
          <cell r="I32">
            <v>0</v>
          </cell>
        </row>
        <row r="33">
          <cell r="A33" t="str">
            <v>0304AAM01221N</v>
          </cell>
          <cell r="B33" t="str">
            <v>RADIATOR ASSY</v>
          </cell>
          <cell r="C33">
            <v>114.9</v>
          </cell>
          <cell r="D33">
            <v>104.24</v>
          </cell>
          <cell r="E33">
            <v>123.54</v>
          </cell>
          <cell r="F33">
            <v>183.05</v>
          </cell>
          <cell r="G33">
            <v>189.89066666666668</v>
          </cell>
          <cell r="H33">
            <v>155.37</v>
          </cell>
          <cell r="I33">
            <v>104.24</v>
          </cell>
        </row>
        <row r="34">
          <cell r="A34" t="str">
            <v>0304DAM01290N</v>
          </cell>
          <cell r="B34" t="str">
            <v>THERMOSTAT</v>
          </cell>
          <cell r="C34">
            <v>17.899999999999999</v>
          </cell>
          <cell r="D34">
            <v>16.079999999999998</v>
          </cell>
          <cell r="E34">
            <v>5.74</v>
          </cell>
          <cell r="F34">
            <v>35.869999999999997</v>
          </cell>
          <cell r="G34">
            <v>51.450666666666663</v>
          </cell>
          <cell r="H34">
            <v>22.85</v>
          </cell>
          <cell r="I34">
            <v>5.74</v>
          </cell>
        </row>
        <row r="35">
          <cell r="A35" t="str">
            <v>1203BA1661N</v>
          </cell>
          <cell r="B35" t="str">
            <v>CONDENSOR</v>
          </cell>
          <cell r="C35">
            <v>172.5</v>
          </cell>
          <cell r="D35">
            <v>156.72999999999999</v>
          </cell>
          <cell r="E35">
            <v>168.54</v>
          </cell>
          <cell r="F35">
            <v>113.18</v>
          </cell>
          <cell r="G35">
            <v>320.83199999999999</v>
          </cell>
          <cell r="H35">
            <v>211.32</v>
          </cell>
          <cell r="I35">
            <v>113.18</v>
          </cell>
        </row>
        <row r="36">
          <cell r="A36" t="str">
            <v>0304DAM06170N</v>
          </cell>
          <cell r="B36" t="str">
            <v>HOSE ASSY RADIATOR INLET</v>
          </cell>
          <cell r="C36">
            <v>4.9000000000000004</v>
          </cell>
          <cell r="D36" t="str">
            <v>NA</v>
          </cell>
          <cell r="E36">
            <v>5.45</v>
          </cell>
          <cell r="F36">
            <v>7.36</v>
          </cell>
          <cell r="G36">
            <v>12.512</v>
          </cell>
          <cell r="H36">
            <v>5.54</v>
          </cell>
          <cell r="I36">
            <v>4.9000000000000004</v>
          </cell>
        </row>
        <row r="37">
          <cell r="A37" t="str">
            <v>SUSPENSION</v>
          </cell>
          <cell r="B37"/>
          <cell r="C37"/>
          <cell r="D37"/>
          <cell r="E37"/>
          <cell r="F37"/>
          <cell r="G37"/>
          <cell r="H37"/>
          <cell r="I37">
            <v>0</v>
          </cell>
        </row>
        <row r="38">
          <cell r="A38" t="str">
            <v>0403ABB00391N</v>
          </cell>
          <cell r="B38" t="str">
            <v>SHOCK ABSORBER FRONT</v>
          </cell>
          <cell r="C38">
            <v>17.5</v>
          </cell>
          <cell r="D38">
            <v>15.95</v>
          </cell>
          <cell r="E38">
            <v>2.98</v>
          </cell>
          <cell r="F38">
            <v>32.21</v>
          </cell>
          <cell r="G38">
            <v>35.770666666666664</v>
          </cell>
          <cell r="H38">
            <v>23.2</v>
          </cell>
          <cell r="I38">
            <v>2.98</v>
          </cell>
        </row>
        <row r="39">
          <cell r="A39" t="str">
            <v>0403ADG00021N</v>
          </cell>
          <cell r="B39" t="str">
            <v>SHOCK ABSORBER REAR</v>
          </cell>
          <cell r="C39">
            <v>23.5</v>
          </cell>
          <cell r="D39">
            <v>21.37</v>
          </cell>
          <cell r="E39" t="str">
            <v>NA</v>
          </cell>
          <cell r="F39">
            <v>38.659999999999997</v>
          </cell>
          <cell r="G39">
            <v>36.192</v>
          </cell>
          <cell r="H39">
            <v>30.97</v>
          </cell>
          <cell r="I39">
            <v>21.37</v>
          </cell>
        </row>
        <row r="40">
          <cell r="A40" t="str">
            <v>0402AA1150N</v>
          </cell>
          <cell r="B40" t="str">
            <v>LEAF SPRING ASSY - REAR</v>
          </cell>
          <cell r="C40">
            <v>120.6</v>
          </cell>
          <cell r="D40">
            <v>109.63</v>
          </cell>
          <cell r="E40">
            <v>115.64</v>
          </cell>
          <cell r="F40">
            <v>149.93</v>
          </cell>
          <cell r="G40">
            <v>216.88800000000001</v>
          </cell>
          <cell r="H40">
            <v>147.83000000000001</v>
          </cell>
          <cell r="I40">
            <v>109.63</v>
          </cell>
        </row>
        <row r="41">
          <cell r="A41" t="str">
            <v>0402BA0050N</v>
          </cell>
          <cell r="B41" t="str">
            <v>BUSH RUBBER REAR SUSPENS</v>
          </cell>
          <cell r="C41">
            <v>0.9</v>
          </cell>
          <cell r="D41">
            <v>0.62</v>
          </cell>
          <cell r="E41">
            <v>0.69</v>
          </cell>
          <cell r="F41">
            <v>0.92</v>
          </cell>
          <cell r="G41">
            <v>1.1706666666666665</v>
          </cell>
          <cell r="H41">
            <v>0.81</v>
          </cell>
          <cell r="I41">
            <v>0.62</v>
          </cell>
        </row>
        <row r="42">
          <cell r="A42" t="str">
            <v>0402BA0260N</v>
          </cell>
          <cell r="B42" t="str">
            <v>LEAF SPRING - U BOLT</v>
          </cell>
          <cell r="C42">
            <v>2.4</v>
          </cell>
          <cell r="D42">
            <v>2.21</v>
          </cell>
          <cell r="E42">
            <v>2.29</v>
          </cell>
          <cell r="F42">
            <v>12.91</v>
          </cell>
          <cell r="G42">
            <v>8.7253333333333334</v>
          </cell>
          <cell r="H42">
            <v>3</v>
          </cell>
          <cell r="I42">
            <v>2.21</v>
          </cell>
        </row>
        <row r="43">
          <cell r="A43" t="str">
            <v>BRAKES</v>
          </cell>
          <cell r="B43"/>
          <cell r="C43"/>
          <cell r="D43"/>
          <cell r="E43"/>
          <cell r="F43"/>
          <cell r="G43"/>
          <cell r="H43"/>
          <cell r="I43">
            <v>0</v>
          </cell>
        </row>
        <row r="44">
          <cell r="A44" t="str">
            <v>0603BAB0023KT</v>
          </cell>
          <cell r="B44" t="str">
            <v>BRAKE LINERS CLIPPER ASSY</v>
          </cell>
          <cell r="C44">
            <v>62.2</v>
          </cell>
          <cell r="D44">
            <v>56.58</v>
          </cell>
          <cell r="E44" t="str">
            <v>NA</v>
          </cell>
          <cell r="F44">
            <v>71.790000000000006</v>
          </cell>
          <cell r="G44">
            <v>104.42666666666668</v>
          </cell>
          <cell r="H44">
            <v>84.35</v>
          </cell>
          <cell r="I44">
            <v>56.58</v>
          </cell>
        </row>
        <row r="45">
          <cell r="A45" t="str">
            <v>0606AAB01891N</v>
          </cell>
          <cell r="B45" t="str">
            <v>MASTER CYLINDER ASSY</v>
          </cell>
          <cell r="C45">
            <v>48.5</v>
          </cell>
          <cell r="D45" t="str">
            <v>NA</v>
          </cell>
          <cell r="E45" t="str">
            <v>NA</v>
          </cell>
          <cell r="F45">
            <v>57.98</v>
          </cell>
          <cell r="G45">
            <v>123.81066666666668</v>
          </cell>
          <cell r="H45">
            <v>62.6</v>
          </cell>
          <cell r="I45">
            <v>48.5</v>
          </cell>
        </row>
        <row r="46">
          <cell r="A46" t="str">
            <v>0602BB1420N</v>
          </cell>
          <cell r="B46" t="str">
            <v>WHEEL CYLINDER ASSY</v>
          </cell>
          <cell r="C46">
            <v>20.6</v>
          </cell>
          <cell r="D46">
            <v>18.73</v>
          </cell>
          <cell r="E46">
            <v>21.79</v>
          </cell>
          <cell r="F46">
            <v>50.63</v>
          </cell>
          <cell r="G46">
            <v>33.00266666666667</v>
          </cell>
          <cell r="H46">
            <v>26.61</v>
          </cell>
          <cell r="I46">
            <v>18.73</v>
          </cell>
        </row>
        <row r="47">
          <cell r="A47" t="str">
            <v>0601BAB02241N</v>
          </cell>
          <cell r="B47" t="str">
            <v>ADJUSTER REAR BRAKE ASSY - RH</v>
          </cell>
          <cell r="C47">
            <v>8.6</v>
          </cell>
          <cell r="D47">
            <v>7.85</v>
          </cell>
          <cell r="E47" t="str">
            <v>NA</v>
          </cell>
          <cell r="F47">
            <v>5.5</v>
          </cell>
          <cell r="G47">
            <v>23.802666666666667</v>
          </cell>
          <cell r="H47">
            <v>11.16</v>
          </cell>
          <cell r="I47">
            <v>5.5</v>
          </cell>
        </row>
        <row r="48">
          <cell r="A48" t="str">
            <v>0601BAB02231N</v>
          </cell>
          <cell r="B48" t="str">
            <v>ADJUSTER REAR BRAKE ASSY - LH</v>
          </cell>
          <cell r="C48">
            <v>8.6</v>
          </cell>
          <cell r="D48">
            <v>7.85</v>
          </cell>
          <cell r="E48" t="str">
            <v>NA</v>
          </cell>
          <cell r="F48">
            <v>0.92</v>
          </cell>
          <cell r="G48">
            <v>23.802666666666667</v>
          </cell>
          <cell r="H48">
            <v>11.16</v>
          </cell>
          <cell r="I48">
            <v>0.92</v>
          </cell>
        </row>
        <row r="49">
          <cell r="A49" t="str">
            <v>WIPERS</v>
          </cell>
          <cell r="B49"/>
          <cell r="C49"/>
          <cell r="D49"/>
          <cell r="E49"/>
          <cell r="F49"/>
          <cell r="G49"/>
          <cell r="H49"/>
          <cell r="I49">
            <v>0</v>
          </cell>
        </row>
        <row r="50">
          <cell r="A50" t="str">
            <v>0116AG0870N</v>
          </cell>
          <cell r="B50" t="str">
            <v>WIPER BLADE FRONT</v>
          </cell>
          <cell r="C50">
            <v>4.4000000000000004</v>
          </cell>
          <cell r="D50">
            <v>4</v>
          </cell>
          <cell r="E50">
            <v>5.08</v>
          </cell>
          <cell r="F50">
            <v>7.39</v>
          </cell>
          <cell r="G50">
            <v>11.490666666666668</v>
          </cell>
          <cell r="H50">
            <v>5.26</v>
          </cell>
          <cell r="I50">
            <v>4</v>
          </cell>
        </row>
        <row r="51">
          <cell r="A51" t="str">
            <v>0116AG0661N</v>
          </cell>
          <cell r="B51" t="str">
            <v>WIPER ARM FRONT</v>
          </cell>
          <cell r="C51" t="str">
            <v>NA</v>
          </cell>
          <cell r="D51">
            <v>3.5</v>
          </cell>
          <cell r="E51" t="str">
            <v>NA</v>
          </cell>
          <cell r="F51">
            <v>7.39</v>
          </cell>
          <cell r="G51">
            <v>9.6666666666666661</v>
          </cell>
          <cell r="H51">
            <v>4.51</v>
          </cell>
          <cell r="I51">
            <v>3.5</v>
          </cell>
        </row>
        <row r="52">
          <cell r="A52" t="str">
            <v>0116AG0821N</v>
          </cell>
          <cell r="B52" t="str">
            <v>WIPER MOTOR</v>
          </cell>
          <cell r="C52" t="str">
            <v>NA</v>
          </cell>
          <cell r="D52">
            <v>0.06</v>
          </cell>
          <cell r="E52" t="str">
            <v>NA</v>
          </cell>
          <cell r="F52">
            <v>162.87</v>
          </cell>
          <cell r="G52">
            <v>228.00266666666667</v>
          </cell>
          <cell r="H52" t="str">
            <v>NA</v>
          </cell>
          <cell r="I52">
            <v>0.06</v>
          </cell>
        </row>
        <row r="53">
          <cell r="A53" t="str">
            <v>EXTERIOR COMPONENTS</v>
          </cell>
          <cell r="B53"/>
          <cell r="C53"/>
          <cell r="D53"/>
          <cell r="E53"/>
          <cell r="F53"/>
          <cell r="G53"/>
          <cell r="H53"/>
          <cell r="I53">
            <v>0</v>
          </cell>
        </row>
        <row r="54">
          <cell r="A54" t="str">
            <v>0109BAL00051N</v>
          </cell>
          <cell r="B54" t="str">
            <v>SIDE MIRROR ASSY RS</v>
          </cell>
          <cell r="C54" t="str">
            <v>NA</v>
          </cell>
          <cell r="D54" t="str">
            <v>NA</v>
          </cell>
          <cell r="E54">
            <v>1.67</v>
          </cell>
          <cell r="F54">
            <v>29.45</v>
          </cell>
          <cell r="G54">
            <v>113.04266666666668</v>
          </cell>
          <cell r="H54" t="str">
            <v>NA</v>
          </cell>
          <cell r="I54">
            <v>1.67</v>
          </cell>
        </row>
        <row r="55">
          <cell r="A55" t="str">
            <v>0109BAL00031N</v>
          </cell>
          <cell r="B55" t="str">
            <v>SIDE MIRROR ASSY LH</v>
          </cell>
          <cell r="C55" t="str">
            <v>NA</v>
          </cell>
          <cell r="D55" t="str">
            <v>NA</v>
          </cell>
          <cell r="E55">
            <v>1.67</v>
          </cell>
          <cell r="F55">
            <v>29.45</v>
          </cell>
          <cell r="G55">
            <v>93.722666666666655</v>
          </cell>
          <cell r="H55" t="str">
            <v>NA</v>
          </cell>
          <cell r="I55">
            <v>1.67</v>
          </cell>
        </row>
        <row r="56">
          <cell r="A56" t="str">
            <v>0108AAG00431N</v>
          </cell>
          <cell r="B56" t="str">
            <v>BLACK GRILL ASSY FRONT BASE</v>
          </cell>
          <cell r="C56">
            <v>45.5</v>
          </cell>
          <cell r="D56">
            <v>41.5</v>
          </cell>
          <cell r="E56">
            <v>51.09</v>
          </cell>
          <cell r="F56">
            <v>50.63</v>
          </cell>
          <cell r="G56">
            <v>94.423999999999992</v>
          </cell>
          <cell r="H56">
            <v>61.86</v>
          </cell>
          <cell r="I56">
            <v>41.5</v>
          </cell>
        </row>
        <row r="57">
          <cell r="A57" t="str">
            <v>0108BAG02140N</v>
          </cell>
          <cell r="B57" t="str">
            <v>CLADDING ASSY FRONT RH ( FENDER)</v>
          </cell>
          <cell r="C57">
            <v>10</v>
          </cell>
          <cell r="D57">
            <v>9.07</v>
          </cell>
          <cell r="E57">
            <v>8.5</v>
          </cell>
          <cell r="F57">
            <v>23.01</v>
          </cell>
          <cell r="G57">
            <v>19.069333333333336</v>
          </cell>
          <cell r="H57">
            <v>16.149999999999999</v>
          </cell>
          <cell r="I57">
            <v>8.5</v>
          </cell>
        </row>
        <row r="58">
          <cell r="A58" t="str">
            <v>0108BAG02150N</v>
          </cell>
          <cell r="B58" t="str">
            <v>CLADDING ASSY FRONT LH ( FENDER)</v>
          </cell>
          <cell r="C58">
            <v>10</v>
          </cell>
          <cell r="D58">
            <v>9.07</v>
          </cell>
          <cell r="E58">
            <v>10.050000000000001</v>
          </cell>
          <cell r="F58">
            <v>23.01</v>
          </cell>
          <cell r="G58">
            <v>19.509333333333334</v>
          </cell>
          <cell r="H58">
            <v>16.149999999999999</v>
          </cell>
          <cell r="I58">
            <v>9.07</v>
          </cell>
        </row>
        <row r="59">
          <cell r="A59" t="str">
            <v>0108AAG00361N</v>
          </cell>
          <cell r="B59" t="str">
            <v>ADDON GRILL TOP PLATE</v>
          </cell>
          <cell r="C59">
            <v>10.9</v>
          </cell>
          <cell r="D59">
            <v>9.91</v>
          </cell>
          <cell r="E59">
            <v>11.53</v>
          </cell>
          <cell r="F59">
            <v>25.77</v>
          </cell>
          <cell r="G59">
            <v>32.629333333333335</v>
          </cell>
          <cell r="H59">
            <v>14.08</v>
          </cell>
          <cell r="I59">
            <v>9.91</v>
          </cell>
        </row>
        <row r="60">
          <cell r="A60" t="str">
            <v>0108FAG01390N</v>
          </cell>
          <cell r="B60" t="str">
            <v>MUD FLAP CARGO REAR - LH</v>
          </cell>
          <cell r="C60">
            <v>2.2999999999999998</v>
          </cell>
          <cell r="D60">
            <v>2.0499999999999998</v>
          </cell>
          <cell r="E60">
            <v>2.4300000000000002</v>
          </cell>
          <cell r="F60">
            <v>9.23</v>
          </cell>
          <cell r="G60">
            <v>6.5573333333333332</v>
          </cell>
          <cell r="H60">
            <v>3.07</v>
          </cell>
          <cell r="I60">
            <v>2.0499999999999998</v>
          </cell>
        </row>
        <row r="61">
          <cell r="A61" t="str">
            <v>0108FAG01380N</v>
          </cell>
          <cell r="B61" t="str">
            <v>MUD FLAP CARGO REAR - RH</v>
          </cell>
          <cell r="C61">
            <v>2.2999999999999998</v>
          </cell>
          <cell r="D61">
            <v>2.0499999999999998</v>
          </cell>
          <cell r="E61">
            <v>2.4300000000000002</v>
          </cell>
          <cell r="F61">
            <v>9.23</v>
          </cell>
          <cell r="G61">
            <v>9.1893333333333338</v>
          </cell>
          <cell r="H61">
            <v>3.07</v>
          </cell>
          <cell r="I61">
            <v>2.0499999999999998</v>
          </cell>
        </row>
        <row r="62">
          <cell r="A62" t="str">
            <v>0108BAL00140N</v>
          </cell>
          <cell r="B62" t="str">
            <v>MUD FLAP FRONT - RH</v>
          </cell>
          <cell r="C62">
            <v>1.5</v>
          </cell>
          <cell r="D62" t="str">
            <v>NA</v>
          </cell>
          <cell r="E62">
            <v>1.76</v>
          </cell>
          <cell r="F62">
            <v>8.31</v>
          </cell>
          <cell r="G62">
            <v>4.8106666666666662</v>
          </cell>
          <cell r="H62">
            <v>1.99</v>
          </cell>
          <cell r="I62">
            <v>1.5</v>
          </cell>
        </row>
        <row r="63">
          <cell r="A63" t="str">
            <v>0108BAL00150N</v>
          </cell>
          <cell r="B63" t="str">
            <v>MUD FLAP FRONT - LH</v>
          </cell>
          <cell r="C63">
            <v>1.5</v>
          </cell>
          <cell r="D63" t="str">
            <v>NA</v>
          </cell>
          <cell r="E63">
            <v>1.76</v>
          </cell>
          <cell r="F63">
            <v>8.31</v>
          </cell>
          <cell r="G63">
            <v>6.7386666666666661</v>
          </cell>
          <cell r="H63">
            <v>1.99</v>
          </cell>
          <cell r="I63">
            <v>1.5</v>
          </cell>
        </row>
        <row r="64">
          <cell r="A64" t="str">
            <v>0119BAL00330NCED</v>
          </cell>
          <cell r="B64" t="str">
            <v>REAR BUMBER ASSY</v>
          </cell>
          <cell r="C64" t="str">
            <v>NA</v>
          </cell>
          <cell r="D64" t="str">
            <v>NA</v>
          </cell>
          <cell r="E64" t="str">
            <v>NA</v>
          </cell>
          <cell r="F64">
            <v>60.75</v>
          </cell>
          <cell r="G64">
            <v>85.898666666666671</v>
          </cell>
          <cell r="H64" t="str">
            <v>NA</v>
          </cell>
          <cell r="I64">
            <v>60.75</v>
          </cell>
        </row>
        <row r="65">
          <cell r="A65" t="str">
            <v>0119AAL00170N</v>
          </cell>
          <cell r="B65" t="str">
            <v>FRONT BUMBER ASSY</v>
          </cell>
          <cell r="C65" t="str">
            <v>NA</v>
          </cell>
          <cell r="D65" t="str">
            <v>NA</v>
          </cell>
          <cell r="E65" t="str">
            <v>NA</v>
          </cell>
          <cell r="F65">
            <v>183.11</v>
          </cell>
          <cell r="G65">
            <v>216.53866666666667</v>
          </cell>
          <cell r="H65" t="str">
            <v>NA</v>
          </cell>
          <cell r="I65">
            <v>183.11</v>
          </cell>
        </row>
        <row r="66">
          <cell r="A66" t="str">
            <v>LIGHTINGS</v>
          </cell>
          <cell r="B66"/>
          <cell r="C66"/>
          <cell r="D66"/>
          <cell r="E66"/>
          <cell r="F66"/>
          <cell r="G66"/>
          <cell r="H66"/>
          <cell r="I66">
            <v>0</v>
          </cell>
        </row>
        <row r="67">
          <cell r="A67" t="str">
            <v>1701AAA07521N</v>
          </cell>
          <cell r="B67" t="str">
            <v>HEAD LAMP LH</v>
          </cell>
          <cell r="C67">
            <v>114.7</v>
          </cell>
          <cell r="D67" t="str">
            <v>NA</v>
          </cell>
          <cell r="E67">
            <v>36.24</v>
          </cell>
          <cell r="F67">
            <v>140.72999999999999</v>
          </cell>
          <cell r="G67">
            <v>261.38133333333332</v>
          </cell>
          <cell r="H67">
            <v>143.91999999999999</v>
          </cell>
          <cell r="I67">
            <v>36.24</v>
          </cell>
        </row>
        <row r="68">
          <cell r="A68" t="str">
            <v>1701AAA07531N</v>
          </cell>
          <cell r="B68" t="str">
            <v>HEAD LAMP RH</v>
          </cell>
          <cell r="C68">
            <v>114.7</v>
          </cell>
          <cell r="D68" t="str">
            <v>NA</v>
          </cell>
          <cell r="E68">
            <v>38.479999999999997</v>
          </cell>
          <cell r="F68">
            <v>140.72999999999999</v>
          </cell>
          <cell r="G68">
            <v>261.38133333333332</v>
          </cell>
          <cell r="H68">
            <v>143.91999999999999</v>
          </cell>
          <cell r="I68">
            <v>38.479999999999997</v>
          </cell>
        </row>
        <row r="69">
          <cell r="A69" t="str">
            <v>17030A0010N</v>
          </cell>
          <cell r="B69" t="str">
            <v>REAR TAIL LAMP WITH FOG LAMP - LH</v>
          </cell>
          <cell r="C69">
            <v>10.1</v>
          </cell>
          <cell r="D69">
            <v>9.17</v>
          </cell>
          <cell r="E69" t="str">
            <v>NA</v>
          </cell>
          <cell r="F69">
            <v>26.67</v>
          </cell>
          <cell r="G69">
            <v>23.106666666666669</v>
          </cell>
          <cell r="H69" t="str">
            <v>NA</v>
          </cell>
          <cell r="I69">
            <v>9.17</v>
          </cell>
        </row>
        <row r="70">
          <cell r="A70" t="str">
            <v>1703AA0030N</v>
          </cell>
          <cell r="B70" t="str">
            <v>REAR TAIL LAMP                              - RH</v>
          </cell>
          <cell r="C70">
            <v>9.8000000000000007</v>
          </cell>
          <cell r="D70">
            <v>8.9</v>
          </cell>
          <cell r="E70">
            <v>11.29</v>
          </cell>
          <cell r="F70">
            <v>26.67</v>
          </cell>
          <cell r="G70">
            <v>21.498666666666669</v>
          </cell>
          <cell r="H70">
            <v>11.69</v>
          </cell>
          <cell r="I70">
            <v>8.9</v>
          </cell>
        </row>
        <row r="71">
          <cell r="A71" t="str">
            <v>1701DAA00681N</v>
          </cell>
          <cell r="B71" t="str">
            <v>FRONT FOG LAMP ASSY - LH</v>
          </cell>
          <cell r="C71">
            <v>16.8</v>
          </cell>
          <cell r="D71">
            <v>15.27</v>
          </cell>
          <cell r="E71">
            <v>97.5</v>
          </cell>
          <cell r="F71">
            <v>34.03</v>
          </cell>
          <cell r="G71">
            <v>52.893333333333331</v>
          </cell>
          <cell r="H71">
            <v>19.62</v>
          </cell>
          <cell r="I71">
            <v>15.27</v>
          </cell>
        </row>
        <row r="72">
          <cell r="A72" t="str">
            <v>1701DAA00691N</v>
          </cell>
          <cell r="B72" t="str">
            <v>FRONT FOG LAMP ASSY - RH</v>
          </cell>
          <cell r="C72">
            <v>16.8</v>
          </cell>
          <cell r="D72">
            <v>15.27</v>
          </cell>
          <cell r="E72" t="str">
            <v>NA</v>
          </cell>
          <cell r="F72">
            <v>34.03</v>
          </cell>
          <cell r="G72">
            <v>52.893333333333331</v>
          </cell>
          <cell r="H72">
            <v>19.62</v>
          </cell>
          <cell r="I72">
            <v>15.27</v>
          </cell>
        </row>
        <row r="73">
          <cell r="A73" t="str">
            <v>WHEELS &amp; TIRES</v>
          </cell>
          <cell r="B73"/>
          <cell r="C73"/>
          <cell r="D73"/>
          <cell r="E73"/>
          <cell r="F73"/>
          <cell r="G73"/>
          <cell r="H73"/>
          <cell r="I73">
            <v>0</v>
          </cell>
        </row>
        <row r="74">
          <cell r="A74" t="str">
            <v>0404AAA01421A</v>
          </cell>
          <cell r="B74" t="str">
            <v>WHEEL RIM</v>
          </cell>
          <cell r="C74">
            <v>34.5</v>
          </cell>
          <cell r="D74">
            <v>31.39</v>
          </cell>
          <cell r="E74">
            <v>39.82</v>
          </cell>
          <cell r="F74">
            <v>69.010000000000005</v>
          </cell>
          <cell r="G74">
            <v>157.72800000000001</v>
          </cell>
          <cell r="H74">
            <v>45.91</v>
          </cell>
          <cell r="I74">
            <v>31.39</v>
          </cell>
        </row>
        <row r="75">
          <cell r="A75" t="str">
            <v>1805BA0131N</v>
          </cell>
          <cell r="B75" t="str">
            <v>TPMS SENSOR</v>
          </cell>
          <cell r="C75">
            <v>26.5</v>
          </cell>
          <cell r="D75">
            <v>24.08</v>
          </cell>
          <cell r="E75">
            <v>30.54</v>
          </cell>
          <cell r="F75">
            <v>45.1</v>
          </cell>
          <cell r="G75">
            <v>71.066666666666663</v>
          </cell>
          <cell r="H75">
            <v>21.92</v>
          </cell>
          <cell r="I75">
            <v>21.92</v>
          </cell>
        </row>
        <row r="76">
          <cell r="A76" t="str">
            <v>'0097882</v>
          </cell>
          <cell r="B76" t="str">
            <v>WHEEL NUT</v>
          </cell>
          <cell r="C76">
            <v>3.375</v>
          </cell>
          <cell r="D76">
            <v>1.875</v>
          </cell>
          <cell r="E76">
            <v>1.0125000000000002</v>
          </cell>
          <cell r="F76">
            <v>1.84</v>
          </cell>
          <cell r="G76">
            <v>19.274999999999999</v>
          </cell>
          <cell r="H76">
            <v>0.72</v>
          </cell>
          <cell r="I76">
            <v>0.72</v>
          </cell>
        </row>
        <row r="77">
          <cell r="A77" t="str">
            <v>0404CA0450N</v>
          </cell>
          <cell r="B77" t="str">
            <v>WHEEL COVER</v>
          </cell>
          <cell r="C77">
            <v>43.125</v>
          </cell>
          <cell r="D77">
            <v>10.24</v>
          </cell>
          <cell r="E77">
            <v>10.4</v>
          </cell>
          <cell r="F77">
            <v>15</v>
          </cell>
          <cell r="G77">
            <v>439.57499999999999</v>
          </cell>
          <cell r="H77">
            <v>15.28</v>
          </cell>
          <cell r="I77">
            <v>10.24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Dec21"/>
      <sheetName val="TODELETEMaster"/>
      <sheetName val="TODELETEJan to July22"/>
      <sheetName val="Sheet2"/>
      <sheetName val="Jan22-Apr 23"/>
      <sheetName val="Depreciations"/>
      <sheetName val="Petty Cash Exp"/>
      <sheetName val="BusinessVisits"/>
      <sheetName val="Expenses In Cash"/>
      <sheetName val="Vouch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2">
          <cell r="I22">
            <v>8454</v>
          </cell>
        </row>
      </sheetData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7" refreshedDate="45052.579585416664" createdVersion="7" refreshedVersion="7" minRefreshableVersion="3" recordCount="41" xr:uid="{FA4F31A1-0F27-4AF2-931D-8E9F12CB4DA5}">
  <cacheSource type="worksheet">
    <worksheetSource ref="B1:K44" sheet="SOA"/>
  </cacheSource>
  <cacheFields count="10">
    <cacheField name="Inv No." numFmtId="0">
      <sharedItems/>
    </cacheField>
    <cacheField name="Inv Dated" numFmtId="0">
      <sharedItems containsSemiMixedTypes="0" containsNonDate="0" containsDate="1" containsString="0" minDate="2023-02-17T00:00:00" maxDate="2023-05-06T00:00:00"/>
    </cacheField>
    <cacheField name="Party" numFmtId="0">
      <sharedItems/>
    </cacheField>
    <cacheField name="Account" numFmtId="0">
      <sharedItems count="17">
        <s v="Sales"/>
        <s v="Customs Clearance"/>
        <s v="Insurance"/>
        <s v="Freight and other charges"/>
        <s v="Freight Cost"/>
        <s v="GST"/>
        <s v="Legalization Expenses"/>
        <s v="Certificate of origin"/>
        <s v="Material Cost"/>
        <s v="Transport"/>
        <s v="Transportation"/>
        <s v="Packing"/>
        <s v="GST Registration"/>
        <s v="CC Processing Charges"/>
        <s v="SGST @ 9%" u="1"/>
        <s v="CGST @ 9%" u="1"/>
        <s v="GST " u="1"/>
      </sharedItems>
    </cacheField>
    <cacheField name="Details" numFmtId="0">
      <sharedItems/>
    </cacheField>
    <cacheField name="FC" numFmtId="0">
      <sharedItems containsBlank="1"/>
    </cacheField>
    <cacheField name="FC Amount" numFmtId="0">
      <sharedItems containsString="0" containsBlank="1" containsNumber="1" minValue="7949.05" maxValue="36914"/>
    </cacheField>
    <cacheField name="DR" numFmtId="0">
      <sharedItems containsString="0" containsBlank="1" containsNumber="1" minValue="36" maxValue="2313723.2999999998"/>
    </cacheField>
    <cacheField name="CR" numFmtId="0">
      <sharedItems containsString="0" containsBlank="1" containsNumber="1" minValue="651027.19500000007" maxValue="3025102.3000000003"/>
    </cacheField>
    <cacheField name="Exch Rate" numFmtId="0">
      <sharedItems containsString="0" containsBlank="1" containsNumber="1" minValue="81.099999999999994" maxValue="81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7" refreshedDate="45059.613068055558" createdVersion="7" refreshedVersion="7" minRefreshableVersion="3" recordCount="56" xr:uid="{217CD496-5754-4311-91C7-EB5BB43B9CAA}">
  <cacheSource type="worksheet">
    <worksheetSource ref="A1:J57" sheet="SOA"/>
  </cacheSource>
  <cacheFields count="10">
    <cacheField name="Shipment" numFmtId="0">
      <sharedItems containsSemiMixedTypes="0" containsString="0" containsNumber="1" containsInteger="1" minValue="0" maxValue="4" count="5">
        <n v="1"/>
        <n v="2"/>
        <n v="3"/>
        <n v="0"/>
        <n v="4"/>
      </sharedItems>
    </cacheField>
    <cacheField name="Inv No." numFmtId="0">
      <sharedItems/>
    </cacheField>
    <cacheField name="Inv Dated" numFmtId="0">
      <sharedItems containsSemiMixedTypes="0" containsNonDate="0" containsDate="1" containsString="0" minDate="2023-02-17T00:00:00" maxDate="2023-05-14T00:00:00"/>
    </cacheField>
    <cacheField name="Party" numFmtId="0">
      <sharedItems/>
    </cacheField>
    <cacheField name="Account" numFmtId="0">
      <sharedItems count="19">
        <s v="Sales"/>
        <s v="Customs Clearance"/>
        <s v="Insurance"/>
        <s v="Freight"/>
        <s v="Freight Handling"/>
        <s v="GST"/>
        <s v="Legalization Expenses"/>
        <s v="Certificate of origin"/>
        <s v="Material Cost"/>
        <s v="Transport"/>
        <s v="Freight and other charges"/>
        <s v="Transportation"/>
        <s v="Packing"/>
        <s v="GST Registration"/>
        <s v="CC Processing Charges"/>
        <s v="Petty Cash"/>
        <s v="Freight cost"/>
        <s v="Salaries"/>
        <s v="Electricity"/>
      </sharedItems>
    </cacheField>
    <cacheField name="Details" numFmtId="0">
      <sharedItems/>
    </cacheField>
    <cacheField name="FC" numFmtId="0">
      <sharedItems containsBlank="1"/>
    </cacheField>
    <cacheField name="FC Amount" numFmtId="0">
      <sharedItems containsBlank="1" containsMixedTypes="1" containsNumber="1" minValue="7949.05" maxValue="36914"/>
    </cacheField>
    <cacheField name="DR" numFmtId="0">
      <sharedItems containsString="0" containsBlank="1" containsNumber="1" minValue="14.6" maxValue="2313723.2999999998"/>
    </cacheField>
    <cacheField name="CR" numFmtId="0">
      <sharedItems containsString="0" containsBlank="1" containsNumber="1" minValue="651027.19500000007" maxValue="3025102.3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Auto-1001"/>
    <d v="2023-02-17T00:00:00"/>
    <s v="AlShahd Water Factory, AlQassim"/>
    <x v="0"/>
    <s v="Sales - first shipment"/>
    <s v="US$"/>
    <n v="7949.05"/>
    <m/>
    <n v="651027.19500000007"/>
    <n v="81.900000000000006"/>
  </r>
  <r>
    <s v="1256-22106020833"/>
    <d v="2023-03-06T00:00:00"/>
    <s v="Freight Systems"/>
    <x v="1"/>
    <s v="Freight for First Shipment"/>
    <s v="INR"/>
    <m/>
    <n v="55722"/>
    <m/>
    <m/>
  </r>
  <r>
    <s v="1256-22106020833"/>
    <d v="2023-03-06T00:00:00"/>
    <s v="Freight Systems"/>
    <x v="2"/>
    <s v="Freight for First Shipment"/>
    <s v="INR"/>
    <m/>
    <n v="1180"/>
    <m/>
    <m/>
  </r>
  <r>
    <s v="1256-22106020833"/>
    <d v="2023-03-06T00:00:00"/>
    <s v="Freight Systems"/>
    <x v="3"/>
    <s v="Freight for First Shipment"/>
    <s v="INR"/>
    <m/>
    <n v="21388"/>
    <m/>
    <m/>
  </r>
  <r>
    <s v="1256-2210602832"/>
    <d v="2023-03-06T00:00:00"/>
    <s v="Freight Systems"/>
    <x v="4"/>
    <s v="Freight for First Shipment"/>
    <s v="INR"/>
    <m/>
    <n v="16497"/>
    <m/>
    <m/>
  </r>
  <r>
    <s v="1256-2210602832"/>
    <d v="2023-03-06T00:00:00"/>
    <s v="Freight Systems"/>
    <x v="5"/>
    <s v="CGST @ 9% - Freight for First Shipment"/>
    <s v="INR"/>
    <m/>
    <n v="6464"/>
    <m/>
    <m/>
  </r>
  <r>
    <s v="1256-2210602832"/>
    <d v="2023-03-06T00:00:00"/>
    <s v="Freight Systems"/>
    <x v="5"/>
    <s v="sgst @ 9% - Freight for First Shipment"/>
    <s v="INR"/>
    <m/>
    <n v="6464"/>
    <m/>
    <m/>
  </r>
  <r>
    <s v="Nil"/>
    <d v="2023-03-31T00:00:00"/>
    <s v="Legalization"/>
    <x v="6"/>
    <s v="Legalization - first shipment"/>
    <s v="INR"/>
    <m/>
    <n v="12000"/>
    <m/>
    <m/>
  </r>
  <r>
    <s v="HO/FEB/2223/0189"/>
    <d v="2023-02-22T00:00:00"/>
    <s v="EEPC"/>
    <x v="7"/>
    <s v="Certificate of origin - first shipment"/>
    <s v="INR"/>
    <m/>
    <n v="200"/>
    <m/>
    <m/>
  </r>
  <r>
    <s v="HO/FEB/2223/0189"/>
    <d v="2023-02-22T00:00:00"/>
    <s v="EEPC"/>
    <x v="5"/>
    <s v="GST - first shipment"/>
    <m/>
    <m/>
    <n v="36"/>
    <m/>
    <m/>
  </r>
  <r>
    <s v="Auto-1002"/>
    <d v="2023-03-18T00:00:00"/>
    <s v="AlShahd Water Factory, AlQassim"/>
    <x v="0"/>
    <s v="Sales - second shipment"/>
    <s v="US$"/>
    <n v="36914"/>
    <m/>
    <n v="3025102.3000000003"/>
    <n v="81.95"/>
  </r>
  <r>
    <s v="IN272427EB0004"/>
    <d v="2023-04-01T00:00:00"/>
    <s v="Fifth Gear Ventures Ltd"/>
    <x v="8"/>
    <s v="Material Cost - shipment 2 - 199 pkgs"/>
    <s v="INR"/>
    <m/>
    <n v="2313723.2999999998"/>
    <m/>
    <m/>
  </r>
  <r>
    <s v="IN272427EB0004"/>
    <d v="2023-04-01T00:00:00"/>
    <s v="Fifth Gear Ventures Ltd"/>
    <x v="5"/>
    <s v="GST - 2nd shipment"/>
    <s v="INR"/>
    <m/>
    <n v="2313.71"/>
    <m/>
    <m/>
  </r>
  <r>
    <s v="IN272327eb15492"/>
    <d v="2023-02-17T00:00:00"/>
    <s v="Fifth Gear Ventures Ltd"/>
    <x v="8"/>
    <s v="Material Cost - first shipment - 36 pkgs"/>
    <s v="INR"/>
    <m/>
    <n v="497620"/>
    <m/>
    <m/>
  </r>
  <r>
    <s v="IN272327eb15492"/>
    <d v="2023-02-17T00:00:00"/>
    <s v="Fifth Gear Ventures Ltd"/>
    <x v="5"/>
    <s v="GST - 1st shipment"/>
    <s v="INR"/>
    <m/>
    <n v="497.64"/>
    <m/>
    <m/>
  </r>
  <r>
    <s v="1256-23106001011"/>
    <d v="2023-04-18T00:00:00"/>
    <s v="Freight Systems"/>
    <x v="6"/>
    <s v="Certificate of origin - first shipment"/>
    <m/>
    <m/>
    <n v="1500"/>
    <m/>
    <m/>
  </r>
  <r>
    <s v="1256-23106001011"/>
    <d v="2023-04-18T00:00:00"/>
    <s v="Freight Systems"/>
    <x v="9"/>
    <s v="2 trucks, open 40 ft"/>
    <s v="INR"/>
    <m/>
    <n v="14760"/>
    <m/>
    <m/>
  </r>
  <r>
    <s v="1256-23106001011"/>
    <d v="2023-04-18T00:00:00"/>
    <s v="Freight Systems"/>
    <x v="1"/>
    <s v="Customs Clearance - first shipment"/>
    <m/>
    <m/>
    <n v="3500"/>
    <m/>
    <m/>
  </r>
  <r>
    <s v="1256-23106001011"/>
    <d v="2023-04-18T00:00:00"/>
    <s v="Freight Systems"/>
    <x v="2"/>
    <s v="Insurance - 2nd shipment"/>
    <s v="INR"/>
    <m/>
    <n v="4144"/>
    <m/>
    <m/>
  </r>
  <r>
    <s v="1256-23106001011"/>
    <d v="2023-04-18T00:00:00"/>
    <s v="Freight Systems"/>
    <x v="3"/>
    <s v="Freight for 2nd shipment"/>
    <m/>
    <m/>
    <n v="28618"/>
    <m/>
    <m/>
  </r>
  <r>
    <s v="1256-23106001011"/>
    <d v="2023-04-18T00:00:00"/>
    <s v="Freight Systems"/>
    <x v="5"/>
    <s v="GST for 2nd shipment Freight"/>
    <m/>
    <m/>
    <n v="9454"/>
    <m/>
    <m/>
  </r>
  <r>
    <s v="1256-23106001012"/>
    <d v="2023-04-18T00:00:00"/>
    <s v="Freight Systems"/>
    <x v="3"/>
    <s v="Freight for 2nd shipment"/>
    <m/>
    <m/>
    <n v="63240"/>
    <m/>
    <m/>
  </r>
  <r>
    <s v="1256-23106001012"/>
    <d v="2023-04-18T00:00:00"/>
    <s v="Freight Systems"/>
    <x v="5"/>
    <s v="GST for 2nd shipment Freight"/>
    <m/>
    <m/>
    <n v="3162"/>
    <m/>
    <m/>
  </r>
  <r>
    <s v="IN272427EB0397"/>
    <d v="2023-04-14T00:00:00"/>
    <s v="Fifth Gear Ventures Ltd"/>
    <x v="8"/>
    <s v="Material cost - 3rd shipment - 190 pkgs"/>
    <s v="INR"/>
    <m/>
    <n v="2105894.41"/>
    <m/>
    <m/>
  </r>
  <r>
    <s v="IN272427EB0397"/>
    <d v="2023-04-14T00:00:00"/>
    <s v="Fifth Gear Ventures Ltd"/>
    <x v="5"/>
    <s v="GST for 3rd shipment - 190 pkgs"/>
    <m/>
    <m/>
    <n v="2105.7800000000002"/>
    <m/>
    <m/>
  </r>
  <r>
    <s v="Auto-1003"/>
    <d v="2023-04-13T00:00:00"/>
    <s v="AlShahd Water Factory, AlQassim"/>
    <x v="0"/>
    <s v="Sales - 3rd shipment"/>
    <s v="USD"/>
    <n v="33252"/>
    <m/>
    <n v="2696737.1999999997"/>
    <n v="81.099999999999994"/>
  </r>
  <r>
    <s v="Awaited"/>
    <d v="2023-05-05T00:00:00"/>
    <s v="Freight Systems"/>
    <x v="3"/>
    <s v="Freight - 3rd shipment"/>
    <s v="INR"/>
    <m/>
    <n v="81514"/>
    <m/>
    <m/>
  </r>
  <r>
    <s v="Awaited"/>
    <d v="2023-05-05T00:00:00"/>
    <s v="Freight Systems"/>
    <x v="5"/>
    <s v="GST on freight"/>
    <s v="INR"/>
    <m/>
    <n v="7404"/>
    <m/>
    <m/>
  </r>
  <r>
    <s v="Awaited"/>
    <d v="2023-05-05T00:00:00"/>
    <s v="Freight Systems"/>
    <x v="1"/>
    <s v="Customs Clearance - third shipment"/>
    <s v="INR"/>
    <m/>
    <n v="3500"/>
    <m/>
    <m/>
  </r>
  <r>
    <s v="Awaited"/>
    <d v="2023-05-05T00:00:00"/>
    <s v="Freight Systems"/>
    <x v="5"/>
    <s v="GST on customs clearance"/>
    <s v="INR"/>
    <m/>
    <n v="630"/>
    <m/>
    <m/>
  </r>
  <r>
    <s v="Awaited"/>
    <d v="2023-05-05T00:00:00"/>
    <s v="Freight Systems"/>
    <x v="6"/>
    <s v="Certificate of origin - third shipment"/>
    <s v="INR"/>
    <m/>
    <n v="1500"/>
    <m/>
    <m/>
  </r>
  <r>
    <s v="Awaited"/>
    <d v="2023-05-05T00:00:00"/>
    <s v="Freight Systems"/>
    <x v="5"/>
    <s v="GST on certificate of origin"/>
    <s v="INR"/>
    <m/>
    <n v="270"/>
    <m/>
    <m/>
  </r>
  <r>
    <s v="Awaited"/>
    <d v="2023-05-05T00:00:00"/>
    <s v="Freight Systems"/>
    <x v="10"/>
    <s v="Transport - 2 x large trucks"/>
    <s v="INR"/>
    <m/>
    <n v="9840"/>
    <m/>
    <m/>
  </r>
  <r>
    <s v="Awaited"/>
    <d v="2023-05-05T00:00:00"/>
    <s v="Freight Systems"/>
    <x v="11"/>
    <s v="Labelling the Cartons"/>
    <s v="INR"/>
    <m/>
    <n v="9840"/>
    <m/>
    <m/>
  </r>
  <r>
    <s v="Awaited"/>
    <d v="2023-05-05T00:00:00"/>
    <s v="Freight Systems"/>
    <x v="5"/>
    <s v="GST on transport and Labelling"/>
    <s v="INR"/>
    <m/>
    <n v="3542"/>
    <m/>
    <m/>
  </r>
  <r>
    <s v="Awaited"/>
    <d v="2023-05-05T00:00:00"/>
    <s v="Freight Systems"/>
    <x v="10"/>
    <s v="Loading Unloading - for 1 out of 2 trucks"/>
    <s v="INR"/>
    <m/>
    <n v="450"/>
    <m/>
    <m/>
  </r>
  <r>
    <s v="Awaited"/>
    <d v="2023-05-05T00:00:00"/>
    <s v="Freight Systems"/>
    <x v="5"/>
    <s v="GST on loading/unloading"/>
    <s v="INR"/>
    <m/>
    <n v="81"/>
    <m/>
    <m/>
  </r>
  <r>
    <s v="Awaited"/>
    <d v="2023-05-05T00:00:00"/>
    <s v="Freight Systems"/>
    <x v="2"/>
    <s v="Insurance - 3rd shipment"/>
    <s v="INR"/>
    <m/>
    <n v="3399"/>
    <m/>
    <m/>
  </r>
  <r>
    <s v="Awaited"/>
    <d v="2023-05-05T00:00:00"/>
    <s v="Freight Systems"/>
    <x v="5"/>
    <s v="GST on insurance"/>
    <s v="INR"/>
    <m/>
    <n v="612"/>
    <m/>
    <m/>
  </r>
  <r>
    <s v="Nil"/>
    <d v="2023-03-13T00:00:00"/>
    <s v="More &amp; Associates"/>
    <x v="12"/>
    <s v="GST registration service charges"/>
    <s v="INR"/>
    <m/>
    <n v="7000"/>
    <m/>
    <m/>
  </r>
  <r>
    <s v="Nil"/>
    <d v="2023-04-12T00:00:00"/>
    <s v="JK Bank"/>
    <x v="13"/>
    <s v="CC Processing Charges for CC of 25 lakhs"/>
    <s v="INR"/>
    <m/>
    <n v="4800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s v="Auto-1001"/>
    <d v="2023-02-17T00:00:00"/>
    <s v="AlShahd Water Factory, AlQassim"/>
    <x v="0"/>
    <s v="Sales - first shipment"/>
    <s v="US$"/>
    <n v="7949.05"/>
    <m/>
    <n v="651027.19500000007"/>
  </r>
  <r>
    <x v="0"/>
    <s v="1256-22106020833"/>
    <d v="2023-03-06T00:00:00"/>
    <s v="Freight Systems"/>
    <x v="1"/>
    <s v="Freight for First Shipment"/>
    <s v="INR"/>
    <m/>
    <n v="55722"/>
    <m/>
  </r>
  <r>
    <x v="0"/>
    <s v="1256-22106020833"/>
    <d v="2023-03-06T00:00:00"/>
    <s v="Freight Systems"/>
    <x v="2"/>
    <s v="Freight for First Shipment"/>
    <s v="INR"/>
    <m/>
    <n v="1180"/>
    <m/>
  </r>
  <r>
    <x v="0"/>
    <s v="1256-22106020833"/>
    <d v="2023-03-06T00:00:00"/>
    <s v="Freight Systems"/>
    <x v="3"/>
    <s v="Freight for First Shipment"/>
    <s v="INR"/>
    <m/>
    <n v="21388"/>
    <m/>
  </r>
  <r>
    <x v="0"/>
    <s v="1256-2210602832"/>
    <d v="2023-03-06T00:00:00"/>
    <s v="Freight Systems"/>
    <x v="4"/>
    <s v="Freight for First Shipment"/>
    <s v="INR"/>
    <m/>
    <n v="16497"/>
    <m/>
  </r>
  <r>
    <x v="0"/>
    <s v="1256-2210602832"/>
    <d v="2023-03-06T00:00:00"/>
    <s v="Freight Systems"/>
    <x v="5"/>
    <s v="CGST @ 9% - Freight for First Shipment"/>
    <s v="INR"/>
    <m/>
    <n v="6464"/>
    <m/>
  </r>
  <r>
    <x v="0"/>
    <s v="1256-2210602832"/>
    <d v="2023-03-06T00:00:00"/>
    <s v="Freight Systems"/>
    <x v="5"/>
    <s v="sgst @ 9% - Freight for First Shipment"/>
    <s v="INR"/>
    <m/>
    <n v="6464"/>
    <m/>
  </r>
  <r>
    <x v="0"/>
    <s v="Nil"/>
    <d v="2023-03-31T00:00:00"/>
    <s v="Legalization"/>
    <x v="6"/>
    <s v="Legalization - first shipment"/>
    <s v="INR"/>
    <m/>
    <n v="12000"/>
    <m/>
  </r>
  <r>
    <x v="0"/>
    <s v="HO/FEB/2223/0189"/>
    <d v="2023-02-22T00:00:00"/>
    <s v="EEPC"/>
    <x v="7"/>
    <s v="Certificate of origin - first shipment"/>
    <s v="INR"/>
    <m/>
    <n v="200"/>
    <m/>
  </r>
  <r>
    <x v="0"/>
    <s v="HO/FEB/2223/0189"/>
    <d v="2023-02-22T00:00:00"/>
    <s v="EEPC"/>
    <x v="5"/>
    <s v="GST - first shipment"/>
    <m/>
    <m/>
    <n v="36"/>
    <m/>
  </r>
  <r>
    <x v="1"/>
    <s v="Auto-1002"/>
    <d v="2023-03-18T00:00:00"/>
    <s v="AlShahd Water Factory, AlQassim"/>
    <x v="0"/>
    <s v="Sales - second shipment"/>
    <s v="US$"/>
    <n v="36914"/>
    <m/>
    <n v="3025102.3000000003"/>
  </r>
  <r>
    <x v="1"/>
    <s v="IN272427EB0004"/>
    <d v="2023-04-01T00:00:00"/>
    <s v="Fifth Gear Ventures Ltd"/>
    <x v="8"/>
    <s v="Material Cost - shipment 2 - 199 pkgs"/>
    <s v="INR"/>
    <m/>
    <n v="2313723.2999999998"/>
    <m/>
  </r>
  <r>
    <x v="1"/>
    <s v="IN272427EB0004"/>
    <d v="2023-04-01T00:00:00"/>
    <s v="Fifth Gear Ventures Ltd"/>
    <x v="5"/>
    <s v="GST - 2nd shipment"/>
    <s v="INR"/>
    <m/>
    <n v="2313.71"/>
    <m/>
  </r>
  <r>
    <x v="0"/>
    <s v="IN272327eb15492"/>
    <d v="2023-02-17T00:00:00"/>
    <s v="Fifth Gear Ventures Ltd"/>
    <x v="8"/>
    <s v="Material Cost - first shipment - 36 pkgs"/>
    <s v="INR"/>
    <m/>
    <n v="497620"/>
    <m/>
  </r>
  <r>
    <x v="0"/>
    <s v="IN272327eb15492"/>
    <d v="2023-02-17T00:00:00"/>
    <s v="Fifth Gear Ventures Ltd"/>
    <x v="5"/>
    <s v="GST - 1st shipment"/>
    <s v="INR"/>
    <m/>
    <n v="497.64"/>
    <m/>
  </r>
  <r>
    <x v="1"/>
    <s v="1256-23106001011"/>
    <d v="2023-04-18T00:00:00"/>
    <s v="Freight Systems"/>
    <x v="7"/>
    <s v="Certificate of origin - shipment 2"/>
    <m/>
    <m/>
    <n v="1500"/>
    <m/>
  </r>
  <r>
    <x v="1"/>
    <s v="1256-23106001011"/>
    <d v="2023-04-18T00:00:00"/>
    <s v="Freight Systems"/>
    <x v="9"/>
    <s v="2 trucks, open 40 ft - shipment 2"/>
    <s v="INR"/>
    <m/>
    <n v="14760"/>
    <m/>
  </r>
  <r>
    <x v="1"/>
    <s v="1256-23106001011"/>
    <d v="2023-04-18T00:00:00"/>
    <s v="Freight Systems"/>
    <x v="1"/>
    <s v="Customs Clearance - shipment 2"/>
    <m/>
    <m/>
    <n v="3500"/>
    <m/>
  </r>
  <r>
    <x v="1"/>
    <s v="1256-23106001011"/>
    <d v="2023-04-18T00:00:00"/>
    <s v="Freight Systems"/>
    <x v="2"/>
    <s v="Insurance - 2nd shipment"/>
    <s v="INR"/>
    <m/>
    <n v="4144"/>
    <m/>
  </r>
  <r>
    <x v="1"/>
    <s v="1256-23106001011"/>
    <d v="2023-04-18T00:00:00"/>
    <s v="Freight Systems"/>
    <x v="4"/>
    <s v="Freight for 2nd shipment"/>
    <m/>
    <m/>
    <n v="28618"/>
    <m/>
  </r>
  <r>
    <x v="1"/>
    <s v="1256-23106001011"/>
    <d v="2023-04-18T00:00:00"/>
    <s v="Freight Systems"/>
    <x v="5"/>
    <s v="GST for 2nd shipment Freight"/>
    <m/>
    <m/>
    <n v="9454"/>
    <m/>
  </r>
  <r>
    <x v="1"/>
    <s v="1256-23106001012"/>
    <d v="2023-04-18T00:00:00"/>
    <s v="Freight Systems"/>
    <x v="3"/>
    <s v="Freight for 2nd shipment"/>
    <m/>
    <m/>
    <n v="63240"/>
    <m/>
  </r>
  <r>
    <x v="1"/>
    <s v="1256-23106001012"/>
    <d v="2023-04-18T00:00:00"/>
    <s v="Freight Systems"/>
    <x v="5"/>
    <s v="GST for 2nd shipment Freight"/>
    <m/>
    <m/>
    <n v="3162"/>
    <m/>
  </r>
  <r>
    <x v="2"/>
    <s v="IN272427EB0397"/>
    <d v="2023-04-14T00:00:00"/>
    <s v="Fifth Gear Ventures Ltd"/>
    <x v="8"/>
    <s v="Material cost - 3rd shipment - 190 pkgs"/>
    <s v="INR"/>
    <m/>
    <n v="2105894.41"/>
    <m/>
  </r>
  <r>
    <x v="2"/>
    <s v="IN272427EB0397"/>
    <d v="2023-04-14T00:00:00"/>
    <s v="Fifth Gear Ventures Ltd"/>
    <x v="5"/>
    <s v="GST for 3rd shipment - 190 pkgs"/>
    <m/>
    <m/>
    <n v="2105.7800000000002"/>
    <m/>
  </r>
  <r>
    <x v="2"/>
    <s v="Auto-1003"/>
    <d v="2023-04-13T00:00:00"/>
    <s v="AlShahd Water Factory, AlQassim"/>
    <x v="0"/>
    <s v="Sales - 3rd shipment"/>
    <s v="USD"/>
    <n v="33252"/>
    <m/>
    <n v="2696737.1999999997"/>
  </r>
  <r>
    <x v="2"/>
    <s v="2324-035"/>
    <d v="2023-05-05T00:00:00"/>
    <s v="Astraasl Logic Solutions Pvt Ltd"/>
    <x v="10"/>
    <s v="Freight - 3rd shipment"/>
    <s v="INR"/>
    <s v="USD 661.62 x 84.5"/>
    <n v="55906.89"/>
    <m/>
  </r>
  <r>
    <x v="2"/>
    <s v="2324-03"/>
    <d v="2023-05-05T00:00:00"/>
    <s v="Astraasl Logic Solutions Pvt Ltd"/>
    <x v="5"/>
    <s v="GST on Freight 3rd shipment"/>
    <s v="INR"/>
    <m/>
    <n v="2795.34"/>
    <m/>
  </r>
  <r>
    <x v="2"/>
    <s v="2324-036"/>
    <d v="2023-05-05T00:00:00"/>
    <s v="Astraasl Logic Solutions Pvt Ltd"/>
    <x v="4"/>
    <s v="Freight Handling Charges - 3rd shipment"/>
    <s v="INR"/>
    <m/>
    <n v="25607.05"/>
    <m/>
  </r>
  <r>
    <x v="2"/>
    <s v="2324-036"/>
    <d v="2023-05-05T00:00:00"/>
    <s v="Astraasl Logic Solutions Pvt Ltd"/>
    <x v="5"/>
    <s v="GST on Freight Handling - 3rd shipment"/>
    <s v="INR"/>
    <m/>
    <n v="4609.26"/>
    <m/>
  </r>
  <r>
    <x v="2"/>
    <s v="2324-036"/>
    <d v="2023-05-05T00:00:00"/>
    <s v="Astraasl Logic Solutions Pvt Ltd"/>
    <x v="1"/>
    <s v="Customs Clearance - third shipment"/>
    <s v="INR"/>
    <m/>
    <n v="3500"/>
    <m/>
  </r>
  <r>
    <x v="2"/>
    <s v="2324-036"/>
    <d v="2023-05-05T00:00:00"/>
    <s v="Astraasl Logic Solutions Pvt Ltd"/>
    <x v="5"/>
    <s v="GST on customs clearance - shipment 3"/>
    <s v="INR"/>
    <m/>
    <n v="630"/>
    <m/>
  </r>
  <r>
    <x v="2"/>
    <s v="2324-036"/>
    <d v="2023-05-05T00:00:00"/>
    <s v="Astraasl Logic Solutions Pvt Ltd"/>
    <x v="7"/>
    <s v="Certificate of origin - third shipment"/>
    <s v="INR"/>
    <m/>
    <n v="1500"/>
    <m/>
  </r>
  <r>
    <x v="2"/>
    <s v="2324-036"/>
    <d v="2023-05-05T00:00:00"/>
    <s v="Astraasl Logic Solutions Pvt Ltd"/>
    <x v="5"/>
    <s v="GST on certificate of origin - shipment 3"/>
    <s v="INR"/>
    <m/>
    <n v="270"/>
    <m/>
  </r>
  <r>
    <x v="2"/>
    <s v="2324-036"/>
    <d v="2023-05-05T00:00:00"/>
    <s v="Astraasl Logic Solutions Pvt Ltd"/>
    <x v="11"/>
    <s v="Transport - 2 x large trucks - shipment 3"/>
    <s v="INR"/>
    <m/>
    <n v="9840"/>
    <m/>
  </r>
  <r>
    <x v="2"/>
    <s v="2324-036"/>
    <d v="2023-05-05T00:00:00"/>
    <s v="Astraasl Logic Solutions Pvt Ltd"/>
    <x v="12"/>
    <s v="Labelling the Cartons - shipment 3"/>
    <s v="INR"/>
    <m/>
    <n v="9840"/>
    <m/>
  </r>
  <r>
    <x v="2"/>
    <s v="2324-036"/>
    <d v="2023-05-05T00:00:00"/>
    <s v="Astraasl Logic Solutions Pvt Ltd"/>
    <x v="5"/>
    <s v="GST on transport and Labelling - shipment 3"/>
    <s v="INR"/>
    <m/>
    <n v="3542"/>
    <m/>
  </r>
  <r>
    <x v="2"/>
    <s v="2324-036"/>
    <d v="2023-05-05T00:00:00"/>
    <s v="Astraasl Logic Solutions Pvt Ltd"/>
    <x v="11"/>
    <s v="Loading Unloading - for 1 out of 2 trucks: shipment 3"/>
    <s v="INR"/>
    <m/>
    <n v="450"/>
    <m/>
  </r>
  <r>
    <x v="2"/>
    <s v="2324-036"/>
    <d v="2023-05-05T00:00:00"/>
    <s v="Astraasl Logic Solutions Pvt Ltd"/>
    <x v="5"/>
    <s v="GST on loading/unloading - shipment 3"/>
    <s v="INR"/>
    <m/>
    <n v="81"/>
    <m/>
  </r>
  <r>
    <x v="2"/>
    <s v="2324-036"/>
    <d v="2023-05-05T00:00:00"/>
    <s v="Astraasl Logic Solutions Pvt Ltd"/>
    <x v="2"/>
    <s v="Insurance - 3rd shipment"/>
    <s v="INR"/>
    <m/>
    <n v="3399"/>
    <m/>
  </r>
  <r>
    <x v="2"/>
    <s v="2324-036"/>
    <d v="2023-05-05T00:00:00"/>
    <s v="Astraasl Logic Solutions Pvt Ltd"/>
    <x v="5"/>
    <s v="GST on insurance - shipment 3"/>
    <s v="INR"/>
    <m/>
    <n v="612"/>
    <m/>
  </r>
  <r>
    <x v="2"/>
    <s v="Nil"/>
    <d v="2023-03-13T00:00:00"/>
    <s v="More &amp; Associates"/>
    <x v="13"/>
    <s v="GST registration service charges"/>
    <s v="INR"/>
    <m/>
    <n v="7000"/>
    <m/>
  </r>
  <r>
    <x v="3"/>
    <s v="Nil"/>
    <d v="2023-04-12T00:00:00"/>
    <s v="JK Bank"/>
    <x v="14"/>
    <s v="CC Processing Charges for CC of 25 lakhs"/>
    <s v="INR"/>
    <m/>
    <n v="48000"/>
    <m/>
  </r>
  <r>
    <x v="1"/>
    <s v="IN272427EB0153"/>
    <d v="2023-04-04T00:00:00"/>
    <s v="Fifth Gear Ventures Ltd"/>
    <x v="8"/>
    <s v="Material Cost - 2nd shipment - 199 pkgs"/>
    <m/>
    <m/>
    <n v="14586.95"/>
    <m/>
  </r>
  <r>
    <x v="1"/>
    <s v="IN272427EB0153"/>
    <d v="2023-04-04T00:00:00"/>
    <s v="Fifth Gear Ventures Ltd"/>
    <x v="5"/>
    <s v="GST for 2nd shipment- material cost"/>
    <m/>
    <m/>
    <n v="14.6"/>
    <m/>
  </r>
  <r>
    <x v="4"/>
    <s v="IN272427EB0995"/>
    <d v="2023-05-10T00:00:00"/>
    <s v="Fifth Gear Ventures Ltd"/>
    <x v="8"/>
    <s v="Material Cost - 4th shipment - 218 pkgs"/>
    <s v="INR"/>
    <m/>
    <n v="2138214.6"/>
    <m/>
  </r>
  <r>
    <x v="3"/>
    <s v="Petty Cash"/>
    <d v="2023-05-13T00:00:00"/>
    <s v="Petty Cash"/>
    <x v="15"/>
    <s v="various expenses in Petty Cash - 1/3rd"/>
    <s v="INR"/>
    <m/>
    <n v="2789"/>
    <m/>
  </r>
  <r>
    <x v="3"/>
    <s v="Petty Cash"/>
    <d v="2023-04-30T00:00:00"/>
    <s v="Petty Cash"/>
    <x v="15"/>
    <s v="various expenses in Petty Cash - 2/3rd"/>
    <s v="INR"/>
    <m/>
    <n v="5665"/>
    <m/>
  </r>
  <r>
    <x v="4"/>
    <s v="Auto-1004"/>
    <d v="2023-05-11T00:00:00"/>
    <s v="AlShahd Water Factory, AlQassim"/>
    <x v="0"/>
    <s v="Sales - 4th shipment - 218 pkgs"/>
    <s v="US$"/>
    <n v="35406"/>
    <m/>
    <n v="2871426.5999999996"/>
  </r>
  <r>
    <x v="4"/>
    <s v="To Be Announced"/>
    <d v="2023-05-12T00:00:00"/>
    <s v="Astraasl Logic Solutions Pvt Ltd"/>
    <x v="16"/>
    <s v="Freight cost plus GST 4th shipment"/>
    <s v="INR"/>
    <m/>
    <n v="125000"/>
    <m/>
  </r>
  <r>
    <x v="2"/>
    <s v="Salary"/>
    <d v="2023-04-30T00:00:00"/>
    <s v="Salaries"/>
    <x v="17"/>
    <s v="25% of monthly salaries for Feb, Mar, Apr 23"/>
    <s v="INR"/>
    <m/>
    <n v="39667"/>
    <m/>
  </r>
  <r>
    <x v="4"/>
    <s v="Salary"/>
    <d v="2023-05-13T00:00:00"/>
    <s v="Salaries"/>
    <x v="17"/>
    <s v="25% of monthly salary for May 23"/>
    <s v="INR"/>
    <m/>
    <n v="13967"/>
    <m/>
  </r>
  <r>
    <x v="2"/>
    <s v="Electricity"/>
    <d v="2023-04-30T00:00:00"/>
    <s v="Electricity"/>
    <x v="18"/>
    <s v="25% of electricity bill for Feb, Mar, Apr 23"/>
    <s v="INR"/>
    <m/>
    <n v="3730"/>
    <m/>
  </r>
  <r>
    <x v="1"/>
    <s v="Nil"/>
    <d v="2023-05-13T00:00:00"/>
    <s v="Dr. Zahid"/>
    <x v="6"/>
    <s v="legalization - shipment 2"/>
    <s v="INR"/>
    <m/>
    <n v="5000"/>
    <m/>
  </r>
  <r>
    <x v="2"/>
    <s v="Nil"/>
    <d v="2023-05-13T00:00:00"/>
    <s v="Dr. Zahid"/>
    <x v="6"/>
    <s v="Legaliation - shipment 3 - PROVISION"/>
    <s v="INR"/>
    <m/>
    <n v="5000"/>
    <m/>
  </r>
  <r>
    <x v="4"/>
    <s v="Nil"/>
    <d v="2023-05-13T00:00:00"/>
    <s v="Dr. Zahid"/>
    <x v="6"/>
    <s v="Legalisation - shipment 4 - PROVISION"/>
    <s v="INR"/>
    <m/>
    <n v="50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CD5D1A-1281-414A-A86B-8F5575AF591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8" firstHeaderRow="0" firstDataRow="1" firstDataCol="1"/>
  <pivotFields count="10">
    <pivotField showAll="0"/>
    <pivotField showAll="0"/>
    <pivotField showAll="0"/>
    <pivotField axis="axisRow" showAll="0">
      <items count="18">
        <item x="13"/>
        <item x="7"/>
        <item m="1" x="15"/>
        <item x="1"/>
        <item x="3"/>
        <item x="4"/>
        <item x="5"/>
        <item m="1" x="16"/>
        <item x="12"/>
        <item x="2"/>
        <item x="6"/>
        <item x="8"/>
        <item x="11"/>
        <item x="0"/>
        <item m="1" x="14"/>
        <item x="9"/>
        <item x="10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3"/>
  </rowFields>
  <rowItems count="15">
    <i>
      <x/>
    </i>
    <i>
      <x v="1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R" fld="7" baseField="0" baseItem="0"/>
    <dataField name="Sum of CR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81EAC-E170-4CBD-95BC-6BA50ECE6C93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K24" firstHeaderRow="1" firstDataRow="3" firstDataCol="1"/>
  <pivotFields count="10">
    <pivotField axis="axisCol" multipleItemSelectionAllowed="1" showAll="0">
      <items count="6">
        <item x="3"/>
        <item x="0"/>
        <item x="1"/>
        <item x="2"/>
        <item h="1" x="4"/>
        <item t="default"/>
      </items>
    </pivotField>
    <pivotField showAll="0"/>
    <pivotField showAll="0"/>
    <pivotField showAll="0"/>
    <pivotField axis="axisRow" showAll="0">
      <items count="20">
        <item x="14"/>
        <item x="7"/>
        <item x="1"/>
        <item x="18"/>
        <item x="3"/>
        <item x="10"/>
        <item x="16"/>
        <item x="4"/>
        <item x="5"/>
        <item x="13"/>
        <item x="2"/>
        <item x="6"/>
        <item x="8"/>
        <item x="12"/>
        <item x="15"/>
        <item x="17"/>
        <item x="0"/>
        <item x="9"/>
        <item x="11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2">
    <field x="0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DR" fld="8" baseField="0" baseItem="0"/>
    <dataField name="Sum of C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7CD2-3004-410E-AB37-B71C3A6D370C}">
  <dimension ref="A1:AK81"/>
  <sheetViews>
    <sheetView zoomScaleNormal="100" workbookViewId="0">
      <pane xSplit="4" ySplit="3" topLeftCell="V4" activePane="bottomRight" state="frozen"/>
      <selection pane="topRight" activeCell="F1" sqref="F1"/>
      <selection pane="bottomLeft" activeCell="A3" sqref="A3"/>
      <selection pane="bottomRight" activeCell="AF10" sqref="AF10"/>
    </sheetView>
  </sheetViews>
  <sheetFormatPr defaultRowHeight="13.5" x14ac:dyDescent="0.2"/>
  <cols>
    <col min="1" max="1" width="6.33203125" style="1" customWidth="1"/>
    <col min="2" max="2" width="17.6640625" style="1" hidden="1" customWidth="1"/>
    <col min="3" max="3" width="17.5" style="1" customWidth="1"/>
    <col min="4" max="4" width="27" style="1" customWidth="1"/>
    <col min="5" max="5" width="11.33203125" style="1" customWidth="1"/>
    <col min="6" max="7" width="5.1640625" style="1" customWidth="1"/>
    <col min="8" max="8" width="7.83203125" style="2" customWidth="1"/>
    <col min="9" max="9" width="6.33203125" style="1" customWidth="1"/>
    <col min="10" max="10" width="10" style="1" customWidth="1"/>
    <col min="11" max="11" width="8.33203125" style="4" customWidth="1"/>
    <col min="12" max="14" width="10.5" style="4" customWidth="1"/>
    <col min="15" max="15" width="9.83203125" style="1" customWidth="1"/>
    <col min="16" max="16" width="11" style="1" customWidth="1"/>
    <col min="17" max="17" width="12.6640625" style="1" customWidth="1"/>
    <col min="18" max="18" width="9.33203125" style="1" customWidth="1"/>
    <col min="19" max="19" width="11.5" style="1" customWidth="1"/>
    <col min="20" max="21" width="12.6640625" style="1" customWidth="1"/>
    <col min="22" max="22" width="14.33203125" style="1" customWidth="1"/>
    <col min="23" max="24" width="12.6640625" style="1" customWidth="1"/>
    <col min="25" max="25" width="8.6640625" style="1" customWidth="1"/>
    <col min="26" max="26" width="8.1640625" style="1" customWidth="1"/>
    <col min="27" max="27" width="11.1640625" style="1" bestFit="1" customWidth="1"/>
    <col min="28" max="29" width="11.1640625" style="1" customWidth="1"/>
    <col min="30" max="30" width="6.83203125" style="1" customWidth="1"/>
    <col min="31" max="31" width="10.33203125" style="1" bestFit="1" customWidth="1"/>
    <col min="32" max="32" width="8.1640625" style="1" bestFit="1" customWidth="1"/>
    <col min="33" max="33" width="7.1640625" style="1" customWidth="1"/>
    <col min="34" max="34" width="11.1640625" style="1" bestFit="1" customWidth="1"/>
    <col min="35" max="35" width="9.33203125" style="1"/>
    <col min="36" max="38" width="10.1640625" style="1" bestFit="1" customWidth="1"/>
    <col min="39" max="16384" width="9.33203125" style="1"/>
  </cols>
  <sheetData>
    <row r="1" spans="1:35" ht="14.25" thickBot="1" x14ac:dyDescent="0.25">
      <c r="E1" s="1" t="s">
        <v>0</v>
      </c>
      <c r="F1" s="1" t="s">
        <v>1</v>
      </c>
      <c r="H1" s="125">
        <v>200000</v>
      </c>
      <c r="I1" s="125"/>
      <c r="J1" s="1" t="s">
        <v>2</v>
      </c>
      <c r="K1" s="2"/>
      <c r="L1" s="3">
        <v>50000</v>
      </c>
      <c r="N1" s="4" t="s">
        <v>3</v>
      </c>
      <c r="O1" s="5">
        <v>0.15</v>
      </c>
      <c r="P1" s="1" t="s">
        <v>4</v>
      </c>
      <c r="Q1" s="1">
        <v>80</v>
      </c>
      <c r="R1" s="126" t="s">
        <v>5</v>
      </c>
      <c r="S1" s="126"/>
      <c r="T1" s="126"/>
      <c r="U1" s="1" t="s">
        <v>6</v>
      </c>
      <c r="V1" s="1">
        <v>25000</v>
      </c>
    </row>
    <row r="2" spans="1:35" ht="15" thickTop="1" thickBot="1" x14ac:dyDescent="0.25">
      <c r="K2" s="2"/>
      <c r="O2" s="126" t="s">
        <v>7</v>
      </c>
      <c r="P2" s="126"/>
      <c r="Q2" s="126"/>
      <c r="R2" s="6"/>
      <c r="S2" s="6"/>
      <c r="T2" s="6"/>
      <c r="AD2" s="127" t="s">
        <v>225</v>
      </c>
      <c r="AE2" s="128"/>
      <c r="AF2" s="129"/>
      <c r="AG2" s="130" t="s">
        <v>231</v>
      </c>
      <c r="AH2" s="131"/>
      <c r="AI2" s="132"/>
    </row>
    <row r="3" spans="1:35" s="9" customFormat="1" ht="55.5" customHeight="1" thickTop="1" x14ac:dyDescent="0.2">
      <c r="A3" s="7" t="s">
        <v>8</v>
      </c>
      <c r="B3" s="7" t="s">
        <v>9</v>
      </c>
      <c r="C3" s="7" t="s">
        <v>10</v>
      </c>
      <c r="D3" s="7" t="s">
        <v>11</v>
      </c>
      <c r="E3" s="7" t="s">
        <v>12</v>
      </c>
      <c r="F3" s="7" t="s">
        <v>13</v>
      </c>
      <c r="G3" s="7" t="s">
        <v>219</v>
      </c>
      <c r="H3" s="7" t="s">
        <v>220</v>
      </c>
      <c r="I3" s="7" t="s">
        <v>14</v>
      </c>
      <c r="J3" s="7" t="s">
        <v>15</v>
      </c>
      <c r="K3" s="7" t="s">
        <v>16</v>
      </c>
      <c r="L3" s="7" t="s">
        <v>17</v>
      </c>
      <c r="M3" s="7" t="s">
        <v>18</v>
      </c>
      <c r="N3" s="7" t="s">
        <v>19</v>
      </c>
      <c r="O3" s="7" t="s">
        <v>20</v>
      </c>
      <c r="P3" s="7" t="s">
        <v>21</v>
      </c>
      <c r="Q3" s="7" t="s">
        <v>22</v>
      </c>
      <c r="R3" s="7" t="s">
        <v>23</v>
      </c>
      <c r="S3" s="7" t="s">
        <v>24</v>
      </c>
      <c r="T3" s="8" t="s">
        <v>25</v>
      </c>
      <c r="U3" s="7" t="s">
        <v>26</v>
      </c>
      <c r="V3" s="7" t="s">
        <v>27</v>
      </c>
      <c r="W3" s="7" t="s">
        <v>28</v>
      </c>
      <c r="X3" s="7" t="s">
        <v>29</v>
      </c>
      <c r="Y3" s="66" t="s">
        <v>227</v>
      </c>
      <c r="Z3" s="66" t="s">
        <v>226</v>
      </c>
      <c r="AA3" s="66" t="s">
        <v>233</v>
      </c>
      <c r="AB3" s="66" t="s">
        <v>236</v>
      </c>
      <c r="AC3" s="66" t="s">
        <v>237</v>
      </c>
      <c r="AD3" s="68" t="s">
        <v>228</v>
      </c>
      <c r="AE3" s="9" t="s">
        <v>229</v>
      </c>
      <c r="AF3" s="69" t="s">
        <v>230</v>
      </c>
      <c r="AG3" s="68" t="s">
        <v>232</v>
      </c>
      <c r="AH3" s="9" t="s">
        <v>229</v>
      </c>
      <c r="AI3" s="69" t="s">
        <v>230</v>
      </c>
    </row>
    <row r="4" spans="1:35" x14ac:dyDescent="0.2">
      <c r="A4" s="10">
        <v>1</v>
      </c>
      <c r="B4" s="11" t="s">
        <v>30</v>
      </c>
      <c r="C4" s="12" t="s">
        <v>31</v>
      </c>
      <c r="D4" s="11" t="s">
        <v>32</v>
      </c>
      <c r="E4" s="13" t="s">
        <v>33</v>
      </c>
      <c r="F4" s="13" t="s">
        <v>34</v>
      </c>
      <c r="G4" s="61">
        <v>1000</v>
      </c>
      <c r="H4" s="14">
        <v>1000</v>
      </c>
      <c r="I4" s="15">
        <v>0.18</v>
      </c>
      <c r="J4" s="16">
        <v>206</v>
      </c>
      <c r="K4" s="17">
        <f t="shared" ref="K4:K64" si="0">J4*I4</f>
        <v>37.08</v>
      </c>
      <c r="L4" s="18">
        <f t="shared" ref="L4:L64" si="1">J4-K4</f>
        <v>168.92000000000002</v>
      </c>
      <c r="M4" s="18">
        <f>ROUNDUP(J4/(1+I4),2)</f>
        <v>174.57999999999998</v>
      </c>
      <c r="N4" s="18">
        <v>174.58</v>
      </c>
      <c r="O4" s="19">
        <f>ROUNDUP(0.18*N4,2)</f>
        <v>31.430000000000003</v>
      </c>
      <c r="P4" s="19">
        <f>N4-O4</f>
        <v>143.15</v>
      </c>
      <c r="Q4" s="19">
        <f t="shared" ref="Q4:Q64" si="2">P4*H4</f>
        <v>143150</v>
      </c>
      <c r="R4" s="20">
        <v>2.2799999999999998</v>
      </c>
      <c r="S4" s="19">
        <f>R4*H4</f>
        <v>2280</v>
      </c>
      <c r="T4" s="21">
        <v>147.94999999999999</v>
      </c>
      <c r="U4" s="19">
        <f>T4*H4</f>
        <v>147950</v>
      </c>
      <c r="V4" s="19">
        <f>80*S4</f>
        <v>182400</v>
      </c>
      <c r="W4" s="19">
        <f>V4-U4</f>
        <v>34450</v>
      </c>
      <c r="X4" s="22"/>
      <c r="Y4" s="4">
        <f>AD4+AG4+AJ4</f>
        <v>600</v>
      </c>
      <c r="Z4" s="55">
        <f>H4-Y4</f>
        <v>400</v>
      </c>
      <c r="AA4" s="55">
        <f>U4-AE4-AH4-AK4</f>
        <v>59180</v>
      </c>
      <c r="AB4" s="55">
        <f>AF4+AI4</f>
        <v>1367.9999999999998</v>
      </c>
      <c r="AC4" s="55">
        <f>S4-AB4</f>
        <v>912.00000000000023</v>
      </c>
      <c r="AD4" s="70">
        <v>300</v>
      </c>
      <c r="AE4" s="72">
        <f>$T4*AD4</f>
        <v>44385</v>
      </c>
      <c r="AF4" s="73">
        <f>AD4*$R4</f>
        <v>683.99999999999989</v>
      </c>
      <c r="AG4" s="70">
        <f>150+4+146</f>
        <v>300</v>
      </c>
      <c r="AH4" s="72">
        <f>$T4*AG4</f>
        <v>44385</v>
      </c>
      <c r="AI4" s="73">
        <f t="shared" ref="AI4:AI67" si="3">AG4*$R4</f>
        <v>683.99999999999989</v>
      </c>
    </row>
    <row r="5" spans="1:35" x14ac:dyDescent="0.2">
      <c r="A5" s="23">
        <v>2</v>
      </c>
      <c r="B5" s="24" t="s">
        <v>30</v>
      </c>
      <c r="C5" s="25" t="s">
        <v>35</v>
      </c>
      <c r="D5" s="24" t="s">
        <v>36</v>
      </c>
      <c r="E5" s="26" t="s">
        <v>37</v>
      </c>
      <c r="F5" s="26" t="s">
        <v>34</v>
      </c>
      <c r="G5" s="62">
        <v>500</v>
      </c>
      <c r="H5" s="27">
        <v>500</v>
      </c>
      <c r="I5" s="28">
        <v>0.18</v>
      </c>
      <c r="J5" s="29">
        <v>811</v>
      </c>
      <c r="K5" s="30">
        <f t="shared" si="0"/>
        <v>145.97999999999999</v>
      </c>
      <c r="L5" s="31">
        <f t="shared" si="1"/>
        <v>665.02</v>
      </c>
      <c r="M5" s="31">
        <f t="shared" ref="M5:M62" si="4">ROUNDUP(J5/(1+I5),2)</f>
        <v>687.29</v>
      </c>
      <c r="N5" s="31">
        <v>687.29</v>
      </c>
      <c r="O5" s="32">
        <f t="shared" ref="O5:O62" si="5">ROUNDUP(0.18*N5,2)</f>
        <v>123.72</v>
      </c>
      <c r="P5" s="32">
        <f t="shared" ref="P5:P62" si="6">N5-O5</f>
        <v>563.56999999999994</v>
      </c>
      <c r="Q5" s="32">
        <f t="shared" si="2"/>
        <v>281784.99999999994</v>
      </c>
      <c r="R5" s="33">
        <v>9</v>
      </c>
      <c r="S5" s="32">
        <f t="shared" ref="S5:S20" si="7">R5*H5</f>
        <v>4500</v>
      </c>
      <c r="T5" s="34">
        <v>582.45000000000005</v>
      </c>
      <c r="U5" s="32">
        <f t="shared" ref="U5:U65" si="8">T5*H5</f>
        <v>291225</v>
      </c>
      <c r="V5" s="32">
        <f t="shared" ref="V5:V65" si="9">80*S5</f>
        <v>360000</v>
      </c>
      <c r="W5" s="32">
        <f t="shared" ref="W5:W65" si="10">V5-U5</f>
        <v>68775</v>
      </c>
      <c r="X5" s="35"/>
      <c r="Y5" s="4">
        <f t="shared" ref="Y5:Y68" si="11">AD5+AG5+AJ5</f>
        <v>290</v>
      </c>
      <c r="Z5" s="55">
        <f t="shared" ref="Z5:Z68" si="12">H5-Y5</f>
        <v>210</v>
      </c>
      <c r="AA5" s="55">
        <f t="shared" ref="AA5:AA68" si="13">U5-AE5-AH5-AK5</f>
        <v>122314.5</v>
      </c>
      <c r="AB5" s="55">
        <f t="shared" ref="AB5:AB68" si="14">AF5+AI5</f>
        <v>2610</v>
      </c>
      <c r="AC5" s="55">
        <f t="shared" ref="AC5:AC68" si="15">S5-AB5</f>
        <v>1890</v>
      </c>
      <c r="AD5" s="70">
        <v>200</v>
      </c>
      <c r="AE5" s="72">
        <f t="shared" ref="AE5:AE68" si="16">$T5*AD5</f>
        <v>116490.00000000001</v>
      </c>
      <c r="AF5" s="73">
        <f t="shared" ref="AF5:AF68" si="17">AD5*$R5</f>
        <v>1800</v>
      </c>
      <c r="AG5" s="70">
        <f>30+30+30</f>
        <v>90</v>
      </c>
      <c r="AH5" s="72">
        <f t="shared" ref="AH5:AH68" si="18">$T5*AG5</f>
        <v>52420.500000000007</v>
      </c>
      <c r="AI5" s="73">
        <f t="shared" si="3"/>
        <v>810</v>
      </c>
    </row>
    <row r="6" spans="1:35" x14ac:dyDescent="0.2">
      <c r="A6" s="23">
        <v>3</v>
      </c>
      <c r="B6" s="24" t="s">
        <v>30</v>
      </c>
      <c r="C6" s="25" t="s">
        <v>38</v>
      </c>
      <c r="D6" s="24" t="s">
        <v>39</v>
      </c>
      <c r="E6" s="26" t="s">
        <v>33</v>
      </c>
      <c r="F6" s="26" t="s">
        <v>34</v>
      </c>
      <c r="G6" s="62">
        <v>1000</v>
      </c>
      <c r="H6" s="27">
        <v>1000</v>
      </c>
      <c r="I6" s="28">
        <v>0.18</v>
      </c>
      <c r="J6" s="29">
        <v>610</v>
      </c>
      <c r="K6" s="30">
        <f t="shared" si="0"/>
        <v>109.8</v>
      </c>
      <c r="L6" s="31">
        <f t="shared" si="1"/>
        <v>500.2</v>
      </c>
      <c r="M6" s="31">
        <f t="shared" si="4"/>
        <v>516.95000000000005</v>
      </c>
      <c r="N6" s="31">
        <v>516.95000000000005</v>
      </c>
      <c r="O6" s="32">
        <f t="shared" si="5"/>
        <v>93.06</v>
      </c>
      <c r="P6" s="32">
        <f t="shared" si="6"/>
        <v>423.89000000000004</v>
      </c>
      <c r="Q6" s="32">
        <f t="shared" si="2"/>
        <v>423890.00000000006</v>
      </c>
      <c r="R6" s="33">
        <v>6.75</v>
      </c>
      <c r="S6" s="32">
        <f t="shared" si="7"/>
        <v>6750</v>
      </c>
      <c r="T6" s="34">
        <v>438.09</v>
      </c>
      <c r="U6" s="32">
        <f t="shared" si="8"/>
        <v>438090</v>
      </c>
      <c r="V6" s="32">
        <f t="shared" si="9"/>
        <v>540000</v>
      </c>
      <c r="W6" s="32">
        <f t="shared" si="10"/>
        <v>101910</v>
      </c>
      <c r="X6" s="35"/>
      <c r="Y6" s="4">
        <f t="shared" si="11"/>
        <v>616</v>
      </c>
      <c r="Z6" s="55">
        <f t="shared" si="12"/>
        <v>384</v>
      </c>
      <c r="AA6" s="55">
        <f t="shared" si="13"/>
        <v>168226.56</v>
      </c>
      <c r="AB6" s="55">
        <f t="shared" si="14"/>
        <v>4158</v>
      </c>
      <c r="AC6" s="55">
        <f t="shared" si="15"/>
        <v>2592</v>
      </c>
      <c r="AD6" s="70">
        <v>325</v>
      </c>
      <c r="AE6" s="72">
        <f t="shared" si="16"/>
        <v>142379.25</v>
      </c>
      <c r="AF6" s="73">
        <f t="shared" si="17"/>
        <v>2193.75</v>
      </c>
      <c r="AG6" s="70">
        <f>96+48+147</f>
        <v>291</v>
      </c>
      <c r="AH6" s="72">
        <f t="shared" si="18"/>
        <v>127484.18999999999</v>
      </c>
      <c r="AI6" s="73">
        <f t="shared" si="3"/>
        <v>1964.25</v>
      </c>
    </row>
    <row r="7" spans="1:35" x14ac:dyDescent="0.2">
      <c r="A7" s="23">
        <v>4</v>
      </c>
      <c r="B7" s="24" t="s">
        <v>30</v>
      </c>
      <c r="C7" s="25" t="s">
        <v>41</v>
      </c>
      <c r="D7" s="24" t="s">
        <v>42</v>
      </c>
      <c r="E7" s="26" t="s">
        <v>33</v>
      </c>
      <c r="F7" s="26" t="s">
        <v>34</v>
      </c>
      <c r="G7" s="62">
        <v>500</v>
      </c>
      <c r="H7" s="27">
        <v>500</v>
      </c>
      <c r="I7" s="28">
        <v>0.18</v>
      </c>
      <c r="J7" s="29">
        <v>597</v>
      </c>
      <c r="K7" s="30">
        <f t="shared" si="0"/>
        <v>107.46</v>
      </c>
      <c r="L7" s="31">
        <f t="shared" si="1"/>
        <v>489.54</v>
      </c>
      <c r="M7" s="31">
        <f t="shared" si="4"/>
        <v>505.94</v>
      </c>
      <c r="N7" s="31">
        <v>505.93</v>
      </c>
      <c r="O7" s="32">
        <f t="shared" si="5"/>
        <v>91.070000000000007</v>
      </c>
      <c r="P7" s="32">
        <f t="shared" si="6"/>
        <v>414.86</v>
      </c>
      <c r="Q7" s="32">
        <f t="shared" si="2"/>
        <v>207430</v>
      </c>
      <c r="R7" s="33">
        <v>6.5</v>
      </c>
      <c r="S7" s="32">
        <f t="shared" si="7"/>
        <v>3250</v>
      </c>
      <c r="T7" s="34">
        <v>428.75</v>
      </c>
      <c r="U7" s="32">
        <f t="shared" si="8"/>
        <v>214375</v>
      </c>
      <c r="V7" s="32">
        <f t="shared" si="9"/>
        <v>260000</v>
      </c>
      <c r="W7" s="32">
        <f t="shared" si="10"/>
        <v>45625</v>
      </c>
      <c r="X7" s="35"/>
      <c r="Y7" s="4">
        <f t="shared" si="11"/>
        <v>200</v>
      </c>
      <c r="Z7" s="55">
        <f t="shared" si="12"/>
        <v>300</v>
      </c>
      <c r="AA7" s="55">
        <f t="shared" si="13"/>
        <v>128625</v>
      </c>
      <c r="AB7" s="55">
        <f t="shared" si="14"/>
        <v>1300</v>
      </c>
      <c r="AC7" s="55">
        <f t="shared" si="15"/>
        <v>1950</v>
      </c>
      <c r="AD7" s="70">
        <v>20</v>
      </c>
      <c r="AE7" s="72">
        <f t="shared" si="16"/>
        <v>8575</v>
      </c>
      <c r="AF7" s="73">
        <f t="shared" si="17"/>
        <v>130</v>
      </c>
      <c r="AG7" s="70">
        <f>131+49</f>
        <v>180</v>
      </c>
      <c r="AH7" s="72">
        <f t="shared" si="18"/>
        <v>77175</v>
      </c>
      <c r="AI7" s="73">
        <f t="shared" si="3"/>
        <v>1170</v>
      </c>
    </row>
    <row r="8" spans="1:35" ht="27" x14ac:dyDescent="0.2">
      <c r="A8" s="23">
        <v>5</v>
      </c>
      <c r="B8" s="24" t="s">
        <v>43</v>
      </c>
      <c r="C8" s="25" t="s">
        <v>44</v>
      </c>
      <c r="D8" s="24" t="s">
        <v>45</v>
      </c>
      <c r="E8" s="26" t="s">
        <v>46</v>
      </c>
      <c r="F8" s="26" t="s">
        <v>34</v>
      </c>
      <c r="G8" s="62">
        <v>50</v>
      </c>
      <c r="H8" s="27">
        <v>50</v>
      </c>
      <c r="I8" s="28">
        <v>0.18</v>
      </c>
      <c r="J8" s="29">
        <v>1844</v>
      </c>
      <c r="K8" s="30">
        <f t="shared" si="0"/>
        <v>331.92</v>
      </c>
      <c r="L8" s="31">
        <f t="shared" si="1"/>
        <v>1512.08</v>
      </c>
      <c r="M8" s="31">
        <f t="shared" si="4"/>
        <v>1562.72</v>
      </c>
      <c r="N8" s="31">
        <v>1562.71</v>
      </c>
      <c r="O8" s="32">
        <f t="shared" si="5"/>
        <v>281.28999999999996</v>
      </c>
      <c r="P8" s="32">
        <f t="shared" si="6"/>
        <v>1281.42</v>
      </c>
      <c r="Q8" s="32">
        <f t="shared" si="2"/>
        <v>64071</v>
      </c>
      <c r="R8" s="33">
        <v>14.42</v>
      </c>
      <c r="S8" s="32">
        <f t="shared" si="7"/>
        <v>721</v>
      </c>
      <c r="T8" s="34">
        <v>1324.33</v>
      </c>
      <c r="U8" s="32">
        <f t="shared" si="8"/>
        <v>66216.5</v>
      </c>
      <c r="V8" s="32">
        <f t="shared" si="9"/>
        <v>57680</v>
      </c>
      <c r="W8" s="32">
        <f t="shared" si="10"/>
        <v>-8536.5</v>
      </c>
      <c r="X8" s="24" t="s">
        <v>47</v>
      </c>
      <c r="Y8" s="4">
        <f t="shared" si="11"/>
        <v>20</v>
      </c>
      <c r="Z8" s="55">
        <f t="shared" si="12"/>
        <v>30</v>
      </c>
      <c r="AA8" s="55">
        <f t="shared" si="13"/>
        <v>39729.9</v>
      </c>
      <c r="AB8" s="55">
        <f t="shared" si="14"/>
        <v>288.39999999999998</v>
      </c>
      <c r="AC8" s="55">
        <f t="shared" si="15"/>
        <v>432.6</v>
      </c>
      <c r="AD8" s="70"/>
      <c r="AE8" s="72">
        <f t="shared" si="16"/>
        <v>0</v>
      </c>
      <c r="AF8" s="73">
        <f t="shared" si="17"/>
        <v>0</v>
      </c>
      <c r="AG8" s="70">
        <f>10+10</f>
        <v>20</v>
      </c>
      <c r="AH8" s="72">
        <f t="shared" si="18"/>
        <v>26486.6</v>
      </c>
      <c r="AI8" s="73">
        <f t="shared" si="3"/>
        <v>288.39999999999998</v>
      </c>
    </row>
    <row r="9" spans="1:35" ht="27" x14ac:dyDescent="0.2">
      <c r="A9" s="23">
        <v>6</v>
      </c>
      <c r="B9" s="24" t="s">
        <v>43</v>
      </c>
      <c r="C9" s="25" t="s">
        <v>48</v>
      </c>
      <c r="D9" s="24" t="s">
        <v>49</v>
      </c>
      <c r="E9" s="26" t="s">
        <v>50</v>
      </c>
      <c r="F9" s="26" t="s">
        <v>34</v>
      </c>
      <c r="G9" s="62">
        <v>50</v>
      </c>
      <c r="H9" s="27">
        <v>50</v>
      </c>
      <c r="I9" s="28">
        <v>0.18</v>
      </c>
      <c r="J9" s="29">
        <v>699</v>
      </c>
      <c r="K9" s="30">
        <f t="shared" si="0"/>
        <v>125.82</v>
      </c>
      <c r="L9" s="31">
        <f t="shared" si="1"/>
        <v>573.18000000000006</v>
      </c>
      <c r="M9" s="31">
        <f t="shared" si="4"/>
        <v>592.38</v>
      </c>
      <c r="N9" s="31">
        <v>592.37</v>
      </c>
      <c r="O9" s="32">
        <f t="shared" si="5"/>
        <v>106.63000000000001</v>
      </c>
      <c r="P9" s="32">
        <f t="shared" si="6"/>
        <v>485.74</v>
      </c>
      <c r="Q9" s="32">
        <f t="shared" si="2"/>
        <v>24287</v>
      </c>
      <c r="R9" s="33">
        <v>7.7</v>
      </c>
      <c r="S9" s="32">
        <f t="shared" si="7"/>
        <v>385</v>
      </c>
      <c r="T9" s="34">
        <v>502.01</v>
      </c>
      <c r="U9" s="32">
        <f t="shared" si="8"/>
        <v>25100.5</v>
      </c>
      <c r="V9" s="32">
        <f t="shared" si="9"/>
        <v>30800</v>
      </c>
      <c r="W9" s="32">
        <f t="shared" si="10"/>
        <v>5699.5</v>
      </c>
      <c r="X9" s="24"/>
      <c r="Y9" s="4">
        <f t="shared" si="11"/>
        <v>50</v>
      </c>
      <c r="Z9" s="55">
        <f t="shared" si="12"/>
        <v>0</v>
      </c>
      <c r="AA9" s="55">
        <f t="shared" si="13"/>
        <v>0</v>
      </c>
      <c r="AB9" s="55">
        <f t="shared" si="14"/>
        <v>385</v>
      </c>
      <c r="AC9" s="55">
        <f t="shared" si="15"/>
        <v>0</v>
      </c>
      <c r="AD9" s="70">
        <v>25</v>
      </c>
      <c r="AE9" s="72">
        <f t="shared" si="16"/>
        <v>12550.25</v>
      </c>
      <c r="AF9" s="73">
        <f t="shared" si="17"/>
        <v>192.5</v>
      </c>
      <c r="AG9" s="70">
        <f>15+10</f>
        <v>25</v>
      </c>
      <c r="AH9" s="72">
        <f t="shared" si="18"/>
        <v>12550.25</v>
      </c>
      <c r="AI9" s="73">
        <f t="shared" si="3"/>
        <v>192.5</v>
      </c>
    </row>
    <row r="10" spans="1:35" ht="27" x14ac:dyDescent="0.2">
      <c r="A10" s="23">
        <v>7</v>
      </c>
      <c r="B10" s="24" t="s">
        <v>43</v>
      </c>
      <c r="C10" s="25" t="s">
        <v>51</v>
      </c>
      <c r="D10" s="24" t="s">
        <v>52</v>
      </c>
      <c r="E10" s="26" t="s">
        <v>33</v>
      </c>
      <c r="F10" s="26" t="s">
        <v>34</v>
      </c>
      <c r="G10" s="62">
        <v>50</v>
      </c>
      <c r="H10" s="27">
        <v>50</v>
      </c>
      <c r="I10" s="28">
        <v>0.28000000000000003</v>
      </c>
      <c r="J10" s="29">
        <v>6841</v>
      </c>
      <c r="K10" s="30">
        <f t="shared" si="0"/>
        <v>1915.4800000000002</v>
      </c>
      <c r="L10" s="31">
        <f t="shared" si="1"/>
        <v>4925.5199999999995</v>
      </c>
      <c r="M10" s="31">
        <f t="shared" si="4"/>
        <v>5344.54</v>
      </c>
      <c r="N10" s="31">
        <v>5344.53</v>
      </c>
      <c r="O10" s="32">
        <f t="shared" si="5"/>
        <v>962.02</v>
      </c>
      <c r="P10" s="32">
        <f t="shared" si="6"/>
        <v>4382.51</v>
      </c>
      <c r="Q10" s="32">
        <f t="shared" si="2"/>
        <v>219125.5</v>
      </c>
      <c r="R10" s="33">
        <v>77.5</v>
      </c>
      <c r="S10" s="32">
        <f t="shared" si="7"/>
        <v>3875</v>
      </c>
      <c r="T10" s="34">
        <v>4596.29</v>
      </c>
      <c r="U10" s="32">
        <f t="shared" si="8"/>
        <v>229814.5</v>
      </c>
      <c r="V10" s="32">
        <f t="shared" si="9"/>
        <v>310000</v>
      </c>
      <c r="W10" s="32">
        <f t="shared" si="10"/>
        <v>80185.5</v>
      </c>
      <c r="X10" s="24"/>
      <c r="Y10" s="4">
        <f t="shared" si="11"/>
        <v>4</v>
      </c>
      <c r="Z10" s="55">
        <f t="shared" si="12"/>
        <v>46</v>
      </c>
      <c r="AA10" s="55">
        <f t="shared" si="13"/>
        <v>211429.34</v>
      </c>
      <c r="AB10" s="55">
        <f t="shared" si="14"/>
        <v>310</v>
      </c>
      <c r="AC10" s="55">
        <f t="shared" si="15"/>
        <v>3565</v>
      </c>
      <c r="AD10" s="70"/>
      <c r="AE10" s="72">
        <f t="shared" si="16"/>
        <v>0</v>
      </c>
      <c r="AF10" s="73">
        <f t="shared" si="17"/>
        <v>0</v>
      </c>
      <c r="AG10" s="70">
        <v>4</v>
      </c>
      <c r="AH10" s="72">
        <f t="shared" si="18"/>
        <v>18385.16</v>
      </c>
      <c r="AI10" s="73">
        <f t="shared" si="3"/>
        <v>310</v>
      </c>
    </row>
    <row r="11" spans="1:35" ht="27" x14ac:dyDescent="0.2">
      <c r="A11" s="23">
        <v>8</v>
      </c>
      <c r="B11" s="24" t="s">
        <v>43</v>
      </c>
      <c r="C11" s="25" t="s">
        <v>53</v>
      </c>
      <c r="D11" s="24" t="s">
        <v>54</v>
      </c>
      <c r="E11" s="26" t="s">
        <v>33</v>
      </c>
      <c r="F11" s="26" t="s">
        <v>34</v>
      </c>
      <c r="G11" s="62">
        <v>50</v>
      </c>
      <c r="H11" s="27">
        <v>50</v>
      </c>
      <c r="I11" s="28">
        <v>0.18</v>
      </c>
      <c r="J11" s="29">
        <v>197</v>
      </c>
      <c r="K11" s="30">
        <f t="shared" si="0"/>
        <v>35.46</v>
      </c>
      <c r="L11" s="31">
        <f t="shared" si="1"/>
        <v>161.54</v>
      </c>
      <c r="M11" s="31">
        <f t="shared" si="4"/>
        <v>166.95</v>
      </c>
      <c r="N11" s="31">
        <v>153.91</v>
      </c>
      <c r="O11" s="32">
        <f>ROUND(0.18*N11,2)</f>
        <v>27.7</v>
      </c>
      <c r="P11" s="32">
        <f t="shared" si="6"/>
        <v>126.21</v>
      </c>
      <c r="Q11" s="32">
        <f t="shared" si="2"/>
        <v>6310.5</v>
      </c>
      <c r="R11" s="33">
        <v>2.14</v>
      </c>
      <c r="S11" s="32">
        <f t="shared" si="7"/>
        <v>107</v>
      </c>
      <c r="T11" s="34">
        <v>141.47999999999999</v>
      </c>
      <c r="U11" s="32">
        <f t="shared" si="8"/>
        <v>7073.9999999999991</v>
      </c>
      <c r="V11" s="32">
        <f t="shared" si="9"/>
        <v>8560</v>
      </c>
      <c r="W11" s="32">
        <f t="shared" si="10"/>
        <v>1486.0000000000009</v>
      </c>
      <c r="X11" s="24"/>
      <c r="Y11" s="4">
        <f t="shared" si="11"/>
        <v>0</v>
      </c>
      <c r="Z11" s="55">
        <f t="shared" si="12"/>
        <v>50</v>
      </c>
      <c r="AA11" s="55">
        <f t="shared" si="13"/>
        <v>7073.9999999999991</v>
      </c>
      <c r="AB11" s="55">
        <f t="shared" si="14"/>
        <v>0</v>
      </c>
      <c r="AC11" s="55">
        <f t="shared" si="15"/>
        <v>107</v>
      </c>
      <c r="AD11" s="70"/>
      <c r="AE11" s="72">
        <f t="shared" si="16"/>
        <v>0</v>
      </c>
      <c r="AF11" s="73">
        <f t="shared" si="17"/>
        <v>0</v>
      </c>
      <c r="AG11" s="70"/>
      <c r="AH11" s="72">
        <f t="shared" si="18"/>
        <v>0</v>
      </c>
      <c r="AI11" s="73">
        <f t="shared" si="3"/>
        <v>0</v>
      </c>
    </row>
    <row r="12" spans="1:35" ht="27" x14ac:dyDescent="0.2">
      <c r="A12" s="23">
        <v>9</v>
      </c>
      <c r="B12" s="24" t="s">
        <v>43</v>
      </c>
      <c r="C12" s="25" t="s">
        <v>55</v>
      </c>
      <c r="D12" s="24" t="s">
        <v>56</v>
      </c>
      <c r="E12" s="26" t="s">
        <v>57</v>
      </c>
      <c r="F12" s="26" t="s">
        <v>34</v>
      </c>
      <c r="G12" s="62">
        <v>25</v>
      </c>
      <c r="H12" s="27">
        <v>25</v>
      </c>
      <c r="I12" s="28">
        <v>0.28000000000000003</v>
      </c>
      <c r="J12" s="29">
        <v>19054</v>
      </c>
      <c r="K12" s="30">
        <f t="shared" si="0"/>
        <v>5335.1200000000008</v>
      </c>
      <c r="L12" s="31">
        <f t="shared" si="1"/>
        <v>13718.88</v>
      </c>
      <c r="M12" s="31">
        <f t="shared" si="4"/>
        <v>14885.94</v>
      </c>
      <c r="N12" s="31">
        <v>14885.94</v>
      </c>
      <c r="O12" s="32">
        <f t="shared" si="5"/>
        <v>2679.4700000000003</v>
      </c>
      <c r="P12" s="32">
        <f t="shared" si="6"/>
        <v>12206.470000000001</v>
      </c>
      <c r="Q12" s="32">
        <f t="shared" si="2"/>
        <v>305161.75</v>
      </c>
      <c r="R12" s="33">
        <v>179.18</v>
      </c>
      <c r="S12" s="32">
        <f>ROUNDUP(R12*H12,0)</f>
        <v>4480</v>
      </c>
      <c r="T12" s="34">
        <v>12838.49</v>
      </c>
      <c r="U12" s="32">
        <f t="shared" si="8"/>
        <v>320962.25</v>
      </c>
      <c r="V12" s="32">
        <f t="shared" si="9"/>
        <v>358400</v>
      </c>
      <c r="W12" s="32">
        <f t="shared" si="10"/>
        <v>37437.75</v>
      </c>
      <c r="X12" s="36"/>
      <c r="Y12" s="4">
        <f t="shared" si="11"/>
        <v>10</v>
      </c>
      <c r="Z12" s="55">
        <f t="shared" si="12"/>
        <v>15</v>
      </c>
      <c r="AA12" s="55">
        <f t="shared" si="13"/>
        <v>192577.35</v>
      </c>
      <c r="AB12" s="55">
        <f t="shared" si="14"/>
        <v>1791.8000000000002</v>
      </c>
      <c r="AC12" s="55">
        <f t="shared" si="15"/>
        <v>2688.2</v>
      </c>
      <c r="AD12" s="70"/>
      <c r="AE12" s="72">
        <f t="shared" si="16"/>
        <v>0</v>
      </c>
      <c r="AF12" s="73">
        <f t="shared" si="17"/>
        <v>0</v>
      </c>
      <c r="AG12" s="70">
        <f>4+6</f>
        <v>10</v>
      </c>
      <c r="AH12" s="72">
        <f t="shared" si="18"/>
        <v>128384.9</v>
      </c>
      <c r="AI12" s="73">
        <f t="shared" si="3"/>
        <v>1791.8000000000002</v>
      </c>
    </row>
    <row r="13" spans="1:35" ht="27" x14ac:dyDescent="0.2">
      <c r="A13" s="23">
        <v>10</v>
      </c>
      <c r="B13" s="24" t="s">
        <v>43</v>
      </c>
      <c r="C13" s="25" t="s">
        <v>58</v>
      </c>
      <c r="D13" s="24" t="s">
        <v>59</v>
      </c>
      <c r="E13" s="26" t="s">
        <v>33</v>
      </c>
      <c r="F13" s="26" t="s">
        <v>34</v>
      </c>
      <c r="G13" s="62">
        <v>200</v>
      </c>
      <c r="H13" s="27">
        <v>200</v>
      </c>
      <c r="I13" s="28">
        <v>0.18</v>
      </c>
      <c r="J13" s="29">
        <v>925</v>
      </c>
      <c r="K13" s="30">
        <f t="shared" si="0"/>
        <v>166.5</v>
      </c>
      <c r="L13" s="31">
        <f t="shared" si="1"/>
        <v>758.5</v>
      </c>
      <c r="M13" s="31">
        <f t="shared" si="4"/>
        <v>783.9</v>
      </c>
      <c r="N13" s="31">
        <v>722.66</v>
      </c>
      <c r="O13" s="32">
        <f t="shared" si="5"/>
        <v>130.07999999999998</v>
      </c>
      <c r="P13" s="32">
        <f t="shared" si="6"/>
        <v>592.57999999999993</v>
      </c>
      <c r="Q13" s="32">
        <f t="shared" si="2"/>
        <v>118515.99999999999</v>
      </c>
      <c r="R13" s="33">
        <v>10.51</v>
      </c>
      <c r="S13" s="32">
        <f t="shared" si="7"/>
        <v>2102</v>
      </c>
      <c r="T13" s="34">
        <v>664.36</v>
      </c>
      <c r="U13" s="32">
        <f t="shared" si="8"/>
        <v>132872</v>
      </c>
      <c r="V13" s="32">
        <f t="shared" si="9"/>
        <v>168160</v>
      </c>
      <c r="W13" s="32">
        <f t="shared" si="10"/>
        <v>35288</v>
      </c>
      <c r="X13" s="36"/>
      <c r="Y13" s="4">
        <f t="shared" si="11"/>
        <v>80</v>
      </c>
      <c r="Z13" s="55">
        <f t="shared" si="12"/>
        <v>120</v>
      </c>
      <c r="AA13" s="55">
        <f t="shared" si="13"/>
        <v>79723.199999999997</v>
      </c>
      <c r="AB13" s="55">
        <f t="shared" si="14"/>
        <v>840.8</v>
      </c>
      <c r="AC13" s="55">
        <f t="shared" si="15"/>
        <v>1261.2</v>
      </c>
      <c r="AD13" s="70"/>
      <c r="AE13" s="72">
        <f t="shared" si="16"/>
        <v>0</v>
      </c>
      <c r="AF13" s="73">
        <f t="shared" si="17"/>
        <v>0</v>
      </c>
      <c r="AG13" s="70">
        <v>80</v>
      </c>
      <c r="AH13" s="72">
        <f t="shared" si="18"/>
        <v>53148.800000000003</v>
      </c>
      <c r="AI13" s="73">
        <f t="shared" si="3"/>
        <v>840.8</v>
      </c>
    </row>
    <row r="14" spans="1:35" ht="27" x14ac:dyDescent="0.2">
      <c r="A14" s="23">
        <v>11</v>
      </c>
      <c r="B14" s="24" t="s">
        <v>43</v>
      </c>
      <c r="C14" s="25" t="s">
        <v>60</v>
      </c>
      <c r="D14" s="24" t="s">
        <v>61</v>
      </c>
      <c r="E14" s="26" t="s">
        <v>33</v>
      </c>
      <c r="F14" s="26" t="s">
        <v>34</v>
      </c>
      <c r="G14" s="62">
        <v>50</v>
      </c>
      <c r="H14" s="27">
        <v>50</v>
      </c>
      <c r="I14" s="28">
        <v>0.28000000000000003</v>
      </c>
      <c r="J14" s="29">
        <v>3824</v>
      </c>
      <c r="K14" s="30">
        <f t="shared" si="0"/>
        <v>1070.72</v>
      </c>
      <c r="L14" s="31">
        <f t="shared" si="1"/>
        <v>2753.2799999999997</v>
      </c>
      <c r="M14" s="31">
        <f t="shared" si="4"/>
        <v>2987.5</v>
      </c>
      <c r="N14" s="31">
        <v>2987.5</v>
      </c>
      <c r="O14" s="32">
        <f t="shared" si="5"/>
        <v>537.75</v>
      </c>
      <c r="P14" s="32">
        <f t="shared" si="6"/>
        <v>2449.75</v>
      </c>
      <c r="Q14" s="32">
        <f t="shared" si="2"/>
        <v>122487.5</v>
      </c>
      <c r="R14" s="33">
        <v>40.700000000000003</v>
      </c>
      <c r="S14" s="32">
        <f t="shared" si="7"/>
        <v>2035.0000000000002</v>
      </c>
      <c r="T14" s="34">
        <v>2569.25</v>
      </c>
      <c r="U14" s="32">
        <f t="shared" si="8"/>
        <v>128462.5</v>
      </c>
      <c r="V14" s="32">
        <f t="shared" si="9"/>
        <v>162800.00000000003</v>
      </c>
      <c r="W14" s="32">
        <f t="shared" si="10"/>
        <v>34337.500000000029</v>
      </c>
      <c r="X14" s="36"/>
      <c r="Y14" s="4">
        <f t="shared" si="11"/>
        <v>10</v>
      </c>
      <c r="Z14" s="55">
        <f t="shared" si="12"/>
        <v>40</v>
      </c>
      <c r="AA14" s="55">
        <f t="shared" si="13"/>
        <v>102770</v>
      </c>
      <c r="AB14" s="55">
        <f t="shared" si="14"/>
        <v>407</v>
      </c>
      <c r="AC14" s="55">
        <f t="shared" si="15"/>
        <v>1628.0000000000002</v>
      </c>
      <c r="AD14" s="70"/>
      <c r="AE14" s="72">
        <f t="shared" si="16"/>
        <v>0</v>
      </c>
      <c r="AF14" s="73">
        <f t="shared" si="17"/>
        <v>0</v>
      </c>
      <c r="AG14" s="70">
        <f>10</f>
        <v>10</v>
      </c>
      <c r="AH14" s="72">
        <f t="shared" si="18"/>
        <v>25692.5</v>
      </c>
      <c r="AI14" s="73">
        <f t="shared" si="3"/>
        <v>407</v>
      </c>
    </row>
    <row r="15" spans="1:35" ht="27" x14ac:dyDescent="0.2">
      <c r="A15" s="23">
        <v>12</v>
      </c>
      <c r="B15" s="24" t="s">
        <v>43</v>
      </c>
      <c r="C15" s="25" t="s">
        <v>62</v>
      </c>
      <c r="D15" s="24" t="s">
        <v>63</v>
      </c>
      <c r="E15" s="26" t="s">
        <v>33</v>
      </c>
      <c r="F15" s="26" t="s">
        <v>34</v>
      </c>
      <c r="G15" s="62">
        <v>10</v>
      </c>
      <c r="H15" s="27">
        <v>10</v>
      </c>
      <c r="I15" s="28">
        <v>0.18</v>
      </c>
      <c r="J15" s="29">
        <v>2525</v>
      </c>
      <c r="K15" s="30">
        <f t="shared" si="0"/>
        <v>454.5</v>
      </c>
      <c r="L15" s="31">
        <f t="shared" si="1"/>
        <v>2070.5</v>
      </c>
      <c r="M15" s="31">
        <f t="shared" si="4"/>
        <v>2139.84</v>
      </c>
      <c r="N15" s="31">
        <v>1972.66</v>
      </c>
      <c r="O15" s="32">
        <f t="shared" si="5"/>
        <v>355.08</v>
      </c>
      <c r="P15" s="32">
        <f t="shared" si="6"/>
        <v>1617.5800000000002</v>
      </c>
      <c r="Q15" s="32">
        <f t="shared" si="2"/>
        <v>16175.800000000001</v>
      </c>
      <c r="R15" s="33">
        <v>28.15</v>
      </c>
      <c r="S15" s="32">
        <f>ROUND(R15*H15,0)</f>
        <v>282</v>
      </c>
      <c r="T15" s="34">
        <v>1813.51</v>
      </c>
      <c r="U15" s="32">
        <f t="shared" si="8"/>
        <v>18135.099999999999</v>
      </c>
      <c r="V15" s="32">
        <f t="shared" si="9"/>
        <v>22560</v>
      </c>
      <c r="W15" s="32">
        <f t="shared" si="10"/>
        <v>4424.9000000000015</v>
      </c>
      <c r="X15" s="24"/>
      <c r="Y15" s="4">
        <f t="shared" si="11"/>
        <v>0</v>
      </c>
      <c r="Z15" s="55">
        <f t="shared" si="12"/>
        <v>10</v>
      </c>
      <c r="AA15" s="55">
        <f t="shared" si="13"/>
        <v>18135.099999999999</v>
      </c>
      <c r="AB15" s="55">
        <f t="shared" si="14"/>
        <v>0</v>
      </c>
      <c r="AC15" s="55">
        <f t="shared" si="15"/>
        <v>282</v>
      </c>
      <c r="AD15" s="70"/>
      <c r="AE15" s="72">
        <f t="shared" si="16"/>
        <v>0</v>
      </c>
      <c r="AF15" s="73">
        <f t="shared" si="17"/>
        <v>0</v>
      </c>
      <c r="AG15" s="70"/>
      <c r="AH15" s="72">
        <f t="shared" si="18"/>
        <v>0</v>
      </c>
      <c r="AI15" s="73">
        <f t="shared" si="3"/>
        <v>0</v>
      </c>
    </row>
    <row r="16" spans="1:35" ht="27" x14ac:dyDescent="0.2">
      <c r="A16" s="23">
        <v>14</v>
      </c>
      <c r="B16" s="24" t="s">
        <v>43</v>
      </c>
      <c r="C16" s="25" t="s">
        <v>64</v>
      </c>
      <c r="D16" s="24" t="s">
        <v>65</v>
      </c>
      <c r="E16" s="26" t="s">
        <v>33</v>
      </c>
      <c r="F16" s="26" t="s">
        <v>34</v>
      </c>
      <c r="G16" s="62">
        <v>10</v>
      </c>
      <c r="H16" s="27">
        <v>10</v>
      </c>
      <c r="I16" s="28">
        <v>0.18</v>
      </c>
      <c r="J16" s="29">
        <v>470</v>
      </c>
      <c r="K16" s="30">
        <f t="shared" si="0"/>
        <v>84.6</v>
      </c>
      <c r="L16" s="31">
        <f t="shared" si="1"/>
        <v>385.4</v>
      </c>
      <c r="M16" s="31">
        <f t="shared" si="4"/>
        <v>398.31</v>
      </c>
      <c r="N16" s="31">
        <v>367.19</v>
      </c>
      <c r="O16" s="32">
        <f t="shared" si="5"/>
        <v>66.100000000000009</v>
      </c>
      <c r="P16" s="32">
        <f t="shared" si="6"/>
        <v>301.08999999999997</v>
      </c>
      <c r="Q16" s="32">
        <f t="shared" si="2"/>
        <v>3010.8999999999996</v>
      </c>
      <c r="R16" s="33">
        <v>5.07</v>
      </c>
      <c r="S16" s="32">
        <f>ROUND(R16*H16,0)</f>
        <v>51</v>
      </c>
      <c r="T16" s="34">
        <v>337.57</v>
      </c>
      <c r="U16" s="32">
        <f t="shared" si="8"/>
        <v>3375.7</v>
      </c>
      <c r="V16" s="32">
        <f t="shared" si="9"/>
        <v>4080</v>
      </c>
      <c r="W16" s="32">
        <f t="shared" si="10"/>
        <v>704.30000000000018</v>
      </c>
      <c r="X16" s="24"/>
      <c r="Y16" s="4">
        <f t="shared" si="11"/>
        <v>10</v>
      </c>
      <c r="Z16" s="55">
        <f t="shared" si="12"/>
        <v>0</v>
      </c>
      <c r="AA16" s="55">
        <f t="shared" si="13"/>
        <v>0</v>
      </c>
      <c r="AB16" s="55">
        <f t="shared" si="14"/>
        <v>50.7</v>
      </c>
      <c r="AC16" s="55">
        <f t="shared" si="15"/>
        <v>0.29999999999999716</v>
      </c>
      <c r="AD16" s="70"/>
      <c r="AE16" s="72">
        <f t="shared" si="16"/>
        <v>0</v>
      </c>
      <c r="AF16" s="73">
        <f t="shared" si="17"/>
        <v>0</v>
      </c>
      <c r="AG16" s="70">
        <f>9+1</f>
        <v>10</v>
      </c>
      <c r="AH16" s="72">
        <f t="shared" si="18"/>
        <v>3375.7</v>
      </c>
      <c r="AI16" s="73">
        <f t="shared" si="3"/>
        <v>50.7</v>
      </c>
    </row>
    <row r="17" spans="1:35" ht="27" x14ac:dyDescent="0.2">
      <c r="A17" s="23">
        <v>15</v>
      </c>
      <c r="B17" s="24" t="s">
        <v>43</v>
      </c>
      <c r="C17" s="25" t="s">
        <v>66</v>
      </c>
      <c r="D17" s="24" t="s">
        <v>67</v>
      </c>
      <c r="E17" s="26" t="s">
        <v>68</v>
      </c>
      <c r="F17" s="26" t="s">
        <v>34</v>
      </c>
      <c r="G17" s="62">
        <v>50</v>
      </c>
      <c r="H17" s="27">
        <v>50</v>
      </c>
      <c r="I17" s="28">
        <v>0.28000000000000003</v>
      </c>
      <c r="J17" s="29">
        <v>5561</v>
      </c>
      <c r="K17" s="30">
        <f t="shared" si="0"/>
        <v>1557.0800000000002</v>
      </c>
      <c r="L17" s="31">
        <f t="shared" si="1"/>
        <v>4003.92</v>
      </c>
      <c r="M17" s="31">
        <f t="shared" si="4"/>
        <v>4344.54</v>
      </c>
      <c r="N17" s="31">
        <v>4344.53</v>
      </c>
      <c r="O17" s="32">
        <f t="shared" si="5"/>
        <v>782.02</v>
      </c>
      <c r="P17" s="32">
        <f t="shared" si="6"/>
        <v>3562.5099999999998</v>
      </c>
      <c r="Q17" s="32">
        <f t="shared" si="2"/>
        <v>178125.5</v>
      </c>
      <c r="R17" s="33">
        <v>61.5</v>
      </c>
      <c r="S17" s="32">
        <f t="shared" si="7"/>
        <v>3075</v>
      </c>
      <c r="T17" s="34">
        <v>3736.29</v>
      </c>
      <c r="U17" s="32">
        <f t="shared" si="8"/>
        <v>186814.5</v>
      </c>
      <c r="V17" s="32">
        <f t="shared" si="9"/>
        <v>246000</v>
      </c>
      <c r="W17" s="32">
        <f t="shared" si="10"/>
        <v>59185.5</v>
      </c>
      <c r="X17" s="24"/>
      <c r="Y17" s="4">
        <f t="shared" si="11"/>
        <v>10</v>
      </c>
      <c r="Z17" s="55">
        <f t="shared" si="12"/>
        <v>40</v>
      </c>
      <c r="AA17" s="55">
        <f t="shared" si="13"/>
        <v>149451.6</v>
      </c>
      <c r="AB17" s="55">
        <f t="shared" si="14"/>
        <v>615</v>
      </c>
      <c r="AC17" s="55">
        <f t="shared" si="15"/>
        <v>2460</v>
      </c>
      <c r="AD17" s="70"/>
      <c r="AE17" s="72">
        <f t="shared" si="16"/>
        <v>0</v>
      </c>
      <c r="AF17" s="73">
        <f t="shared" si="17"/>
        <v>0</v>
      </c>
      <c r="AG17" s="70">
        <f>10</f>
        <v>10</v>
      </c>
      <c r="AH17" s="72">
        <f t="shared" si="18"/>
        <v>37362.9</v>
      </c>
      <c r="AI17" s="73">
        <f t="shared" si="3"/>
        <v>615</v>
      </c>
    </row>
    <row r="18" spans="1:35" ht="27" x14ac:dyDescent="0.2">
      <c r="A18" s="23">
        <v>16</v>
      </c>
      <c r="B18" s="24" t="s">
        <v>43</v>
      </c>
      <c r="C18" s="37" t="s">
        <v>69</v>
      </c>
      <c r="D18" s="24" t="s">
        <v>70</v>
      </c>
      <c r="E18" s="26" t="s">
        <v>71</v>
      </c>
      <c r="F18" s="26" t="s">
        <v>34</v>
      </c>
      <c r="G18" s="62">
        <v>50</v>
      </c>
      <c r="H18" s="27">
        <v>50</v>
      </c>
      <c r="I18" s="28">
        <v>0.18</v>
      </c>
      <c r="J18" s="29">
        <v>33</v>
      </c>
      <c r="K18" s="30">
        <f t="shared" si="0"/>
        <v>5.9399999999999995</v>
      </c>
      <c r="L18" s="31">
        <f t="shared" si="1"/>
        <v>27.060000000000002</v>
      </c>
      <c r="M18" s="31">
        <f t="shared" si="4"/>
        <v>27.970000000000002</v>
      </c>
      <c r="N18" s="31">
        <v>27.97</v>
      </c>
      <c r="O18" s="32">
        <f t="shared" si="5"/>
        <v>5.04</v>
      </c>
      <c r="P18" s="32">
        <f t="shared" si="6"/>
        <v>22.93</v>
      </c>
      <c r="Q18" s="32">
        <f t="shared" si="2"/>
        <v>1146.5</v>
      </c>
      <c r="R18" s="33">
        <v>0.36</v>
      </c>
      <c r="S18" s="32">
        <f t="shared" si="7"/>
        <v>18</v>
      </c>
      <c r="T18" s="34">
        <v>23.7</v>
      </c>
      <c r="U18" s="32">
        <f t="shared" si="8"/>
        <v>1185</v>
      </c>
      <c r="V18" s="32">
        <f t="shared" si="9"/>
        <v>1440</v>
      </c>
      <c r="W18" s="32">
        <f t="shared" si="10"/>
        <v>255</v>
      </c>
      <c r="X18" s="24"/>
      <c r="Y18" s="4">
        <f t="shared" si="11"/>
        <v>20</v>
      </c>
      <c r="Z18" s="55">
        <f t="shared" si="12"/>
        <v>30</v>
      </c>
      <c r="AA18" s="55">
        <f t="shared" si="13"/>
        <v>711</v>
      </c>
      <c r="AB18" s="55">
        <f t="shared" si="14"/>
        <v>7.1999999999999993</v>
      </c>
      <c r="AC18" s="55">
        <f t="shared" si="15"/>
        <v>10.8</v>
      </c>
      <c r="AD18" s="70">
        <v>20</v>
      </c>
      <c r="AE18" s="72">
        <f t="shared" si="16"/>
        <v>474</v>
      </c>
      <c r="AF18" s="73">
        <f t="shared" si="17"/>
        <v>7.1999999999999993</v>
      </c>
      <c r="AG18" s="70"/>
      <c r="AH18" s="72">
        <f t="shared" si="18"/>
        <v>0</v>
      </c>
      <c r="AI18" s="73">
        <f t="shared" si="3"/>
        <v>0</v>
      </c>
    </row>
    <row r="19" spans="1:35" ht="27" x14ac:dyDescent="0.2">
      <c r="A19" s="23">
        <v>17</v>
      </c>
      <c r="B19" s="24" t="s">
        <v>43</v>
      </c>
      <c r="C19" s="25" t="s">
        <v>72</v>
      </c>
      <c r="D19" s="24" t="s">
        <v>73</v>
      </c>
      <c r="E19" s="26" t="s">
        <v>33</v>
      </c>
      <c r="F19" s="26" t="s">
        <v>34</v>
      </c>
      <c r="G19" s="62">
        <v>10</v>
      </c>
      <c r="H19" s="27">
        <v>10</v>
      </c>
      <c r="I19" s="28">
        <v>0.18</v>
      </c>
      <c r="J19" s="29">
        <v>28224</v>
      </c>
      <c r="K19" s="30">
        <f t="shared" si="0"/>
        <v>5080.32</v>
      </c>
      <c r="L19" s="31">
        <f t="shared" si="1"/>
        <v>23143.68</v>
      </c>
      <c r="M19" s="31">
        <f t="shared" si="4"/>
        <v>23918.649999999998</v>
      </c>
      <c r="N19" s="31">
        <v>22050</v>
      </c>
      <c r="O19" s="32">
        <f t="shared" si="5"/>
        <v>3969</v>
      </c>
      <c r="P19" s="32">
        <f t="shared" si="6"/>
        <v>18081</v>
      </c>
      <c r="Q19" s="32">
        <f t="shared" si="2"/>
        <v>180810</v>
      </c>
      <c r="R19" s="33">
        <v>306.55</v>
      </c>
      <c r="S19" s="32">
        <f>ROUNDUP(R19*H19,0)</f>
        <v>3066</v>
      </c>
      <c r="T19" s="34">
        <v>20271.05</v>
      </c>
      <c r="U19" s="32">
        <f t="shared" si="8"/>
        <v>202710.5</v>
      </c>
      <c r="V19" s="32">
        <f t="shared" si="9"/>
        <v>245280</v>
      </c>
      <c r="W19" s="32">
        <f t="shared" si="10"/>
        <v>42569.5</v>
      </c>
      <c r="X19" s="24"/>
      <c r="Y19" s="4">
        <f t="shared" si="11"/>
        <v>4</v>
      </c>
      <c r="Z19" s="55">
        <f t="shared" si="12"/>
        <v>6</v>
      </c>
      <c r="AA19" s="55">
        <f t="shared" si="13"/>
        <v>121626.3</v>
      </c>
      <c r="AB19" s="55">
        <f t="shared" si="14"/>
        <v>1226.2</v>
      </c>
      <c r="AC19" s="55">
        <f t="shared" si="15"/>
        <v>1839.8</v>
      </c>
      <c r="AD19" s="70"/>
      <c r="AE19" s="72">
        <f t="shared" si="16"/>
        <v>0</v>
      </c>
      <c r="AF19" s="73">
        <f t="shared" si="17"/>
        <v>0</v>
      </c>
      <c r="AG19" s="70">
        <f>2+2</f>
        <v>4</v>
      </c>
      <c r="AH19" s="72">
        <f t="shared" si="18"/>
        <v>81084.2</v>
      </c>
      <c r="AI19" s="73">
        <f t="shared" si="3"/>
        <v>1226.2</v>
      </c>
    </row>
    <row r="20" spans="1:35" ht="27" x14ac:dyDescent="0.2">
      <c r="A20" s="23">
        <v>18</v>
      </c>
      <c r="B20" s="24" t="s">
        <v>43</v>
      </c>
      <c r="C20" s="25" t="s">
        <v>74</v>
      </c>
      <c r="D20" s="24" t="s">
        <v>75</v>
      </c>
      <c r="E20" s="26" t="s">
        <v>33</v>
      </c>
      <c r="F20" s="26" t="s">
        <v>34</v>
      </c>
      <c r="G20" s="62">
        <v>200</v>
      </c>
      <c r="H20" s="27">
        <v>200</v>
      </c>
      <c r="I20" s="28">
        <v>0.18</v>
      </c>
      <c r="J20" s="29">
        <v>922</v>
      </c>
      <c r="K20" s="30">
        <f t="shared" si="0"/>
        <v>165.96</v>
      </c>
      <c r="L20" s="31">
        <f t="shared" si="1"/>
        <v>756.04</v>
      </c>
      <c r="M20" s="31">
        <f t="shared" si="4"/>
        <v>781.36</v>
      </c>
      <c r="N20" s="31">
        <v>720.31</v>
      </c>
      <c r="O20" s="32">
        <f t="shared" si="5"/>
        <v>129.66</v>
      </c>
      <c r="P20" s="32">
        <f t="shared" si="6"/>
        <v>590.65</v>
      </c>
      <c r="Q20" s="32">
        <f t="shared" si="2"/>
        <v>118130</v>
      </c>
      <c r="R20" s="33">
        <v>9.8000000000000007</v>
      </c>
      <c r="S20" s="32">
        <f t="shared" si="7"/>
        <v>1960.0000000000002</v>
      </c>
      <c r="T20" s="34">
        <v>662.2</v>
      </c>
      <c r="U20" s="32">
        <f t="shared" si="8"/>
        <v>132440</v>
      </c>
      <c r="V20" s="32">
        <f t="shared" si="9"/>
        <v>156800.00000000003</v>
      </c>
      <c r="W20" s="32">
        <f t="shared" si="10"/>
        <v>24360.000000000029</v>
      </c>
      <c r="X20" s="24"/>
      <c r="Y20" s="4">
        <f t="shared" si="11"/>
        <v>110</v>
      </c>
      <c r="Z20" s="55">
        <f t="shared" si="12"/>
        <v>90</v>
      </c>
      <c r="AA20" s="55">
        <f t="shared" si="13"/>
        <v>59598</v>
      </c>
      <c r="AB20" s="55">
        <f t="shared" si="14"/>
        <v>1078</v>
      </c>
      <c r="AC20" s="55">
        <f t="shared" si="15"/>
        <v>882.00000000000023</v>
      </c>
      <c r="AD20" s="70">
        <v>50</v>
      </c>
      <c r="AE20" s="72">
        <f t="shared" si="16"/>
        <v>33110</v>
      </c>
      <c r="AF20" s="73">
        <f t="shared" si="17"/>
        <v>490.00000000000006</v>
      </c>
      <c r="AG20" s="70">
        <f>30+30</f>
        <v>60</v>
      </c>
      <c r="AH20" s="72">
        <f t="shared" si="18"/>
        <v>39732</v>
      </c>
      <c r="AI20" s="73">
        <f t="shared" si="3"/>
        <v>588</v>
      </c>
    </row>
    <row r="21" spans="1:35" ht="27" x14ac:dyDescent="0.2">
      <c r="A21" s="23">
        <v>19</v>
      </c>
      <c r="B21" s="24" t="s">
        <v>43</v>
      </c>
      <c r="C21" s="25" t="s">
        <v>76</v>
      </c>
      <c r="D21" s="24" t="s">
        <v>77</v>
      </c>
      <c r="E21" s="26" t="s">
        <v>33</v>
      </c>
      <c r="F21" s="26" t="s">
        <v>34</v>
      </c>
      <c r="G21" s="62">
        <v>50</v>
      </c>
      <c r="H21" s="27">
        <v>50</v>
      </c>
      <c r="I21" s="28">
        <v>0.18</v>
      </c>
      <c r="J21" s="29">
        <v>5298</v>
      </c>
      <c r="K21" s="30">
        <f t="shared" si="0"/>
        <v>953.64</v>
      </c>
      <c r="L21" s="31">
        <f t="shared" si="1"/>
        <v>4344.3599999999997</v>
      </c>
      <c r="M21" s="31">
        <f t="shared" si="4"/>
        <v>4489.84</v>
      </c>
      <c r="N21" s="31">
        <v>4139.0600000000004</v>
      </c>
      <c r="O21" s="32">
        <f t="shared" si="5"/>
        <v>745.04</v>
      </c>
      <c r="P21" s="32">
        <f t="shared" si="6"/>
        <v>3394.0200000000004</v>
      </c>
      <c r="Q21" s="32">
        <f t="shared" si="2"/>
        <v>169701.00000000003</v>
      </c>
      <c r="R21" s="33">
        <v>56.27</v>
      </c>
      <c r="S21" s="32">
        <f>ROUNDUP(R21*H21,0)</f>
        <v>2814</v>
      </c>
      <c r="T21" s="34">
        <v>3805.13</v>
      </c>
      <c r="U21" s="32">
        <f t="shared" si="8"/>
        <v>190256.5</v>
      </c>
      <c r="V21" s="32">
        <f t="shared" si="9"/>
        <v>225120</v>
      </c>
      <c r="W21" s="32">
        <f t="shared" si="10"/>
        <v>34863.5</v>
      </c>
      <c r="X21" s="24"/>
      <c r="Y21" s="4">
        <f t="shared" si="11"/>
        <v>18</v>
      </c>
      <c r="Z21" s="55">
        <f t="shared" si="12"/>
        <v>32</v>
      </c>
      <c r="AA21" s="55">
        <f t="shared" si="13"/>
        <v>121764.16</v>
      </c>
      <c r="AB21" s="55">
        <f t="shared" si="14"/>
        <v>1012.86</v>
      </c>
      <c r="AC21" s="55">
        <f t="shared" si="15"/>
        <v>1801.1399999999999</v>
      </c>
      <c r="AD21" s="70"/>
      <c r="AE21" s="72">
        <f t="shared" si="16"/>
        <v>0</v>
      </c>
      <c r="AF21" s="73">
        <f t="shared" si="17"/>
        <v>0</v>
      </c>
      <c r="AG21" s="70">
        <f>10+8</f>
        <v>18</v>
      </c>
      <c r="AH21" s="72">
        <f t="shared" si="18"/>
        <v>68492.34</v>
      </c>
      <c r="AI21" s="73">
        <f t="shared" si="3"/>
        <v>1012.86</v>
      </c>
    </row>
    <row r="22" spans="1:35" x14ac:dyDescent="0.2">
      <c r="A22" s="23">
        <v>20</v>
      </c>
      <c r="B22" s="24" t="s">
        <v>78</v>
      </c>
      <c r="C22" s="25" t="s">
        <v>79</v>
      </c>
      <c r="D22" s="24" t="s">
        <v>80</v>
      </c>
      <c r="E22" s="26" t="s">
        <v>81</v>
      </c>
      <c r="F22" s="26" t="s">
        <v>34</v>
      </c>
      <c r="G22" s="62">
        <v>12</v>
      </c>
      <c r="H22" s="27">
        <v>12</v>
      </c>
      <c r="I22" s="28">
        <v>0.28000000000000003</v>
      </c>
      <c r="J22" s="29">
        <v>16217</v>
      </c>
      <c r="K22" s="30">
        <f t="shared" si="0"/>
        <v>4540.76</v>
      </c>
      <c r="L22" s="31">
        <f t="shared" si="1"/>
        <v>11676.24</v>
      </c>
      <c r="M22" s="31">
        <f t="shared" si="4"/>
        <v>12669.54</v>
      </c>
      <c r="N22" s="31">
        <v>12669.53</v>
      </c>
      <c r="O22" s="32">
        <f t="shared" si="5"/>
        <v>2280.5200000000004</v>
      </c>
      <c r="P22" s="32">
        <f t="shared" si="6"/>
        <v>10389.01</v>
      </c>
      <c r="Q22" s="32">
        <f t="shared" si="2"/>
        <v>124668.12</v>
      </c>
      <c r="R22" s="33">
        <v>175.5</v>
      </c>
      <c r="S22" s="32">
        <f t="shared" ref="S22:S73" si="19">ROUNDUP(R22*H22,0)</f>
        <v>2106</v>
      </c>
      <c r="T22" s="34">
        <v>10895.79</v>
      </c>
      <c r="U22" s="32">
        <f t="shared" si="8"/>
        <v>130749.48000000001</v>
      </c>
      <c r="V22" s="32">
        <f t="shared" si="9"/>
        <v>168480</v>
      </c>
      <c r="W22" s="32">
        <f t="shared" si="10"/>
        <v>37730.51999999999</v>
      </c>
      <c r="X22" s="24"/>
      <c r="Y22" s="4">
        <f t="shared" si="11"/>
        <v>4</v>
      </c>
      <c r="Z22" s="55">
        <f t="shared" si="12"/>
        <v>8</v>
      </c>
      <c r="AA22" s="55">
        <f t="shared" si="13"/>
        <v>87166.32</v>
      </c>
      <c r="AB22" s="55">
        <f t="shared" si="14"/>
        <v>702</v>
      </c>
      <c r="AC22" s="55">
        <f t="shared" si="15"/>
        <v>1404</v>
      </c>
      <c r="AD22" s="70"/>
      <c r="AE22" s="72">
        <f t="shared" si="16"/>
        <v>0</v>
      </c>
      <c r="AF22" s="73">
        <f t="shared" si="17"/>
        <v>0</v>
      </c>
      <c r="AG22" s="70">
        <v>4</v>
      </c>
      <c r="AH22" s="72">
        <f t="shared" si="18"/>
        <v>43583.16</v>
      </c>
      <c r="AI22" s="73">
        <f t="shared" si="3"/>
        <v>702</v>
      </c>
    </row>
    <row r="23" spans="1:35" x14ac:dyDescent="0.2">
      <c r="A23" s="23">
        <v>21</v>
      </c>
      <c r="B23" s="24" t="s">
        <v>82</v>
      </c>
      <c r="C23" s="25" t="s">
        <v>83</v>
      </c>
      <c r="D23" s="24" t="s">
        <v>84</v>
      </c>
      <c r="E23" s="26" t="s">
        <v>85</v>
      </c>
      <c r="F23" s="26" t="s">
        <v>34</v>
      </c>
      <c r="G23" s="62">
        <v>10</v>
      </c>
      <c r="H23" s="27">
        <v>10</v>
      </c>
      <c r="I23" s="28">
        <v>0.28000000000000003</v>
      </c>
      <c r="J23" s="29">
        <v>28871</v>
      </c>
      <c r="K23" s="30">
        <f t="shared" si="0"/>
        <v>8083.880000000001</v>
      </c>
      <c r="L23" s="31">
        <f t="shared" si="1"/>
        <v>20787.12</v>
      </c>
      <c r="M23" s="31">
        <f t="shared" si="4"/>
        <v>22555.469999999998</v>
      </c>
      <c r="N23" s="31">
        <v>22555.47</v>
      </c>
      <c r="O23" s="32">
        <f t="shared" si="5"/>
        <v>4059.9900000000002</v>
      </c>
      <c r="P23" s="32">
        <f t="shared" si="6"/>
        <v>18495.48</v>
      </c>
      <c r="Q23" s="32">
        <f t="shared" si="2"/>
        <v>184954.8</v>
      </c>
      <c r="R23" s="33">
        <v>301.27</v>
      </c>
      <c r="S23" s="32">
        <f t="shared" si="19"/>
        <v>3013</v>
      </c>
      <c r="T23" s="34">
        <v>19397.7</v>
      </c>
      <c r="U23" s="32">
        <f t="shared" si="8"/>
        <v>193977</v>
      </c>
      <c r="V23" s="32">
        <f t="shared" si="9"/>
        <v>241040</v>
      </c>
      <c r="W23" s="32">
        <f t="shared" si="10"/>
        <v>47063</v>
      </c>
      <c r="X23" s="24"/>
      <c r="Y23" s="4">
        <f t="shared" si="11"/>
        <v>4</v>
      </c>
      <c r="Z23" s="55">
        <f t="shared" si="12"/>
        <v>6</v>
      </c>
      <c r="AA23" s="55">
        <f t="shared" si="13"/>
        <v>116386.2</v>
      </c>
      <c r="AB23" s="55">
        <f t="shared" si="14"/>
        <v>1205.08</v>
      </c>
      <c r="AC23" s="55">
        <f t="shared" si="15"/>
        <v>1807.92</v>
      </c>
      <c r="AD23" s="70"/>
      <c r="AE23" s="72">
        <f t="shared" si="16"/>
        <v>0</v>
      </c>
      <c r="AF23" s="73">
        <f t="shared" si="17"/>
        <v>0</v>
      </c>
      <c r="AG23" s="70">
        <f>4</f>
        <v>4</v>
      </c>
      <c r="AH23" s="72">
        <f t="shared" si="18"/>
        <v>77590.8</v>
      </c>
      <c r="AI23" s="73">
        <f t="shared" si="3"/>
        <v>1205.08</v>
      </c>
    </row>
    <row r="24" spans="1:35" x14ac:dyDescent="0.2">
      <c r="A24" s="23">
        <v>22</v>
      </c>
      <c r="B24" s="24" t="s">
        <v>86</v>
      </c>
      <c r="C24" s="25" t="s">
        <v>87</v>
      </c>
      <c r="D24" s="24" t="s">
        <v>88</v>
      </c>
      <c r="E24" s="26" t="s">
        <v>33</v>
      </c>
      <c r="F24" s="26" t="s">
        <v>34</v>
      </c>
      <c r="G24" s="62">
        <v>10</v>
      </c>
      <c r="H24" s="27">
        <v>10</v>
      </c>
      <c r="I24" s="28">
        <v>0.28000000000000003</v>
      </c>
      <c r="J24" s="29">
        <v>2262</v>
      </c>
      <c r="K24" s="30">
        <f t="shared" si="0"/>
        <v>633.36</v>
      </c>
      <c r="L24" s="31">
        <f t="shared" si="1"/>
        <v>1628.6399999999999</v>
      </c>
      <c r="M24" s="31">
        <f t="shared" si="4"/>
        <v>1767.19</v>
      </c>
      <c r="N24" s="31">
        <v>1767.19</v>
      </c>
      <c r="O24" s="32">
        <f t="shared" si="5"/>
        <v>318.09999999999997</v>
      </c>
      <c r="P24" s="32">
        <f t="shared" si="6"/>
        <v>1449.0900000000001</v>
      </c>
      <c r="Q24" s="32">
        <f t="shared" si="2"/>
        <v>14490.900000000001</v>
      </c>
      <c r="R24" s="33">
        <v>24.35</v>
      </c>
      <c r="S24" s="32">
        <f t="shared" si="19"/>
        <v>244</v>
      </c>
      <c r="T24" s="34">
        <v>1519.78</v>
      </c>
      <c r="U24" s="32">
        <f t="shared" si="8"/>
        <v>15197.8</v>
      </c>
      <c r="V24" s="32">
        <f t="shared" si="9"/>
        <v>19520</v>
      </c>
      <c r="W24" s="32">
        <f t="shared" si="10"/>
        <v>4322.2000000000007</v>
      </c>
      <c r="X24" s="24"/>
      <c r="Y24" s="4">
        <f t="shared" si="11"/>
        <v>0</v>
      </c>
      <c r="Z24" s="55">
        <f t="shared" si="12"/>
        <v>10</v>
      </c>
      <c r="AA24" s="55">
        <f t="shared" si="13"/>
        <v>15197.8</v>
      </c>
      <c r="AB24" s="55">
        <f t="shared" si="14"/>
        <v>0</v>
      </c>
      <c r="AC24" s="55">
        <f t="shared" si="15"/>
        <v>244</v>
      </c>
      <c r="AD24" s="70"/>
      <c r="AE24" s="72">
        <f t="shared" si="16"/>
        <v>0</v>
      </c>
      <c r="AF24" s="73">
        <f t="shared" si="17"/>
        <v>0</v>
      </c>
      <c r="AG24" s="70"/>
      <c r="AH24" s="72">
        <f t="shared" si="18"/>
        <v>0</v>
      </c>
      <c r="AI24" s="73">
        <f t="shared" si="3"/>
        <v>0</v>
      </c>
    </row>
    <row r="25" spans="1:35" x14ac:dyDescent="0.2">
      <c r="A25" s="23">
        <v>24</v>
      </c>
      <c r="B25" s="24" t="s">
        <v>89</v>
      </c>
      <c r="C25" s="24" t="s">
        <v>90</v>
      </c>
      <c r="D25" s="24" t="s">
        <v>91</v>
      </c>
      <c r="E25" s="26" t="s">
        <v>92</v>
      </c>
      <c r="F25" s="26" t="s">
        <v>34</v>
      </c>
      <c r="G25" s="62">
        <v>20</v>
      </c>
      <c r="H25" s="27">
        <v>20</v>
      </c>
      <c r="I25" s="28">
        <v>0.28000000000000003</v>
      </c>
      <c r="J25" s="29">
        <v>9578</v>
      </c>
      <c r="K25" s="30">
        <f t="shared" si="0"/>
        <v>2681.84</v>
      </c>
      <c r="L25" s="31">
        <f t="shared" si="1"/>
        <v>6896.16</v>
      </c>
      <c r="M25" s="31">
        <f t="shared" si="4"/>
        <v>7482.8200000000006</v>
      </c>
      <c r="N25" s="31">
        <v>7482.81</v>
      </c>
      <c r="O25" s="32">
        <f t="shared" si="5"/>
        <v>1346.91</v>
      </c>
      <c r="P25" s="32">
        <f t="shared" si="6"/>
        <v>6135.9000000000005</v>
      </c>
      <c r="Q25" s="32">
        <f t="shared" si="2"/>
        <v>122718.00000000001</v>
      </c>
      <c r="R25" s="33">
        <v>104</v>
      </c>
      <c r="S25" s="32">
        <f t="shared" si="19"/>
        <v>2080</v>
      </c>
      <c r="T25" s="34">
        <v>6435.21</v>
      </c>
      <c r="U25" s="32">
        <f t="shared" si="8"/>
        <v>128704.2</v>
      </c>
      <c r="V25" s="32">
        <f t="shared" si="9"/>
        <v>166400</v>
      </c>
      <c r="W25" s="32">
        <f t="shared" si="10"/>
        <v>37695.800000000003</v>
      </c>
      <c r="X25" s="24"/>
      <c r="Y25" s="4">
        <f t="shared" si="11"/>
        <v>8</v>
      </c>
      <c r="Z25" s="55">
        <f t="shared" si="12"/>
        <v>12</v>
      </c>
      <c r="AA25" s="55">
        <f t="shared" si="13"/>
        <v>77222.51999999999</v>
      </c>
      <c r="AB25" s="55">
        <f t="shared" si="14"/>
        <v>832</v>
      </c>
      <c r="AC25" s="55">
        <f t="shared" si="15"/>
        <v>1248</v>
      </c>
      <c r="AD25" s="70"/>
      <c r="AE25" s="72">
        <f t="shared" si="16"/>
        <v>0</v>
      </c>
      <c r="AF25" s="73">
        <f t="shared" si="17"/>
        <v>0</v>
      </c>
      <c r="AG25" s="70">
        <f>2+6</f>
        <v>8</v>
      </c>
      <c r="AH25" s="72">
        <f t="shared" si="18"/>
        <v>51481.68</v>
      </c>
      <c r="AI25" s="73">
        <f t="shared" si="3"/>
        <v>832</v>
      </c>
    </row>
    <row r="26" spans="1:35" x14ac:dyDescent="0.2">
      <c r="A26" s="23">
        <v>26</v>
      </c>
      <c r="B26" s="24" t="s">
        <v>89</v>
      </c>
      <c r="C26" s="24" t="s">
        <v>93</v>
      </c>
      <c r="D26" s="24" t="s">
        <v>94</v>
      </c>
      <c r="E26" s="26" t="s">
        <v>33</v>
      </c>
      <c r="F26" s="26" t="s">
        <v>34</v>
      </c>
      <c r="G26" s="62">
        <v>25</v>
      </c>
      <c r="H26" s="27">
        <v>25</v>
      </c>
      <c r="I26" s="28">
        <v>0.18</v>
      </c>
      <c r="J26" s="29">
        <v>14400</v>
      </c>
      <c r="K26" s="30">
        <f t="shared" si="0"/>
        <v>2592</v>
      </c>
      <c r="L26" s="31">
        <f t="shared" si="1"/>
        <v>11808</v>
      </c>
      <c r="M26" s="31">
        <f t="shared" si="4"/>
        <v>12203.39</v>
      </c>
      <c r="N26" s="31">
        <v>11250</v>
      </c>
      <c r="O26" s="32">
        <f t="shared" si="5"/>
        <v>2025</v>
      </c>
      <c r="P26" s="32">
        <f t="shared" si="6"/>
        <v>9225</v>
      </c>
      <c r="Q26" s="32">
        <f t="shared" si="2"/>
        <v>230625</v>
      </c>
      <c r="R26" s="33">
        <v>154.57</v>
      </c>
      <c r="S26" s="32">
        <f>ROUND(R26*H26,0)</f>
        <v>3864</v>
      </c>
      <c r="T26" s="34">
        <v>10342.370000000001</v>
      </c>
      <c r="U26" s="32">
        <f t="shared" si="8"/>
        <v>258559.25000000003</v>
      </c>
      <c r="V26" s="32">
        <f t="shared" si="9"/>
        <v>309120</v>
      </c>
      <c r="W26" s="32">
        <f t="shared" si="10"/>
        <v>50560.749999999971</v>
      </c>
      <c r="X26" s="24"/>
      <c r="Y26" s="4">
        <f t="shared" si="11"/>
        <v>10</v>
      </c>
      <c r="Z26" s="55">
        <f t="shared" si="12"/>
        <v>15</v>
      </c>
      <c r="AA26" s="55">
        <f t="shared" si="13"/>
        <v>155135.55000000002</v>
      </c>
      <c r="AB26" s="55">
        <f t="shared" si="14"/>
        <v>1545.6999999999998</v>
      </c>
      <c r="AC26" s="55">
        <f t="shared" si="15"/>
        <v>2318.3000000000002</v>
      </c>
      <c r="AD26" s="70"/>
      <c r="AE26" s="72">
        <f t="shared" si="16"/>
        <v>0</v>
      </c>
      <c r="AF26" s="73">
        <f t="shared" si="17"/>
        <v>0</v>
      </c>
      <c r="AG26" s="70">
        <f>5+5</f>
        <v>10</v>
      </c>
      <c r="AH26" s="72">
        <f t="shared" si="18"/>
        <v>103423.70000000001</v>
      </c>
      <c r="AI26" s="73">
        <f t="shared" si="3"/>
        <v>1545.6999999999998</v>
      </c>
    </row>
    <row r="27" spans="1:35" x14ac:dyDescent="0.2">
      <c r="A27" s="23">
        <v>23</v>
      </c>
      <c r="B27" s="24" t="s">
        <v>95</v>
      </c>
      <c r="C27" s="24" t="s">
        <v>96</v>
      </c>
      <c r="D27" s="24" t="s">
        <v>97</v>
      </c>
      <c r="E27" s="26" t="s">
        <v>98</v>
      </c>
      <c r="F27" s="26" t="s">
        <v>34</v>
      </c>
      <c r="G27" s="62">
        <v>200</v>
      </c>
      <c r="H27" s="27">
        <v>200</v>
      </c>
      <c r="I27" s="28">
        <v>0.28000000000000003</v>
      </c>
      <c r="J27" s="29">
        <v>9888</v>
      </c>
      <c r="K27" s="30">
        <f>J27*I27</f>
        <v>2768.6400000000003</v>
      </c>
      <c r="L27" s="31">
        <f>J27-K27</f>
        <v>7119.36</v>
      </c>
      <c r="M27" s="31">
        <f>ROUNDUP(J27/(1+I27),2)</f>
        <v>7725</v>
      </c>
      <c r="N27" s="31">
        <v>7725</v>
      </c>
      <c r="O27" s="32">
        <f>ROUNDUP(0.18*N27,2)</f>
        <v>1390.5</v>
      </c>
      <c r="P27" s="32">
        <f>N27-O27</f>
        <v>6334.5</v>
      </c>
      <c r="Q27" s="32">
        <f>P27*H27</f>
        <v>1266900</v>
      </c>
      <c r="R27" s="33">
        <v>105.75</v>
      </c>
      <c r="S27" s="32">
        <f t="shared" si="19"/>
        <v>21150</v>
      </c>
      <c r="T27" s="34">
        <v>6643.5</v>
      </c>
      <c r="U27" s="32">
        <f t="shared" si="8"/>
        <v>1328700</v>
      </c>
      <c r="V27" s="32">
        <f t="shared" si="9"/>
        <v>1692000</v>
      </c>
      <c r="W27" s="32">
        <f t="shared" si="10"/>
        <v>363300</v>
      </c>
      <c r="X27" s="24"/>
      <c r="Y27" s="4">
        <f t="shared" si="11"/>
        <v>86</v>
      </c>
      <c r="Z27" s="55">
        <f t="shared" si="12"/>
        <v>114</v>
      </c>
      <c r="AA27" s="55">
        <f t="shared" si="13"/>
        <v>757359</v>
      </c>
      <c r="AB27" s="55">
        <f t="shared" si="14"/>
        <v>9094.5</v>
      </c>
      <c r="AC27" s="55">
        <f t="shared" si="15"/>
        <v>12055.5</v>
      </c>
      <c r="AD27" s="70">
        <v>10</v>
      </c>
      <c r="AE27" s="72">
        <f t="shared" si="16"/>
        <v>66435</v>
      </c>
      <c r="AF27" s="73">
        <f t="shared" si="17"/>
        <v>1057.5</v>
      </c>
      <c r="AG27" s="70">
        <f>38+38</f>
        <v>76</v>
      </c>
      <c r="AH27" s="72">
        <f t="shared" si="18"/>
        <v>504906</v>
      </c>
      <c r="AI27" s="73">
        <f t="shared" si="3"/>
        <v>8037</v>
      </c>
    </row>
    <row r="28" spans="1:35" x14ac:dyDescent="0.2">
      <c r="A28" s="23">
        <v>25</v>
      </c>
      <c r="B28" s="24" t="s">
        <v>89</v>
      </c>
      <c r="C28" s="24" t="s">
        <v>99</v>
      </c>
      <c r="D28" s="24" t="s">
        <v>100</v>
      </c>
      <c r="E28" s="26" t="s">
        <v>33</v>
      </c>
      <c r="F28" s="26" t="s">
        <v>34</v>
      </c>
      <c r="G28" s="62">
        <v>25</v>
      </c>
      <c r="H28" s="27">
        <v>25</v>
      </c>
      <c r="I28" s="28">
        <v>0.28000000000000003</v>
      </c>
      <c r="J28" s="29">
        <v>1407</v>
      </c>
      <c r="K28" s="30">
        <f>J28*I28</f>
        <v>393.96000000000004</v>
      </c>
      <c r="L28" s="31">
        <f>J28-K28</f>
        <v>1013.04</v>
      </c>
      <c r="M28" s="31">
        <f>ROUNDUP(J28/(1+I28),2)</f>
        <v>1099.22</v>
      </c>
      <c r="N28" s="31">
        <v>1099.22</v>
      </c>
      <c r="O28" s="32">
        <f>ROUNDUP(0.18*N28,2)</f>
        <v>197.85999999999999</v>
      </c>
      <c r="P28" s="32">
        <f>N28-O28</f>
        <v>901.36</v>
      </c>
      <c r="Q28" s="32">
        <f>P28*H28</f>
        <v>22534</v>
      </c>
      <c r="R28" s="33">
        <v>15.16</v>
      </c>
      <c r="S28" s="32">
        <f t="shared" si="19"/>
        <v>379</v>
      </c>
      <c r="T28" s="34">
        <v>945.33</v>
      </c>
      <c r="U28" s="32">
        <f t="shared" si="8"/>
        <v>23633.25</v>
      </c>
      <c r="V28" s="32">
        <f t="shared" si="9"/>
        <v>30320</v>
      </c>
      <c r="W28" s="32">
        <f t="shared" si="10"/>
        <v>6686.75</v>
      </c>
      <c r="X28" s="24"/>
      <c r="Y28" s="4">
        <f t="shared" si="11"/>
        <v>0</v>
      </c>
      <c r="Z28" s="55">
        <f t="shared" si="12"/>
        <v>25</v>
      </c>
      <c r="AA28" s="55">
        <f t="shared" si="13"/>
        <v>23633.25</v>
      </c>
      <c r="AB28" s="55">
        <f t="shared" si="14"/>
        <v>0</v>
      </c>
      <c r="AC28" s="55">
        <f t="shared" si="15"/>
        <v>379</v>
      </c>
      <c r="AD28" s="70"/>
      <c r="AE28" s="72">
        <f t="shared" si="16"/>
        <v>0</v>
      </c>
      <c r="AF28" s="73">
        <f t="shared" si="17"/>
        <v>0</v>
      </c>
      <c r="AG28" s="70"/>
      <c r="AH28" s="72">
        <f t="shared" si="18"/>
        <v>0</v>
      </c>
      <c r="AI28" s="73">
        <f t="shared" si="3"/>
        <v>0</v>
      </c>
    </row>
    <row r="29" spans="1:35" x14ac:dyDescent="0.2">
      <c r="A29" s="23">
        <v>27</v>
      </c>
      <c r="B29" s="24" t="s">
        <v>89</v>
      </c>
      <c r="C29" s="24" t="s">
        <v>101</v>
      </c>
      <c r="D29" s="24" t="s">
        <v>102</v>
      </c>
      <c r="E29" s="26" t="s">
        <v>103</v>
      </c>
      <c r="F29" s="26" t="s">
        <v>34</v>
      </c>
      <c r="G29" s="62">
        <v>10</v>
      </c>
      <c r="H29" s="27">
        <v>10</v>
      </c>
      <c r="I29" s="28">
        <v>0.18</v>
      </c>
      <c r="J29" s="29">
        <v>376</v>
      </c>
      <c r="K29" s="30">
        <f t="shared" si="0"/>
        <v>67.679999999999993</v>
      </c>
      <c r="L29" s="31">
        <f t="shared" si="1"/>
        <v>308.32</v>
      </c>
      <c r="M29" s="31">
        <f t="shared" si="4"/>
        <v>318.64999999999998</v>
      </c>
      <c r="N29" s="31">
        <v>293.75</v>
      </c>
      <c r="O29" s="32">
        <f t="shared" si="5"/>
        <v>52.879999999999995</v>
      </c>
      <c r="P29" s="32">
        <f t="shared" si="6"/>
        <v>240.87</v>
      </c>
      <c r="Q29" s="32">
        <f t="shared" si="2"/>
        <v>2408.6999999999998</v>
      </c>
      <c r="R29" s="33">
        <v>4.2699999999999996</v>
      </c>
      <c r="S29" s="32">
        <f t="shared" si="19"/>
        <v>43</v>
      </c>
      <c r="T29" s="34">
        <v>270.05</v>
      </c>
      <c r="U29" s="32">
        <f t="shared" si="8"/>
        <v>2700.5</v>
      </c>
      <c r="V29" s="32">
        <f t="shared" si="9"/>
        <v>3440</v>
      </c>
      <c r="W29" s="32">
        <f t="shared" si="10"/>
        <v>739.5</v>
      </c>
      <c r="X29" s="24"/>
      <c r="Y29" s="4">
        <f t="shared" si="11"/>
        <v>0</v>
      </c>
      <c r="Z29" s="55">
        <f t="shared" si="12"/>
        <v>10</v>
      </c>
      <c r="AA29" s="55">
        <f t="shared" si="13"/>
        <v>2700.5</v>
      </c>
      <c r="AB29" s="55">
        <f t="shared" si="14"/>
        <v>0</v>
      </c>
      <c r="AC29" s="55">
        <f t="shared" si="15"/>
        <v>43</v>
      </c>
      <c r="AD29" s="70"/>
      <c r="AE29" s="72">
        <f t="shared" si="16"/>
        <v>0</v>
      </c>
      <c r="AF29" s="73">
        <f t="shared" si="17"/>
        <v>0</v>
      </c>
      <c r="AG29" s="70"/>
      <c r="AH29" s="72">
        <f t="shared" si="18"/>
        <v>0</v>
      </c>
      <c r="AI29" s="73">
        <f t="shared" si="3"/>
        <v>0</v>
      </c>
    </row>
    <row r="30" spans="1:35" x14ac:dyDescent="0.2">
      <c r="A30" s="23">
        <v>28</v>
      </c>
      <c r="B30" s="24" t="s">
        <v>104</v>
      </c>
      <c r="C30" s="24" t="s">
        <v>105</v>
      </c>
      <c r="D30" s="24" t="s">
        <v>106</v>
      </c>
      <c r="E30" s="26" t="s">
        <v>107</v>
      </c>
      <c r="F30" s="26" t="s">
        <v>34</v>
      </c>
      <c r="G30" s="62">
        <v>60</v>
      </c>
      <c r="H30" s="27">
        <v>60</v>
      </c>
      <c r="I30" s="28">
        <v>0.28000000000000003</v>
      </c>
      <c r="J30" s="29">
        <v>1424</v>
      </c>
      <c r="K30" s="30">
        <f t="shared" si="0"/>
        <v>398.72</v>
      </c>
      <c r="L30" s="31">
        <f t="shared" si="1"/>
        <v>1025.28</v>
      </c>
      <c r="M30" s="31">
        <f t="shared" si="4"/>
        <v>1112.5</v>
      </c>
      <c r="N30" s="31">
        <v>1112.5</v>
      </c>
      <c r="O30" s="32">
        <f t="shared" si="5"/>
        <v>200.25</v>
      </c>
      <c r="P30" s="32">
        <f t="shared" si="6"/>
        <v>912.25</v>
      </c>
      <c r="Q30" s="32">
        <f t="shared" si="2"/>
        <v>54735</v>
      </c>
      <c r="R30" s="33">
        <v>15.33</v>
      </c>
      <c r="S30" s="32">
        <f t="shared" si="19"/>
        <v>920</v>
      </c>
      <c r="T30" s="34">
        <v>956.75</v>
      </c>
      <c r="U30" s="32">
        <f t="shared" si="8"/>
        <v>57405</v>
      </c>
      <c r="V30" s="32">
        <f t="shared" si="9"/>
        <v>73600</v>
      </c>
      <c r="W30" s="32">
        <f t="shared" si="10"/>
        <v>16195</v>
      </c>
      <c r="X30" s="24"/>
      <c r="Y30" s="4">
        <f t="shared" si="11"/>
        <v>24</v>
      </c>
      <c r="Z30" s="55">
        <f t="shared" si="12"/>
        <v>36</v>
      </c>
      <c r="AA30" s="55">
        <f t="shared" si="13"/>
        <v>34443</v>
      </c>
      <c r="AB30" s="55">
        <f t="shared" si="14"/>
        <v>367.92</v>
      </c>
      <c r="AC30" s="55">
        <f t="shared" si="15"/>
        <v>552.07999999999993</v>
      </c>
      <c r="AD30" s="70"/>
      <c r="AE30" s="72">
        <f t="shared" si="16"/>
        <v>0</v>
      </c>
      <c r="AF30" s="73">
        <f t="shared" si="17"/>
        <v>0</v>
      </c>
      <c r="AG30" s="70">
        <f>12+12</f>
        <v>24</v>
      </c>
      <c r="AH30" s="72">
        <f t="shared" si="18"/>
        <v>22962</v>
      </c>
      <c r="AI30" s="73">
        <f t="shared" si="3"/>
        <v>367.92</v>
      </c>
    </row>
    <row r="31" spans="1:35" x14ac:dyDescent="0.2">
      <c r="A31" s="23">
        <v>29</v>
      </c>
      <c r="B31" s="24" t="s">
        <v>104</v>
      </c>
      <c r="C31" s="24" t="s">
        <v>108</v>
      </c>
      <c r="D31" s="24" t="s">
        <v>109</v>
      </c>
      <c r="E31" s="26" t="s">
        <v>110</v>
      </c>
      <c r="F31" s="26" t="s">
        <v>34</v>
      </c>
      <c r="G31" s="62">
        <v>60</v>
      </c>
      <c r="H31" s="27">
        <v>60</v>
      </c>
      <c r="I31" s="28">
        <v>0.28000000000000003</v>
      </c>
      <c r="J31" s="29">
        <v>1908</v>
      </c>
      <c r="K31" s="30">
        <f t="shared" si="0"/>
        <v>534.24</v>
      </c>
      <c r="L31" s="31">
        <f t="shared" si="1"/>
        <v>1373.76</v>
      </c>
      <c r="M31" s="31">
        <f t="shared" si="4"/>
        <v>1490.6299999999999</v>
      </c>
      <c r="N31" s="31">
        <v>1490.63</v>
      </c>
      <c r="O31" s="32">
        <f t="shared" si="5"/>
        <v>268.32</v>
      </c>
      <c r="P31" s="32">
        <f t="shared" si="6"/>
        <v>1222.3100000000002</v>
      </c>
      <c r="Q31" s="32">
        <f t="shared" si="2"/>
        <v>73338.600000000006</v>
      </c>
      <c r="R31" s="33">
        <v>20.54</v>
      </c>
      <c r="S31" s="32">
        <f>ROUND(R31*H31,0)</f>
        <v>1232</v>
      </c>
      <c r="T31" s="34">
        <v>1281.94</v>
      </c>
      <c r="U31" s="32">
        <f t="shared" si="8"/>
        <v>76916.400000000009</v>
      </c>
      <c r="V31" s="32">
        <f t="shared" si="9"/>
        <v>98560</v>
      </c>
      <c r="W31" s="32">
        <f t="shared" si="10"/>
        <v>21643.599999999991</v>
      </c>
      <c r="X31" s="24"/>
      <c r="Y31" s="4">
        <f t="shared" si="11"/>
        <v>24</v>
      </c>
      <c r="Z31" s="55">
        <f t="shared" si="12"/>
        <v>36</v>
      </c>
      <c r="AA31" s="55">
        <f t="shared" si="13"/>
        <v>46149.840000000011</v>
      </c>
      <c r="AB31" s="55">
        <f t="shared" si="14"/>
        <v>492.96</v>
      </c>
      <c r="AC31" s="55">
        <f t="shared" si="15"/>
        <v>739.04</v>
      </c>
      <c r="AD31" s="70"/>
      <c r="AE31" s="72">
        <f t="shared" si="16"/>
        <v>0</v>
      </c>
      <c r="AF31" s="73">
        <f t="shared" si="17"/>
        <v>0</v>
      </c>
      <c r="AG31" s="70">
        <f>12+12</f>
        <v>24</v>
      </c>
      <c r="AH31" s="72">
        <f t="shared" si="18"/>
        <v>30766.560000000001</v>
      </c>
      <c r="AI31" s="73">
        <f t="shared" si="3"/>
        <v>492.96</v>
      </c>
    </row>
    <row r="32" spans="1:35" ht="17.25" customHeight="1" x14ac:dyDescent="0.2">
      <c r="A32" s="23">
        <v>30</v>
      </c>
      <c r="B32" s="24" t="s">
        <v>104</v>
      </c>
      <c r="C32" s="24" t="s">
        <v>111</v>
      </c>
      <c r="D32" s="24" t="s">
        <v>112</v>
      </c>
      <c r="E32" s="26" t="s">
        <v>113</v>
      </c>
      <c r="F32" s="26" t="s">
        <v>34</v>
      </c>
      <c r="G32" s="62">
        <v>10</v>
      </c>
      <c r="H32" s="27">
        <v>10</v>
      </c>
      <c r="I32" s="28">
        <v>0.18</v>
      </c>
      <c r="J32" s="29">
        <v>10073</v>
      </c>
      <c r="K32" s="30">
        <f t="shared" si="0"/>
        <v>1813.1399999999999</v>
      </c>
      <c r="L32" s="31">
        <f t="shared" si="1"/>
        <v>8259.86</v>
      </c>
      <c r="M32" s="31">
        <f t="shared" si="4"/>
        <v>8536.4500000000007</v>
      </c>
      <c r="N32" s="31">
        <v>8536.44</v>
      </c>
      <c r="O32" s="32">
        <f t="shared" si="5"/>
        <v>1536.56</v>
      </c>
      <c r="P32" s="32">
        <f t="shared" si="6"/>
        <v>6999.880000000001</v>
      </c>
      <c r="Q32" s="32">
        <f t="shared" si="2"/>
        <v>69998.800000000017</v>
      </c>
      <c r="R32" s="33">
        <v>109.27</v>
      </c>
      <c r="S32" s="32">
        <f t="shared" si="19"/>
        <v>1093</v>
      </c>
      <c r="T32" s="34">
        <v>7234.63</v>
      </c>
      <c r="U32" s="32">
        <f t="shared" si="8"/>
        <v>72346.3</v>
      </c>
      <c r="V32" s="32">
        <f t="shared" si="9"/>
        <v>87440</v>
      </c>
      <c r="W32" s="32">
        <f t="shared" si="10"/>
        <v>15093.699999999997</v>
      </c>
      <c r="X32" s="24"/>
      <c r="Y32" s="4">
        <f t="shared" si="11"/>
        <v>2</v>
      </c>
      <c r="Z32" s="55">
        <f t="shared" si="12"/>
        <v>8</v>
      </c>
      <c r="AA32" s="55">
        <f t="shared" si="13"/>
        <v>57877.04</v>
      </c>
      <c r="AB32" s="55">
        <f t="shared" si="14"/>
        <v>218.54</v>
      </c>
      <c r="AC32" s="55">
        <f t="shared" si="15"/>
        <v>874.46</v>
      </c>
      <c r="AD32" s="70"/>
      <c r="AE32" s="72">
        <f t="shared" si="16"/>
        <v>0</v>
      </c>
      <c r="AF32" s="73">
        <f t="shared" si="17"/>
        <v>0</v>
      </c>
      <c r="AG32" s="70">
        <f>1+1</f>
        <v>2</v>
      </c>
      <c r="AH32" s="72">
        <f t="shared" si="18"/>
        <v>14469.26</v>
      </c>
      <c r="AI32" s="73">
        <f t="shared" si="3"/>
        <v>218.54</v>
      </c>
    </row>
    <row r="33" spans="1:36" ht="40.5" x14ac:dyDescent="0.2">
      <c r="A33" s="23">
        <v>31</v>
      </c>
      <c r="B33" s="24" t="s">
        <v>104</v>
      </c>
      <c r="C33" s="24" t="s">
        <v>114</v>
      </c>
      <c r="D33" s="24" t="s">
        <v>115</v>
      </c>
      <c r="E33" s="26" t="s">
        <v>116</v>
      </c>
      <c r="F33" s="26" t="s">
        <v>34</v>
      </c>
      <c r="G33" s="62">
        <v>600</v>
      </c>
      <c r="H33" s="27">
        <v>600</v>
      </c>
      <c r="I33" s="28">
        <v>0.18</v>
      </c>
      <c r="J33" s="29">
        <v>54</v>
      </c>
      <c r="K33" s="30">
        <f t="shared" si="0"/>
        <v>9.7199999999999989</v>
      </c>
      <c r="L33" s="31">
        <f t="shared" si="1"/>
        <v>44.28</v>
      </c>
      <c r="M33" s="31">
        <f t="shared" si="4"/>
        <v>45.769999999999996</v>
      </c>
      <c r="N33" s="31">
        <v>45.76</v>
      </c>
      <c r="O33" s="32">
        <f t="shared" si="5"/>
        <v>8.24</v>
      </c>
      <c r="P33" s="32">
        <f t="shared" si="6"/>
        <v>37.519999999999996</v>
      </c>
      <c r="Q33" s="32">
        <f t="shared" si="2"/>
        <v>22511.999999999996</v>
      </c>
      <c r="R33" s="33">
        <v>0.62</v>
      </c>
      <c r="S33" s="32">
        <f t="shared" si="19"/>
        <v>372</v>
      </c>
      <c r="T33" s="34">
        <v>38.78</v>
      </c>
      <c r="U33" s="32">
        <f t="shared" si="8"/>
        <v>23268</v>
      </c>
      <c r="V33" s="32">
        <f t="shared" si="9"/>
        <v>29760</v>
      </c>
      <c r="W33" s="32">
        <f t="shared" si="10"/>
        <v>6492</v>
      </c>
      <c r="X33" s="24"/>
      <c r="Y33" s="4">
        <f t="shared" si="11"/>
        <v>240</v>
      </c>
      <c r="Z33" s="55">
        <f t="shared" si="12"/>
        <v>360</v>
      </c>
      <c r="AA33" s="55">
        <f t="shared" si="13"/>
        <v>13960.8</v>
      </c>
      <c r="AB33" s="55">
        <f t="shared" si="14"/>
        <v>148.80000000000001</v>
      </c>
      <c r="AC33" s="55">
        <f t="shared" si="15"/>
        <v>223.2</v>
      </c>
      <c r="AD33" s="70"/>
      <c r="AE33" s="72">
        <f t="shared" si="16"/>
        <v>0</v>
      </c>
      <c r="AF33" s="73">
        <f t="shared" si="17"/>
        <v>0</v>
      </c>
      <c r="AG33" s="70">
        <f>240</f>
        <v>240</v>
      </c>
      <c r="AH33" s="72">
        <f t="shared" si="18"/>
        <v>9307.2000000000007</v>
      </c>
      <c r="AI33" s="73">
        <f t="shared" si="3"/>
        <v>148.80000000000001</v>
      </c>
    </row>
    <row r="34" spans="1:36" x14ac:dyDescent="0.2">
      <c r="A34" s="23">
        <v>32</v>
      </c>
      <c r="B34" s="24" t="s">
        <v>104</v>
      </c>
      <c r="C34" s="24" t="s">
        <v>117</v>
      </c>
      <c r="D34" s="24" t="s">
        <v>118</v>
      </c>
      <c r="E34" s="26" t="s">
        <v>119</v>
      </c>
      <c r="F34" s="26" t="s">
        <v>34</v>
      </c>
      <c r="G34" s="62">
        <v>20</v>
      </c>
      <c r="H34" s="27">
        <v>20</v>
      </c>
      <c r="I34" s="28">
        <v>0.18</v>
      </c>
      <c r="J34" s="29">
        <v>203</v>
      </c>
      <c r="K34" s="30">
        <f t="shared" si="0"/>
        <v>36.54</v>
      </c>
      <c r="L34" s="31">
        <f t="shared" si="1"/>
        <v>166.46</v>
      </c>
      <c r="M34" s="31">
        <f t="shared" si="4"/>
        <v>172.04</v>
      </c>
      <c r="N34" s="31">
        <v>172.03</v>
      </c>
      <c r="O34" s="32">
        <f t="shared" si="5"/>
        <v>30.970000000000002</v>
      </c>
      <c r="P34" s="32">
        <f t="shared" si="6"/>
        <v>141.06</v>
      </c>
      <c r="Q34" s="32">
        <f t="shared" si="2"/>
        <v>2821.2</v>
      </c>
      <c r="R34" s="33">
        <v>2.2000000000000002</v>
      </c>
      <c r="S34" s="32">
        <f t="shared" si="19"/>
        <v>44</v>
      </c>
      <c r="T34" s="34">
        <v>145.80000000000001</v>
      </c>
      <c r="U34" s="32">
        <f t="shared" si="8"/>
        <v>2916</v>
      </c>
      <c r="V34" s="32">
        <f t="shared" si="9"/>
        <v>3520</v>
      </c>
      <c r="W34" s="32">
        <f t="shared" si="10"/>
        <v>604</v>
      </c>
      <c r="X34" s="24"/>
      <c r="Y34" s="4">
        <f t="shared" si="11"/>
        <v>0</v>
      </c>
      <c r="Z34" s="55">
        <f t="shared" si="12"/>
        <v>20</v>
      </c>
      <c r="AA34" s="55">
        <f t="shared" si="13"/>
        <v>2916</v>
      </c>
      <c r="AB34" s="55">
        <f t="shared" si="14"/>
        <v>0</v>
      </c>
      <c r="AC34" s="55">
        <f t="shared" si="15"/>
        <v>44</v>
      </c>
      <c r="AD34" s="70"/>
      <c r="AE34" s="72">
        <f t="shared" si="16"/>
        <v>0</v>
      </c>
      <c r="AF34" s="73">
        <f t="shared" si="17"/>
        <v>0</v>
      </c>
      <c r="AG34" s="70"/>
      <c r="AH34" s="72">
        <f t="shared" si="18"/>
        <v>0</v>
      </c>
      <c r="AI34" s="73">
        <f t="shared" si="3"/>
        <v>0</v>
      </c>
    </row>
    <row r="35" spans="1:36" ht="27" x14ac:dyDescent="0.2">
      <c r="A35" s="23">
        <v>33</v>
      </c>
      <c r="B35" s="24" t="s">
        <v>120</v>
      </c>
      <c r="C35" s="24" t="s">
        <v>121</v>
      </c>
      <c r="D35" s="24" t="s">
        <v>122</v>
      </c>
      <c r="E35" s="26" t="s">
        <v>33</v>
      </c>
      <c r="F35" s="26" t="s">
        <v>34</v>
      </c>
      <c r="G35" s="62">
        <v>100</v>
      </c>
      <c r="H35" s="27">
        <v>100</v>
      </c>
      <c r="I35" s="28">
        <v>0.28000000000000003</v>
      </c>
      <c r="J35" s="29">
        <v>5199</v>
      </c>
      <c r="K35" s="30">
        <f t="shared" si="0"/>
        <v>1455.72</v>
      </c>
      <c r="L35" s="31">
        <f t="shared" si="1"/>
        <v>3743.2799999999997</v>
      </c>
      <c r="M35" s="31">
        <f t="shared" si="4"/>
        <v>4061.7200000000003</v>
      </c>
      <c r="N35" s="31">
        <v>4061.72</v>
      </c>
      <c r="O35" s="32">
        <f t="shared" si="5"/>
        <v>731.11</v>
      </c>
      <c r="P35" s="32">
        <f t="shared" si="6"/>
        <v>3330.6099999999997</v>
      </c>
      <c r="Q35" s="32">
        <f t="shared" si="2"/>
        <v>333060.99999999994</v>
      </c>
      <c r="R35" s="33">
        <v>55.95</v>
      </c>
      <c r="S35" s="32">
        <f t="shared" si="19"/>
        <v>5595</v>
      </c>
      <c r="T35" s="34">
        <v>3493.08</v>
      </c>
      <c r="U35" s="32">
        <f t="shared" si="8"/>
        <v>349308</v>
      </c>
      <c r="V35" s="32">
        <f t="shared" si="9"/>
        <v>447600</v>
      </c>
      <c r="W35" s="32">
        <f t="shared" si="10"/>
        <v>98292</v>
      </c>
      <c r="X35" s="24"/>
      <c r="Y35" s="4">
        <f t="shared" si="11"/>
        <v>95.95</v>
      </c>
      <c r="Z35" s="55">
        <f t="shared" si="12"/>
        <v>4.0499999999999972</v>
      </c>
      <c r="AA35" s="55">
        <f t="shared" si="13"/>
        <v>209584.8</v>
      </c>
      <c r="AB35" s="55">
        <f t="shared" si="14"/>
        <v>2238</v>
      </c>
      <c r="AC35" s="55">
        <f t="shared" si="15"/>
        <v>3357</v>
      </c>
      <c r="AD35" s="70"/>
      <c r="AE35" s="72">
        <f t="shared" si="16"/>
        <v>0</v>
      </c>
      <c r="AF35" s="73">
        <f t="shared" si="17"/>
        <v>0</v>
      </c>
      <c r="AG35" s="70">
        <f>18+22</f>
        <v>40</v>
      </c>
      <c r="AH35" s="72">
        <f t="shared" si="18"/>
        <v>139723.20000000001</v>
      </c>
      <c r="AI35" s="73">
        <f t="shared" si="3"/>
        <v>2238</v>
      </c>
      <c r="AJ35" s="1">
        <f>R35</f>
        <v>55.95</v>
      </c>
    </row>
    <row r="36" spans="1:36" ht="27" x14ac:dyDescent="0.2">
      <c r="A36" s="23">
        <v>34</v>
      </c>
      <c r="B36" s="24" t="s">
        <v>120</v>
      </c>
      <c r="C36" s="24" t="s">
        <v>123</v>
      </c>
      <c r="D36" s="24" t="s">
        <v>124</v>
      </c>
      <c r="E36" s="26" t="s">
        <v>33</v>
      </c>
      <c r="F36" s="26" t="s">
        <v>34</v>
      </c>
      <c r="G36" s="62">
        <v>20</v>
      </c>
      <c r="H36" s="38">
        <v>20</v>
      </c>
      <c r="I36" s="28">
        <v>0.28000000000000003</v>
      </c>
      <c r="J36" s="29">
        <v>3859</v>
      </c>
      <c r="K36" s="30">
        <f t="shared" si="0"/>
        <v>1080.5200000000002</v>
      </c>
      <c r="L36" s="31">
        <f t="shared" si="1"/>
        <v>2778.4799999999996</v>
      </c>
      <c r="M36" s="31">
        <f t="shared" si="4"/>
        <v>3014.8500000000004</v>
      </c>
      <c r="N36" s="31">
        <v>3014.84</v>
      </c>
      <c r="O36" s="32">
        <f t="shared" si="5"/>
        <v>542.67999999999995</v>
      </c>
      <c r="P36" s="32">
        <f t="shared" si="6"/>
        <v>2472.1600000000003</v>
      </c>
      <c r="Q36" s="32">
        <f t="shared" si="2"/>
        <v>49443.200000000004</v>
      </c>
      <c r="R36" s="33">
        <v>45.5</v>
      </c>
      <c r="S36" s="32">
        <f t="shared" si="19"/>
        <v>910</v>
      </c>
      <c r="T36" s="34">
        <v>2592.7600000000002</v>
      </c>
      <c r="U36" s="32">
        <f t="shared" si="8"/>
        <v>51855.200000000004</v>
      </c>
      <c r="V36" s="32">
        <f t="shared" si="9"/>
        <v>72800</v>
      </c>
      <c r="W36" s="32">
        <f t="shared" si="10"/>
        <v>20944.799999999996</v>
      </c>
      <c r="X36" s="24"/>
      <c r="Y36" s="4">
        <f t="shared" si="11"/>
        <v>8</v>
      </c>
      <c r="Z36" s="55">
        <f t="shared" si="12"/>
        <v>12</v>
      </c>
      <c r="AA36" s="55">
        <f t="shared" si="13"/>
        <v>31113.120000000003</v>
      </c>
      <c r="AB36" s="55">
        <f t="shared" si="14"/>
        <v>364</v>
      </c>
      <c r="AC36" s="55">
        <f t="shared" si="15"/>
        <v>546</v>
      </c>
      <c r="AD36" s="70"/>
      <c r="AE36" s="72">
        <f t="shared" si="16"/>
        <v>0</v>
      </c>
      <c r="AF36" s="73">
        <f t="shared" si="17"/>
        <v>0</v>
      </c>
      <c r="AG36" s="70">
        <f>4+4</f>
        <v>8</v>
      </c>
      <c r="AH36" s="72">
        <f t="shared" si="18"/>
        <v>20742.080000000002</v>
      </c>
      <c r="AI36" s="73">
        <f t="shared" si="3"/>
        <v>364</v>
      </c>
    </row>
    <row r="37" spans="1:36" x14ac:dyDescent="0.2">
      <c r="A37" s="23">
        <v>35</v>
      </c>
      <c r="B37" s="24" t="s">
        <v>120</v>
      </c>
      <c r="C37" s="24" t="s">
        <v>125</v>
      </c>
      <c r="D37" s="24" t="s">
        <v>126</v>
      </c>
      <c r="E37" s="26" t="s">
        <v>127</v>
      </c>
      <c r="F37" s="26" t="s">
        <v>34</v>
      </c>
      <c r="G37" s="62">
        <v>20</v>
      </c>
      <c r="H37" s="27">
        <v>20</v>
      </c>
      <c r="I37" s="28">
        <v>0.28000000000000003</v>
      </c>
      <c r="J37" s="29">
        <v>1639</v>
      </c>
      <c r="K37" s="30">
        <f t="shared" si="0"/>
        <v>458.92</v>
      </c>
      <c r="L37" s="31">
        <f t="shared" si="1"/>
        <v>1180.08</v>
      </c>
      <c r="M37" s="31">
        <f t="shared" si="4"/>
        <v>1280.47</v>
      </c>
      <c r="N37" s="31">
        <v>1280.47</v>
      </c>
      <c r="O37" s="32">
        <f t="shared" si="5"/>
        <v>230.48999999999998</v>
      </c>
      <c r="P37" s="32">
        <f t="shared" si="6"/>
        <v>1049.98</v>
      </c>
      <c r="Q37" s="32">
        <f t="shared" si="2"/>
        <v>20999.599999999999</v>
      </c>
      <c r="R37" s="33">
        <v>17.64</v>
      </c>
      <c r="S37" s="32">
        <f t="shared" si="19"/>
        <v>353</v>
      </c>
      <c r="T37" s="34">
        <v>1101.2</v>
      </c>
      <c r="U37" s="32">
        <f t="shared" si="8"/>
        <v>22024</v>
      </c>
      <c r="V37" s="32">
        <f t="shared" si="9"/>
        <v>28240</v>
      </c>
      <c r="W37" s="32">
        <f t="shared" si="10"/>
        <v>6216</v>
      </c>
      <c r="X37" s="24"/>
      <c r="Y37" s="4">
        <f t="shared" si="11"/>
        <v>8</v>
      </c>
      <c r="Z37" s="55">
        <f t="shared" si="12"/>
        <v>12</v>
      </c>
      <c r="AA37" s="55">
        <f t="shared" si="13"/>
        <v>13214.4</v>
      </c>
      <c r="AB37" s="55">
        <f t="shared" si="14"/>
        <v>141.12</v>
      </c>
      <c r="AC37" s="55">
        <f t="shared" si="15"/>
        <v>211.88</v>
      </c>
      <c r="AD37" s="70"/>
      <c r="AE37" s="72">
        <f t="shared" si="16"/>
        <v>0</v>
      </c>
      <c r="AF37" s="73">
        <f t="shared" si="17"/>
        <v>0</v>
      </c>
      <c r="AG37" s="70">
        <f>4+4</f>
        <v>8</v>
      </c>
      <c r="AH37" s="72">
        <f t="shared" si="18"/>
        <v>8809.6</v>
      </c>
      <c r="AI37" s="73">
        <f t="shared" si="3"/>
        <v>141.12</v>
      </c>
    </row>
    <row r="38" spans="1:36" ht="27" x14ac:dyDescent="0.2">
      <c r="A38" s="23">
        <v>36</v>
      </c>
      <c r="B38" s="24" t="s">
        <v>120</v>
      </c>
      <c r="C38" s="24" t="s">
        <v>128</v>
      </c>
      <c r="D38" s="24" t="s">
        <v>129</v>
      </c>
      <c r="E38" s="26" t="s">
        <v>130</v>
      </c>
      <c r="F38" s="26" t="s">
        <v>34</v>
      </c>
      <c r="G38" s="62">
        <v>10</v>
      </c>
      <c r="H38" s="27">
        <v>10</v>
      </c>
      <c r="I38" s="28">
        <v>0.28000000000000003</v>
      </c>
      <c r="J38" s="29">
        <v>687</v>
      </c>
      <c r="K38" s="30">
        <f t="shared" si="0"/>
        <v>192.36</v>
      </c>
      <c r="L38" s="31">
        <f t="shared" si="1"/>
        <v>494.64</v>
      </c>
      <c r="M38" s="31">
        <f t="shared" si="4"/>
        <v>536.72</v>
      </c>
      <c r="N38" s="31">
        <v>536.72</v>
      </c>
      <c r="O38" s="32">
        <f t="shared" si="5"/>
        <v>96.61</v>
      </c>
      <c r="P38" s="32">
        <f t="shared" si="6"/>
        <v>440.11</v>
      </c>
      <c r="Q38" s="32">
        <f t="shared" si="2"/>
        <v>4401.1000000000004</v>
      </c>
      <c r="R38" s="33">
        <v>5.41</v>
      </c>
      <c r="S38" s="32">
        <f>ROUND(R38*H38,0)</f>
        <v>54</v>
      </c>
      <c r="T38" s="34">
        <v>461.58</v>
      </c>
      <c r="U38" s="32">
        <f t="shared" si="8"/>
        <v>4615.8</v>
      </c>
      <c r="V38" s="32">
        <f t="shared" si="9"/>
        <v>4320</v>
      </c>
      <c r="W38" s="32">
        <f t="shared" si="10"/>
        <v>-295.80000000000018</v>
      </c>
      <c r="X38" s="24" t="s">
        <v>47</v>
      </c>
      <c r="Y38" s="4">
        <f t="shared" si="11"/>
        <v>5</v>
      </c>
      <c r="Z38" s="55">
        <f t="shared" si="12"/>
        <v>5</v>
      </c>
      <c r="AA38" s="55">
        <f t="shared" si="13"/>
        <v>2307.9</v>
      </c>
      <c r="AB38" s="55">
        <f t="shared" si="14"/>
        <v>27.05</v>
      </c>
      <c r="AC38" s="55">
        <f t="shared" si="15"/>
        <v>26.95</v>
      </c>
      <c r="AD38" s="70"/>
      <c r="AE38" s="72">
        <f t="shared" si="16"/>
        <v>0</v>
      </c>
      <c r="AF38" s="73">
        <f t="shared" si="17"/>
        <v>0</v>
      </c>
      <c r="AG38" s="70">
        <f>5</f>
        <v>5</v>
      </c>
      <c r="AH38" s="72">
        <f t="shared" si="18"/>
        <v>2307.9</v>
      </c>
      <c r="AI38" s="73">
        <f t="shared" si="3"/>
        <v>27.05</v>
      </c>
    </row>
    <row r="39" spans="1:36" ht="27" x14ac:dyDescent="0.2">
      <c r="A39" s="23">
        <v>37</v>
      </c>
      <c r="B39" s="24" t="s">
        <v>120</v>
      </c>
      <c r="C39" s="24" t="s">
        <v>131</v>
      </c>
      <c r="D39" s="24" t="s">
        <v>132</v>
      </c>
      <c r="E39" s="26" t="s">
        <v>130</v>
      </c>
      <c r="F39" s="26" t="s">
        <v>34</v>
      </c>
      <c r="G39" s="62">
        <v>10</v>
      </c>
      <c r="H39" s="27">
        <v>10</v>
      </c>
      <c r="I39" s="28">
        <v>0.28000000000000003</v>
      </c>
      <c r="J39" s="29">
        <v>687</v>
      </c>
      <c r="K39" s="30">
        <f t="shared" si="0"/>
        <v>192.36</v>
      </c>
      <c r="L39" s="31">
        <f t="shared" si="1"/>
        <v>494.64</v>
      </c>
      <c r="M39" s="31">
        <f t="shared" si="4"/>
        <v>536.72</v>
      </c>
      <c r="N39" s="31">
        <v>536.72</v>
      </c>
      <c r="O39" s="32">
        <f t="shared" si="5"/>
        <v>96.61</v>
      </c>
      <c r="P39" s="32">
        <f t="shared" si="6"/>
        <v>440.11</v>
      </c>
      <c r="Q39" s="32">
        <f t="shared" si="2"/>
        <v>4401.1000000000004</v>
      </c>
      <c r="R39" s="33">
        <v>5.41</v>
      </c>
      <c r="S39" s="32">
        <f>ROUND(R39*H39,0)</f>
        <v>54</v>
      </c>
      <c r="T39" s="34">
        <v>461.58</v>
      </c>
      <c r="U39" s="32">
        <f t="shared" si="8"/>
        <v>4615.8</v>
      </c>
      <c r="V39" s="32">
        <f t="shared" si="9"/>
        <v>4320</v>
      </c>
      <c r="W39" s="32">
        <f t="shared" si="10"/>
        <v>-295.80000000000018</v>
      </c>
      <c r="X39" s="24" t="s">
        <v>47</v>
      </c>
      <c r="Y39" s="4">
        <f t="shared" si="11"/>
        <v>5</v>
      </c>
      <c r="Z39" s="55">
        <f t="shared" si="12"/>
        <v>5</v>
      </c>
      <c r="AA39" s="55">
        <f t="shared" si="13"/>
        <v>2307.9</v>
      </c>
      <c r="AB39" s="55">
        <f t="shared" si="14"/>
        <v>27.05</v>
      </c>
      <c r="AC39" s="55">
        <f t="shared" si="15"/>
        <v>26.95</v>
      </c>
      <c r="AD39" s="70"/>
      <c r="AE39" s="72">
        <f t="shared" si="16"/>
        <v>0</v>
      </c>
      <c r="AF39" s="73">
        <f t="shared" si="17"/>
        <v>0</v>
      </c>
      <c r="AG39" s="70">
        <f>5</f>
        <v>5</v>
      </c>
      <c r="AH39" s="72">
        <f t="shared" si="18"/>
        <v>2307.9</v>
      </c>
      <c r="AI39" s="73">
        <f t="shared" si="3"/>
        <v>27.05</v>
      </c>
    </row>
    <row r="40" spans="1:36" ht="27" x14ac:dyDescent="0.2">
      <c r="A40" s="23">
        <v>43</v>
      </c>
      <c r="B40" s="24" t="s">
        <v>133</v>
      </c>
      <c r="C40" s="24" t="s">
        <v>134</v>
      </c>
      <c r="D40" s="24" t="s">
        <v>135</v>
      </c>
      <c r="E40" s="26" t="s">
        <v>33</v>
      </c>
      <c r="F40" s="26" t="s">
        <v>34</v>
      </c>
      <c r="G40" s="62">
        <v>20</v>
      </c>
      <c r="H40" s="27">
        <v>20</v>
      </c>
      <c r="I40" s="28">
        <v>0.28000000000000003</v>
      </c>
      <c r="J40" s="29">
        <v>3813</v>
      </c>
      <c r="K40" s="30">
        <f t="shared" si="0"/>
        <v>1067.6400000000001</v>
      </c>
      <c r="L40" s="31">
        <f t="shared" si="1"/>
        <v>2745.3599999999997</v>
      </c>
      <c r="M40" s="31">
        <f t="shared" si="4"/>
        <v>2978.9100000000003</v>
      </c>
      <c r="N40" s="31">
        <v>2978.91</v>
      </c>
      <c r="O40" s="32">
        <f t="shared" si="5"/>
        <v>536.21</v>
      </c>
      <c r="P40" s="32">
        <f t="shared" si="6"/>
        <v>2442.6999999999998</v>
      </c>
      <c r="Q40" s="32">
        <f t="shared" si="2"/>
        <v>48854</v>
      </c>
      <c r="R40" s="33">
        <v>41.03</v>
      </c>
      <c r="S40" s="32">
        <f t="shared" si="19"/>
        <v>821</v>
      </c>
      <c r="T40" s="34">
        <v>2561.86</v>
      </c>
      <c r="U40" s="32">
        <f t="shared" si="8"/>
        <v>51237.200000000004</v>
      </c>
      <c r="V40" s="32">
        <f t="shared" si="9"/>
        <v>65680</v>
      </c>
      <c r="W40" s="32">
        <f t="shared" si="10"/>
        <v>14442.799999999996</v>
      </c>
      <c r="X40" s="24"/>
      <c r="Y40" s="4">
        <f t="shared" si="11"/>
        <v>8</v>
      </c>
      <c r="Z40" s="55">
        <f t="shared" si="12"/>
        <v>12</v>
      </c>
      <c r="AA40" s="55">
        <f t="shared" si="13"/>
        <v>30742.320000000003</v>
      </c>
      <c r="AB40" s="55">
        <f t="shared" si="14"/>
        <v>328.24</v>
      </c>
      <c r="AC40" s="55">
        <f t="shared" si="15"/>
        <v>492.76</v>
      </c>
      <c r="AD40" s="70"/>
      <c r="AE40" s="72">
        <f t="shared" si="16"/>
        <v>0</v>
      </c>
      <c r="AF40" s="73">
        <f t="shared" si="17"/>
        <v>0</v>
      </c>
      <c r="AG40" s="70">
        <f>4+4</f>
        <v>8</v>
      </c>
      <c r="AH40" s="72">
        <f t="shared" si="18"/>
        <v>20494.88</v>
      </c>
      <c r="AI40" s="73">
        <f t="shared" si="3"/>
        <v>328.24</v>
      </c>
    </row>
    <row r="41" spans="1:36" ht="27" x14ac:dyDescent="0.2">
      <c r="A41" s="23">
        <v>44</v>
      </c>
      <c r="B41" s="24" t="s">
        <v>133</v>
      </c>
      <c r="C41" s="24" t="s">
        <v>136</v>
      </c>
      <c r="D41" s="24" t="s">
        <v>137</v>
      </c>
      <c r="E41" s="26" t="s">
        <v>138</v>
      </c>
      <c r="F41" s="26" t="s">
        <v>34</v>
      </c>
      <c r="G41" s="62">
        <v>30</v>
      </c>
      <c r="H41" s="27">
        <v>30</v>
      </c>
      <c r="I41" s="28">
        <v>0.28000000000000003</v>
      </c>
      <c r="J41" s="29">
        <v>994</v>
      </c>
      <c r="K41" s="30">
        <f t="shared" si="0"/>
        <v>278.32000000000005</v>
      </c>
      <c r="L41" s="31">
        <f t="shared" si="1"/>
        <v>715.68</v>
      </c>
      <c r="M41" s="31">
        <f t="shared" si="4"/>
        <v>776.56999999999994</v>
      </c>
      <c r="N41" s="31">
        <v>776.56</v>
      </c>
      <c r="O41" s="32">
        <f t="shared" si="5"/>
        <v>139.79</v>
      </c>
      <c r="P41" s="32">
        <f t="shared" si="6"/>
        <v>636.77</v>
      </c>
      <c r="Q41" s="32">
        <f t="shared" si="2"/>
        <v>19103.099999999999</v>
      </c>
      <c r="R41" s="33">
        <v>8.36</v>
      </c>
      <c r="S41" s="32">
        <f t="shared" si="19"/>
        <v>251</v>
      </c>
      <c r="T41" s="34">
        <v>667.84</v>
      </c>
      <c r="U41" s="32">
        <f t="shared" si="8"/>
        <v>20035.2</v>
      </c>
      <c r="V41" s="32">
        <f t="shared" si="9"/>
        <v>20080</v>
      </c>
      <c r="W41" s="32">
        <f t="shared" si="10"/>
        <v>44.799999999999272</v>
      </c>
      <c r="X41" s="24"/>
      <c r="Y41" s="4">
        <f t="shared" si="11"/>
        <v>18</v>
      </c>
      <c r="Z41" s="55">
        <f t="shared" si="12"/>
        <v>12</v>
      </c>
      <c r="AA41" s="55">
        <f t="shared" si="13"/>
        <v>8014.08</v>
      </c>
      <c r="AB41" s="55">
        <f t="shared" si="14"/>
        <v>150.47999999999999</v>
      </c>
      <c r="AC41" s="55">
        <f t="shared" si="15"/>
        <v>100.52000000000001</v>
      </c>
      <c r="AD41" s="70"/>
      <c r="AE41" s="72">
        <f t="shared" si="16"/>
        <v>0</v>
      </c>
      <c r="AF41" s="73">
        <f t="shared" si="17"/>
        <v>0</v>
      </c>
      <c r="AG41" s="70">
        <f>12+6</f>
        <v>18</v>
      </c>
      <c r="AH41" s="72">
        <f t="shared" si="18"/>
        <v>12021.12</v>
      </c>
      <c r="AI41" s="73">
        <f t="shared" si="3"/>
        <v>150.47999999999999</v>
      </c>
    </row>
    <row r="42" spans="1:36" ht="27" x14ac:dyDescent="0.2">
      <c r="A42" s="23">
        <v>45</v>
      </c>
      <c r="B42" s="24" t="s">
        <v>133</v>
      </c>
      <c r="C42" s="24" t="s">
        <v>139</v>
      </c>
      <c r="D42" s="24" t="s">
        <v>140</v>
      </c>
      <c r="E42" s="26" t="s">
        <v>138</v>
      </c>
      <c r="F42" s="26" t="s">
        <v>34</v>
      </c>
      <c r="G42" s="62">
        <v>30</v>
      </c>
      <c r="H42" s="27">
        <v>30</v>
      </c>
      <c r="I42" s="28">
        <v>0.28000000000000003</v>
      </c>
      <c r="J42" s="29">
        <v>994</v>
      </c>
      <c r="K42" s="30">
        <f t="shared" si="0"/>
        <v>278.32000000000005</v>
      </c>
      <c r="L42" s="31">
        <f t="shared" si="1"/>
        <v>715.68</v>
      </c>
      <c r="M42" s="31">
        <f t="shared" si="4"/>
        <v>776.56999999999994</v>
      </c>
      <c r="N42" s="31">
        <v>776.56</v>
      </c>
      <c r="O42" s="32">
        <f t="shared" si="5"/>
        <v>139.79</v>
      </c>
      <c r="P42" s="32">
        <f t="shared" si="6"/>
        <v>636.77</v>
      </c>
      <c r="Q42" s="32">
        <f t="shared" si="2"/>
        <v>19103.099999999999</v>
      </c>
      <c r="R42" s="33">
        <v>8.36</v>
      </c>
      <c r="S42" s="32">
        <f t="shared" si="19"/>
        <v>251</v>
      </c>
      <c r="T42" s="34">
        <v>667.84</v>
      </c>
      <c r="U42" s="32">
        <f t="shared" si="8"/>
        <v>20035.2</v>
      </c>
      <c r="V42" s="32">
        <f t="shared" si="9"/>
        <v>20080</v>
      </c>
      <c r="W42" s="32">
        <f t="shared" si="10"/>
        <v>44.799999999999272</v>
      </c>
      <c r="X42" s="24"/>
      <c r="Y42" s="4">
        <f t="shared" si="11"/>
        <v>6</v>
      </c>
      <c r="Z42" s="55">
        <f t="shared" si="12"/>
        <v>24</v>
      </c>
      <c r="AA42" s="55">
        <f t="shared" si="13"/>
        <v>16028.16</v>
      </c>
      <c r="AB42" s="55">
        <f t="shared" si="14"/>
        <v>50.16</v>
      </c>
      <c r="AC42" s="55">
        <f t="shared" si="15"/>
        <v>200.84</v>
      </c>
      <c r="AD42" s="70"/>
      <c r="AE42" s="72">
        <f t="shared" si="16"/>
        <v>0</v>
      </c>
      <c r="AF42" s="73">
        <f t="shared" si="17"/>
        <v>0</v>
      </c>
      <c r="AG42" s="70">
        <v>6</v>
      </c>
      <c r="AH42" s="72">
        <f t="shared" si="18"/>
        <v>4007.04</v>
      </c>
      <c r="AI42" s="73">
        <f t="shared" si="3"/>
        <v>50.16</v>
      </c>
    </row>
    <row r="43" spans="1:36" ht="27" x14ac:dyDescent="0.2">
      <c r="A43" s="23">
        <v>46</v>
      </c>
      <c r="B43" s="24" t="s">
        <v>133</v>
      </c>
      <c r="C43" s="24" t="s">
        <v>141</v>
      </c>
      <c r="D43" s="24" t="s">
        <v>142</v>
      </c>
      <c r="E43" s="26" t="s">
        <v>33</v>
      </c>
      <c r="F43" s="26" t="s">
        <v>34</v>
      </c>
      <c r="G43" s="62">
        <v>30</v>
      </c>
      <c r="H43" s="27">
        <v>30</v>
      </c>
      <c r="I43" s="28">
        <v>0.28000000000000003</v>
      </c>
      <c r="J43" s="29">
        <v>867</v>
      </c>
      <c r="K43" s="30">
        <f t="shared" si="0"/>
        <v>242.76000000000002</v>
      </c>
      <c r="L43" s="31">
        <f t="shared" si="1"/>
        <v>624.24</v>
      </c>
      <c r="M43" s="31">
        <f t="shared" si="4"/>
        <v>677.35</v>
      </c>
      <c r="N43" s="31">
        <v>677.34</v>
      </c>
      <c r="O43" s="32">
        <f t="shared" si="5"/>
        <v>121.93</v>
      </c>
      <c r="P43" s="32">
        <f t="shared" si="6"/>
        <v>555.41000000000008</v>
      </c>
      <c r="Q43" s="32">
        <f t="shared" si="2"/>
        <v>16662.300000000003</v>
      </c>
      <c r="R43" s="33">
        <v>9.36</v>
      </c>
      <c r="S43" s="32">
        <f t="shared" si="19"/>
        <v>281</v>
      </c>
      <c r="T43" s="34">
        <v>582.51</v>
      </c>
      <c r="U43" s="32">
        <f t="shared" si="8"/>
        <v>17475.3</v>
      </c>
      <c r="V43" s="32">
        <f t="shared" si="9"/>
        <v>22480</v>
      </c>
      <c r="W43" s="32">
        <f t="shared" si="10"/>
        <v>5004.7000000000007</v>
      </c>
      <c r="X43" s="24"/>
      <c r="Y43" s="4">
        <f t="shared" si="11"/>
        <v>0</v>
      </c>
      <c r="Z43" s="55">
        <f t="shared" si="12"/>
        <v>30</v>
      </c>
      <c r="AA43" s="55">
        <f t="shared" si="13"/>
        <v>17475.3</v>
      </c>
      <c r="AB43" s="55">
        <f t="shared" si="14"/>
        <v>0</v>
      </c>
      <c r="AC43" s="55">
        <f t="shared" si="15"/>
        <v>281</v>
      </c>
      <c r="AD43" s="70"/>
      <c r="AE43" s="72">
        <f t="shared" si="16"/>
        <v>0</v>
      </c>
      <c r="AF43" s="73">
        <f t="shared" si="17"/>
        <v>0</v>
      </c>
      <c r="AG43" s="70"/>
      <c r="AH43" s="72">
        <f t="shared" si="18"/>
        <v>0</v>
      </c>
      <c r="AI43" s="73">
        <f t="shared" si="3"/>
        <v>0</v>
      </c>
    </row>
    <row r="44" spans="1:36" ht="27" x14ac:dyDescent="0.2">
      <c r="A44" s="23">
        <v>47</v>
      </c>
      <c r="B44" s="24" t="s">
        <v>133</v>
      </c>
      <c r="C44" s="24" t="s">
        <v>143</v>
      </c>
      <c r="D44" s="24" t="s">
        <v>144</v>
      </c>
      <c r="E44" s="26" t="s">
        <v>33</v>
      </c>
      <c r="F44" s="26" t="s">
        <v>34</v>
      </c>
      <c r="G44" s="62">
        <v>30</v>
      </c>
      <c r="H44" s="27">
        <v>30</v>
      </c>
      <c r="I44" s="28">
        <v>0.28000000000000003</v>
      </c>
      <c r="J44" s="29">
        <v>188</v>
      </c>
      <c r="K44" s="30">
        <f t="shared" si="0"/>
        <v>52.640000000000008</v>
      </c>
      <c r="L44" s="31">
        <f t="shared" si="1"/>
        <v>135.35999999999999</v>
      </c>
      <c r="M44" s="31">
        <f t="shared" si="4"/>
        <v>146.88</v>
      </c>
      <c r="N44" s="31">
        <v>146.88</v>
      </c>
      <c r="O44" s="32">
        <f t="shared" si="5"/>
        <v>26.44</v>
      </c>
      <c r="P44" s="32">
        <f t="shared" si="6"/>
        <v>120.44</v>
      </c>
      <c r="Q44" s="32">
        <f t="shared" si="2"/>
        <v>3613.2</v>
      </c>
      <c r="R44" s="33">
        <v>2.04</v>
      </c>
      <c r="S44" s="32">
        <f>ROUND(R44*H44,0)</f>
        <v>61</v>
      </c>
      <c r="T44" s="34">
        <v>126.32</v>
      </c>
      <c r="U44" s="32">
        <f t="shared" si="8"/>
        <v>3789.6</v>
      </c>
      <c r="V44" s="32">
        <f t="shared" si="9"/>
        <v>4880</v>
      </c>
      <c r="W44" s="32">
        <f t="shared" si="10"/>
        <v>1090.4000000000001</v>
      </c>
      <c r="X44" s="24"/>
      <c r="Y44" s="4">
        <f t="shared" si="11"/>
        <v>12</v>
      </c>
      <c r="Z44" s="55">
        <f t="shared" si="12"/>
        <v>18</v>
      </c>
      <c r="AA44" s="55">
        <f t="shared" si="13"/>
        <v>2273.7600000000002</v>
      </c>
      <c r="AB44" s="55">
        <f t="shared" si="14"/>
        <v>24.48</v>
      </c>
      <c r="AC44" s="55">
        <f t="shared" si="15"/>
        <v>36.519999999999996</v>
      </c>
      <c r="AD44" s="70"/>
      <c r="AE44" s="72">
        <f t="shared" si="16"/>
        <v>0</v>
      </c>
      <c r="AF44" s="73">
        <f t="shared" si="17"/>
        <v>0</v>
      </c>
      <c r="AG44" s="70">
        <f>6+6</f>
        <v>12</v>
      </c>
      <c r="AH44" s="72">
        <f t="shared" si="18"/>
        <v>1515.84</v>
      </c>
      <c r="AI44" s="73">
        <f t="shared" si="3"/>
        <v>24.48</v>
      </c>
    </row>
    <row r="45" spans="1:36" ht="27" x14ac:dyDescent="0.2">
      <c r="A45" s="23">
        <v>48</v>
      </c>
      <c r="B45" s="24" t="s">
        <v>133</v>
      </c>
      <c r="C45" s="24" t="s">
        <v>145</v>
      </c>
      <c r="D45" s="24" t="s">
        <v>146</v>
      </c>
      <c r="E45" s="26" t="s">
        <v>33</v>
      </c>
      <c r="F45" s="26" t="s">
        <v>34</v>
      </c>
      <c r="G45" s="62">
        <v>30</v>
      </c>
      <c r="H45" s="27">
        <v>30</v>
      </c>
      <c r="I45" s="28">
        <v>0.28000000000000003</v>
      </c>
      <c r="J45" s="29">
        <v>188</v>
      </c>
      <c r="K45" s="30">
        <f t="shared" si="0"/>
        <v>52.640000000000008</v>
      </c>
      <c r="L45" s="31">
        <f t="shared" si="1"/>
        <v>135.35999999999999</v>
      </c>
      <c r="M45" s="31">
        <f t="shared" si="4"/>
        <v>146.88</v>
      </c>
      <c r="N45" s="31">
        <v>146.88</v>
      </c>
      <c r="O45" s="32">
        <f t="shared" si="5"/>
        <v>26.44</v>
      </c>
      <c r="P45" s="32">
        <f t="shared" si="6"/>
        <v>120.44</v>
      </c>
      <c r="Q45" s="32">
        <f t="shared" si="2"/>
        <v>3613.2</v>
      </c>
      <c r="R45" s="33">
        <v>2.04</v>
      </c>
      <c r="S45" s="32">
        <f>ROUND(R45*H45,0)</f>
        <v>61</v>
      </c>
      <c r="T45" s="34">
        <v>126.32</v>
      </c>
      <c r="U45" s="32">
        <f t="shared" si="8"/>
        <v>3789.6</v>
      </c>
      <c r="V45" s="32">
        <f t="shared" si="9"/>
        <v>4880</v>
      </c>
      <c r="W45" s="32">
        <f t="shared" si="10"/>
        <v>1090.4000000000001</v>
      </c>
      <c r="X45" s="24"/>
      <c r="Y45" s="4">
        <f t="shared" si="11"/>
        <v>12</v>
      </c>
      <c r="Z45" s="55">
        <f t="shared" si="12"/>
        <v>18</v>
      </c>
      <c r="AA45" s="55">
        <f t="shared" si="13"/>
        <v>2273.7600000000002</v>
      </c>
      <c r="AB45" s="55">
        <f t="shared" si="14"/>
        <v>24.48</v>
      </c>
      <c r="AC45" s="55">
        <f t="shared" si="15"/>
        <v>36.519999999999996</v>
      </c>
      <c r="AD45" s="70"/>
      <c r="AE45" s="72">
        <f t="shared" si="16"/>
        <v>0</v>
      </c>
      <c r="AF45" s="73">
        <f t="shared" si="17"/>
        <v>0</v>
      </c>
      <c r="AG45" s="70">
        <f>6+6</f>
        <v>12</v>
      </c>
      <c r="AH45" s="72">
        <f t="shared" si="18"/>
        <v>1515.84</v>
      </c>
      <c r="AI45" s="73">
        <f t="shared" si="3"/>
        <v>24.48</v>
      </c>
    </row>
    <row r="46" spans="1:36" ht="27" x14ac:dyDescent="0.2">
      <c r="A46" s="23">
        <v>49</v>
      </c>
      <c r="B46" s="24" t="s">
        <v>133</v>
      </c>
      <c r="C46" s="24" t="s">
        <v>147</v>
      </c>
      <c r="D46" s="24" t="s">
        <v>148</v>
      </c>
      <c r="E46" s="26" t="s">
        <v>33</v>
      </c>
      <c r="F46" s="26" t="s">
        <v>34</v>
      </c>
      <c r="G46" s="62">
        <v>30</v>
      </c>
      <c r="H46" s="27">
        <v>30</v>
      </c>
      <c r="I46" s="28">
        <v>0.28000000000000003</v>
      </c>
      <c r="J46" s="29">
        <v>121</v>
      </c>
      <c r="K46" s="30">
        <f t="shared" si="0"/>
        <v>33.880000000000003</v>
      </c>
      <c r="L46" s="31">
        <f t="shared" si="1"/>
        <v>87.12</v>
      </c>
      <c r="M46" s="31">
        <f t="shared" si="4"/>
        <v>94.54</v>
      </c>
      <c r="N46" s="31">
        <v>94.53</v>
      </c>
      <c r="O46" s="32">
        <f t="shared" si="5"/>
        <v>17.020000000000003</v>
      </c>
      <c r="P46" s="32">
        <f t="shared" si="6"/>
        <v>77.509999999999991</v>
      </c>
      <c r="Q46" s="32">
        <f t="shared" si="2"/>
        <v>2325.2999999999997</v>
      </c>
      <c r="R46" s="33">
        <v>1.32</v>
      </c>
      <c r="S46" s="32">
        <f t="shared" si="19"/>
        <v>40</v>
      </c>
      <c r="T46" s="34">
        <v>81.3</v>
      </c>
      <c r="U46" s="32">
        <f t="shared" si="8"/>
        <v>2439</v>
      </c>
      <c r="V46" s="32">
        <f t="shared" si="9"/>
        <v>3200</v>
      </c>
      <c r="W46" s="32">
        <f t="shared" si="10"/>
        <v>761</v>
      </c>
      <c r="X46" s="24"/>
      <c r="Y46" s="4">
        <f t="shared" si="11"/>
        <v>12</v>
      </c>
      <c r="Z46" s="55">
        <f t="shared" si="12"/>
        <v>18</v>
      </c>
      <c r="AA46" s="55">
        <f t="shared" si="13"/>
        <v>1463.4</v>
      </c>
      <c r="AB46" s="55">
        <f t="shared" si="14"/>
        <v>15.84</v>
      </c>
      <c r="AC46" s="55">
        <f t="shared" si="15"/>
        <v>24.16</v>
      </c>
      <c r="AD46" s="70"/>
      <c r="AE46" s="72">
        <f t="shared" si="16"/>
        <v>0</v>
      </c>
      <c r="AF46" s="73">
        <f t="shared" si="17"/>
        <v>0</v>
      </c>
      <c r="AG46" s="70">
        <f>6+6</f>
        <v>12</v>
      </c>
      <c r="AH46" s="72">
        <f t="shared" si="18"/>
        <v>975.59999999999991</v>
      </c>
      <c r="AI46" s="73">
        <f t="shared" si="3"/>
        <v>15.84</v>
      </c>
    </row>
    <row r="47" spans="1:36" ht="27" x14ac:dyDescent="0.2">
      <c r="A47" s="23">
        <v>50</v>
      </c>
      <c r="B47" s="24" t="s">
        <v>133</v>
      </c>
      <c r="C47" s="24" t="s">
        <v>149</v>
      </c>
      <c r="D47" s="24" t="s">
        <v>150</v>
      </c>
      <c r="E47" s="26" t="s">
        <v>33</v>
      </c>
      <c r="F47" s="26" t="s">
        <v>34</v>
      </c>
      <c r="G47" s="62">
        <v>30</v>
      </c>
      <c r="H47" s="27">
        <v>30</v>
      </c>
      <c r="I47" s="28">
        <v>0.28000000000000003</v>
      </c>
      <c r="J47" s="29">
        <v>121</v>
      </c>
      <c r="K47" s="30">
        <f t="shared" si="0"/>
        <v>33.880000000000003</v>
      </c>
      <c r="L47" s="31">
        <f t="shared" si="1"/>
        <v>87.12</v>
      </c>
      <c r="M47" s="31">
        <f t="shared" si="4"/>
        <v>94.54</v>
      </c>
      <c r="N47" s="31">
        <v>94.53</v>
      </c>
      <c r="O47" s="32">
        <f t="shared" si="5"/>
        <v>17.020000000000003</v>
      </c>
      <c r="P47" s="32">
        <f t="shared" si="6"/>
        <v>77.509999999999991</v>
      </c>
      <c r="Q47" s="32">
        <f t="shared" si="2"/>
        <v>2325.2999999999997</v>
      </c>
      <c r="R47" s="33">
        <v>1.32</v>
      </c>
      <c r="S47" s="32">
        <f t="shared" si="19"/>
        <v>40</v>
      </c>
      <c r="T47" s="34">
        <v>81.3</v>
      </c>
      <c r="U47" s="32">
        <f t="shared" si="8"/>
        <v>2439</v>
      </c>
      <c r="V47" s="32">
        <f t="shared" si="9"/>
        <v>3200</v>
      </c>
      <c r="W47" s="32">
        <f t="shared" si="10"/>
        <v>761</v>
      </c>
      <c r="X47" s="24"/>
      <c r="Y47" s="4">
        <f t="shared" si="11"/>
        <v>12</v>
      </c>
      <c r="Z47" s="55">
        <f t="shared" si="12"/>
        <v>18</v>
      </c>
      <c r="AA47" s="55">
        <f t="shared" si="13"/>
        <v>1463.4</v>
      </c>
      <c r="AB47" s="55">
        <f t="shared" si="14"/>
        <v>15.84</v>
      </c>
      <c r="AC47" s="55">
        <f t="shared" si="15"/>
        <v>24.16</v>
      </c>
      <c r="AD47" s="70"/>
      <c r="AE47" s="72">
        <f t="shared" si="16"/>
        <v>0</v>
      </c>
      <c r="AF47" s="73">
        <f t="shared" si="17"/>
        <v>0</v>
      </c>
      <c r="AG47" s="70">
        <f>6+6</f>
        <v>12</v>
      </c>
      <c r="AH47" s="72">
        <f t="shared" si="18"/>
        <v>975.59999999999991</v>
      </c>
      <c r="AI47" s="73">
        <f t="shared" si="3"/>
        <v>15.84</v>
      </c>
    </row>
    <row r="48" spans="1:36" x14ac:dyDescent="0.2">
      <c r="A48" s="23">
        <v>53</v>
      </c>
      <c r="B48" s="24" t="s">
        <v>151</v>
      </c>
      <c r="C48" s="25" t="s">
        <v>152</v>
      </c>
      <c r="D48" s="24" t="s">
        <v>153</v>
      </c>
      <c r="E48" s="26" t="s">
        <v>154</v>
      </c>
      <c r="F48" s="26" t="s">
        <v>34</v>
      </c>
      <c r="G48" s="62">
        <v>20</v>
      </c>
      <c r="H48" s="27">
        <v>20</v>
      </c>
      <c r="I48" s="28">
        <v>0.18</v>
      </c>
      <c r="J48" s="29">
        <v>9807</v>
      </c>
      <c r="K48" s="30">
        <f t="shared" si="0"/>
        <v>1765.26</v>
      </c>
      <c r="L48" s="31">
        <f t="shared" si="1"/>
        <v>8041.74</v>
      </c>
      <c r="M48" s="31">
        <f t="shared" si="4"/>
        <v>8311.02</v>
      </c>
      <c r="N48" s="31">
        <v>7661.72</v>
      </c>
      <c r="O48" s="32">
        <f t="shared" si="5"/>
        <v>1379.11</v>
      </c>
      <c r="P48" s="32">
        <f t="shared" si="6"/>
        <v>6282.6100000000006</v>
      </c>
      <c r="Q48" s="32">
        <f t="shared" si="2"/>
        <v>125652.20000000001</v>
      </c>
      <c r="R48" s="33">
        <v>107.5</v>
      </c>
      <c r="S48" s="32">
        <f t="shared" si="19"/>
        <v>2150</v>
      </c>
      <c r="T48" s="34">
        <v>7043.59</v>
      </c>
      <c r="U48" s="32">
        <f t="shared" si="8"/>
        <v>140871.79999999999</v>
      </c>
      <c r="V48" s="32">
        <f t="shared" si="9"/>
        <v>172000</v>
      </c>
      <c r="W48" s="32">
        <f t="shared" si="10"/>
        <v>31128.200000000012</v>
      </c>
      <c r="X48" s="24"/>
      <c r="Y48" s="4">
        <f t="shared" si="11"/>
        <v>12</v>
      </c>
      <c r="Z48" s="55">
        <f t="shared" si="12"/>
        <v>8</v>
      </c>
      <c r="AA48" s="55">
        <f t="shared" si="13"/>
        <v>56348.719999999987</v>
      </c>
      <c r="AB48" s="55">
        <f t="shared" si="14"/>
        <v>1290</v>
      </c>
      <c r="AC48" s="55">
        <f t="shared" si="15"/>
        <v>860</v>
      </c>
      <c r="AD48" s="70"/>
      <c r="AE48" s="72">
        <f t="shared" si="16"/>
        <v>0</v>
      </c>
      <c r="AF48" s="73">
        <f t="shared" si="17"/>
        <v>0</v>
      </c>
      <c r="AG48" s="70">
        <f>8+4</f>
        <v>12</v>
      </c>
      <c r="AH48" s="72">
        <f t="shared" si="18"/>
        <v>84523.08</v>
      </c>
      <c r="AI48" s="73">
        <f t="shared" si="3"/>
        <v>1290</v>
      </c>
    </row>
    <row r="49" spans="1:35" ht="13.5" customHeight="1" x14ac:dyDescent="0.2">
      <c r="A49" s="23">
        <v>54</v>
      </c>
      <c r="B49" s="24" t="s">
        <v>151</v>
      </c>
      <c r="C49" s="25" t="s">
        <v>155</v>
      </c>
      <c r="D49" s="24" t="s">
        <v>156</v>
      </c>
      <c r="E49" s="26" t="s">
        <v>157</v>
      </c>
      <c r="F49" s="26" t="s">
        <v>34</v>
      </c>
      <c r="G49" s="62">
        <v>20</v>
      </c>
      <c r="H49" s="27">
        <v>20</v>
      </c>
      <c r="I49" s="28">
        <v>0.18</v>
      </c>
      <c r="J49" s="29">
        <v>9807</v>
      </c>
      <c r="K49" s="30">
        <f t="shared" si="0"/>
        <v>1765.26</v>
      </c>
      <c r="L49" s="31">
        <f t="shared" si="1"/>
        <v>8041.74</v>
      </c>
      <c r="M49" s="31">
        <f t="shared" si="4"/>
        <v>8311.02</v>
      </c>
      <c r="N49" s="31">
        <v>7661.72</v>
      </c>
      <c r="O49" s="32">
        <f t="shared" si="5"/>
        <v>1379.11</v>
      </c>
      <c r="P49" s="32">
        <f t="shared" si="6"/>
        <v>6282.6100000000006</v>
      </c>
      <c r="Q49" s="32">
        <f t="shared" si="2"/>
        <v>125652.20000000001</v>
      </c>
      <c r="R49" s="33">
        <v>107.5</v>
      </c>
      <c r="S49" s="32">
        <f t="shared" si="19"/>
        <v>2150</v>
      </c>
      <c r="T49" s="34">
        <v>7043.59</v>
      </c>
      <c r="U49" s="32">
        <f t="shared" si="8"/>
        <v>140871.79999999999</v>
      </c>
      <c r="V49" s="32">
        <f t="shared" si="9"/>
        <v>172000</v>
      </c>
      <c r="W49" s="32">
        <f t="shared" si="10"/>
        <v>31128.200000000012</v>
      </c>
      <c r="X49" s="24"/>
      <c r="Y49" s="4">
        <f t="shared" si="11"/>
        <v>4</v>
      </c>
      <c r="Z49" s="55">
        <f t="shared" si="12"/>
        <v>16</v>
      </c>
      <c r="AA49" s="55">
        <f t="shared" si="13"/>
        <v>112697.43999999999</v>
      </c>
      <c r="AB49" s="55">
        <f t="shared" si="14"/>
        <v>430</v>
      </c>
      <c r="AC49" s="55">
        <f t="shared" si="15"/>
        <v>1720</v>
      </c>
      <c r="AD49" s="70"/>
      <c r="AE49" s="72">
        <f t="shared" si="16"/>
        <v>0</v>
      </c>
      <c r="AF49" s="73">
        <f t="shared" si="17"/>
        <v>0</v>
      </c>
      <c r="AG49" s="70">
        <f>4</f>
        <v>4</v>
      </c>
      <c r="AH49" s="72">
        <f t="shared" si="18"/>
        <v>28174.36</v>
      </c>
      <c r="AI49" s="73">
        <f t="shared" si="3"/>
        <v>430</v>
      </c>
    </row>
    <row r="50" spans="1:35" x14ac:dyDescent="0.2">
      <c r="A50" s="23">
        <v>56</v>
      </c>
      <c r="B50" s="24" t="s">
        <v>151</v>
      </c>
      <c r="C50" s="25" t="s">
        <v>158</v>
      </c>
      <c r="D50" s="24" t="s">
        <v>159</v>
      </c>
      <c r="E50" s="26" t="s">
        <v>154</v>
      </c>
      <c r="F50" s="26" t="s">
        <v>34</v>
      </c>
      <c r="G50" s="62">
        <v>50</v>
      </c>
      <c r="H50" s="27">
        <v>50</v>
      </c>
      <c r="I50" s="28">
        <v>0.18</v>
      </c>
      <c r="J50" s="29">
        <v>795</v>
      </c>
      <c r="K50" s="30">
        <f t="shared" si="0"/>
        <v>143.1</v>
      </c>
      <c r="L50" s="31">
        <f t="shared" si="1"/>
        <v>651.9</v>
      </c>
      <c r="M50" s="31">
        <f t="shared" si="4"/>
        <v>673.73</v>
      </c>
      <c r="N50" s="31">
        <v>673.73</v>
      </c>
      <c r="O50" s="32">
        <f t="shared" si="5"/>
        <v>121.28</v>
      </c>
      <c r="P50" s="32">
        <f t="shared" si="6"/>
        <v>552.45000000000005</v>
      </c>
      <c r="Q50" s="32">
        <f t="shared" si="2"/>
        <v>27622.500000000004</v>
      </c>
      <c r="R50" s="33">
        <v>8.64</v>
      </c>
      <c r="S50" s="32">
        <f t="shared" si="19"/>
        <v>432</v>
      </c>
      <c r="T50" s="34">
        <v>570.99</v>
      </c>
      <c r="U50" s="32">
        <f t="shared" si="8"/>
        <v>28549.5</v>
      </c>
      <c r="V50" s="32">
        <f t="shared" si="9"/>
        <v>34560</v>
      </c>
      <c r="W50" s="32">
        <f t="shared" si="10"/>
        <v>6010.5</v>
      </c>
      <c r="X50" s="24"/>
      <c r="Y50" s="4">
        <f t="shared" si="11"/>
        <v>19</v>
      </c>
      <c r="Z50" s="55">
        <f t="shared" si="12"/>
        <v>31</v>
      </c>
      <c r="AA50" s="55">
        <f t="shared" si="13"/>
        <v>17700.690000000002</v>
      </c>
      <c r="AB50" s="55">
        <f t="shared" si="14"/>
        <v>164.16000000000003</v>
      </c>
      <c r="AC50" s="55">
        <f t="shared" si="15"/>
        <v>267.83999999999997</v>
      </c>
      <c r="AD50" s="70"/>
      <c r="AE50" s="72">
        <f t="shared" si="16"/>
        <v>0</v>
      </c>
      <c r="AF50" s="73">
        <f t="shared" si="17"/>
        <v>0</v>
      </c>
      <c r="AG50" s="70">
        <f>9+10</f>
        <v>19</v>
      </c>
      <c r="AH50" s="72">
        <f t="shared" si="18"/>
        <v>10848.81</v>
      </c>
      <c r="AI50" s="73">
        <f t="shared" si="3"/>
        <v>164.16000000000003</v>
      </c>
    </row>
    <row r="51" spans="1:35" x14ac:dyDescent="0.2">
      <c r="A51" s="23">
        <v>57</v>
      </c>
      <c r="B51" s="24" t="s">
        <v>151</v>
      </c>
      <c r="C51" s="25" t="s">
        <v>160</v>
      </c>
      <c r="D51" s="24" t="s">
        <v>161</v>
      </c>
      <c r="E51" s="26" t="s">
        <v>157</v>
      </c>
      <c r="F51" s="26" t="s">
        <v>34</v>
      </c>
      <c r="G51" s="62">
        <v>20</v>
      </c>
      <c r="H51" s="27">
        <v>20</v>
      </c>
      <c r="I51" s="28">
        <v>0.18</v>
      </c>
      <c r="J51" s="29">
        <v>1336</v>
      </c>
      <c r="K51" s="30">
        <f t="shared" si="0"/>
        <v>240.48</v>
      </c>
      <c r="L51" s="31">
        <f t="shared" si="1"/>
        <v>1095.52</v>
      </c>
      <c r="M51" s="31">
        <f t="shared" si="4"/>
        <v>1132.21</v>
      </c>
      <c r="N51" s="31">
        <v>1132.2</v>
      </c>
      <c r="O51" s="32">
        <f t="shared" si="5"/>
        <v>203.79999999999998</v>
      </c>
      <c r="P51" s="32">
        <f t="shared" si="6"/>
        <v>928.40000000000009</v>
      </c>
      <c r="Q51" s="32">
        <f t="shared" si="2"/>
        <v>18568</v>
      </c>
      <c r="R51" s="33">
        <v>14.51</v>
      </c>
      <c r="S51" s="32">
        <f>ROUND(R51*H51,0)</f>
        <v>290</v>
      </c>
      <c r="T51" s="34">
        <v>959.54</v>
      </c>
      <c r="U51" s="32">
        <f t="shared" si="8"/>
        <v>19190.8</v>
      </c>
      <c r="V51" s="32">
        <f t="shared" si="9"/>
        <v>23200</v>
      </c>
      <c r="W51" s="32">
        <f t="shared" si="10"/>
        <v>4009.2000000000007</v>
      </c>
      <c r="X51" s="24"/>
      <c r="Y51" s="4">
        <f t="shared" si="11"/>
        <v>8</v>
      </c>
      <c r="Z51" s="55">
        <f t="shared" si="12"/>
        <v>12</v>
      </c>
      <c r="AA51" s="55">
        <f t="shared" si="13"/>
        <v>11514.48</v>
      </c>
      <c r="AB51" s="55">
        <f t="shared" si="14"/>
        <v>116.08</v>
      </c>
      <c r="AC51" s="55">
        <f t="shared" si="15"/>
        <v>173.92000000000002</v>
      </c>
      <c r="AD51" s="70"/>
      <c r="AE51" s="72">
        <f t="shared" si="16"/>
        <v>0</v>
      </c>
      <c r="AF51" s="73">
        <f t="shared" si="17"/>
        <v>0</v>
      </c>
      <c r="AG51" s="70">
        <f>4+4</f>
        <v>8</v>
      </c>
      <c r="AH51" s="72">
        <f t="shared" si="18"/>
        <v>7676.32</v>
      </c>
      <c r="AI51" s="73">
        <f t="shared" si="3"/>
        <v>116.08</v>
      </c>
    </row>
    <row r="52" spans="1:35" x14ac:dyDescent="0.2">
      <c r="A52" s="23">
        <v>58</v>
      </c>
      <c r="B52" s="24" t="s">
        <v>151</v>
      </c>
      <c r="C52" s="25" t="s">
        <v>162</v>
      </c>
      <c r="D52" s="24" t="s">
        <v>163</v>
      </c>
      <c r="E52" s="26" t="s">
        <v>154</v>
      </c>
      <c r="F52" s="26" t="s">
        <v>34</v>
      </c>
      <c r="G52" s="62">
        <v>20</v>
      </c>
      <c r="H52" s="27">
        <v>20</v>
      </c>
      <c r="I52" s="28">
        <v>0.18</v>
      </c>
      <c r="J52" s="29">
        <v>1336</v>
      </c>
      <c r="K52" s="30">
        <f t="shared" si="0"/>
        <v>240.48</v>
      </c>
      <c r="L52" s="31">
        <f t="shared" si="1"/>
        <v>1095.52</v>
      </c>
      <c r="M52" s="31">
        <f t="shared" si="4"/>
        <v>1132.21</v>
      </c>
      <c r="N52" s="31">
        <v>1132.2</v>
      </c>
      <c r="O52" s="32">
        <f t="shared" si="5"/>
        <v>203.79999999999998</v>
      </c>
      <c r="P52" s="32">
        <f t="shared" si="6"/>
        <v>928.40000000000009</v>
      </c>
      <c r="Q52" s="32">
        <f t="shared" si="2"/>
        <v>18568</v>
      </c>
      <c r="R52" s="33">
        <v>14.51</v>
      </c>
      <c r="S52" s="32">
        <f>ROUND(R52*H52,0)</f>
        <v>290</v>
      </c>
      <c r="T52" s="34">
        <v>959.54</v>
      </c>
      <c r="U52" s="32">
        <f t="shared" si="8"/>
        <v>19190.8</v>
      </c>
      <c r="V52" s="32">
        <f t="shared" si="9"/>
        <v>23200</v>
      </c>
      <c r="W52" s="32">
        <f t="shared" si="10"/>
        <v>4009.2000000000007</v>
      </c>
      <c r="X52" s="24"/>
      <c r="Y52" s="4">
        <f t="shared" si="11"/>
        <v>4</v>
      </c>
      <c r="Z52" s="55">
        <f t="shared" si="12"/>
        <v>16</v>
      </c>
      <c r="AA52" s="55">
        <f t="shared" si="13"/>
        <v>15352.64</v>
      </c>
      <c r="AB52" s="55">
        <f t="shared" si="14"/>
        <v>58.04</v>
      </c>
      <c r="AC52" s="55">
        <f t="shared" si="15"/>
        <v>231.96</v>
      </c>
      <c r="AD52" s="70"/>
      <c r="AE52" s="72">
        <f t="shared" si="16"/>
        <v>0</v>
      </c>
      <c r="AF52" s="73">
        <f t="shared" si="17"/>
        <v>0</v>
      </c>
      <c r="AG52" s="70">
        <f>4</f>
        <v>4</v>
      </c>
      <c r="AH52" s="72">
        <f t="shared" si="18"/>
        <v>3838.16</v>
      </c>
      <c r="AI52" s="73">
        <f t="shared" si="3"/>
        <v>58.04</v>
      </c>
    </row>
    <row r="53" spans="1:35" x14ac:dyDescent="0.2">
      <c r="A53" s="23">
        <v>59</v>
      </c>
      <c r="B53" s="24" t="s">
        <v>164</v>
      </c>
      <c r="C53" s="25" t="s">
        <v>165</v>
      </c>
      <c r="D53" s="24" t="s">
        <v>166</v>
      </c>
      <c r="E53" s="26" t="s">
        <v>127</v>
      </c>
      <c r="F53" s="26" t="s">
        <v>34</v>
      </c>
      <c r="G53" s="62">
        <v>20</v>
      </c>
      <c r="H53" s="27">
        <v>20</v>
      </c>
      <c r="I53" s="28">
        <v>0.28000000000000003</v>
      </c>
      <c r="J53" s="29">
        <v>2830</v>
      </c>
      <c r="K53" s="30">
        <f t="shared" si="0"/>
        <v>792.40000000000009</v>
      </c>
      <c r="L53" s="31">
        <f t="shared" si="1"/>
        <v>2037.6</v>
      </c>
      <c r="M53" s="31">
        <f t="shared" si="4"/>
        <v>2210.94</v>
      </c>
      <c r="N53" s="31">
        <v>2210.94</v>
      </c>
      <c r="O53" s="32">
        <f t="shared" si="5"/>
        <v>397.96999999999997</v>
      </c>
      <c r="P53" s="32">
        <f t="shared" si="6"/>
        <v>1812.97</v>
      </c>
      <c r="Q53" s="32">
        <f t="shared" si="2"/>
        <v>36259.4</v>
      </c>
      <c r="R53" s="33">
        <v>30.46</v>
      </c>
      <c r="S53" s="32">
        <f>ROUND(R53*H53,0)</f>
        <v>609</v>
      </c>
      <c r="T53" s="34">
        <v>1901.41</v>
      </c>
      <c r="U53" s="32">
        <f t="shared" si="8"/>
        <v>38028.200000000004</v>
      </c>
      <c r="V53" s="32">
        <f t="shared" si="9"/>
        <v>48720</v>
      </c>
      <c r="W53" s="32">
        <f t="shared" si="10"/>
        <v>10691.799999999996</v>
      </c>
      <c r="X53" s="24"/>
      <c r="Y53" s="4">
        <f t="shared" si="11"/>
        <v>8</v>
      </c>
      <c r="Z53" s="55">
        <f t="shared" si="12"/>
        <v>12</v>
      </c>
      <c r="AA53" s="55">
        <f t="shared" si="13"/>
        <v>22816.920000000006</v>
      </c>
      <c r="AB53" s="55">
        <f t="shared" si="14"/>
        <v>243.68</v>
      </c>
      <c r="AC53" s="55">
        <f t="shared" si="15"/>
        <v>365.32</v>
      </c>
      <c r="AD53" s="70"/>
      <c r="AE53" s="72">
        <f t="shared" si="16"/>
        <v>0</v>
      </c>
      <c r="AF53" s="73">
        <f t="shared" si="17"/>
        <v>0</v>
      </c>
      <c r="AG53" s="70">
        <v>8</v>
      </c>
      <c r="AH53" s="72">
        <f t="shared" si="18"/>
        <v>15211.28</v>
      </c>
      <c r="AI53" s="73">
        <f t="shared" si="3"/>
        <v>243.68</v>
      </c>
    </row>
    <row r="54" spans="1:35" x14ac:dyDescent="0.2">
      <c r="A54" s="23">
        <v>60</v>
      </c>
      <c r="B54" s="24" t="s">
        <v>164</v>
      </c>
      <c r="C54" s="25" t="s">
        <v>167</v>
      </c>
      <c r="D54" s="24" t="s">
        <v>168</v>
      </c>
      <c r="E54" s="26" t="s">
        <v>33</v>
      </c>
      <c r="F54" s="26" t="s">
        <v>34</v>
      </c>
      <c r="G54" s="62">
        <v>30</v>
      </c>
      <c r="H54" s="27">
        <v>30</v>
      </c>
      <c r="I54" s="28">
        <v>0.18</v>
      </c>
      <c r="J54" s="29">
        <v>1492</v>
      </c>
      <c r="K54" s="30">
        <f t="shared" si="0"/>
        <v>268.56</v>
      </c>
      <c r="L54" s="31">
        <f t="shared" si="1"/>
        <v>1223.44</v>
      </c>
      <c r="M54" s="31">
        <f t="shared" si="4"/>
        <v>1264.4100000000001</v>
      </c>
      <c r="N54" s="31">
        <v>1165.6300000000001</v>
      </c>
      <c r="O54" s="32">
        <f t="shared" si="5"/>
        <v>209.82</v>
      </c>
      <c r="P54" s="32">
        <f t="shared" si="6"/>
        <v>955.81000000000017</v>
      </c>
      <c r="Q54" s="32">
        <f t="shared" si="2"/>
        <v>28674.300000000007</v>
      </c>
      <c r="R54" s="33">
        <v>20.149999999999999</v>
      </c>
      <c r="S54" s="32">
        <f>ROUNDDOWN(R54*H54,0)</f>
        <v>604</v>
      </c>
      <c r="T54" s="34">
        <v>1071.5899999999999</v>
      </c>
      <c r="U54" s="32">
        <f t="shared" si="8"/>
        <v>32147.699999999997</v>
      </c>
      <c r="V54" s="32">
        <f t="shared" si="9"/>
        <v>48320</v>
      </c>
      <c r="W54" s="32">
        <f t="shared" si="10"/>
        <v>16172.300000000003</v>
      </c>
      <c r="X54" s="24"/>
      <c r="Y54" s="4">
        <f t="shared" si="11"/>
        <v>18</v>
      </c>
      <c r="Z54" s="55">
        <f t="shared" si="12"/>
        <v>12</v>
      </c>
      <c r="AA54" s="55">
        <f t="shared" si="13"/>
        <v>12859.079999999998</v>
      </c>
      <c r="AB54" s="55">
        <f t="shared" si="14"/>
        <v>362.7</v>
      </c>
      <c r="AC54" s="55">
        <f t="shared" si="15"/>
        <v>241.3</v>
      </c>
      <c r="AD54" s="70"/>
      <c r="AE54" s="72">
        <f t="shared" si="16"/>
        <v>0</v>
      </c>
      <c r="AF54" s="73">
        <f t="shared" si="17"/>
        <v>0</v>
      </c>
      <c r="AG54" s="70">
        <v>18</v>
      </c>
      <c r="AH54" s="72">
        <f t="shared" si="18"/>
        <v>19288.62</v>
      </c>
      <c r="AI54" s="73">
        <f t="shared" si="3"/>
        <v>362.7</v>
      </c>
    </row>
    <row r="55" spans="1:35" x14ac:dyDescent="0.2">
      <c r="A55" s="23">
        <v>61</v>
      </c>
      <c r="B55" s="24" t="s">
        <v>164</v>
      </c>
      <c r="C55" s="39" t="s">
        <v>169</v>
      </c>
      <c r="D55" s="24" t="s">
        <v>170</v>
      </c>
      <c r="E55" s="26" t="s">
        <v>116</v>
      </c>
      <c r="F55" s="26" t="s">
        <v>34</v>
      </c>
      <c r="G55" s="62">
        <v>100</v>
      </c>
      <c r="H55" s="38">
        <v>100</v>
      </c>
      <c r="I55" s="28">
        <v>0.18</v>
      </c>
      <c r="J55" s="29">
        <v>47</v>
      </c>
      <c r="K55" s="30">
        <f t="shared" si="0"/>
        <v>8.4599999999999991</v>
      </c>
      <c r="L55" s="31">
        <f t="shared" si="1"/>
        <v>38.54</v>
      </c>
      <c r="M55" s="31">
        <f t="shared" si="4"/>
        <v>39.839999999999996</v>
      </c>
      <c r="N55" s="31">
        <v>39.83</v>
      </c>
      <c r="O55" s="32">
        <f t="shared" si="5"/>
        <v>7.17</v>
      </c>
      <c r="P55" s="32">
        <f t="shared" si="6"/>
        <v>32.659999999999997</v>
      </c>
      <c r="Q55" s="32">
        <f t="shared" si="2"/>
        <v>3265.9999999999995</v>
      </c>
      <c r="R55" s="33">
        <v>1</v>
      </c>
      <c r="S55" s="32">
        <f t="shared" si="19"/>
        <v>100</v>
      </c>
      <c r="T55" s="34">
        <v>33.76</v>
      </c>
      <c r="U55" s="32">
        <f t="shared" si="8"/>
        <v>3376</v>
      </c>
      <c r="V55" s="32">
        <f t="shared" si="9"/>
        <v>8000</v>
      </c>
      <c r="W55" s="32">
        <f t="shared" si="10"/>
        <v>4624</v>
      </c>
      <c r="X55" s="24"/>
      <c r="Y55" s="4">
        <f t="shared" si="11"/>
        <v>100</v>
      </c>
      <c r="Z55" s="55">
        <f t="shared" si="12"/>
        <v>0</v>
      </c>
      <c r="AA55" s="55">
        <f t="shared" si="13"/>
        <v>0</v>
      </c>
      <c r="AB55" s="55">
        <f t="shared" si="14"/>
        <v>100</v>
      </c>
      <c r="AC55" s="55">
        <f t="shared" si="15"/>
        <v>0</v>
      </c>
      <c r="AD55" s="70"/>
      <c r="AE55" s="72">
        <f t="shared" si="16"/>
        <v>0</v>
      </c>
      <c r="AF55" s="73">
        <f t="shared" si="17"/>
        <v>0</v>
      </c>
      <c r="AG55" s="70">
        <v>100</v>
      </c>
      <c r="AH55" s="72">
        <f t="shared" si="18"/>
        <v>3376</v>
      </c>
      <c r="AI55" s="73">
        <f t="shared" si="3"/>
        <v>100</v>
      </c>
    </row>
    <row r="56" spans="1:35" x14ac:dyDescent="0.2">
      <c r="A56" s="23">
        <v>63</v>
      </c>
      <c r="B56" s="24" t="s">
        <v>171</v>
      </c>
      <c r="C56" s="40" t="s">
        <v>172</v>
      </c>
      <c r="D56" s="24" t="s">
        <v>173</v>
      </c>
      <c r="E56" s="41" t="s">
        <v>248</v>
      </c>
      <c r="F56" s="42" t="s">
        <v>175</v>
      </c>
      <c r="G56" s="63">
        <v>100</v>
      </c>
      <c r="H56" s="43">
        <v>100</v>
      </c>
      <c r="I56" s="44" t="s">
        <v>176</v>
      </c>
      <c r="J56" s="45">
        <v>1734</v>
      </c>
      <c r="K56" s="30">
        <f t="shared" si="0"/>
        <v>312.12</v>
      </c>
      <c r="L56" s="31">
        <f t="shared" si="1"/>
        <v>1421.88</v>
      </c>
      <c r="M56" s="31">
        <f t="shared" si="4"/>
        <v>1469.5</v>
      </c>
      <c r="N56" s="31">
        <v>1469.49</v>
      </c>
      <c r="O56" s="32">
        <f t="shared" si="5"/>
        <v>264.51</v>
      </c>
      <c r="P56" s="32">
        <f t="shared" si="6"/>
        <v>1204.98</v>
      </c>
      <c r="Q56" s="32">
        <f t="shared" si="2"/>
        <v>120498</v>
      </c>
      <c r="R56" s="33">
        <v>22.18</v>
      </c>
      <c r="S56" s="32">
        <f t="shared" si="19"/>
        <v>2218</v>
      </c>
      <c r="T56" s="34">
        <v>1245.3900000000001</v>
      </c>
      <c r="U56" s="32">
        <f t="shared" si="8"/>
        <v>124539.00000000001</v>
      </c>
      <c r="V56" s="32">
        <f t="shared" si="9"/>
        <v>177440</v>
      </c>
      <c r="W56" s="32">
        <f t="shared" si="10"/>
        <v>52900.999999999985</v>
      </c>
      <c r="X56" s="24"/>
      <c r="Y56" s="4">
        <f t="shared" si="11"/>
        <v>40</v>
      </c>
      <c r="Z56" s="55">
        <f t="shared" si="12"/>
        <v>60</v>
      </c>
      <c r="AA56" s="55">
        <f t="shared" si="13"/>
        <v>74723.400000000009</v>
      </c>
      <c r="AB56" s="55">
        <f t="shared" si="14"/>
        <v>887.2</v>
      </c>
      <c r="AC56" s="55">
        <f t="shared" si="15"/>
        <v>1330.8</v>
      </c>
      <c r="AD56" s="70"/>
      <c r="AE56" s="72">
        <f t="shared" si="16"/>
        <v>0</v>
      </c>
      <c r="AF56" s="73">
        <f t="shared" si="17"/>
        <v>0</v>
      </c>
      <c r="AG56" s="70">
        <f>20+20</f>
        <v>40</v>
      </c>
      <c r="AH56" s="72">
        <f t="shared" si="18"/>
        <v>49815.600000000006</v>
      </c>
      <c r="AI56" s="73">
        <f t="shared" si="3"/>
        <v>887.2</v>
      </c>
    </row>
    <row r="57" spans="1:35" x14ac:dyDescent="0.2">
      <c r="A57" s="23">
        <v>67</v>
      </c>
      <c r="B57" s="24" t="s">
        <v>171</v>
      </c>
      <c r="C57" s="40" t="s">
        <v>177</v>
      </c>
      <c r="D57" s="24" t="s">
        <v>178</v>
      </c>
      <c r="E57" s="42" t="s">
        <v>33</v>
      </c>
      <c r="F57" s="42" t="s">
        <v>175</v>
      </c>
      <c r="G57" s="63">
        <v>100</v>
      </c>
      <c r="H57" s="43">
        <v>100</v>
      </c>
      <c r="I57" s="44" t="s">
        <v>179</v>
      </c>
      <c r="J57" s="45">
        <v>1202</v>
      </c>
      <c r="K57" s="30">
        <f t="shared" si="0"/>
        <v>336.56000000000006</v>
      </c>
      <c r="L57" s="31">
        <f t="shared" si="1"/>
        <v>865.43999999999994</v>
      </c>
      <c r="M57" s="31">
        <f t="shared" si="4"/>
        <v>939.06999999999994</v>
      </c>
      <c r="N57" s="31">
        <v>939.06</v>
      </c>
      <c r="O57" s="32">
        <f t="shared" si="5"/>
        <v>169.04</v>
      </c>
      <c r="P57" s="32">
        <f t="shared" si="6"/>
        <v>770.02</v>
      </c>
      <c r="Q57" s="32">
        <f t="shared" si="2"/>
        <v>77002</v>
      </c>
      <c r="R57" s="33">
        <v>15.38</v>
      </c>
      <c r="S57" s="32">
        <f t="shared" si="19"/>
        <v>1538</v>
      </c>
      <c r="T57" s="34">
        <v>807.59</v>
      </c>
      <c r="U57" s="32">
        <f t="shared" si="8"/>
        <v>80759</v>
      </c>
      <c r="V57" s="32">
        <f t="shared" si="9"/>
        <v>123040</v>
      </c>
      <c r="W57" s="32">
        <f t="shared" si="10"/>
        <v>42281</v>
      </c>
      <c r="X57" s="24"/>
      <c r="Y57" s="4">
        <f t="shared" si="11"/>
        <v>60</v>
      </c>
      <c r="Z57" s="55">
        <f t="shared" si="12"/>
        <v>40</v>
      </c>
      <c r="AA57" s="55">
        <f t="shared" si="13"/>
        <v>32303.600000000002</v>
      </c>
      <c r="AB57" s="55">
        <f t="shared" si="14"/>
        <v>922.80000000000007</v>
      </c>
      <c r="AC57" s="55">
        <f t="shared" si="15"/>
        <v>615.19999999999993</v>
      </c>
      <c r="AD57" s="70">
        <v>30</v>
      </c>
      <c r="AE57" s="72">
        <f t="shared" si="16"/>
        <v>24227.7</v>
      </c>
      <c r="AF57" s="73">
        <f t="shared" si="17"/>
        <v>461.40000000000003</v>
      </c>
      <c r="AG57" s="70">
        <f>30</f>
        <v>30</v>
      </c>
      <c r="AH57" s="72">
        <f t="shared" si="18"/>
        <v>24227.7</v>
      </c>
      <c r="AI57" s="73">
        <f t="shared" si="3"/>
        <v>461.40000000000003</v>
      </c>
    </row>
    <row r="58" spans="1:35" x14ac:dyDescent="0.2">
      <c r="A58" s="23">
        <v>68</v>
      </c>
      <c r="B58" s="24" t="s">
        <v>171</v>
      </c>
      <c r="C58" s="40" t="s">
        <v>180</v>
      </c>
      <c r="D58" s="24" t="s">
        <v>181</v>
      </c>
      <c r="E58" s="42" t="s">
        <v>33</v>
      </c>
      <c r="F58" s="42" t="s">
        <v>175</v>
      </c>
      <c r="G58" s="63">
        <v>50</v>
      </c>
      <c r="H58" s="43">
        <v>50</v>
      </c>
      <c r="I58" s="44" t="s">
        <v>179</v>
      </c>
      <c r="J58" s="45">
        <v>1184</v>
      </c>
      <c r="K58" s="30">
        <f t="shared" si="0"/>
        <v>331.52000000000004</v>
      </c>
      <c r="L58" s="31">
        <f t="shared" si="1"/>
        <v>852.48</v>
      </c>
      <c r="M58" s="31">
        <f t="shared" si="4"/>
        <v>925</v>
      </c>
      <c r="N58" s="31">
        <v>925</v>
      </c>
      <c r="O58" s="32">
        <f t="shared" si="5"/>
        <v>166.5</v>
      </c>
      <c r="P58" s="32">
        <f t="shared" si="6"/>
        <v>758.5</v>
      </c>
      <c r="Q58" s="32">
        <f t="shared" si="2"/>
        <v>37925</v>
      </c>
      <c r="R58" s="33">
        <v>15.15</v>
      </c>
      <c r="S58" s="32">
        <f t="shared" si="19"/>
        <v>758</v>
      </c>
      <c r="T58" s="34">
        <v>795.5</v>
      </c>
      <c r="U58" s="32">
        <f t="shared" si="8"/>
        <v>39775</v>
      </c>
      <c r="V58" s="32">
        <f t="shared" si="9"/>
        <v>60640</v>
      </c>
      <c r="W58" s="32">
        <f t="shared" si="10"/>
        <v>20865</v>
      </c>
      <c r="X58" s="24"/>
      <c r="Y58" s="4">
        <f t="shared" si="11"/>
        <v>8</v>
      </c>
      <c r="Z58" s="55">
        <f t="shared" si="12"/>
        <v>42</v>
      </c>
      <c r="AA58" s="55">
        <f t="shared" si="13"/>
        <v>33411</v>
      </c>
      <c r="AB58" s="55">
        <f t="shared" si="14"/>
        <v>121.2</v>
      </c>
      <c r="AC58" s="55">
        <f t="shared" si="15"/>
        <v>636.79999999999995</v>
      </c>
      <c r="AD58" s="70"/>
      <c r="AE58" s="72">
        <f t="shared" si="16"/>
        <v>0</v>
      </c>
      <c r="AF58" s="73">
        <f t="shared" si="17"/>
        <v>0</v>
      </c>
      <c r="AG58" s="70">
        <v>8</v>
      </c>
      <c r="AH58" s="72">
        <f t="shared" si="18"/>
        <v>6364</v>
      </c>
      <c r="AI58" s="73">
        <f t="shared" si="3"/>
        <v>121.2</v>
      </c>
    </row>
    <row r="59" spans="1:35" ht="27" x14ac:dyDescent="0.2">
      <c r="A59" s="23">
        <v>69</v>
      </c>
      <c r="B59" s="24" t="s">
        <v>171</v>
      </c>
      <c r="C59" s="46" t="s">
        <v>182</v>
      </c>
      <c r="D59" s="24" t="s">
        <v>183</v>
      </c>
      <c r="E59" s="35">
        <v>997212</v>
      </c>
      <c r="F59" s="35" t="s">
        <v>175</v>
      </c>
      <c r="G59" s="33">
        <v>0</v>
      </c>
      <c r="H59" s="43">
        <v>2</v>
      </c>
      <c r="I59" s="47">
        <v>0.28000000000000003</v>
      </c>
      <c r="J59" s="45">
        <v>66910</v>
      </c>
      <c r="K59" s="30">
        <f t="shared" si="0"/>
        <v>18734.800000000003</v>
      </c>
      <c r="L59" s="31">
        <f t="shared" si="1"/>
        <v>48175.199999999997</v>
      </c>
      <c r="M59" s="31">
        <f t="shared" si="4"/>
        <v>52273.440000000002</v>
      </c>
      <c r="N59" s="31">
        <v>52273.440000000002</v>
      </c>
      <c r="O59" s="32">
        <f t="shared" si="5"/>
        <v>9409.2199999999993</v>
      </c>
      <c r="P59" s="32">
        <f t="shared" si="6"/>
        <v>42864.22</v>
      </c>
      <c r="Q59" s="32">
        <f t="shared" si="2"/>
        <v>85728.44</v>
      </c>
      <c r="R59" s="33">
        <v>855.64</v>
      </c>
      <c r="S59" s="32">
        <v>0</v>
      </c>
      <c r="T59" s="34">
        <v>0</v>
      </c>
      <c r="U59" s="64">
        <f t="shared" si="8"/>
        <v>0</v>
      </c>
      <c r="V59" s="32">
        <f t="shared" si="9"/>
        <v>0</v>
      </c>
      <c r="W59" s="32">
        <f t="shared" si="10"/>
        <v>0</v>
      </c>
      <c r="X59" s="24" t="s">
        <v>184</v>
      </c>
      <c r="Y59" s="4">
        <f t="shared" si="11"/>
        <v>0</v>
      </c>
      <c r="Z59" s="55">
        <f t="shared" si="12"/>
        <v>2</v>
      </c>
      <c r="AA59" s="55">
        <f t="shared" si="13"/>
        <v>0</v>
      </c>
      <c r="AB59" s="55">
        <f t="shared" si="14"/>
        <v>0</v>
      </c>
      <c r="AC59" s="55">
        <f t="shared" si="15"/>
        <v>0</v>
      </c>
      <c r="AD59" s="70"/>
      <c r="AE59" s="72">
        <f t="shared" si="16"/>
        <v>0</v>
      </c>
      <c r="AF59" s="73">
        <f t="shared" si="17"/>
        <v>0</v>
      </c>
      <c r="AG59" s="70"/>
      <c r="AH59" s="72">
        <f t="shared" si="18"/>
        <v>0</v>
      </c>
      <c r="AI59" s="73">
        <f t="shared" si="3"/>
        <v>0</v>
      </c>
    </row>
    <row r="60" spans="1:35" x14ac:dyDescent="0.2">
      <c r="A60" s="23">
        <v>71</v>
      </c>
      <c r="B60" s="24" t="s">
        <v>185</v>
      </c>
      <c r="C60" s="35" t="s">
        <v>186</v>
      </c>
      <c r="D60" s="24" t="s">
        <v>187</v>
      </c>
      <c r="E60" s="42" t="s">
        <v>188</v>
      </c>
      <c r="F60" s="42" t="s">
        <v>175</v>
      </c>
      <c r="G60" s="63">
        <v>100</v>
      </c>
      <c r="H60" s="43">
        <v>100</v>
      </c>
      <c r="I60" s="44" t="s">
        <v>176</v>
      </c>
      <c r="J60" s="45">
        <v>2599</v>
      </c>
      <c r="K60" s="30">
        <f t="shared" si="0"/>
        <v>467.82</v>
      </c>
      <c r="L60" s="31">
        <f t="shared" si="1"/>
        <v>2131.1799999999998</v>
      </c>
      <c r="M60" s="31">
        <f t="shared" si="4"/>
        <v>2202.5500000000002</v>
      </c>
      <c r="N60" s="31">
        <v>2202.54</v>
      </c>
      <c r="O60" s="32">
        <f t="shared" si="5"/>
        <v>396.46</v>
      </c>
      <c r="P60" s="32">
        <f t="shared" si="6"/>
        <v>1806.08</v>
      </c>
      <c r="Q60" s="32">
        <f t="shared" si="2"/>
        <v>180608</v>
      </c>
      <c r="R60" s="33">
        <v>33.25</v>
      </c>
      <c r="S60" s="32">
        <f t="shared" si="19"/>
        <v>3325</v>
      </c>
      <c r="T60" s="34">
        <v>1866.65</v>
      </c>
      <c r="U60" s="32">
        <f t="shared" si="8"/>
        <v>186665</v>
      </c>
      <c r="V60" s="32">
        <f t="shared" si="9"/>
        <v>266000</v>
      </c>
      <c r="W60" s="32">
        <f t="shared" si="10"/>
        <v>79335</v>
      </c>
      <c r="X60" s="24"/>
      <c r="Y60" s="4">
        <f t="shared" si="11"/>
        <v>40</v>
      </c>
      <c r="Z60" s="55">
        <f t="shared" si="12"/>
        <v>60</v>
      </c>
      <c r="AA60" s="55">
        <f t="shared" si="13"/>
        <v>111999</v>
      </c>
      <c r="AB60" s="55">
        <f t="shared" si="14"/>
        <v>1330</v>
      </c>
      <c r="AC60" s="55">
        <f t="shared" si="15"/>
        <v>1995</v>
      </c>
      <c r="AD60" s="70"/>
      <c r="AE60" s="72">
        <f t="shared" si="16"/>
        <v>0</v>
      </c>
      <c r="AF60" s="73">
        <f t="shared" si="17"/>
        <v>0</v>
      </c>
      <c r="AG60" s="70">
        <f>20+20</f>
        <v>40</v>
      </c>
      <c r="AH60" s="72">
        <f t="shared" si="18"/>
        <v>74666</v>
      </c>
      <c r="AI60" s="73">
        <f t="shared" si="3"/>
        <v>1330</v>
      </c>
    </row>
    <row r="61" spans="1:35" x14ac:dyDescent="0.2">
      <c r="A61" s="23">
        <v>72</v>
      </c>
      <c r="B61" s="24" t="s">
        <v>185</v>
      </c>
      <c r="C61" s="48" t="s">
        <v>189</v>
      </c>
      <c r="D61" s="24" t="s">
        <v>190</v>
      </c>
      <c r="E61" s="42" t="s">
        <v>191</v>
      </c>
      <c r="F61" s="42" t="s">
        <v>175</v>
      </c>
      <c r="G61" s="63">
        <v>20</v>
      </c>
      <c r="H61" s="43">
        <v>20</v>
      </c>
      <c r="I61" s="44" t="s">
        <v>176</v>
      </c>
      <c r="J61" s="45">
        <v>3469</v>
      </c>
      <c r="K61" s="30">
        <f t="shared" si="0"/>
        <v>624.41999999999996</v>
      </c>
      <c r="L61" s="31">
        <f t="shared" si="1"/>
        <v>2844.58</v>
      </c>
      <c r="M61" s="31">
        <f t="shared" si="4"/>
        <v>2939.84</v>
      </c>
      <c r="N61" s="31">
        <v>2939.83</v>
      </c>
      <c r="O61" s="32">
        <f t="shared" si="5"/>
        <v>529.16999999999996</v>
      </c>
      <c r="P61" s="32">
        <f t="shared" si="6"/>
        <v>2410.66</v>
      </c>
      <c r="Q61" s="32">
        <f t="shared" si="2"/>
        <v>48213.2</v>
      </c>
      <c r="R61" s="33">
        <v>44.37</v>
      </c>
      <c r="S61" s="32">
        <f>ROUND(R61*H61,0)</f>
        <v>887</v>
      </c>
      <c r="T61" s="34">
        <v>2491.5100000000002</v>
      </c>
      <c r="U61" s="32">
        <f t="shared" si="8"/>
        <v>49830.200000000004</v>
      </c>
      <c r="V61" s="32">
        <f t="shared" si="9"/>
        <v>70960</v>
      </c>
      <c r="W61" s="32">
        <f t="shared" si="10"/>
        <v>21129.799999999996</v>
      </c>
      <c r="X61" s="24"/>
      <c r="Y61" s="4">
        <f t="shared" si="11"/>
        <v>4</v>
      </c>
      <c r="Z61" s="55">
        <f t="shared" si="12"/>
        <v>16</v>
      </c>
      <c r="AA61" s="55">
        <f t="shared" si="13"/>
        <v>39864.160000000003</v>
      </c>
      <c r="AB61" s="55">
        <f t="shared" si="14"/>
        <v>177.48</v>
      </c>
      <c r="AC61" s="55">
        <f t="shared" si="15"/>
        <v>709.52</v>
      </c>
      <c r="AD61" s="70"/>
      <c r="AE61" s="72">
        <f t="shared" si="16"/>
        <v>0</v>
      </c>
      <c r="AF61" s="73">
        <f t="shared" si="17"/>
        <v>0</v>
      </c>
      <c r="AG61" s="70">
        <v>4</v>
      </c>
      <c r="AH61" s="72">
        <f t="shared" si="18"/>
        <v>9966.0400000000009</v>
      </c>
      <c r="AI61" s="73">
        <f t="shared" si="3"/>
        <v>177.48</v>
      </c>
    </row>
    <row r="62" spans="1:35" x14ac:dyDescent="0.2">
      <c r="A62" s="23">
        <v>73</v>
      </c>
      <c r="B62" s="24" t="s">
        <v>185</v>
      </c>
      <c r="C62" s="49" t="s">
        <v>192</v>
      </c>
      <c r="D62" s="24" t="s">
        <v>193</v>
      </c>
      <c r="E62" s="42" t="s">
        <v>247</v>
      </c>
      <c r="F62" s="42" t="s">
        <v>175</v>
      </c>
      <c r="G62" s="63">
        <v>100</v>
      </c>
      <c r="H62" s="43">
        <v>100</v>
      </c>
      <c r="I62" s="44" t="s">
        <v>176</v>
      </c>
      <c r="J62" s="45">
        <v>835</v>
      </c>
      <c r="K62" s="30">
        <f t="shared" si="0"/>
        <v>150.29999999999998</v>
      </c>
      <c r="L62" s="31">
        <f t="shared" si="1"/>
        <v>684.7</v>
      </c>
      <c r="M62" s="31">
        <f t="shared" si="4"/>
        <v>707.63</v>
      </c>
      <c r="N62" s="31">
        <v>707.63</v>
      </c>
      <c r="O62" s="32">
        <f t="shared" si="5"/>
        <v>127.38000000000001</v>
      </c>
      <c r="P62" s="32">
        <f t="shared" si="6"/>
        <v>580.25</v>
      </c>
      <c r="Q62" s="32">
        <f t="shared" si="2"/>
        <v>58025</v>
      </c>
      <c r="R62" s="33">
        <v>10.69</v>
      </c>
      <c r="S62" s="32">
        <f t="shared" si="19"/>
        <v>1069</v>
      </c>
      <c r="T62" s="34">
        <v>599.72</v>
      </c>
      <c r="U62" s="32">
        <f t="shared" si="8"/>
        <v>59972</v>
      </c>
      <c r="V62" s="32">
        <f t="shared" si="9"/>
        <v>85520</v>
      </c>
      <c r="W62" s="32">
        <f t="shared" si="10"/>
        <v>25548</v>
      </c>
      <c r="X62" s="24"/>
      <c r="Y62" s="4">
        <f t="shared" si="11"/>
        <v>40</v>
      </c>
      <c r="Z62" s="55">
        <f t="shared" si="12"/>
        <v>60</v>
      </c>
      <c r="AA62" s="55">
        <f t="shared" si="13"/>
        <v>35983.199999999997</v>
      </c>
      <c r="AB62" s="55">
        <f t="shared" si="14"/>
        <v>427.59999999999997</v>
      </c>
      <c r="AC62" s="55">
        <f t="shared" si="15"/>
        <v>641.40000000000009</v>
      </c>
      <c r="AD62" s="70"/>
      <c r="AE62" s="72">
        <f t="shared" si="16"/>
        <v>0</v>
      </c>
      <c r="AF62" s="73">
        <f t="shared" si="17"/>
        <v>0</v>
      </c>
      <c r="AG62" s="70">
        <v>40</v>
      </c>
      <c r="AH62" s="72">
        <f t="shared" si="18"/>
        <v>23988.800000000003</v>
      </c>
      <c r="AI62" s="73">
        <f t="shared" si="3"/>
        <v>427.59999999999997</v>
      </c>
    </row>
    <row r="63" spans="1:35" ht="27" x14ac:dyDescent="0.2">
      <c r="A63" s="23">
        <v>76</v>
      </c>
      <c r="B63" s="24" t="s">
        <v>194</v>
      </c>
      <c r="C63" s="35" t="s">
        <v>195</v>
      </c>
      <c r="D63" s="24" t="s">
        <v>196</v>
      </c>
      <c r="E63" s="42" t="s">
        <v>130</v>
      </c>
      <c r="F63" s="42" t="s">
        <v>175</v>
      </c>
      <c r="G63" s="63">
        <v>50</v>
      </c>
      <c r="H63" s="43">
        <v>50</v>
      </c>
      <c r="I63" s="44" t="s">
        <v>179</v>
      </c>
      <c r="J63" s="34">
        <v>2977</v>
      </c>
      <c r="K63" s="30">
        <f t="shared" si="0"/>
        <v>833.56000000000006</v>
      </c>
      <c r="L63" s="31">
        <f t="shared" si="1"/>
        <v>2143.44</v>
      </c>
      <c r="M63" s="31">
        <f t="shared" ref="M63:M72" si="20">ROUNDUP(J63/(1+I63),2)</f>
        <v>2325.7900000000004</v>
      </c>
      <c r="N63" s="31">
        <v>2325.7800000000002</v>
      </c>
      <c r="O63" s="32">
        <f t="shared" ref="O63:O72" si="21">ROUNDUP(0.18*N63,2)</f>
        <v>418.65</v>
      </c>
      <c r="P63" s="32">
        <f t="shared" ref="P63:P72" si="22">N63-O63</f>
        <v>1907.13</v>
      </c>
      <c r="Q63" s="32">
        <f t="shared" si="2"/>
        <v>95356.5</v>
      </c>
      <c r="R63" s="33">
        <v>38.08</v>
      </c>
      <c r="S63" s="32">
        <f t="shared" si="19"/>
        <v>1904</v>
      </c>
      <c r="T63" s="34">
        <v>2000.17</v>
      </c>
      <c r="U63" s="32">
        <f t="shared" si="8"/>
        <v>100008.5</v>
      </c>
      <c r="V63" s="32">
        <f t="shared" si="9"/>
        <v>152320</v>
      </c>
      <c r="W63" s="32">
        <f t="shared" si="10"/>
        <v>52311.5</v>
      </c>
      <c r="X63" s="24"/>
      <c r="Y63" s="4">
        <f t="shared" si="11"/>
        <v>20</v>
      </c>
      <c r="Z63" s="55">
        <f t="shared" si="12"/>
        <v>30</v>
      </c>
      <c r="AA63" s="55">
        <f t="shared" si="13"/>
        <v>60005.1</v>
      </c>
      <c r="AB63" s="55">
        <f t="shared" si="14"/>
        <v>761.59999999999991</v>
      </c>
      <c r="AC63" s="55">
        <f t="shared" si="15"/>
        <v>1142.4000000000001</v>
      </c>
      <c r="AD63" s="70"/>
      <c r="AE63" s="72">
        <f t="shared" si="16"/>
        <v>0</v>
      </c>
      <c r="AF63" s="73">
        <f t="shared" si="17"/>
        <v>0</v>
      </c>
      <c r="AG63" s="70">
        <v>20</v>
      </c>
      <c r="AH63" s="72">
        <f t="shared" si="18"/>
        <v>40003.4</v>
      </c>
      <c r="AI63" s="73">
        <f t="shared" si="3"/>
        <v>761.59999999999991</v>
      </c>
    </row>
    <row r="64" spans="1:35" x14ac:dyDescent="0.2">
      <c r="A64" s="23">
        <v>77</v>
      </c>
      <c r="B64" s="24" t="s">
        <v>197</v>
      </c>
      <c r="C64" s="50" t="s">
        <v>198</v>
      </c>
      <c r="D64" s="24" t="s">
        <v>199</v>
      </c>
      <c r="E64" s="42" t="s">
        <v>138</v>
      </c>
      <c r="F64" s="42" t="s">
        <v>175</v>
      </c>
      <c r="G64" s="63">
        <v>10</v>
      </c>
      <c r="H64" s="43">
        <v>10</v>
      </c>
      <c r="I64" s="44" t="s">
        <v>179</v>
      </c>
      <c r="J64" s="34">
        <v>3479</v>
      </c>
      <c r="K64" s="30">
        <f t="shared" si="0"/>
        <v>974.12000000000012</v>
      </c>
      <c r="L64" s="31">
        <f t="shared" si="1"/>
        <v>2504.88</v>
      </c>
      <c r="M64" s="31">
        <f t="shared" si="20"/>
        <v>2717.9700000000003</v>
      </c>
      <c r="N64" s="31">
        <v>2717.97</v>
      </c>
      <c r="O64" s="32">
        <f t="shared" si="21"/>
        <v>489.24</v>
      </c>
      <c r="P64" s="32">
        <f t="shared" si="22"/>
        <v>2228.7299999999996</v>
      </c>
      <c r="Q64" s="32">
        <f t="shared" si="2"/>
        <v>22287.299999999996</v>
      </c>
      <c r="R64" s="33">
        <v>44.5</v>
      </c>
      <c r="S64" s="32">
        <f t="shared" si="19"/>
        <v>445</v>
      </c>
      <c r="T64" s="34">
        <v>2337.4499999999998</v>
      </c>
      <c r="U64" s="32">
        <f t="shared" si="8"/>
        <v>23374.5</v>
      </c>
      <c r="V64" s="32">
        <f t="shared" si="9"/>
        <v>35600</v>
      </c>
      <c r="W64" s="32">
        <f t="shared" si="10"/>
        <v>12225.5</v>
      </c>
      <c r="X64" s="24"/>
      <c r="Y64" s="4">
        <f t="shared" si="11"/>
        <v>10</v>
      </c>
      <c r="Z64" s="55">
        <f t="shared" si="12"/>
        <v>0</v>
      </c>
      <c r="AA64" s="55">
        <f t="shared" si="13"/>
        <v>0</v>
      </c>
      <c r="AB64" s="55">
        <f t="shared" si="14"/>
        <v>445</v>
      </c>
      <c r="AC64" s="55">
        <f t="shared" si="15"/>
        <v>0</v>
      </c>
      <c r="AD64" s="70">
        <v>5</v>
      </c>
      <c r="AE64" s="72">
        <f t="shared" si="16"/>
        <v>11687.25</v>
      </c>
      <c r="AF64" s="73">
        <f t="shared" si="17"/>
        <v>222.5</v>
      </c>
      <c r="AG64" s="70">
        <v>5</v>
      </c>
      <c r="AH64" s="72">
        <f t="shared" si="18"/>
        <v>11687.25</v>
      </c>
      <c r="AI64" s="73">
        <f t="shared" si="3"/>
        <v>222.5</v>
      </c>
    </row>
    <row r="65" spans="1:37" x14ac:dyDescent="0.2">
      <c r="A65" s="23">
        <v>78</v>
      </c>
      <c r="B65" s="24" t="s">
        <v>197</v>
      </c>
      <c r="C65" s="50" t="s">
        <v>200</v>
      </c>
      <c r="D65" s="24" t="s">
        <v>201</v>
      </c>
      <c r="E65" s="42" t="s">
        <v>138</v>
      </c>
      <c r="F65" s="42" t="s">
        <v>175</v>
      </c>
      <c r="G65" s="63">
        <v>10</v>
      </c>
      <c r="H65" s="43">
        <v>10</v>
      </c>
      <c r="I65" s="44" t="s">
        <v>179</v>
      </c>
      <c r="J65" s="34">
        <v>3479</v>
      </c>
      <c r="K65" s="30">
        <f t="shared" ref="K65:K72" si="23">J65*I65</f>
        <v>974.12000000000012</v>
      </c>
      <c r="L65" s="31">
        <f t="shared" ref="L65:L72" si="24">J65-K65</f>
        <v>2504.88</v>
      </c>
      <c r="M65" s="31">
        <f t="shared" si="20"/>
        <v>2717.9700000000003</v>
      </c>
      <c r="N65" s="31">
        <v>2717.97</v>
      </c>
      <c r="O65" s="32">
        <f t="shared" si="21"/>
        <v>489.24</v>
      </c>
      <c r="P65" s="32">
        <f t="shared" si="22"/>
        <v>2228.7299999999996</v>
      </c>
      <c r="Q65" s="32">
        <f t="shared" ref="Q65:Q72" si="25">P65*H65</f>
        <v>22287.299999999996</v>
      </c>
      <c r="R65" s="33">
        <v>44.5</v>
      </c>
      <c r="S65" s="32">
        <f t="shared" si="19"/>
        <v>445</v>
      </c>
      <c r="T65" s="34">
        <v>2337.4499999999998</v>
      </c>
      <c r="U65" s="32">
        <f t="shared" si="8"/>
        <v>23374.5</v>
      </c>
      <c r="V65" s="32">
        <f t="shared" si="9"/>
        <v>35600</v>
      </c>
      <c r="W65" s="32">
        <f t="shared" si="10"/>
        <v>12225.5</v>
      </c>
      <c r="X65" s="24"/>
      <c r="Y65" s="4">
        <f t="shared" si="11"/>
        <v>10</v>
      </c>
      <c r="Z65" s="55">
        <f t="shared" si="12"/>
        <v>0</v>
      </c>
      <c r="AA65" s="55">
        <f t="shared" si="13"/>
        <v>0</v>
      </c>
      <c r="AB65" s="55">
        <f t="shared" si="14"/>
        <v>445</v>
      </c>
      <c r="AC65" s="55">
        <f t="shared" si="15"/>
        <v>0</v>
      </c>
      <c r="AD65" s="70">
        <v>5</v>
      </c>
      <c r="AE65" s="72">
        <f t="shared" si="16"/>
        <v>11687.25</v>
      </c>
      <c r="AF65" s="73">
        <f t="shared" si="17"/>
        <v>222.5</v>
      </c>
      <c r="AG65" s="70">
        <v>5</v>
      </c>
      <c r="AH65" s="72">
        <f t="shared" si="18"/>
        <v>11687.25</v>
      </c>
      <c r="AI65" s="73">
        <f t="shared" si="3"/>
        <v>222.5</v>
      </c>
    </row>
    <row r="66" spans="1:37" ht="27" x14ac:dyDescent="0.2">
      <c r="A66" s="23">
        <v>79</v>
      </c>
      <c r="B66" s="24" t="s">
        <v>197</v>
      </c>
      <c r="C66" s="50" t="s">
        <v>202</v>
      </c>
      <c r="D66" s="24" t="s">
        <v>203</v>
      </c>
      <c r="E66" s="42" t="s">
        <v>138</v>
      </c>
      <c r="F66" s="42" t="s">
        <v>175</v>
      </c>
      <c r="G66" s="63">
        <v>20</v>
      </c>
      <c r="H66" s="43">
        <v>20</v>
      </c>
      <c r="I66" s="44" t="s">
        <v>179</v>
      </c>
      <c r="J66" s="34">
        <v>3813</v>
      </c>
      <c r="K66" s="30">
        <f t="shared" si="23"/>
        <v>1067.6400000000001</v>
      </c>
      <c r="L66" s="31">
        <f t="shared" si="24"/>
        <v>2745.3599999999997</v>
      </c>
      <c r="M66" s="31">
        <f t="shared" si="20"/>
        <v>2978.9100000000003</v>
      </c>
      <c r="N66" s="31">
        <v>2978.91</v>
      </c>
      <c r="O66" s="32">
        <f t="shared" si="21"/>
        <v>536.21</v>
      </c>
      <c r="P66" s="32">
        <f t="shared" si="22"/>
        <v>2442.6999999999998</v>
      </c>
      <c r="Q66" s="32">
        <f t="shared" si="25"/>
        <v>48854</v>
      </c>
      <c r="R66" s="33">
        <v>48.77</v>
      </c>
      <c r="S66" s="32">
        <f>ROUND(R66*H66,0)</f>
        <v>975</v>
      </c>
      <c r="T66" s="34">
        <v>2561.86</v>
      </c>
      <c r="U66" s="32">
        <f t="shared" ref="U66:U72" si="26">T66*H66</f>
        <v>51237.200000000004</v>
      </c>
      <c r="V66" s="32">
        <f t="shared" ref="V66:V72" si="27">80*S66</f>
        <v>78000</v>
      </c>
      <c r="W66" s="32">
        <f t="shared" ref="W66:W72" si="28">V66-U66</f>
        <v>26762.799999999996</v>
      </c>
      <c r="X66" s="24"/>
      <c r="Y66" s="4">
        <f t="shared" si="11"/>
        <v>18</v>
      </c>
      <c r="Z66" s="55">
        <f t="shared" si="12"/>
        <v>2</v>
      </c>
      <c r="AA66" s="55">
        <f t="shared" si="13"/>
        <v>5123.7200000000012</v>
      </c>
      <c r="AB66" s="55">
        <f t="shared" si="14"/>
        <v>877.86000000000013</v>
      </c>
      <c r="AC66" s="55">
        <f t="shared" si="15"/>
        <v>97.139999999999873</v>
      </c>
      <c r="AD66" s="70">
        <v>10</v>
      </c>
      <c r="AE66" s="72">
        <f t="shared" si="16"/>
        <v>25618.600000000002</v>
      </c>
      <c r="AF66" s="73">
        <f t="shared" si="17"/>
        <v>487.70000000000005</v>
      </c>
      <c r="AG66" s="70">
        <f>8</f>
        <v>8</v>
      </c>
      <c r="AH66" s="72">
        <f t="shared" si="18"/>
        <v>20494.88</v>
      </c>
      <c r="AI66" s="73">
        <f t="shared" si="3"/>
        <v>390.16</v>
      </c>
    </row>
    <row r="67" spans="1:37" ht="27" x14ac:dyDescent="0.2">
      <c r="A67" s="23">
        <v>80</v>
      </c>
      <c r="B67" s="24" t="s">
        <v>197</v>
      </c>
      <c r="C67" s="50" t="s">
        <v>204</v>
      </c>
      <c r="D67" s="24" t="s">
        <v>205</v>
      </c>
      <c r="E67" s="51" t="s">
        <v>33</v>
      </c>
      <c r="F67" s="42" t="s">
        <v>175</v>
      </c>
      <c r="G67" s="63">
        <v>20</v>
      </c>
      <c r="H67" s="43">
        <v>20</v>
      </c>
      <c r="I67" s="44" t="s">
        <v>179</v>
      </c>
      <c r="J67" s="34">
        <v>3813</v>
      </c>
      <c r="K67" s="30">
        <f t="shared" si="23"/>
        <v>1067.6400000000001</v>
      </c>
      <c r="L67" s="31">
        <f t="shared" si="24"/>
        <v>2745.3599999999997</v>
      </c>
      <c r="M67" s="31">
        <f t="shared" si="20"/>
        <v>2978.9100000000003</v>
      </c>
      <c r="N67" s="31">
        <v>225.78</v>
      </c>
      <c r="O67" s="32">
        <f t="shared" si="21"/>
        <v>40.65</v>
      </c>
      <c r="P67" s="32">
        <f t="shared" si="22"/>
        <v>185.13</v>
      </c>
      <c r="Q67" s="32">
        <f t="shared" si="25"/>
        <v>3702.6</v>
      </c>
      <c r="R67" s="33">
        <v>3.7</v>
      </c>
      <c r="S67" s="32">
        <f t="shared" si="19"/>
        <v>74</v>
      </c>
      <c r="T67" s="34">
        <v>207.57</v>
      </c>
      <c r="U67" s="32">
        <f t="shared" si="26"/>
        <v>4151.3999999999996</v>
      </c>
      <c r="V67" s="32">
        <f t="shared" si="27"/>
        <v>5920</v>
      </c>
      <c r="W67" s="32">
        <f t="shared" si="28"/>
        <v>1768.6000000000004</v>
      </c>
      <c r="X67" s="24"/>
      <c r="Y67" s="4">
        <f t="shared" si="11"/>
        <v>8</v>
      </c>
      <c r="Z67" s="55">
        <f t="shared" si="12"/>
        <v>12</v>
      </c>
      <c r="AA67" s="55">
        <f t="shared" si="13"/>
        <v>2490.8399999999997</v>
      </c>
      <c r="AB67" s="55">
        <f t="shared" si="14"/>
        <v>29.6</v>
      </c>
      <c r="AC67" s="55">
        <f t="shared" si="15"/>
        <v>44.4</v>
      </c>
      <c r="AD67" s="70"/>
      <c r="AE67" s="72">
        <f t="shared" si="16"/>
        <v>0</v>
      </c>
      <c r="AF67" s="73">
        <f t="shared" si="17"/>
        <v>0</v>
      </c>
      <c r="AG67" s="70">
        <f>4+4</f>
        <v>8</v>
      </c>
      <c r="AH67" s="72">
        <f t="shared" si="18"/>
        <v>1660.56</v>
      </c>
      <c r="AI67" s="73">
        <f t="shared" si="3"/>
        <v>29.6</v>
      </c>
    </row>
    <row r="68" spans="1:37" ht="27" x14ac:dyDescent="0.2">
      <c r="A68" s="23">
        <v>81</v>
      </c>
      <c r="B68" s="24" t="s">
        <v>197</v>
      </c>
      <c r="C68" s="50" t="s">
        <v>206</v>
      </c>
      <c r="D68" s="24" t="s">
        <v>207</v>
      </c>
      <c r="E68" s="42" t="s">
        <v>138</v>
      </c>
      <c r="F68" s="42" t="s">
        <v>175</v>
      </c>
      <c r="G68" s="63">
        <v>20</v>
      </c>
      <c r="H68" s="43">
        <v>20</v>
      </c>
      <c r="I68" s="44" t="s">
        <v>179</v>
      </c>
      <c r="J68" s="34">
        <v>324</v>
      </c>
      <c r="K68" s="30">
        <f t="shared" si="23"/>
        <v>90.720000000000013</v>
      </c>
      <c r="L68" s="31">
        <f t="shared" si="24"/>
        <v>233.27999999999997</v>
      </c>
      <c r="M68" s="31">
        <f t="shared" si="20"/>
        <v>253.13</v>
      </c>
      <c r="N68" s="31">
        <v>2978.91</v>
      </c>
      <c r="O68" s="32">
        <f t="shared" si="21"/>
        <v>536.21</v>
      </c>
      <c r="P68" s="32">
        <f t="shared" si="22"/>
        <v>2442.6999999999998</v>
      </c>
      <c r="Q68" s="32">
        <f t="shared" si="25"/>
        <v>48854</v>
      </c>
      <c r="R68" s="33">
        <v>48.77</v>
      </c>
      <c r="S68" s="32">
        <f>ROUND(R68*H68,0)</f>
        <v>975</v>
      </c>
      <c r="T68" s="34">
        <v>2561.86</v>
      </c>
      <c r="U68" s="32">
        <f t="shared" si="26"/>
        <v>51237.200000000004</v>
      </c>
      <c r="V68" s="32">
        <f t="shared" si="27"/>
        <v>78000</v>
      </c>
      <c r="W68" s="32">
        <f t="shared" si="28"/>
        <v>26762.799999999996</v>
      </c>
      <c r="X68" s="24"/>
      <c r="Y68" s="4">
        <f t="shared" si="11"/>
        <v>8</v>
      </c>
      <c r="Z68" s="55">
        <f t="shared" si="12"/>
        <v>12</v>
      </c>
      <c r="AA68" s="55">
        <f t="shared" si="13"/>
        <v>30742.320000000003</v>
      </c>
      <c r="AB68" s="55">
        <f t="shared" si="14"/>
        <v>390.16</v>
      </c>
      <c r="AC68" s="55">
        <f t="shared" si="15"/>
        <v>584.83999999999992</v>
      </c>
      <c r="AD68" s="70"/>
      <c r="AE68" s="72">
        <f t="shared" si="16"/>
        <v>0</v>
      </c>
      <c r="AF68" s="73">
        <f t="shared" si="17"/>
        <v>0</v>
      </c>
      <c r="AG68" s="70">
        <v>8</v>
      </c>
      <c r="AH68" s="72">
        <f t="shared" si="18"/>
        <v>20494.88</v>
      </c>
      <c r="AI68" s="73">
        <f t="shared" ref="AI68:AI74" si="29">AG68*$R68</f>
        <v>390.16</v>
      </c>
    </row>
    <row r="69" spans="1:37" ht="27" x14ac:dyDescent="0.2">
      <c r="A69" s="23">
        <v>82</v>
      </c>
      <c r="B69" s="24" t="s">
        <v>197</v>
      </c>
      <c r="C69" s="50" t="s">
        <v>208</v>
      </c>
      <c r="D69" s="24" t="s">
        <v>209</v>
      </c>
      <c r="E69" s="51" t="s">
        <v>138</v>
      </c>
      <c r="F69" s="42" t="s">
        <v>175</v>
      </c>
      <c r="G69" s="63">
        <v>20</v>
      </c>
      <c r="H69" s="43">
        <v>20</v>
      </c>
      <c r="I69" s="44" t="s">
        <v>179</v>
      </c>
      <c r="J69" s="34">
        <v>289</v>
      </c>
      <c r="K69" s="30">
        <f t="shared" si="23"/>
        <v>80.92</v>
      </c>
      <c r="L69" s="31">
        <f t="shared" si="24"/>
        <v>208.07999999999998</v>
      </c>
      <c r="M69" s="31">
        <f t="shared" si="20"/>
        <v>225.79</v>
      </c>
      <c r="N69" s="31">
        <v>983.59</v>
      </c>
      <c r="O69" s="32">
        <f t="shared" si="21"/>
        <v>177.04999999999998</v>
      </c>
      <c r="P69" s="32">
        <f t="shared" si="22"/>
        <v>806.54000000000008</v>
      </c>
      <c r="Q69" s="32">
        <f t="shared" si="25"/>
        <v>16130.800000000001</v>
      </c>
      <c r="R69" s="33">
        <v>16.11</v>
      </c>
      <c r="S69" s="32">
        <f>ROUND(R69*H69,0)</f>
        <v>322</v>
      </c>
      <c r="T69" s="34">
        <v>845.89</v>
      </c>
      <c r="U69" s="32">
        <f t="shared" si="26"/>
        <v>16917.8</v>
      </c>
      <c r="V69" s="32">
        <f t="shared" si="27"/>
        <v>25760</v>
      </c>
      <c r="W69" s="32">
        <f t="shared" si="28"/>
        <v>8842.2000000000007</v>
      </c>
      <c r="X69" s="24"/>
      <c r="Y69" s="4">
        <f t="shared" ref="Y69:Y74" si="30">AD69+AG69+AJ69</f>
        <v>8</v>
      </c>
      <c r="Z69" s="55">
        <f t="shared" ref="Z69:Z74" si="31">H69-Y69</f>
        <v>12</v>
      </c>
      <c r="AA69" s="55">
        <f t="shared" ref="AA69:AA78" si="32">U69-AE69-AH69-AK69</f>
        <v>10150.68</v>
      </c>
      <c r="AB69" s="55">
        <f t="shared" ref="AB69:AB74" si="33">AF69+AI69</f>
        <v>128.88</v>
      </c>
      <c r="AC69" s="55">
        <f t="shared" ref="AC69:AC74" si="34">S69-AB69</f>
        <v>193.12</v>
      </c>
      <c r="AD69" s="70"/>
      <c r="AE69" s="72">
        <f t="shared" ref="AE69:AE74" si="35">$T69*AD69</f>
        <v>0</v>
      </c>
      <c r="AF69" s="73">
        <f t="shared" ref="AF69:AF74" si="36">AD69*$R69</f>
        <v>0</v>
      </c>
      <c r="AG69" s="70">
        <f>4+4</f>
        <v>8</v>
      </c>
      <c r="AH69" s="72">
        <f t="shared" ref="AH69:AH74" si="37">$T69*AG69</f>
        <v>6767.12</v>
      </c>
      <c r="AI69" s="73">
        <f t="shared" si="29"/>
        <v>128.88</v>
      </c>
    </row>
    <row r="70" spans="1:37" ht="27" x14ac:dyDescent="0.2">
      <c r="A70" s="23">
        <v>83</v>
      </c>
      <c r="B70" s="24" t="s">
        <v>197</v>
      </c>
      <c r="C70" s="50" t="s">
        <v>210</v>
      </c>
      <c r="D70" s="24" t="s">
        <v>211</v>
      </c>
      <c r="E70" s="42" t="s">
        <v>138</v>
      </c>
      <c r="F70" s="42" t="s">
        <v>175</v>
      </c>
      <c r="G70" s="63">
        <v>20</v>
      </c>
      <c r="H70" s="43">
        <v>20</v>
      </c>
      <c r="I70" s="44" t="s">
        <v>179</v>
      </c>
      <c r="J70" s="34">
        <v>1259</v>
      </c>
      <c r="K70" s="30">
        <f t="shared" si="23"/>
        <v>352.52000000000004</v>
      </c>
      <c r="L70" s="31">
        <f t="shared" si="24"/>
        <v>906.48</v>
      </c>
      <c r="M70" s="31">
        <f t="shared" si="20"/>
        <v>983.6</v>
      </c>
      <c r="N70" s="31">
        <v>253.13</v>
      </c>
      <c r="O70" s="32">
        <f t="shared" si="21"/>
        <v>45.57</v>
      </c>
      <c r="P70" s="32">
        <f t="shared" si="22"/>
        <v>207.56</v>
      </c>
      <c r="Q70" s="32">
        <f t="shared" si="25"/>
        <v>4151.2</v>
      </c>
      <c r="R70" s="33">
        <v>4.1500000000000004</v>
      </c>
      <c r="S70" s="32">
        <f t="shared" si="19"/>
        <v>83</v>
      </c>
      <c r="T70" s="34">
        <v>217.69</v>
      </c>
      <c r="U70" s="32">
        <f t="shared" si="26"/>
        <v>4353.8</v>
      </c>
      <c r="V70" s="32">
        <f t="shared" si="27"/>
        <v>6640</v>
      </c>
      <c r="W70" s="32">
        <f t="shared" si="28"/>
        <v>2286.1999999999998</v>
      </c>
      <c r="X70" s="24"/>
      <c r="Y70" s="4">
        <f t="shared" si="30"/>
        <v>8</v>
      </c>
      <c r="Z70" s="55">
        <f t="shared" si="31"/>
        <v>12</v>
      </c>
      <c r="AA70" s="55">
        <f t="shared" si="32"/>
        <v>2612.2800000000002</v>
      </c>
      <c r="AB70" s="55">
        <f t="shared" si="33"/>
        <v>33.200000000000003</v>
      </c>
      <c r="AC70" s="55">
        <f t="shared" si="34"/>
        <v>49.8</v>
      </c>
      <c r="AD70" s="70"/>
      <c r="AE70" s="72">
        <f t="shared" si="35"/>
        <v>0</v>
      </c>
      <c r="AF70" s="73">
        <f t="shared" si="36"/>
        <v>0</v>
      </c>
      <c r="AG70" s="70">
        <f>4+4</f>
        <v>8</v>
      </c>
      <c r="AH70" s="72">
        <f t="shared" si="37"/>
        <v>1741.52</v>
      </c>
      <c r="AI70" s="73">
        <f t="shared" si="29"/>
        <v>33.200000000000003</v>
      </c>
    </row>
    <row r="71" spans="1:37" x14ac:dyDescent="0.2">
      <c r="A71" s="23">
        <v>84</v>
      </c>
      <c r="B71" s="24" t="s">
        <v>212</v>
      </c>
      <c r="C71" s="49" t="s">
        <v>213</v>
      </c>
      <c r="D71" s="24" t="s">
        <v>214</v>
      </c>
      <c r="E71" s="42" t="s">
        <v>119</v>
      </c>
      <c r="F71" s="42" t="s">
        <v>175</v>
      </c>
      <c r="G71" s="63">
        <v>50</v>
      </c>
      <c r="H71" s="43">
        <v>50</v>
      </c>
      <c r="I71" s="44" t="s">
        <v>176</v>
      </c>
      <c r="J71" s="34">
        <v>63</v>
      </c>
      <c r="K71" s="30">
        <f t="shared" si="23"/>
        <v>11.34</v>
      </c>
      <c r="L71" s="31">
        <f t="shared" si="24"/>
        <v>51.66</v>
      </c>
      <c r="M71" s="31">
        <f t="shared" si="20"/>
        <v>53.39</v>
      </c>
      <c r="N71" s="31">
        <f>1334.75/25</f>
        <v>53.39</v>
      </c>
      <c r="O71" s="32">
        <f t="shared" si="21"/>
        <v>9.6199999999999992</v>
      </c>
      <c r="P71" s="32">
        <f t="shared" si="22"/>
        <v>43.77</v>
      </c>
      <c r="Q71" s="32">
        <f t="shared" si="25"/>
        <v>2188.5</v>
      </c>
      <c r="R71" s="33">
        <v>0.82</v>
      </c>
      <c r="S71" s="32">
        <f t="shared" si="19"/>
        <v>41</v>
      </c>
      <c r="T71" s="34">
        <v>42.329000000000001</v>
      </c>
      <c r="U71" s="32">
        <f t="shared" si="26"/>
        <v>2116.4499999999998</v>
      </c>
      <c r="V71" s="32">
        <f t="shared" si="27"/>
        <v>3280</v>
      </c>
      <c r="W71" s="32">
        <f t="shared" si="28"/>
        <v>1163.5500000000002</v>
      </c>
      <c r="X71" s="24"/>
      <c r="Y71" s="4">
        <f t="shared" si="30"/>
        <v>25</v>
      </c>
      <c r="Z71" s="55">
        <f t="shared" si="31"/>
        <v>25</v>
      </c>
      <c r="AA71" s="55">
        <f t="shared" si="32"/>
        <v>1058.2249999999999</v>
      </c>
      <c r="AB71" s="55">
        <f t="shared" si="33"/>
        <v>20.5</v>
      </c>
      <c r="AC71" s="55">
        <f t="shared" si="34"/>
        <v>20.5</v>
      </c>
      <c r="AD71" s="70"/>
      <c r="AE71" s="72">
        <f t="shared" si="35"/>
        <v>0</v>
      </c>
      <c r="AF71" s="73">
        <f t="shared" si="36"/>
        <v>0</v>
      </c>
      <c r="AG71" s="70">
        <v>25</v>
      </c>
      <c r="AH71" s="72">
        <f t="shared" si="37"/>
        <v>1058.2249999999999</v>
      </c>
      <c r="AI71" s="73">
        <f t="shared" si="29"/>
        <v>20.5</v>
      </c>
    </row>
    <row r="72" spans="1:37" x14ac:dyDescent="0.2">
      <c r="A72" s="23">
        <v>85</v>
      </c>
      <c r="B72" s="24" t="s">
        <v>212</v>
      </c>
      <c r="C72" s="49" t="s">
        <v>215</v>
      </c>
      <c r="D72" s="24" t="s">
        <v>216</v>
      </c>
      <c r="E72" s="42" t="s">
        <v>217</v>
      </c>
      <c r="F72" s="42" t="s">
        <v>175</v>
      </c>
      <c r="G72" s="63">
        <v>50</v>
      </c>
      <c r="H72" s="43">
        <v>50</v>
      </c>
      <c r="I72" s="44" t="s">
        <v>176</v>
      </c>
      <c r="J72" s="34">
        <v>65</v>
      </c>
      <c r="K72" s="30">
        <f t="shared" si="23"/>
        <v>11.7</v>
      </c>
      <c r="L72" s="31">
        <f t="shared" si="24"/>
        <v>53.3</v>
      </c>
      <c r="M72" s="31">
        <f t="shared" si="20"/>
        <v>55.089999999999996</v>
      </c>
      <c r="N72" s="31">
        <f>1377.12/25</f>
        <v>55.084799999999994</v>
      </c>
      <c r="O72" s="32">
        <f t="shared" si="21"/>
        <v>9.92</v>
      </c>
      <c r="P72" s="32">
        <f t="shared" si="22"/>
        <v>45.164799999999993</v>
      </c>
      <c r="Q72" s="32">
        <f t="shared" si="25"/>
        <v>2258.2399999999998</v>
      </c>
      <c r="R72" s="33">
        <v>0.84</v>
      </c>
      <c r="S72" s="32">
        <f t="shared" si="19"/>
        <v>42</v>
      </c>
      <c r="T72" s="34">
        <v>43.6708</v>
      </c>
      <c r="U72" s="32">
        <f t="shared" si="26"/>
        <v>2183.54</v>
      </c>
      <c r="V72" s="32">
        <f t="shared" si="27"/>
        <v>3360</v>
      </c>
      <c r="W72" s="32">
        <f t="shared" si="28"/>
        <v>1176.46</v>
      </c>
      <c r="X72" s="24"/>
      <c r="Y72" s="4">
        <f t="shared" si="30"/>
        <v>0</v>
      </c>
      <c r="Z72" s="55">
        <f t="shared" si="31"/>
        <v>50</v>
      </c>
      <c r="AA72" s="55">
        <f t="shared" si="32"/>
        <v>-79564.025789473686</v>
      </c>
      <c r="AB72" s="55">
        <f t="shared" si="33"/>
        <v>0</v>
      </c>
      <c r="AC72" s="55">
        <f t="shared" si="34"/>
        <v>42</v>
      </c>
      <c r="AD72" s="70"/>
      <c r="AE72" s="72">
        <f t="shared" si="35"/>
        <v>0</v>
      </c>
      <c r="AF72" s="73">
        <f t="shared" si="36"/>
        <v>0</v>
      </c>
      <c r="AG72" s="70"/>
      <c r="AH72" s="72">
        <f t="shared" si="37"/>
        <v>0</v>
      </c>
      <c r="AI72" s="73">
        <f t="shared" si="29"/>
        <v>0</v>
      </c>
      <c r="AK72" s="60">
        <f>AI75*250000/114000</f>
        <v>81747.56578947368</v>
      </c>
    </row>
    <row r="73" spans="1:37" x14ac:dyDescent="0.2">
      <c r="A73" s="23"/>
      <c r="B73" s="24"/>
      <c r="C73" s="49" t="s">
        <v>76</v>
      </c>
      <c r="D73" s="24" t="s">
        <v>221</v>
      </c>
      <c r="E73" s="42"/>
      <c r="F73" s="42"/>
      <c r="G73" s="63" t="s">
        <v>222</v>
      </c>
      <c r="H73" s="43">
        <v>50</v>
      </c>
      <c r="I73" s="44"/>
      <c r="J73" s="34"/>
      <c r="K73" s="30"/>
      <c r="L73" s="31"/>
      <c r="M73" s="31"/>
      <c r="N73" s="31"/>
      <c r="O73" s="32"/>
      <c r="P73" s="32"/>
      <c r="Q73" s="32"/>
      <c r="R73" s="33">
        <v>67.760000000000005</v>
      </c>
      <c r="S73" s="32">
        <f t="shared" si="19"/>
        <v>3388</v>
      </c>
      <c r="T73" s="34"/>
      <c r="U73" s="32"/>
      <c r="V73" s="32"/>
      <c r="W73" s="32"/>
      <c r="X73" s="24"/>
      <c r="Y73" s="4">
        <f t="shared" si="30"/>
        <v>0</v>
      </c>
      <c r="Z73" s="55">
        <f t="shared" si="31"/>
        <v>50</v>
      </c>
      <c r="AA73" s="55">
        <f t="shared" si="32"/>
        <v>0</v>
      </c>
      <c r="AB73" s="55">
        <f t="shared" si="33"/>
        <v>0</v>
      </c>
      <c r="AC73" s="55">
        <f t="shared" si="34"/>
        <v>3388</v>
      </c>
      <c r="AD73" s="70"/>
      <c r="AE73" s="72">
        <f t="shared" si="35"/>
        <v>0</v>
      </c>
      <c r="AF73" s="73">
        <f t="shared" si="36"/>
        <v>0</v>
      </c>
      <c r="AG73" s="70"/>
      <c r="AH73" s="72">
        <f t="shared" si="37"/>
        <v>0</v>
      </c>
      <c r="AI73" s="73">
        <f t="shared" si="29"/>
        <v>0</v>
      </c>
    </row>
    <row r="74" spans="1:37" ht="14.25" thickBot="1" x14ac:dyDescent="0.25">
      <c r="A74" s="35"/>
      <c r="B74" s="35"/>
      <c r="C74" s="35" t="s">
        <v>114</v>
      </c>
      <c r="D74" s="35" t="s">
        <v>223</v>
      </c>
      <c r="E74" s="35"/>
      <c r="F74" s="35"/>
      <c r="G74" s="35">
        <v>120</v>
      </c>
      <c r="H74" s="52">
        <v>120</v>
      </c>
      <c r="I74" s="35"/>
      <c r="J74" s="35"/>
      <c r="K74" s="33"/>
      <c r="L74" s="33"/>
      <c r="M74" s="33"/>
      <c r="N74" s="33"/>
      <c r="O74" s="35"/>
      <c r="P74" s="35"/>
      <c r="Q74" s="35"/>
      <c r="R74" s="35">
        <v>0.71</v>
      </c>
      <c r="S74" s="35">
        <f>ROUND(R74*H74,0)</f>
        <v>85</v>
      </c>
      <c r="T74" s="35"/>
      <c r="U74" s="35"/>
      <c r="V74" s="35"/>
      <c r="W74" s="35"/>
      <c r="X74" s="24"/>
      <c r="Y74" s="4">
        <f t="shared" si="30"/>
        <v>0</v>
      </c>
      <c r="Z74" s="55">
        <f t="shared" si="31"/>
        <v>120</v>
      </c>
      <c r="AA74" s="55">
        <f t="shared" si="32"/>
        <v>0</v>
      </c>
      <c r="AB74" s="55">
        <f t="shared" si="33"/>
        <v>0</v>
      </c>
      <c r="AC74" s="55">
        <f t="shared" si="34"/>
        <v>85</v>
      </c>
      <c r="AD74" s="71"/>
      <c r="AE74" s="72">
        <f t="shared" si="35"/>
        <v>0</v>
      </c>
      <c r="AF74" s="74">
        <f t="shared" si="36"/>
        <v>0</v>
      </c>
      <c r="AG74" s="71"/>
      <c r="AH74" s="72">
        <f t="shared" si="37"/>
        <v>0</v>
      </c>
      <c r="AI74" s="74">
        <f t="shared" si="29"/>
        <v>0</v>
      </c>
    </row>
    <row r="75" spans="1:37" ht="14.25" thickTop="1" x14ac:dyDescent="0.2">
      <c r="A75" s="35"/>
      <c r="B75" s="35"/>
      <c r="C75" s="35"/>
      <c r="D75" s="35"/>
      <c r="E75" s="35"/>
      <c r="F75" s="35"/>
      <c r="G75" s="35"/>
      <c r="H75" s="53">
        <f>SUM(H4:H74)</f>
        <v>6499</v>
      </c>
      <c r="I75" s="24"/>
      <c r="J75" s="24"/>
      <c r="K75" s="30"/>
      <c r="L75" s="30"/>
      <c r="M75" s="30"/>
      <c r="N75" s="30"/>
      <c r="O75" s="35"/>
      <c r="P75" s="35"/>
      <c r="Q75" s="53">
        <f>SUM(Q4:Q72)+SUM(Q74:Q74)</f>
        <v>6562257.2499999981</v>
      </c>
      <c r="R75" s="35"/>
      <c r="S75" s="32">
        <f>SUM(S4:S74)</f>
        <v>112262</v>
      </c>
      <c r="T75" s="53"/>
      <c r="U75" s="32">
        <f>SUM(U4:U72)</f>
        <v>6848513.3199999994</v>
      </c>
      <c r="V75" s="53">
        <f>ROUNDUP(SUM(V74:V74),0)</f>
        <v>0</v>
      </c>
      <c r="W75" s="32">
        <f>SUM(W4:W72)</f>
        <v>1854606.68</v>
      </c>
      <c r="X75" s="54">
        <f>ROUNDUP(SUM(X74:X74),0)</f>
        <v>0</v>
      </c>
      <c r="Y75" s="58"/>
      <c r="Z75" s="58"/>
      <c r="AA75" s="32">
        <f>SUM(AA4:AA74)</f>
        <v>3921539.5992105259</v>
      </c>
      <c r="AB75" s="32">
        <f>SUM(AB4:AB74)</f>
        <v>45225.94000000001</v>
      </c>
      <c r="AC75" s="32">
        <f>SUM(AC4:AC74)</f>
        <v>67036.059999999983</v>
      </c>
      <c r="AD75" s="76">
        <f>SUM(AD4:AD72)</f>
        <v>1000</v>
      </c>
      <c r="AE75" s="72">
        <f>SUM(AE4:AE74)</f>
        <v>497619.3</v>
      </c>
      <c r="AF75" s="19">
        <f t="shared" ref="AF75:AI75" si="38">SUM(AF4:AF72)</f>
        <v>7949.0499999999993</v>
      </c>
      <c r="AG75" s="76">
        <f t="shared" si="38"/>
        <v>2080</v>
      </c>
      <c r="AH75" s="72">
        <f>SUM(AH4:AH74)</f>
        <v>2347606.8550000009</v>
      </c>
      <c r="AI75" s="19">
        <f t="shared" si="38"/>
        <v>37276.89</v>
      </c>
      <c r="AJ75" s="55">
        <f>ROUNDUP(SUM(AJ74:AJ74),0)</f>
        <v>0</v>
      </c>
    </row>
    <row r="76" spans="1:37" x14ac:dyDescent="0.2">
      <c r="H76" s="55"/>
      <c r="I76" s="57"/>
      <c r="J76" s="57"/>
      <c r="K76" s="65"/>
      <c r="L76" s="65"/>
      <c r="M76" s="65"/>
      <c r="N76" s="65"/>
      <c r="Q76" s="55" t="s">
        <v>224</v>
      </c>
      <c r="S76" s="60">
        <v>1711</v>
      </c>
      <c r="T76" s="55"/>
      <c r="U76" s="60"/>
      <c r="V76" s="55"/>
      <c r="W76" s="60"/>
      <c r="X76" s="58"/>
      <c r="Y76" s="58"/>
      <c r="Z76" s="58"/>
      <c r="AA76" s="55">
        <f t="shared" si="32"/>
        <v>0</v>
      </c>
      <c r="AB76" s="55"/>
      <c r="AC76" s="55"/>
      <c r="AG76" s="55"/>
      <c r="AI76" s="55"/>
      <c r="AJ76" s="55"/>
    </row>
    <row r="77" spans="1:37" x14ac:dyDescent="0.2">
      <c r="H77" s="56"/>
      <c r="I77" s="57"/>
      <c r="J77" s="57"/>
      <c r="K77" s="58"/>
      <c r="L77" s="58"/>
      <c r="M77" s="58"/>
      <c r="N77" s="58"/>
      <c r="P77" s="4" t="s">
        <v>218</v>
      </c>
      <c r="Q77" s="59">
        <f>ROUNDDOWN(Q75,0)</f>
        <v>6562257</v>
      </c>
      <c r="S77" s="1">
        <v>113971</v>
      </c>
      <c r="T77" s="60"/>
      <c r="Z77" s="75">
        <f>SUM(Z4:Z76)</f>
        <v>3363.05</v>
      </c>
      <c r="AA77" s="55"/>
      <c r="AB77" s="55"/>
      <c r="AC77" s="55"/>
      <c r="AE77" s="60">
        <f>1.001*AE75</f>
        <v>498116.91929999995</v>
      </c>
      <c r="AG77" s="55">
        <f>SUM(AG4:AG76)</f>
        <v>4160</v>
      </c>
    </row>
    <row r="78" spans="1:37" x14ac:dyDescent="0.2">
      <c r="S78" s="60"/>
      <c r="Z78" s="67">
        <f>Z77/H75</f>
        <v>0.51747191875673182</v>
      </c>
      <c r="AA78" s="55">
        <f t="shared" si="32"/>
        <v>0</v>
      </c>
      <c r="AB78" s="55"/>
      <c r="AC78" s="78">
        <f>AC75/S75</f>
        <v>0.59713937040138232</v>
      </c>
    </row>
    <row r="79" spans="1:37" x14ac:dyDescent="0.2">
      <c r="AA79" s="1" t="s">
        <v>234</v>
      </c>
      <c r="AH79" s="60">
        <f>-0.4*AH75</f>
        <v>-939042.74200000043</v>
      </c>
    </row>
    <row r="80" spans="1:37" x14ac:dyDescent="0.2">
      <c r="AH80" s="60">
        <f>0.1%*AH75</f>
        <v>2347.6068550000009</v>
      </c>
    </row>
    <row r="81" spans="27:34" x14ac:dyDescent="0.2">
      <c r="AA81" s="1" t="s">
        <v>235</v>
      </c>
      <c r="AH81" s="60">
        <f>SUM(AH75:AH80)</f>
        <v>1410911.7198550003</v>
      </c>
    </row>
  </sheetData>
  <mergeCells count="5">
    <mergeCell ref="H1:I1"/>
    <mergeCell ref="R1:T1"/>
    <mergeCell ref="O2:Q2"/>
    <mergeCell ref="AD2:AF2"/>
    <mergeCell ref="AG2:AI2"/>
  </mergeCells>
  <conditionalFormatting sqref="W4:W73">
    <cfRule type="cellIs" dxfId="6" priority="6" operator="lessThan">
      <formula>0</formula>
    </cfRule>
  </conditionalFormatting>
  <conditionalFormatting sqref="AA76:AC78 Z4:AC74">
    <cfRule type="cellIs" dxfId="5" priority="5" operator="lessThan">
      <formula>0</formula>
    </cfRule>
  </conditionalFormatting>
  <pageMargins left="0.31496062992125984" right="0.31496062992125984" top="1.1417322834645669" bottom="0.74803149606299213" header="0.70866141732283472" footer="0.51181102362204722"/>
  <pageSetup paperSize="9" scale="99" orientation="landscape" r:id="rId1"/>
  <headerFooter>
    <oddHeader>&amp;LHaseeba Exports
PO On Fifth Gear Ventures&amp;R`</oddHeader>
    <oddFooter>&amp;R&amp;8&amp;P/&amp;N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3EE57-9579-4613-8283-F35E973BB893}">
  <dimension ref="B2:I62"/>
  <sheetViews>
    <sheetView topLeftCell="A49" workbookViewId="0">
      <selection activeCell="E43" sqref="E43"/>
    </sheetView>
  </sheetViews>
  <sheetFormatPr defaultRowHeight="12.75" x14ac:dyDescent="0.2"/>
  <cols>
    <col min="3" max="3" width="11.33203125" customWidth="1"/>
    <col min="4" max="4" width="22" customWidth="1"/>
    <col min="5" max="5" width="28" customWidth="1"/>
    <col min="6" max="6" width="15.6640625" customWidth="1"/>
    <col min="7" max="7" width="11.5" customWidth="1"/>
    <col min="9" max="9" width="9.33203125" customWidth="1"/>
  </cols>
  <sheetData>
    <row r="2" spans="2:9" x14ac:dyDescent="0.2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241</v>
      </c>
      <c r="H2" t="s">
        <v>232</v>
      </c>
      <c r="I2" t="s">
        <v>240</v>
      </c>
    </row>
    <row r="3" spans="2:9" x14ac:dyDescent="0.2">
      <c r="B3">
        <v>1</v>
      </c>
      <c r="C3" t="s">
        <v>30</v>
      </c>
      <c r="D3" t="s">
        <v>31</v>
      </c>
      <c r="E3" t="s">
        <v>32</v>
      </c>
      <c r="F3" t="s">
        <v>33</v>
      </c>
      <c r="G3">
        <v>2.2799999999999998</v>
      </c>
      <c r="H3">
        <v>300</v>
      </c>
      <c r="I3">
        <v>683.99999999999989</v>
      </c>
    </row>
    <row r="4" spans="2:9" x14ac:dyDescent="0.2">
      <c r="B4">
        <v>2</v>
      </c>
      <c r="C4" t="s">
        <v>30</v>
      </c>
      <c r="D4" t="s">
        <v>35</v>
      </c>
      <c r="E4" t="s">
        <v>36</v>
      </c>
      <c r="F4" t="s">
        <v>37</v>
      </c>
      <c r="G4">
        <v>9</v>
      </c>
      <c r="H4">
        <v>90</v>
      </c>
      <c r="I4">
        <v>810</v>
      </c>
    </row>
    <row r="5" spans="2:9" x14ac:dyDescent="0.2">
      <c r="B5">
        <v>3</v>
      </c>
      <c r="C5" t="s">
        <v>30</v>
      </c>
      <c r="D5" t="s">
        <v>38</v>
      </c>
      <c r="E5" t="s">
        <v>39</v>
      </c>
      <c r="F5" s="77" t="s">
        <v>40</v>
      </c>
      <c r="G5">
        <v>6.75</v>
      </c>
      <c r="H5">
        <v>291</v>
      </c>
      <c r="I5">
        <v>1964.25</v>
      </c>
    </row>
    <row r="6" spans="2:9" x14ac:dyDescent="0.2">
      <c r="B6">
        <v>4</v>
      </c>
      <c r="C6" t="s">
        <v>30</v>
      </c>
      <c r="D6" t="s">
        <v>41</v>
      </c>
      <c r="E6" t="s">
        <v>42</v>
      </c>
      <c r="F6" t="s">
        <v>33</v>
      </c>
      <c r="G6">
        <v>6.5</v>
      </c>
      <c r="H6">
        <v>180</v>
      </c>
      <c r="I6">
        <v>1170</v>
      </c>
    </row>
    <row r="7" spans="2:9" x14ac:dyDescent="0.2">
      <c r="B7">
        <v>5</v>
      </c>
      <c r="C7" t="s">
        <v>43</v>
      </c>
      <c r="D7" t="s">
        <v>44</v>
      </c>
      <c r="E7" t="s">
        <v>45</v>
      </c>
      <c r="F7" t="s">
        <v>46</v>
      </c>
      <c r="G7">
        <v>14.42</v>
      </c>
      <c r="H7">
        <v>20</v>
      </c>
      <c r="I7">
        <v>288.39999999999998</v>
      </c>
    </row>
    <row r="8" spans="2:9" x14ac:dyDescent="0.2">
      <c r="B8">
        <v>6</v>
      </c>
      <c r="C8" t="s">
        <v>43</v>
      </c>
      <c r="D8" t="s">
        <v>48</v>
      </c>
      <c r="E8" t="s">
        <v>49</v>
      </c>
      <c r="F8" t="s">
        <v>50</v>
      </c>
      <c r="G8">
        <v>7.7</v>
      </c>
      <c r="H8">
        <v>25</v>
      </c>
      <c r="I8">
        <v>192.5</v>
      </c>
    </row>
    <row r="9" spans="2:9" x14ac:dyDescent="0.2">
      <c r="B9">
        <v>7</v>
      </c>
      <c r="C9" t="s">
        <v>43</v>
      </c>
      <c r="D9" t="s">
        <v>51</v>
      </c>
      <c r="E9" t="s">
        <v>52</v>
      </c>
      <c r="F9" t="s">
        <v>33</v>
      </c>
      <c r="G9">
        <v>77.5</v>
      </c>
      <c r="H9">
        <v>4</v>
      </c>
      <c r="I9">
        <v>310</v>
      </c>
    </row>
    <row r="10" spans="2:9" x14ac:dyDescent="0.2">
      <c r="B10">
        <v>8</v>
      </c>
      <c r="C10" t="s">
        <v>43</v>
      </c>
      <c r="D10" t="s">
        <v>55</v>
      </c>
      <c r="E10" t="s">
        <v>56</v>
      </c>
      <c r="F10" t="s">
        <v>57</v>
      </c>
      <c r="G10">
        <v>179.18</v>
      </c>
      <c r="H10">
        <v>10</v>
      </c>
      <c r="I10">
        <v>1791.8000000000002</v>
      </c>
    </row>
    <row r="11" spans="2:9" x14ac:dyDescent="0.2">
      <c r="B11">
        <v>9</v>
      </c>
      <c r="C11" t="s">
        <v>43</v>
      </c>
      <c r="D11" t="s">
        <v>58</v>
      </c>
      <c r="E11" t="s">
        <v>59</v>
      </c>
      <c r="F11" t="s">
        <v>33</v>
      </c>
      <c r="G11">
        <v>10.51</v>
      </c>
      <c r="H11">
        <v>80</v>
      </c>
      <c r="I11">
        <v>840.8</v>
      </c>
    </row>
    <row r="12" spans="2:9" x14ac:dyDescent="0.2">
      <c r="B12">
        <v>10</v>
      </c>
      <c r="C12" t="s">
        <v>43</v>
      </c>
      <c r="D12" t="s">
        <v>60</v>
      </c>
      <c r="E12" t="s">
        <v>61</v>
      </c>
      <c r="F12" t="s">
        <v>33</v>
      </c>
      <c r="G12">
        <v>40.700000000000003</v>
      </c>
      <c r="H12">
        <v>10</v>
      </c>
      <c r="I12">
        <v>407</v>
      </c>
    </row>
    <row r="13" spans="2:9" x14ac:dyDescent="0.2">
      <c r="B13">
        <v>11</v>
      </c>
      <c r="C13" t="s">
        <v>43</v>
      </c>
      <c r="D13" t="s">
        <v>64</v>
      </c>
      <c r="E13" t="s">
        <v>65</v>
      </c>
      <c r="F13" t="s">
        <v>33</v>
      </c>
      <c r="G13">
        <v>5.07</v>
      </c>
      <c r="H13">
        <v>10</v>
      </c>
      <c r="I13">
        <v>50.7</v>
      </c>
    </row>
    <row r="14" spans="2:9" x14ac:dyDescent="0.2">
      <c r="B14">
        <v>12</v>
      </c>
      <c r="C14" t="s">
        <v>43</v>
      </c>
      <c r="D14" t="s">
        <v>66</v>
      </c>
      <c r="E14" t="s">
        <v>67</v>
      </c>
      <c r="F14" t="s">
        <v>68</v>
      </c>
      <c r="G14">
        <v>61.5</v>
      </c>
      <c r="H14">
        <v>10</v>
      </c>
      <c r="I14">
        <v>615</v>
      </c>
    </row>
    <row r="15" spans="2:9" x14ac:dyDescent="0.2">
      <c r="B15">
        <v>13</v>
      </c>
      <c r="C15" t="s">
        <v>43</v>
      </c>
      <c r="D15" t="s">
        <v>72</v>
      </c>
      <c r="E15" t="s">
        <v>73</v>
      </c>
      <c r="F15" t="s">
        <v>33</v>
      </c>
      <c r="G15">
        <v>306.55</v>
      </c>
      <c r="H15">
        <v>4</v>
      </c>
      <c r="I15">
        <v>1226.2</v>
      </c>
    </row>
    <row r="16" spans="2:9" x14ac:dyDescent="0.2">
      <c r="B16">
        <v>14</v>
      </c>
      <c r="C16" t="s">
        <v>43</v>
      </c>
      <c r="D16" t="s">
        <v>74</v>
      </c>
      <c r="E16" t="s">
        <v>75</v>
      </c>
      <c r="F16" t="s">
        <v>33</v>
      </c>
      <c r="G16">
        <v>9.8000000000000007</v>
      </c>
      <c r="H16">
        <v>60</v>
      </c>
      <c r="I16">
        <v>588</v>
      </c>
    </row>
    <row r="17" spans="2:9" x14ac:dyDescent="0.2">
      <c r="B17">
        <v>15</v>
      </c>
      <c r="C17" t="s">
        <v>43</v>
      </c>
      <c r="D17" t="s">
        <v>76</v>
      </c>
      <c r="E17" t="s">
        <v>77</v>
      </c>
      <c r="F17" t="s">
        <v>33</v>
      </c>
      <c r="G17">
        <v>56.27</v>
      </c>
      <c r="H17">
        <v>18</v>
      </c>
      <c r="I17">
        <v>1012.86</v>
      </c>
    </row>
    <row r="18" spans="2:9" x14ac:dyDescent="0.2">
      <c r="B18">
        <v>16</v>
      </c>
      <c r="C18" t="s">
        <v>78</v>
      </c>
      <c r="D18" t="s">
        <v>79</v>
      </c>
      <c r="E18" t="s">
        <v>80</v>
      </c>
      <c r="F18" t="s">
        <v>81</v>
      </c>
      <c r="G18">
        <v>175.5</v>
      </c>
      <c r="H18">
        <v>4</v>
      </c>
      <c r="I18">
        <v>702</v>
      </c>
    </row>
    <row r="19" spans="2:9" x14ac:dyDescent="0.2">
      <c r="B19">
        <v>17</v>
      </c>
      <c r="C19" t="s">
        <v>82</v>
      </c>
      <c r="D19" t="s">
        <v>83</v>
      </c>
      <c r="E19" t="s">
        <v>84</v>
      </c>
      <c r="F19" t="s">
        <v>85</v>
      </c>
      <c r="G19">
        <v>301.27</v>
      </c>
      <c r="H19">
        <v>4</v>
      </c>
      <c r="I19">
        <v>1205.08</v>
      </c>
    </row>
    <row r="20" spans="2:9" x14ac:dyDescent="0.2">
      <c r="B20">
        <v>18</v>
      </c>
      <c r="C20" t="s">
        <v>89</v>
      </c>
      <c r="D20" t="s">
        <v>90</v>
      </c>
      <c r="E20" t="s">
        <v>91</v>
      </c>
      <c r="F20" t="s">
        <v>92</v>
      </c>
      <c r="G20">
        <v>104</v>
      </c>
      <c r="H20">
        <v>8</v>
      </c>
      <c r="I20">
        <v>832</v>
      </c>
    </row>
    <row r="21" spans="2:9" x14ac:dyDescent="0.2">
      <c r="B21">
        <v>19</v>
      </c>
      <c r="C21" t="s">
        <v>89</v>
      </c>
      <c r="D21" t="s">
        <v>93</v>
      </c>
      <c r="E21" t="s">
        <v>94</v>
      </c>
      <c r="F21" t="s">
        <v>33</v>
      </c>
      <c r="G21">
        <v>154.57</v>
      </c>
      <c r="H21">
        <v>10</v>
      </c>
      <c r="I21">
        <v>1545.6999999999998</v>
      </c>
    </row>
    <row r="22" spans="2:9" x14ac:dyDescent="0.2">
      <c r="B22">
        <v>20</v>
      </c>
      <c r="C22" t="s">
        <v>95</v>
      </c>
      <c r="D22" t="s">
        <v>96</v>
      </c>
      <c r="E22" t="s">
        <v>97</v>
      </c>
      <c r="F22" t="s">
        <v>98</v>
      </c>
      <c r="G22">
        <v>105.75</v>
      </c>
      <c r="H22">
        <v>76</v>
      </c>
      <c r="I22">
        <v>8037</v>
      </c>
    </row>
    <row r="23" spans="2:9" x14ac:dyDescent="0.2">
      <c r="B23">
        <v>21</v>
      </c>
      <c r="C23" t="s">
        <v>104</v>
      </c>
      <c r="D23" t="s">
        <v>105</v>
      </c>
      <c r="E23" t="s">
        <v>106</v>
      </c>
      <c r="F23" t="s">
        <v>107</v>
      </c>
      <c r="G23">
        <v>15.33</v>
      </c>
      <c r="H23">
        <v>24</v>
      </c>
      <c r="I23">
        <v>367.92</v>
      </c>
    </row>
    <row r="24" spans="2:9" x14ac:dyDescent="0.2">
      <c r="B24">
        <v>22</v>
      </c>
      <c r="C24" t="s">
        <v>104</v>
      </c>
      <c r="D24" t="s">
        <v>108</v>
      </c>
      <c r="E24" t="s">
        <v>109</v>
      </c>
      <c r="F24" t="s">
        <v>110</v>
      </c>
      <c r="G24">
        <v>20.54</v>
      </c>
      <c r="H24">
        <v>24</v>
      </c>
      <c r="I24">
        <v>492.96</v>
      </c>
    </row>
    <row r="25" spans="2:9" x14ac:dyDescent="0.2">
      <c r="B25">
        <v>23</v>
      </c>
      <c r="C25" t="s">
        <v>104</v>
      </c>
      <c r="D25" t="s">
        <v>111</v>
      </c>
      <c r="E25" t="s">
        <v>112</v>
      </c>
      <c r="F25" t="s">
        <v>113</v>
      </c>
      <c r="G25">
        <v>109.27</v>
      </c>
      <c r="H25">
        <v>2</v>
      </c>
      <c r="I25">
        <v>218.54</v>
      </c>
    </row>
    <row r="26" spans="2:9" x14ac:dyDescent="0.2">
      <c r="B26">
        <v>24</v>
      </c>
      <c r="C26" t="s">
        <v>104</v>
      </c>
      <c r="D26" t="s">
        <v>114</v>
      </c>
      <c r="E26" t="s">
        <v>115</v>
      </c>
      <c r="F26" t="s">
        <v>116</v>
      </c>
      <c r="G26">
        <v>0.62</v>
      </c>
      <c r="H26">
        <v>240</v>
      </c>
      <c r="I26">
        <v>148.80000000000001</v>
      </c>
    </row>
    <row r="27" spans="2:9" x14ac:dyDescent="0.2">
      <c r="B27">
        <v>25</v>
      </c>
      <c r="C27" t="s">
        <v>120</v>
      </c>
      <c r="D27" t="s">
        <v>121</v>
      </c>
      <c r="E27" t="s">
        <v>122</v>
      </c>
      <c r="F27" t="s">
        <v>33</v>
      </c>
      <c r="G27">
        <v>55.95</v>
      </c>
      <c r="H27">
        <v>40</v>
      </c>
      <c r="I27">
        <v>2238</v>
      </c>
    </row>
    <row r="28" spans="2:9" x14ac:dyDescent="0.2">
      <c r="B28">
        <v>26</v>
      </c>
      <c r="C28" t="s">
        <v>120</v>
      </c>
      <c r="D28" t="s">
        <v>123</v>
      </c>
      <c r="E28" t="s">
        <v>124</v>
      </c>
      <c r="F28" t="s">
        <v>33</v>
      </c>
      <c r="G28">
        <v>45.5</v>
      </c>
      <c r="H28">
        <v>8</v>
      </c>
      <c r="I28">
        <v>364</v>
      </c>
    </row>
    <row r="29" spans="2:9" x14ac:dyDescent="0.2">
      <c r="B29">
        <v>27</v>
      </c>
      <c r="C29" t="s">
        <v>120</v>
      </c>
      <c r="D29" t="s">
        <v>125</v>
      </c>
      <c r="E29" t="s">
        <v>126</v>
      </c>
      <c r="F29" t="s">
        <v>127</v>
      </c>
      <c r="G29">
        <v>17.64</v>
      </c>
      <c r="H29">
        <v>8</v>
      </c>
      <c r="I29">
        <v>141.12</v>
      </c>
    </row>
    <row r="30" spans="2:9" x14ac:dyDescent="0.2">
      <c r="B30">
        <v>28</v>
      </c>
      <c r="C30" t="s">
        <v>120</v>
      </c>
      <c r="D30" t="s">
        <v>128</v>
      </c>
      <c r="E30" t="s">
        <v>129</v>
      </c>
      <c r="F30" t="s">
        <v>130</v>
      </c>
      <c r="G30">
        <v>5.41</v>
      </c>
      <c r="H30">
        <v>5</v>
      </c>
      <c r="I30">
        <v>27.05</v>
      </c>
    </row>
    <row r="31" spans="2:9" x14ac:dyDescent="0.2">
      <c r="B31">
        <v>29</v>
      </c>
      <c r="C31" t="s">
        <v>120</v>
      </c>
      <c r="D31" t="s">
        <v>131</v>
      </c>
      <c r="E31" t="s">
        <v>132</v>
      </c>
      <c r="F31" t="s">
        <v>130</v>
      </c>
      <c r="G31">
        <v>5.41</v>
      </c>
      <c r="H31">
        <v>5</v>
      </c>
      <c r="I31">
        <v>27.05</v>
      </c>
    </row>
    <row r="32" spans="2:9" x14ac:dyDescent="0.2">
      <c r="B32">
        <v>30</v>
      </c>
      <c r="C32" t="s">
        <v>133</v>
      </c>
      <c r="D32" t="s">
        <v>134</v>
      </c>
      <c r="E32" t="s">
        <v>135</v>
      </c>
      <c r="F32" t="s">
        <v>33</v>
      </c>
      <c r="G32">
        <v>41.03</v>
      </c>
      <c r="H32">
        <v>8</v>
      </c>
      <c r="I32">
        <v>328.24</v>
      </c>
    </row>
    <row r="33" spans="2:9" x14ac:dyDescent="0.2">
      <c r="B33">
        <v>31</v>
      </c>
      <c r="C33" t="s">
        <v>133</v>
      </c>
      <c r="D33" t="s">
        <v>136</v>
      </c>
      <c r="E33" t="s">
        <v>137</v>
      </c>
      <c r="F33" t="s">
        <v>138</v>
      </c>
      <c r="G33">
        <v>8.36</v>
      </c>
      <c r="H33">
        <v>18</v>
      </c>
      <c r="I33">
        <v>150.47999999999999</v>
      </c>
    </row>
    <row r="34" spans="2:9" x14ac:dyDescent="0.2">
      <c r="B34">
        <v>32</v>
      </c>
      <c r="C34" t="s">
        <v>133</v>
      </c>
      <c r="D34" t="s">
        <v>139</v>
      </c>
      <c r="E34" t="s">
        <v>140</v>
      </c>
      <c r="F34" t="s">
        <v>138</v>
      </c>
      <c r="G34">
        <v>8.36</v>
      </c>
      <c r="H34">
        <v>6</v>
      </c>
      <c r="I34">
        <v>50.16</v>
      </c>
    </row>
    <row r="35" spans="2:9" x14ac:dyDescent="0.2">
      <c r="B35">
        <v>33</v>
      </c>
      <c r="C35" t="s">
        <v>133</v>
      </c>
      <c r="D35" t="s">
        <v>143</v>
      </c>
      <c r="E35" t="s">
        <v>144</v>
      </c>
      <c r="F35" t="s">
        <v>33</v>
      </c>
      <c r="G35">
        <v>2.04</v>
      </c>
      <c r="H35">
        <v>12</v>
      </c>
      <c r="I35">
        <v>24.48</v>
      </c>
    </row>
    <row r="36" spans="2:9" x14ac:dyDescent="0.2">
      <c r="B36">
        <v>34</v>
      </c>
      <c r="C36" t="s">
        <v>133</v>
      </c>
      <c r="D36" t="s">
        <v>145</v>
      </c>
      <c r="E36" t="s">
        <v>146</v>
      </c>
      <c r="F36" t="s">
        <v>33</v>
      </c>
      <c r="G36">
        <v>2.04</v>
      </c>
      <c r="H36">
        <v>12</v>
      </c>
      <c r="I36">
        <v>24.48</v>
      </c>
    </row>
    <row r="37" spans="2:9" x14ac:dyDescent="0.2">
      <c r="B37">
        <v>35</v>
      </c>
      <c r="C37" t="s">
        <v>133</v>
      </c>
      <c r="D37" t="s">
        <v>147</v>
      </c>
      <c r="E37" t="s">
        <v>148</v>
      </c>
      <c r="F37" t="s">
        <v>33</v>
      </c>
      <c r="G37">
        <v>1.32</v>
      </c>
      <c r="H37">
        <v>12</v>
      </c>
      <c r="I37">
        <v>15.84</v>
      </c>
    </row>
    <row r="38" spans="2:9" x14ac:dyDescent="0.2">
      <c r="B38">
        <v>36</v>
      </c>
      <c r="C38" t="s">
        <v>133</v>
      </c>
      <c r="D38" t="s">
        <v>149</v>
      </c>
      <c r="E38" t="s">
        <v>150</v>
      </c>
      <c r="F38" t="s">
        <v>33</v>
      </c>
      <c r="G38">
        <v>1.32</v>
      </c>
      <c r="H38">
        <v>12</v>
      </c>
      <c r="I38">
        <v>15.84</v>
      </c>
    </row>
    <row r="39" spans="2:9" x14ac:dyDescent="0.2">
      <c r="B39">
        <v>37</v>
      </c>
      <c r="C39" t="s">
        <v>151</v>
      </c>
      <c r="D39" t="s">
        <v>152</v>
      </c>
      <c r="E39" t="s">
        <v>153</v>
      </c>
      <c r="F39" t="s">
        <v>154</v>
      </c>
      <c r="G39">
        <v>107.5</v>
      </c>
      <c r="H39">
        <v>12</v>
      </c>
      <c r="I39">
        <v>1290</v>
      </c>
    </row>
    <row r="40" spans="2:9" x14ac:dyDescent="0.2">
      <c r="B40">
        <v>38</v>
      </c>
      <c r="C40" t="s">
        <v>151</v>
      </c>
      <c r="D40" t="s">
        <v>155</v>
      </c>
      <c r="E40" t="s">
        <v>156</v>
      </c>
      <c r="F40" t="s">
        <v>157</v>
      </c>
      <c r="G40">
        <v>107.5</v>
      </c>
      <c r="H40">
        <v>4</v>
      </c>
      <c r="I40">
        <v>430</v>
      </c>
    </row>
    <row r="41" spans="2:9" x14ac:dyDescent="0.2">
      <c r="B41">
        <v>39</v>
      </c>
      <c r="C41" t="s">
        <v>151</v>
      </c>
      <c r="D41" t="s">
        <v>158</v>
      </c>
      <c r="E41" t="s">
        <v>159</v>
      </c>
      <c r="F41" t="s">
        <v>154</v>
      </c>
      <c r="G41">
        <v>8.64</v>
      </c>
      <c r="H41">
        <v>19</v>
      </c>
      <c r="I41">
        <v>164.16000000000003</v>
      </c>
    </row>
    <row r="42" spans="2:9" x14ac:dyDescent="0.2">
      <c r="B42">
        <v>40</v>
      </c>
      <c r="C42" t="s">
        <v>151</v>
      </c>
      <c r="D42" t="s">
        <v>160</v>
      </c>
      <c r="E42" t="s">
        <v>161</v>
      </c>
      <c r="F42" t="s">
        <v>157</v>
      </c>
      <c r="G42">
        <v>14.51</v>
      </c>
      <c r="H42">
        <v>8</v>
      </c>
      <c r="I42">
        <v>116.08</v>
      </c>
    </row>
    <row r="43" spans="2:9" x14ac:dyDescent="0.2">
      <c r="B43">
        <v>41</v>
      </c>
      <c r="C43" t="s">
        <v>151</v>
      </c>
      <c r="D43" t="s">
        <v>162</v>
      </c>
      <c r="E43" t="s">
        <v>163</v>
      </c>
      <c r="F43" t="s">
        <v>154</v>
      </c>
      <c r="G43">
        <v>14.51</v>
      </c>
      <c r="H43">
        <v>4</v>
      </c>
      <c r="I43">
        <v>58.04</v>
      </c>
    </row>
    <row r="44" spans="2:9" x14ac:dyDescent="0.2">
      <c r="B44">
        <v>42</v>
      </c>
      <c r="C44" t="s">
        <v>164</v>
      </c>
      <c r="D44" t="s">
        <v>165</v>
      </c>
      <c r="E44" t="s">
        <v>166</v>
      </c>
      <c r="F44" t="s">
        <v>127</v>
      </c>
      <c r="G44">
        <v>30.46</v>
      </c>
      <c r="H44">
        <v>8</v>
      </c>
      <c r="I44">
        <v>243.68</v>
      </c>
    </row>
    <row r="45" spans="2:9" x14ac:dyDescent="0.2">
      <c r="B45">
        <v>43</v>
      </c>
      <c r="C45" t="s">
        <v>164</v>
      </c>
      <c r="D45" t="s">
        <v>167</v>
      </c>
      <c r="E45" t="s">
        <v>168</v>
      </c>
      <c r="F45" t="s">
        <v>33</v>
      </c>
      <c r="G45">
        <v>20.149999999999999</v>
      </c>
      <c r="H45">
        <v>18</v>
      </c>
      <c r="I45">
        <v>362.7</v>
      </c>
    </row>
    <row r="46" spans="2:9" x14ac:dyDescent="0.2">
      <c r="B46">
        <v>44</v>
      </c>
      <c r="C46" t="s">
        <v>164</v>
      </c>
      <c r="D46" t="s">
        <v>169</v>
      </c>
      <c r="E46" t="s">
        <v>170</v>
      </c>
      <c r="F46" t="s">
        <v>116</v>
      </c>
      <c r="G46">
        <v>1</v>
      </c>
      <c r="H46">
        <v>100</v>
      </c>
      <c r="I46">
        <v>100</v>
      </c>
    </row>
    <row r="47" spans="2:9" x14ac:dyDescent="0.2">
      <c r="B47">
        <v>45</v>
      </c>
      <c r="C47" t="s">
        <v>171</v>
      </c>
      <c r="D47" t="s">
        <v>172</v>
      </c>
      <c r="E47" t="s">
        <v>173</v>
      </c>
      <c r="F47" s="77" t="s">
        <v>174</v>
      </c>
      <c r="G47">
        <v>22.18</v>
      </c>
      <c r="H47">
        <v>40</v>
      </c>
      <c r="I47">
        <v>887.2</v>
      </c>
    </row>
    <row r="48" spans="2:9" x14ac:dyDescent="0.2">
      <c r="B48">
        <v>46</v>
      </c>
      <c r="C48" t="s">
        <v>171</v>
      </c>
      <c r="D48" t="s">
        <v>177</v>
      </c>
      <c r="E48" t="s">
        <v>178</v>
      </c>
      <c r="F48" t="s">
        <v>33</v>
      </c>
      <c r="G48">
        <v>15.38</v>
      </c>
      <c r="H48">
        <v>30</v>
      </c>
      <c r="I48">
        <v>461.40000000000003</v>
      </c>
    </row>
    <row r="49" spans="2:9" x14ac:dyDescent="0.2">
      <c r="B49">
        <v>47</v>
      </c>
      <c r="C49" t="s">
        <v>171</v>
      </c>
      <c r="D49" t="s">
        <v>238</v>
      </c>
      <c r="E49" t="s">
        <v>181</v>
      </c>
      <c r="F49" s="77" t="s">
        <v>174</v>
      </c>
      <c r="G49">
        <v>15.15</v>
      </c>
      <c r="H49">
        <v>8</v>
      </c>
      <c r="I49">
        <v>121.2</v>
      </c>
    </row>
    <row r="50" spans="2:9" x14ac:dyDescent="0.2">
      <c r="B50">
        <v>48</v>
      </c>
      <c r="C50" t="s">
        <v>185</v>
      </c>
      <c r="D50" t="s">
        <v>186</v>
      </c>
      <c r="E50" t="s">
        <v>187</v>
      </c>
      <c r="F50" t="s">
        <v>188</v>
      </c>
      <c r="G50">
        <v>33.25</v>
      </c>
      <c r="H50">
        <v>40</v>
      </c>
      <c r="I50">
        <v>1330</v>
      </c>
    </row>
    <row r="51" spans="2:9" x14ac:dyDescent="0.2">
      <c r="B51">
        <v>49</v>
      </c>
      <c r="C51" t="s">
        <v>185</v>
      </c>
      <c r="D51" t="s">
        <v>239</v>
      </c>
      <c r="E51" t="s">
        <v>190</v>
      </c>
      <c r="F51" t="s">
        <v>191</v>
      </c>
      <c r="G51">
        <v>44.37</v>
      </c>
      <c r="H51">
        <v>4</v>
      </c>
      <c r="I51">
        <v>177.48</v>
      </c>
    </row>
    <row r="52" spans="2:9" x14ac:dyDescent="0.2">
      <c r="B52">
        <v>50</v>
      </c>
      <c r="C52" t="s">
        <v>185</v>
      </c>
      <c r="D52" t="s">
        <v>192</v>
      </c>
      <c r="E52" t="s">
        <v>193</v>
      </c>
      <c r="F52" s="77" t="s">
        <v>174</v>
      </c>
      <c r="G52">
        <v>10.69</v>
      </c>
      <c r="H52">
        <v>40</v>
      </c>
      <c r="I52">
        <v>427.59999999999997</v>
      </c>
    </row>
    <row r="53" spans="2:9" x14ac:dyDescent="0.2">
      <c r="B53">
        <v>51</v>
      </c>
      <c r="C53" t="s">
        <v>194</v>
      </c>
      <c r="D53" t="s">
        <v>195</v>
      </c>
      <c r="E53" t="s">
        <v>196</v>
      </c>
      <c r="F53" s="77" t="s">
        <v>174</v>
      </c>
      <c r="G53">
        <v>38.08</v>
      </c>
      <c r="H53">
        <v>20</v>
      </c>
      <c r="I53">
        <v>761.59999999999991</v>
      </c>
    </row>
    <row r="54" spans="2:9" x14ac:dyDescent="0.2">
      <c r="B54">
        <v>52</v>
      </c>
      <c r="C54" t="s">
        <v>197</v>
      </c>
      <c r="D54" t="s">
        <v>198</v>
      </c>
      <c r="E54" t="s">
        <v>199</v>
      </c>
      <c r="F54" t="s">
        <v>138</v>
      </c>
      <c r="G54">
        <v>44.5</v>
      </c>
      <c r="H54">
        <v>5</v>
      </c>
      <c r="I54">
        <v>222.5</v>
      </c>
    </row>
    <row r="55" spans="2:9" x14ac:dyDescent="0.2">
      <c r="B55">
        <v>53</v>
      </c>
      <c r="C55" t="s">
        <v>197</v>
      </c>
      <c r="D55" t="s">
        <v>200</v>
      </c>
      <c r="E55" t="s">
        <v>201</v>
      </c>
      <c r="F55" t="s">
        <v>138</v>
      </c>
      <c r="G55">
        <v>44.5</v>
      </c>
      <c r="H55">
        <v>5</v>
      </c>
      <c r="I55">
        <v>222.5</v>
      </c>
    </row>
    <row r="56" spans="2:9" x14ac:dyDescent="0.2">
      <c r="B56">
        <v>54</v>
      </c>
      <c r="C56" t="s">
        <v>197</v>
      </c>
      <c r="D56" t="s">
        <v>202</v>
      </c>
      <c r="E56" t="s">
        <v>203</v>
      </c>
      <c r="F56" t="s">
        <v>138</v>
      </c>
      <c r="G56">
        <v>48.77</v>
      </c>
      <c r="H56">
        <v>8</v>
      </c>
      <c r="I56">
        <v>390.16</v>
      </c>
    </row>
    <row r="57" spans="2:9" x14ac:dyDescent="0.2">
      <c r="B57">
        <v>55</v>
      </c>
      <c r="C57" t="s">
        <v>197</v>
      </c>
      <c r="D57" t="s">
        <v>204</v>
      </c>
      <c r="E57" t="s">
        <v>205</v>
      </c>
      <c r="F57" t="s">
        <v>33</v>
      </c>
      <c r="G57">
        <v>3.7</v>
      </c>
      <c r="H57">
        <v>8</v>
      </c>
      <c r="I57">
        <v>29.6</v>
      </c>
    </row>
    <row r="58" spans="2:9" x14ac:dyDescent="0.2">
      <c r="B58">
        <v>56</v>
      </c>
      <c r="C58" t="s">
        <v>197</v>
      </c>
      <c r="D58" t="s">
        <v>206</v>
      </c>
      <c r="E58" t="s">
        <v>207</v>
      </c>
      <c r="F58" t="s">
        <v>138</v>
      </c>
      <c r="G58">
        <v>48.77</v>
      </c>
      <c r="H58">
        <v>8</v>
      </c>
      <c r="I58">
        <v>390.16</v>
      </c>
    </row>
    <row r="59" spans="2:9" x14ac:dyDescent="0.2">
      <c r="B59">
        <v>57</v>
      </c>
      <c r="C59" t="s">
        <v>197</v>
      </c>
      <c r="D59" t="s">
        <v>208</v>
      </c>
      <c r="E59" t="s">
        <v>209</v>
      </c>
      <c r="F59" t="s">
        <v>138</v>
      </c>
      <c r="G59">
        <v>16.11</v>
      </c>
      <c r="H59">
        <v>8</v>
      </c>
      <c r="I59">
        <v>128.88</v>
      </c>
    </row>
    <row r="60" spans="2:9" x14ac:dyDescent="0.2">
      <c r="B60">
        <v>58</v>
      </c>
      <c r="C60" t="s">
        <v>197</v>
      </c>
      <c r="D60" t="s">
        <v>210</v>
      </c>
      <c r="E60" t="s">
        <v>211</v>
      </c>
      <c r="F60" t="s">
        <v>138</v>
      </c>
      <c r="G60">
        <v>4.1500000000000004</v>
      </c>
      <c r="H60">
        <v>8</v>
      </c>
      <c r="I60">
        <v>33.200000000000003</v>
      </c>
    </row>
    <row r="61" spans="2:9" x14ac:dyDescent="0.2">
      <c r="B61">
        <v>59</v>
      </c>
      <c r="C61" t="s">
        <v>212</v>
      </c>
      <c r="D61" t="s">
        <v>213</v>
      </c>
      <c r="E61" t="s">
        <v>214</v>
      </c>
      <c r="F61" t="s">
        <v>119</v>
      </c>
      <c r="G61">
        <v>0.82</v>
      </c>
      <c r="H61">
        <v>25</v>
      </c>
      <c r="I61">
        <v>20.5</v>
      </c>
    </row>
    <row r="62" spans="2:9" x14ac:dyDescent="0.2">
      <c r="G62" t="s">
        <v>242</v>
      </c>
      <c r="H62">
        <f>SUM(H2:H61)</f>
        <v>2080</v>
      </c>
      <c r="I62">
        <f>SUM(I2:I61)</f>
        <v>37276.89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7AB3-77BF-4889-A738-94DC787F814D}">
  <dimension ref="B2:E7"/>
  <sheetViews>
    <sheetView workbookViewId="0">
      <selection activeCell="E16" sqref="E16"/>
    </sheetView>
  </sheetViews>
  <sheetFormatPr defaultRowHeight="12.75" x14ac:dyDescent="0.2"/>
  <cols>
    <col min="2" max="2" width="13.1640625" customWidth="1"/>
    <col min="3" max="3" width="20.1640625" customWidth="1"/>
    <col min="4" max="4" width="27.6640625" customWidth="1"/>
  </cols>
  <sheetData>
    <row r="2" spans="2:5" x14ac:dyDescent="0.2">
      <c r="B2" t="s">
        <v>243</v>
      </c>
      <c r="C2" t="s">
        <v>244</v>
      </c>
      <c r="D2" t="s">
        <v>245</v>
      </c>
      <c r="E2" t="s">
        <v>246</v>
      </c>
    </row>
    <row r="3" spans="2:5" x14ac:dyDescent="0.2">
      <c r="B3" t="s">
        <v>30</v>
      </c>
      <c r="C3" t="s">
        <v>38</v>
      </c>
      <c r="D3" t="s">
        <v>39</v>
      </c>
      <c r="E3" s="77" t="s">
        <v>40</v>
      </c>
    </row>
    <row r="4" spans="2:5" x14ac:dyDescent="0.2">
      <c r="B4" t="s">
        <v>171</v>
      </c>
      <c r="C4" t="s">
        <v>238</v>
      </c>
      <c r="D4" t="s">
        <v>181</v>
      </c>
      <c r="E4" s="77" t="s">
        <v>174</v>
      </c>
    </row>
    <row r="5" spans="2:5" x14ac:dyDescent="0.2">
      <c r="B5" t="s">
        <v>185</v>
      </c>
      <c r="C5" t="s">
        <v>192</v>
      </c>
      <c r="D5" t="s">
        <v>193</v>
      </c>
      <c r="E5" s="77" t="s">
        <v>174</v>
      </c>
    </row>
    <row r="6" spans="2:5" x14ac:dyDescent="0.2">
      <c r="B6" t="s">
        <v>194</v>
      </c>
      <c r="C6" t="s">
        <v>195</v>
      </c>
      <c r="D6" t="s">
        <v>196</v>
      </c>
      <c r="E6" s="77" t="s">
        <v>174</v>
      </c>
    </row>
    <row r="7" spans="2:5" x14ac:dyDescent="0.2">
      <c r="B7" t="s">
        <v>171</v>
      </c>
      <c r="C7" t="s">
        <v>172</v>
      </c>
      <c r="D7" t="s">
        <v>173</v>
      </c>
      <c r="E7" s="77" t="s">
        <v>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71EC-D53B-4AE6-926B-2F30E396FB2E}">
  <dimension ref="A1:AU81"/>
  <sheetViews>
    <sheetView tabSelected="1" zoomScaleNormal="100" workbookViewId="0">
      <pane xSplit="4" ySplit="3" topLeftCell="AC17" activePane="bottomRight" state="frozen"/>
      <selection pane="topRight" activeCell="F1" sqref="F1"/>
      <selection pane="bottomLeft" activeCell="A3" sqref="A3"/>
      <selection pane="bottomRight" activeCell="D25" sqref="D25"/>
    </sheetView>
  </sheetViews>
  <sheetFormatPr defaultRowHeight="13.5" x14ac:dyDescent="0.2"/>
  <cols>
    <col min="1" max="1" width="6.33203125" style="1" customWidth="1"/>
    <col min="2" max="2" width="17.6640625" style="1" hidden="1" customWidth="1"/>
    <col min="3" max="3" width="17.5" style="1" customWidth="1"/>
    <col min="4" max="4" width="27" style="1" customWidth="1"/>
    <col min="5" max="5" width="11.33203125" style="1" customWidth="1"/>
    <col min="6" max="7" width="5.1640625" style="1" hidden="1" customWidth="1"/>
    <col min="8" max="8" width="7.83203125" style="2" hidden="1" customWidth="1"/>
    <col min="9" max="9" width="6.33203125" style="1" hidden="1" customWidth="1"/>
    <col min="10" max="10" width="10" style="1" hidden="1" customWidth="1"/>
    <col min="11" max="11" width="8.33203125" style="4" hidden="1" customWidth="1"/>
    <col min="12" max="14" width="10.5" style="4" hidden="1" customWidth="1"/>
    <col min="15" max="15" width="9.83203125" style="1" hidden="1" customWidth="1"/>
    <col min="16" max="16" width="11" style="1" hidden="1" customWidth="1"/>
    <col min="17" max="17" width="12.6640625" style="1" hidden="1" customWidth="1"/>
    <col min="18" max="18" width="9.33203125" style="1" customWidth="1"/>
    <col min="19" max="19" width="11.5" style="1" customWidth="1"/>
    <col min="20" max="20" width="12.6640625" style="1" customWidth="1"/>
    <col min="21" max="21" width="12.6640625" style="1" hidden="1" customWidth="1"/>
    <col min="22" max="22" width="14.33203125" style="1" hidden="1" customWidth="1"/>
    <col min="23" max="24" width="12.6640625" style="1" hidden="1" customWidth="1"/>
    <col min="25" max="25" width="8.6640625" style="1" hidden="1" customWidth="1"/>
    <col min="26" max="26" width="8.1640625" style="1" customWidth="1"/>
    <col min="27" max="27" width="9" style="1" customWidth="1"/>
    <col min="28" max="31" width="11.1640625" style="1" customWidth="1"/>
    <col min="32" max="32" width="6.83203125" style="1" customWidth="1"/>
    <col min="33" max="33" width="10.33203125" style="1" customWidth="1"/>
    <col min="34" max="34" width="8.1640625" style="1" customWidth="1"/>
    <col min="35" max="35" width="10.83203125" style="1" customWidth="1"/>
    <col min="36" max="36" width="7.1640625" style="1" customWidth="1"/>
    <col min="37" max="37" width="11.1640625" style="1" customWidth="1"/>
    <col min="38" max="38" width="9.33203125" style="1" customWidth="1"/>
    <col min="39" max="39" width="10.1640625" style="1" customWidth="1"/>
    <col min="40" max="40" width="6.83203125" style="1" customWidth="1"/>
    <col min="41" max="41" width="10.33203125" style="1" customWidth="1"/>
    <col min="42" max="42" width="9.33203125" style="1" customWidth="1"/>
    <col min="43" max="43" width="10.1640625" style="1" customWidth="1"/>
    <col min="44" max="44" width="6.83203125" style="1" customWidth="1"/>
    <col min="45" max="45" width="11.1640625" style="1" bestFit="1" customWidth="1"/>
    <col min="46" max="46" width="9.33203125" style="1" customWidth="1"/>
    <col min="47" max="47" width="10.1640625" style="1" customWidth="1"/>
    <col min="48" max="16384" width="9.33203125" style="1"/>
  </cols>
  <sheetData>
    <row r="1" spans="1:47" ht="14.25" thickBot="1" x14ac:dyDescent="0.25">
      <c r="E1" s="1" t="s">
        <v>0</v>
      </c>
      <c r="F1" s="1" t="s">
        <v>1</v>
      </c>
      <c r="H1" s="125">
        <v>200000</v>
      </c>
      <c r="I1" s="125"/>
      <c r="J1" s="1" t="s">
        <v>2</v>
      </c>
      <c r="K1" s="2"/>
      <c r="L1" s="3">
        <v>50000</v>
      </c>
      <c r="N1" s="4" t="s">
        <v>3</v>
      </c>
      <c r="O1" s="5">
        <v>0.15</v>
      </c>
      <c r="P1" s="1" t="s">
        <v>4</v>
      </c>
      <c r="Q1" s="1">
        <v>80</v>
      </c>
      <c r="R1" s="126" t="s">
        <v>5</v>
      </c>
      <c r="S1" s="126"/>
      <c r="T1" s="126"/>
      <c r="U1" s="1" t="s">
        <v>6</v>
      </c>
      <c r="V1" s="1">
        <v>25000</v>
      </c>
    </row>
    <row r="2" spans="1:47" ht="14.25" thickTop="1" x14ac:dyDescent="0.2">
      <c r="K2" s="2"/>
      <c r="O2" s="126" t="s">
        <v>7</v>
      </c>
      <c r="P2" s="126"/>
      <c r="Q2" s="126"/>
      <c r="R2" s="6"/>
      <c r="S2" s="6"/>
      <c r="T2" s="6"/>
      <c r="AF2" s="135" t="s">
        <v>225</v>
      </c>
      <c r="AG2" s="136"/>
      <c r="AH2" s="136"/>
      <c r="AI2" s="92"/>
      <c r="AJ2" s="137" t="s">
        <v>231</v>
      </c>
      <c r="AK2" s="137"/>
      <c r="AL2" s="137"/>
      <c r="AM2" s="137"/>
      <c r="AN2" s="133" t="s">
        <v>249</v>
      </c>
      <c r="AO2" s="134"/>
      <c r="AP2" s="134"/>
      <c r="AQ2" s="134"/>
      <c r="AR2" s="134" t="s">
        <v>250</v>
      </c>
      <c r="AS2" s="134"/>
      <c r="AT2" s="134"/>
      <c r="AU2" s="134"/>
    </row>
    <row r="3" spans="1:47" s="9" customFormat="1" ht="55.5" customHeight="1" x14ac:dyDescent="0.2">
      <c r="A3" s="87" t="s">
        <v>8</v>
      </c>
      <c r="B3" s="87" t="s">
        <v>9</v>
      </c>
      <c r="C3" s="87" t="s">
        <v>10</v>
      </c>
      <c r="D3" s="87" t="s">
        <v>11</v>
      </c>
      <c r="E3" s="87" t="s">
        <v>12</v>
      </c>
      <c r="F3" s="87" t="s">
        <v>13</v>
      </c>
      <c r="G3" s="87" t="s">
        <v>219</v>
      </c>
      <c r="H3" s="87" t="s">
        <v>220</v>
      </c>
      <c r="I3" s="87" t="s">
        <v>14</v>
      </c>
      <c r="J3" s="87" t="s">
        <v>15</v>
      </c>
      <c r="K3" s="87" t="s">
        <v>16</v>
      </c>
      <c r="L3" s="87" t="s">
        <v>17</v>
      </c>
      <c r="M3" s="87" t="s">
        <v>18</v>
      </c>
      <c r="N3" s="87" t="s">
        <v>19</v>
      </c>
      <c r="O3" s="87" t="s">
        <v>20</v>
      </c>
      <c r="P3" s="87" t="s">
        <v>21</v>
      </c>
      <c r="Q3" s="87" t="s">
        <v>22</v>
      </c>
      <c r="R3" s="87" t="s">
        <v>23</v>
      </c>
      <c r="S3" s="87" t="s">
        <v>24</v>
      </c>
      <c r="T3" s="88" t="s">
        <v>25</v>
      </c>
      <c r="U3" s="87" t="s">
        <v>26</v>
      </c>
      <c r="V3" s="87" t="s">
        <v>27</v>
      </c>
      <c r="W3" s="87" t="s">
        <v>28</v>
      </c>
      <c r="X3" s="87" t="s">
        <v>29</v>
      </c>
      <c r="Y3" s="87" t="s">
        <v>227</v>
      </c>
      <c r="Z3" s="87" t="s">
        <v>226</v>
      </c>
      <c r="AA3" s="87" t="s">
        <v>258</v>
      </c>
      <c r="AB3" s="87" t="s">
        <v>233</v>
      </c>
      <c r="AC3" s="87" t="s">
        <v>236</v>
      </c>
      <c r="AD3" s="87" t="s">
        <v>237</v>
      </c>
      <c r="AE3" s="87" t="s">
        <v>28</v>
      </c>
      <c r="AF3" s="23" t="s">
        <v>228</v>
      </c>
      <c r="AG3" s="23" t="s">
        <v>229</v>
      </c>
      <c r="AH3" s="23" t="s">
        <v>230</v>
      </c>
      <c r="AI3" s="79" t="s">
        <v>28</v>
      </c>
      <c r="AJ3" s="23" t="s">
        <v>232</v>
      </c>
      <c r="AK3" s="23" t="s">
        <v>229</v>
      </c>
      <c r="AL3" s="83" t="s">
        <v>230</v>
      </c>
      <c r="AM3" s="79" t="s">
        <v>28</v>
      </c>
      <c r="AN3" s="23" t="s">
        <v>232</v>
      </c>
      <c r="AO3" s="23" t="s">
        <v>229</v>
      </c>
      <c r="AP3" s="83" t="s">
        <v>230</v>
      </c>
      <c r="AQ3" s="79" t="s">
        <v>28</v>
      </c>
      <c r="AR3" s="23" t="s">
        <v>232</v>
      </c>
      <c r="AS3" s="23" t="s">
        <v>229</v>
      </c>
      <c r="AT3" s="83" t="s">
        <v>230</v>
      </c>
      <c r="AU3" s="79" t="s">
        <v>28</v>
      </c>
    </row>
    <row r="4" spans="1:47" x14ac:dyDescent="0.2">
      <c r="A4" s="23">
        <v>73</v>
      </c>
      <c r="B4" s="24" t="s">
        <v>185</v>
      </c>
      <c r="C4" s="49" t="s">
        <v>192</v>
      </c>
      <c r="D4" s="24" t="s">
        <v>193</v>
      </c>
      <c r="E4" s="42" t="s">
        <v>247</v>
      </c>
      <c r="F4" s="42" t="s">
        <v>175</v>
      </c>
      <c r="G4" s="63">
        <v>100</v>
      </c>
      <c r="H4" s="43">
        <v>100</v>
      </c>
      <c r="I4" s="44" t="s">
        <v>176</v>
      </c>
      <c r="J4" s="45">
        <v>835</v>
      </c>
      <c r="K4" s="30">
        <f t="shared" ref="K4:K29" si="0">J4*I4</f>
        <v>150.29999999999998</v>
      </c>
      <c r="L4" s="31">
        <f t="shared" ref="L4:L29" si="1">J4-K4</f>
        <v>684.7</v>
      </c>
      <c r="M4" s="31">
        <f t="shared" ref="M4:M29" si="2">ROUNDUP(J4/(1+I4),2)</f>
        <v>707.63</v>
      </c>
      <c r="N4" s="31">
        <v>707.63</v>
      </c>
      <c r="O4" s="32">
        <f t="shared" ref="O4:O22" si="3">ROUNDUP(0.18*N4,2)</f>
        <v>127.38000000000001</v>
      </c>
      <c r="P4" s="32">
        <f t="shared" ref="P4:P29" si="4">N4-O4</f>
        <v>580.25</v>
      </c>
      <c r="Q4" s="32">
        <f t="shared" ref="Q4:Q29" si="5">P4*H4</f>
        <v>58025</v>
      </c>
      <c r="R4" s="33">
        <v>10.69</v>
      </c>
      <c r="S4" s="32">
        <f t="shared" ref="S4:S10" si="6">ROUNDUP(R4*H4,0)</f>
        <v>1069</v>
      </c>
      <c r="T4" s="34">
        <v>599.72</v>
      </c>
      <c r="U4" s="32">
        <f t="shared" ref="U4:U29" si="7">T4*H4</f>
        <v>59972</v>
      </c>
      <c r="V4" s="32">
        <f t="shared" ref="V4:V29" si="8">80*S4</f>
        <v>85520</v>
      </c>
      <c r="W4" s="32">
        <f t="shared" ref="W4:W29" si="9">V4-U4</f>
        <v>25548</v>
      </c>
      <c r="X4" s="24"/>
      <c r="Y4" s="91">
        <f t="shared" ref="Y4:Y35" si="10">AF4+AJ4+AN4+AR4</f>
        <v>100</v>
      </c>
      <c r="Z4" s="53">
        <f t="shared" ref="Z4:Z35" si="11">H4-Y4</f>
        <v>0</v>
      </c>
      <c r="AA4" s="53">
        <f>AG4+AK4+AO4+AS4+AW4</f>
        <v>59972.000000000007</v>
      </c>
      <c r="AB4" s="53">
        <f>U4-AA4</f>
        <v>0</v>
      </c>
      <c r="AC4" s="53">
        <f t="shared" ref="AC4:AC35" si="12">AH4+AL4+AP4+AT4</f>
        <v>1069</v>
      </c>
      <c r="AD4" s="53">
        <f t="shared" ref="AD4:AD35" si="13">S4-AC4</f>
        <v>0</v>
      </c>
      <c r="AE4" s="53">
        <f t="shared" ref="AE4:AE35" si="14">AI4+AM4+AQ4+AU4</f>
        <v>27151.499999999978</v>
      </c>
      <c r="AF4" s="33"/>
      <c r="AG4" s="80">
        <f t="shared" ref="AG4:AG35" si="15">$T4*AF4</f>
        <v>0</v>
      </c>
      <c r="AH4" s="80">
        <f t="shared" ref="AH4:AH35" si="16">AF4*$R4</f>
        <v>0</v>
      </c>
      <c r="AI4" s="81">
        <f t="shared" ref="AI4:AI35" si="17">(81.5*AH4)-AG4</f>
        <v>0</v>
      </c>
      <c r="AJ4" s="33">
        <v>40</v>
      </c>
      <c r="AK4" s="80">
        <f t="shared" ref="AK4:AK35" si="18">$T4*AJ4</f>
        <v>23988.800000000003</v>
      </c>
      <c r="AL4" s="84">
        <f t="shared" ref="AL4:AL35" si="19">AJ4*$R4</f>
        <v>427.59999999999997</v>
      </c>
      <c r="AM4" s="81">
        <f t="shared" ref="AM4:AM35" si="20">(81.5*AL4)-AK4</f>
        <v>10860.599999999991</v>
      </c>
      <c r="AN4" s="90">
        <v>20</v>
      </c>
      <c r="AO4" s="102">
        <f t="shared" ref="AO4:AO35" si="21">$T4*AN4</f>
        <v>11994.400000000001</v>
      </c>
      <c r="AP4" s="84">
        <f t="shared" ref="AP4:AP35" si="22">AN4*$R4</f>
        <v>213.79999999999998</v>
      </c>
      <c r="AQ4" s="81">
        <f t="shared" ref="AQ4:AQ35" si="23">(81.5*AP4)-AO4</f>
        <v>5430.2999999999956</v>
      </c>
      <c r="AR4" s="121">
        <f>24+2+14</f>
        <v>40</v>
      </c>
      <c r="AS4" s="102">
        <f t="shared" ref="AS4" si="24">$T4*AR4</f>
        <v>23988.800000000003</v>
      </c>
      <c r="AT4" s="84">
        <f t="shared" ref="AT4" si="25">AR4*$R4</f>
        <v>427.59999999999997</v>
      </c>
      <c r="AU4" s="81">
        <f t="shared" ref="AU4" si="26">(81.5*AT4)-AS4</f>
        <v>10860.599999999991</v>
      </c>
    </row>
    <row r="5" spans="1:47" ht="27" x14ac:dyDescent="0.2">
      <c r="A5" s="23">
        <v>46</v>
      </c>
      <c r="B5" s="24" t="s">
        <v>133</v>
      </c>
      <c r="C5" s="24" t="s">
        <v>141</v>
      </c>
      <c r="D5" s="24" t="s">
        <v>142</v>
      </c>
      <c r="E5" s="26" t="s">
        <v>33</v>
      </c>
      <c r="F5" s="26" t="s">
        <v>34</v>
      </c>
      <c r="G5" s="62">
        <v>30</v>
      </c>
      <c r="H5" s="27">
        <v>30</v>
      </c>
      <c r="I5" s="28">
        <v>0.28000000000000003</v>
      </c>
      <c r="J5" s="29">
        <v>867</v>
      </c>
      <c r="K5" s="30">
        <f t="shared" si="0"/>
        <v>242.76000000000002</v>
      </c>
      <c r="L5" s="31">
        <f t="shared" si="1"/>
        <v>624.24</v>
      </c>
      <c r="M5" s="31">
        <f t="shared" si="2"/>
        <v>677.35</v>
      </c>
      <c r="N5" s="31">
        <v>677.34</v>
      </c>
      <c r="O5" s="32">
        <f t="shared" si="3"/>
        <v>121.93</v>
      </c>
      <c r="P5" s="32">
        <f t="shared" si="4"/>
        <v>555.41000000000008</v>
      </c>
      <c r="Q5" s="32">
        <f t="shared" si="5"/>
        <v>16662.300000000003</v>
      </c>
      <c r="R5" s="33">
        <v>9.36</v>
      </c>
      <c r="S5" s="32">
        <f t="shared" si="6"/>
        <v>281</v>
      </c>
      <c r="T5" s="34">
        <v>582.51</v>
      </c>
      <c r="U5" s="32">
        <f t="shared" si="7"/>
        <v>17475.3</v>
      </c>
      <c r="V5" s="32">
        <f t="shared" si="8"/>
        <v>22480</v>
      </c>
      <c r="W5" s="32">
        <f t="shared" si="9"/>
        <v>5004.7000000000007</v>
      </c>
      <c r="X5" s="24"/>
      <c r="Y5" s="91">
        <f t="shared" si="10"/>
        <v>30</v>
      </c>
      <c r="Z5" s="53">
        <f t="shared" si="11"/>
        <v>0</v>
      </c>
      <c r="AA5" s="53">
        <f t="shared" ref="AA5:AA68" si="27">AG5+AK5+AO5+AS5+AW5</f>
        <v>17475.3</v>
      </c>
      <c r="AB5" s="53">
        <f t="shared" ref="AB5:AB68" si="28">U5-AA5</f>
        <v>0</v>
      </c>
      <c r="AC5" s="53">
        <f t="shared" si="12"/>
        <v>280.79999999999995</v>
      </c>
      <c r="AD5" s="53">
        <f t="shared" si="13"/>
        <v>0.20000000000004547</v>
      </c>
      <c r="AE5" s="53">
        <f t="shared" si="14"/>
        <v>5409.8999999999987</v>
      </c>
      <c r="AF5" s="33"/>
      <c r="AG5" s="80">
        <f t="shared" si="15"/>
        <v>0</v>
      </c>
      <c r="AH5" s="80">
        <f t="shared" si="16"/>
        <v>0</v>
      </c>
      <c r="AI5" s="81">
        <f t="shared" si="17"/>
        <v>0</v>
      </c>
      <c r="AJ5" s="33"/>
      <c r="AK5" s="80">
        <f t="shared" si="18"/>
        <v>0</v>
      </c>
      <c r="AL5" s="84">
        <f t="shared" si="19"/>
        <v>0</v>
      </c>
      <c r="AM5" s="81">
        <f t="shared" si="20"/>
        <v>0</v>
      </c>
      <c r="AN5" s="90">
        <f>6+12</f>
        <v>18</v>
      </c>
      <c r="AO5" s="102">
        <f t="shared" si="21"/>
        <v>10485.18</v>
      </c>
      <c r="AP5" s="84">
        <f t="shared" si="22"/>
        <v>168.48</v>
      </c>
      <c r="AQ5" s="81">
        <f t="shared" si="23"/>
        <v>3245.9399999999987</v>
      </c>
      <c r="AR5" s="121">
        <v>12</v>
      </c>
      <c r="AS5" s="102">
        <f t="shared" ref="AS5:AS68" si="29">$T5*AR5</f>
        <v>6990.12</v>
      </c>
      <c r="AT5" s="84">
        <f t="shared" ref="AT5:AT68" si="30">AR5*$R5</f>
        <v>112.32</v>
      </c>
      <c r="AU5" s="81">
        <f t="shared" ref="AU5:AU68" si="31">(81.5*AT5)-AS5</f>
        <v>2163.96</v>
      </c>
    </row>
    <row r="6" spans="1:47" ht="27" x14ac:dyDescent="0.2">
      <c r="A6" s="23">
        <v>43</v>
      </c>
      <c r="B6" s="24" t="s">
        <v>133</v>
      </c>
      <c r="C6" s="24" t="s">
        <v>134</v>
      </c>
      <c r="D6" s="24" t="s">
        <v>135</v>
      </c>
      <c r="E6" s="26" t="s">
        <v>33</v>
      </c>
      <c r="F6" s="26" t="s">
        <v>34</v>
      </c>
      <c r="G6" s="62">
        <v>20</v>
      </c>
      <c r="H6" s="27">
        <v>20</v>
      </c>
      <c r="I6" s="28">
        <v>0.28000000000000003</v>
      </c>
      <c r="J6" s="29">
        <v>3813</v>
      </c>
      <c r="K6" s="30">
        <f t="shared" si="0"/>
        <v>1067.6400000000001</v>
      </c>
      <c r="L6" s="31">
        <f t="shared" si="1"/>
        <v>2745.3599999999997</v>
      </c>
      <c r="M6" s="31">
        <f t="shared" si="2"/>
        <v>2978.9100000000003</v>
      </c>
      <c r="N6" s="31">
        <v>2978.91</v>
      </c>
      <c r="O6" s="32">
        <f t="shared" si="3"/>
        <v>536.21</v>
      </c>
      <c r="P6" s="32">
        <f t="shared" si="4"/>
        <v>2442.6999999999998</v>
      </c>
      <c r="Q6" s="32">
        <f t="shared" si="5"/>
        <v>48854</v>
      </c>
      <c r="R6" s="33">
        <v>41.03</v>
      </c>
      <c r="S6" s="32">
        <f t="shared" si="6"/>
        <v>821</v>
      </c>
      <c r="T6" s="34">
        <v>2561.86</v>
      </c>
      <c r="U6" s="32">
        <f t="shared" si="7"/>
        <v>51237.200000000004</v>
      </c>
      <c r="V6" s="32">
        <f t="shared" si="8"/>
        <v>65680</v>
      </c>
      <c r="W6" s="32">
        <f t="shared" si="9"/>
        <v>14442.799999999996</v>
      </c>
      <c r="X6" s="24"/>
      <c r="Y6" s="91">
        <f t="shared" si="10"/>
        <v>20</v>
      </c>
      <c r="Z6" s="53">
        <f t="shared" si="11"/>
        <v>0</v>
      </c>
      <c r="AA6" s="53">
        <f t="shared" si="27"/>
        <v>51237.2</v>
      </c>
      <c r="AB6" s="53">
        <f t="shared" si="28"/>
        <v>0</v>
      </c>
      <c r="AC6" s="53">
        <f t="shared" si="12"/>
        <v>820.6</v>
      </c>
      <c r="AD6" s="53">
        <f t="shared" si="13"/>
        <v>0.39999999999997726</v>
      </c>
      <c r="AE6" s="53">
        <f t="shared" si="14"/>
        <v>15641.7</v>
      </c>
      <c r="AF6" s="33"/>
      <c r="AG6" s="80">
        <f t="shared" si="15"/>
        <v>0</v>
      </c>
      <c r="AH6" s="80">
        <f t="shared" si="16"/>
        <v>0</v>
      </c>
      <c r="AI6" s="81">
        <f t="shared" si="17"/>
        <v>0</v>
      </c>
      <c r="AJ6" s="33">
        <f>4+4</f>
        <v>8</v>
      </c>
      <c r="AK6" s="80">
        <f t="shared" si="18"/>
        <v>20494.88</v>
      </c>
      <c r="AL6" s="84">
        <f t="shared" si="19"/>
        <v>328.24</v>
      </c>
      <c r="AM6" s="81">
        <f t="shared" si="20"/>
        <v>6256.68</v>
      </c>
      <c r="AN6" s="90">
        <f>1+1+1+1</f>
        <v>4</v>
      </c>
      <c r="AO6" s="102">
        <f t="shared" si="21"/>
        <v>10247.44</v>
      </c>
      <c r="AP6" s="84">
        <f t="shared" si="22"/>
        <v>164.12</v>
      </c>
      <c r="AQ6" s="81">
        <f t="shared" si="23"/>
        <v>3128.34</v>
      </c>
      <c r="AR6" s="121">
        <v>8</v>
      </c>
      <c r="AS6" s="102">
        <f t="shared" si="29"/>
        <v>20494.88</v>
      </c>
      <c r="AT6" s="84">
        <f t="shared" si="30"/>
        <v>328.24</v>
      </c>
      <c r="AU6" s="81">
        <f t="shared" si="31"/>
        <v>6256.68</v>
      </c>
    </row>
    <row r="7" spans="1:47" ht="27" x14ac:dyDescent="0.2">
      <c r="A7" s="23">
        <v>44</v>
      </c>
      <c r="B7" s="24" t="s">
        <v>133</v>
      </c>
      <c r="C7" s="24" t="s">
        <v>136</v>
      </c>
      <c r="D7" s="24" t="s">
        <v>137</v>
      </c>
      <c r="E7" s="26" t="s">
        <v>138</v>
      </c>
      <c r="F7" s="26" t="s">
        <v>34</v>
      </c>
      <c r="G7" s="62">
        <v>30</v>
      </c>
      <c r="H7" s="27">
        <v>30</v>
      </c>
      <c r="I7" s="28">
        <v>0.28000000000000003</v>
      </c>
      <c r="J7" s="29">
        <v>994</v>
      </c>
      <c r="K7" s="30">
        <f t="shared" si="0"/>
        <v>278.32000000000005</v>
      </c>
      <c r="L7" s="31">
        <f t="shared" si="1"/>
        <v>715.68</v>
      </c>
      <c r="M7" s="31">
        <f t="shared" si="2"/>
        <v>776.56999999999994</v>
      </c>
      <c r="N7" s="31">
        <v>776.56</v>
      </c>
      <c r="O7" s="32">
        <f t="shared" si="3"/>
        <v>139.79</v>
      </c>
      <c r="P7" s="32">
        <f t="shared" si="4"/>
        <v>636.77</v>
      </c>
      <c r="Q7" s="32">
        <f t="shared" si="5"/>
        <v>19103.099999999999</v>
      </c>
      <c r="R7" s="33">
        <v>8.36</v>
      </c>
      <c r="S7" s="32">
        <f t="shared" si="6"/>
        <v>251</v>
      </c>
      <c r="T7" s="34">
        <v>667.84</v>
      </c>
      <c r="U7" s="32">
        <f t="shared" si="7"/>
        <v>20035.2</v>
      </c>
      <c r="V7" s="32">
        <f t="shared" si="8"/>
        <v>20080</v>
      </c>
      <c r="W7" s="32">
        <f t="shared" si="9"/>
        <v>44.799999999999272</v>
      </c>
      <c r="X7" s="24"/>
      <c r="Y7" s="91">
        <f t="shared" si="10"/>
        <v>30</v>
      </c>
      <c r="Z7" s="53">
        <f t="shared" si="11"/>
        <v>0</v>
      </c>
      <c r="AA7" s="53">
        <f t="shared" si="27"/>
        <v>20035.199999999997</v>
      </c>
      <c r="AB7" s="53">
        <f t="shared" si="28"/>
        <v>0</v>
      </c>
      <c r="AC7" s="53">
        <f t="shared" si="12"/>
        <v>250.79999999999998</v>
      </c>
      <c r="AD7" s="53">
        <f t="shared" si="13"/>
        <v>0.20000000000001705</v>
      </c>
      <c r="AE7" s="53">
        <f t="shared" si="14"/>
        <v>404.99999999999773</v>
      </c>
      <c r="AF7" s="33"/>
      <c r="AG7" s="80">
        <f t="shared" si="15"/>
        <v>0</v>
      </c>
      <c r="AH7" s="80">
        <f t="shared" si="16"/>
        <v>0</v>
      </c>
      <c r="AI7" s="81">
        <f t="shared" si="17"/>
        <v>0</v>
      </c>
      <c r="AJ7" s="33">
        <v>12</v>
      </c>
      <c r="AK7" s="80">
        <f t="shared" si="18"/>
        <v>8014.08</v>
      </c>
      <c r="AL7" s="84">
        <f t="shared" si="19"/>
        <v>100.32</v>
      </c>
      <c r="AM7" s="81">
        <f t="shared" si="20"/>
        <v>161.99999999999909</v>
      </c>
      <c r="AN7" s="90">
        <f>1+1+1+1+1+1</f>
        <v>6</v>
      </c>
      <c r="AO7" s="102">
        <f t="shared" si="21"/>
        <v>4007.04</v>
      </c>
      <c r="AP7" s="84">
        <f t="shared" si="22"/>
        <v>50.16</v>
      </c>
      <c r="AQ7" s="81">
        <f t="shared" si="23"/>
        <v>80.999999999999545</v>
      </c>
      <c r="AR7" s="121">
        <f>4+8</f>
        <v>12</v>
      </c>
      <c r="AS7" s="102">
        <f t="shared" si="29"/>
        <v>8014.08</v>
      </c>
      <c r="AT7" s="84">
        <f t="shared" si="30"/>
        <v>100.32</v>
      </c>
      <c r="AU7" s="81">
        <f t="shared" si="31"/>
        <v>161.99999999999909</v>
      </c>
    </row>
    <row r="8" spans="1:47" ht="27" x14ac:dyDescent="0.2">
      <c r="A8" s="23">
        <v>45</v>
      </c>
      <c r="B8" s="24" t="s">
        <v>133</v>
      </c>
      <c r="C8" s="24" t="s">
        <v>139</v>
      </c>
      <c r="D8" s="24" t="s">
        <v>140</v>
      </c>
      <c r="E8" s="26" t="s">
        <v>138</v>
      </c>
      <c r="F8" s="26" t="s">
        <v>34</v>
      </c>
      <c r="G8" s="62">
        <v>30</v>
      </c>
      <c r="H8" s="27">
        <v>30</v>
      </c>
      <c r="I8" s="28">
        <v>0.28000000000000003</v>
      </c>
      <c r="J8" s="29">
        <v>994</v>
      </c>
      <c r="K8" s="30">
        <f t="shared" si="0"/>
        <v>278.32000000000005</v>
      </c>
      <c r="L8" s="31">
        <f t="shared" si="1"/>
        <v>715.68</v>
      </c>
      <c r="M8" s="31">
        <f t="shared" si="2"/>
        <v>776.56999999999994</v>
      </c>
      <c r="N8" s="31">
        <v>776.56</v>
      </c>
      <c r="O8" s="32">
        <f t="shared" si="3"/>
        <v>139.79</v>
      </c>
      <c r="P8" s="32">
        <f t="shared" si="4"/>
        <v>636.77</v>
      </c>
      <c r="Q8" s="32">
        <f t="shared" si="5"/>
        <v>19103.099999999999</v>
      </c>
      <c r="R8" s="33">
        <v>8.36</v>
      </c>
      <c r="S8" s="32">
        <f t="shared" si="6"/>
        <v>251</v>
      </c>
      <c r="T8" s="34">
        <v>667.84</v>
      </c>
      <c r="U8" s="32">
        <f t="shared" si="7"/>
        <v>20035.2</v>
      </c>
      <c r="V8" s="32">
        <f t="shared" si="8"/>
        <v>20080</v>
      </c>
      <c r="W8" s="32">
        <f t="shared" si="9"/>
        <v>44.799999999999272</v>
      </c>
      <c r="X8" s="24"/>
      <c r="Y8" s="91">
        <f t="shared" si="10"/>
        <v>30</v>
      </c>
      <c r="Z8" s="53">
        <f t="shared" si="11"/>
        <v>0</v>
      </c>
      <c r="AA8" s="53">
        <f t="shared" si="27"/>
        <v>20035.199999999997</v>
      </c>
      <c r="AB8" s="53">
        <f t="shared" si="28"/>
        <v>0</v>
      </c>
      <c r="AC8" s="53">
        <f t="shared" si="12"/>
        <v>250.79999999999998</v>
      </c>
      <c r="AD8" s="53">
        <f t="shared" si="13"/>
        <v>0.20000000000001705</v>
      </c>
      <c r="AE8" s="53">
        <f t="shared" si="14"/>
        <v>404.99999999999773</v>
      </c>
      <c r="AF8" s="33"/>
      <c r="AG8" s="80">
        <f t="shared" si="15"/>
        <v>0</v>
      </c>
      <c r="AH8" s="80">
        <f t="shared" si="16"/>
        <v>0</v>
      </c>
      <c r="AI8" s="81">
        <f t="shared" si="17"/>
        <v>0</v>
      </c>
      <c r="AJ8" s="33">
        <v>12</v>
      </c>
      <c r="AK8" s="80">
        <f t="shared" si="18"/>
        <v>8014.08</v>
      </c>
      <c r="AL8" s="84">
        <f t="shared" si="19"/>
        <v>100.32</v>
      </c>
      <c r="AM8" s="81">
        <f t="shared" si="20"/>
        <v>161.99999999999909</v>
      </c>
      <c r="AN8" s="90">
        <f>1+1+1+1+1+1</f>
        <v>6</v>
      </c>
      <c r="AO8" s="102">
        <f t="shared" si="21"/>
        <v>4007.04</v>
      </c>
      <c r="AP8" s="84">
        <f t="shared" si="22"/>
        <v>50.16</v>
      </c>
      <c r="AQ8" s="81">
        <f t="shared" si="23"/>
        <v>80.999999999999545</v>
      </c>
      <c r="AR8" s="121">
        <v>12</v>
      </c>
      <c r="AS8" s="102">
        <f t="shared" si="29"/>
        <v>8014.08</v>
      </c>
      <c r="AT8" s="84">
        <f t="shared" si="30"/>
        <v>100.32</v>
      </c>
      <c r="AU8" s="81">
        <f t="shared" si="31"/>
        <v>161.99999999999909</v>
      </c>
    </row>
    <row r="9" spans="1:47" ht="27" x14ac:dyDescent="0.2">
      <c r="A9" s="23">
        <v>49</v>
      </c>
      <c r="B9" s="24" t="s">
        <v>133</v>
      </c>
      <c r="C9" s="24" t="s">
        <v>147</v>
      </c>
      <c r="D9" s="24" t="s">
        <v>148</v>
      </c>
      <c r="E9" s="26" t="s">
        <v>33</v>
      </c>
      <c r="F9" s="26" t="s">
        <v>34</v>
      </c>
      <c r="G9" s="62">
        <v>30</v>
      </c>
      <c r="H9" s="27">
        <v>30</v>
      </c>
      <c r="I9" s="28">
        <v>0.28000000000000003</v>
      </c>
      <c r="J9" s="29">
        <v>121</v>
      </c>
      <c r="K9" s="30">
        <f t="shared" si="0"/>
        <v>33.880000000000003</v>
      </c>
      <c r="L9" s="31">
        <f t="shared" si="1"/>
        <v>87.12</v>
      </c>
      <c r="M9" s="31">
        <f t="shared" si="2"/>
        <v>94.54</v>
      </c>
      <c r="N9" s="31">
        <v>94.53</v>
      </c>
      <c r="O9" s="32">
        <f t="shared" si="3"/>
        <v>17.020000000000003</v>
      </c>
      <c r="P9" s="32">
        <f t="shared" si="4"/>
        <v>77.509999999999991</v>
      </c>
      <c r="Q9" s="32">
        <f t="shared" si="5"/>
        <v>2325.2999999999997</v>
      </c>
      <c r="R9" s="33">
        <v>1.32</v>
      </c>
      <c r="S9" s="32">
        <f t="shared" si="6"/>
        <v>40</v>
      </c>
      <c r="T9" s="34">
        <v>81.3</v>
      </c>
      <c r="U9" s="32">
        <f t="shared" si="7"/>
        <v>2439</v>
      </c>
      <c r="V9" s="32">
        <f t="shared" si="8"/>
        <v>3200</v>
      </c>
      <c r="W9" s="32">
        <f t="shared" si="9"/>
        <v>761</v>
      </c>
      <c r="X9" s="24"/>
      <c r="Y9" s="91">
        <f t="shared" si="10"/>
        <v>30</v>
      </c>
      <c r="Z9" s="53">
        <f t="shared" si="11"/>
        <v>0</v>
      </c>
      <c r="AA9" s="53">
        <f t="shared" si="27"/>
        <v>2439</v>
      </c>
      <c r="AB9" s="53">
        <f t="shared" si="28"/>
        <v>0</v>
      </c>
      <c r="AC9" s="53">
        <f t="shared" si="12"/>
        <v>39.599999999999994</v>
      </c>
      <c r="AD9" s="53">
        <f t="shared" si="13"/>
        <v>0.40000000000000568</v>
      </c>
      <c r="AE9" s="53">
        <f t="shared" si="14"/>
        <v>788.40000000000032</v>
      </c>
      <c r="AF9" s="33"/>
      <c r="AG9" s="80">
        <f t="shared" si="15"/>
        <v>0</v>
      </c>
      <c r="AH9" s="80">
        <f t="shared" si="16"/>
        <v>0</v>
      </c>
      <c r="AI9" s="81">
        <f t="shared" si="17"/>
        <v>0</v>
      </c>
      <c r="AJ9" s="33">
        <f>6+6</f>
        <v>12</v>
      </c>
      <c r="AK9" s="80">
        <f t="shared" si="18"/>
        <v>975.59999999999991</v>
      </c>
      <c r="AL9" s="84">
        <f t="shared" si="19"/>
        <v>15.84</v>
      </c>
      <c r="AM9" s="81">
        <f t="shared" si="20"/>
        <v>315.36000000000013</v>
      </c>
      <c r="AN9" s="90">
        <v>6</v>
      </c>
      <c r="AO9" s="102">
        <f t="shared" si="21"/>
        <v>487.79999999999995</v>
      </c>
      <c r="AP9" s="84">
        <f t="shared" si="22"/>
        <v>7.92</v>
      </c>
      <c r="AQ9" s="81">
        <f t="shared" si="23"/>
        <v>157.68000000000006</v>
      </c>
      <c r="AR9" s="121">
        <f>4+8</f>
        <v>12</v>
      </c>
      <c r="AS9" s="102">
        <f t="shared" si="29"/>
        <v>975.59999999999991</v>
      </c>
      <c r="AT9" s="84">
        <f t="shared" si="30"/>
        <v>15.84</v>
      </c>
      <c r="AU9" s="81">
        <f t="shared" si="31"/>
        <v>315.36000000000013</v>
      </c>
    </row>
    <row r="10" spans="1:47" ht="27" x14ac:dyDescent="0.2">
      <c r="A10" s="23">
        <v>50</v>
      </c>
      <c r="B10" s="24" t="s">
        <v>133</v>
      </c>
      <c r="C10" s="24" t="s">
        <v>149</v>
      </c>
      <c r="D10" s="24" t="s">
        <v>150</v>
      </c>
      <c r="E10" s="26" t="s">
        <v>33</v>
      </c>
      <c r="F10" s="26" t="s">
        <v>34</v>
      </c>
      <c r="G10" s="62">
        <v>30</v>
      </c>
      <c r="H10" s="27">
        <v>30</v>
      </c>
      <c r="I10" s="28">
        <v>0.28000000000000003</v>
      </c>
      <c r="J10" s="29">
        <v>121</v>
      </c>
      <c r="K10" s="30">
        <f t="shared" si="0"/>
        <v>33.880000000000003</v>
      </c>
      <c r="L10" s="31">
        <f t="shared" si="1"/>
        <v>87.12</v>
      </c>
      <c r="M10" s="31">
        <f t="shared" si="2"/>
        <v>94.54</v>
      </c>
      <c r="N10" s="31">
        <v>94.53</v>
      </c>
      <c r="O10" s="32">
        <f t="shared" si="3"/>
        <v>17.020000000000003</v>
      </c>
      <c r="P10" s="32">
        <f t="shared" si="4"/>
        <v>77.509999999999991</v>
      </c>
      <c r="Q10" s="32">
        <f t="shared" si="5"/>
        <v>2325.2999999999997</v>
      </c>
      <c r="R10" s="33">
        <v>1.32</v>
      </c>
      <c r="S10" s="32">
        <f t="shared" si="6"/>
        <v>40</v>
      </c>
      <c r="T10" s="34">
        <v>81.3</v>
      </c>
      <c r="U10" s="32">
        <f t="shared" si="7"/>
        <v>2439</v>
      </c>
      <c r="V10" s="32">
        <f t="shared" si="8"/>
        <v>3200</v>
      </c>
      <c r="W10" s="32">
        <f t="shared" si="9"/>
        <v>761</v>
      </c>
      <c r="X10" s="24"/>
      <c r="Y10" s="91">
        <f t="shared" si="10"/>
        <v>30</v>
      </c>
      <c r="Z10" s="53">
        <f t="shared" si="11"/>
        <v>0</v>
      </c>
      <c r="AA10" s="53">
        <f t="shared" si="27"/>
        <v>2439</v>
      </c>
      <c r="AB10" s="53">
        <f t="shared" si="28"/>
        <v>0</v>
      </c>
      <c r="AC10" s="53">
        <f t="shared" si="12"/>
        <v>39.599999999999994</v>
      </c>
      <c r="AD10" s="53">
        <f t="shared" si="13"/>
        <v>0.40000000000000568</v>
      </c>
      <c r="AE10" s="53">
        <f t="shared" si="14"/>
        <v>788.40000000000032</v>
      </c>
      <c r="AF10" s="33"/>
      <c r="AG10" s="80">
        <f t="shared" si="15"/>
        <v>0</v>
      </c>
      <c r="AH10" s="80">
        <f t="shared" si="16"/>
        <v>0</v>
      </c>
      <c r="AI10" s="81">
        <f t="shared" si="17"/>
        <v>0</v>
      </c>
      <c r="AJ10" s="33">
        <f>6+6</f>
        <v>12</v>
      </c>
      <c r="AK10" s="80">
        <f t="shared" si="18"/>
        <v>975.59999999999991</v>
      </c>
      <c r="AL10" s="84">
        <f t="shared" si="19"/>
        <v>15.84</v>
      </c>
      <c r="AM10" s="81">
        <f t="shared" si="20"/>
        <v>315.36000000000013</v>
      </c>
      <c r="AN10" s="90">
        <v>6</v>
      </c>
      <c r="AO10" s="102">
        <f t="shared" si="21"/>
        <v>487.79999999999995</v>
      </c>
      <c r="AP10" s="84">
        <f t="shared" si="22"/>
        <v>7.92</v>
      </c>
      <c r="AQ10" s="81">
        <f t="shared" si="23"/>
        <v>157.68000000000006</v>
      </c>
      <c r="AR10" s="121">
        <v>12</v>
      </c>
      <c r="AS10" s="102">
        <f t="shared" si="29"/>
        <v>975.59999999999991</v>
      </c>
      <c r="AT10" s="84">
        <f t="shared" si="30"/>
        <v>15.84</v>
      </c>
      <c r="AU10" s="81">
        <f t="shared" si="31"/>
        <v>315.36000000000013</v>
      </c>
    </row>
    <row r="11" spans="1:47" ht="27" x14ac:dyDescent="0.2">
      <c r="A11" s="23">
        <v>48</v>
      </c>
      <c r="B11" s="24" t="s">
        <v>133</v>
      </c>
      <c r="C11" s="24" t="s">
        <v>145</v>
      </c>
      <c r="D11" s="24" t="s">
        <v>146</v>
      </c>
      <c r="E11" s="26" t="s">
        <v>33</v>
      </c>
      <c r="F11" s="26" t="s">
        <v>34</v>
      </c>
      <c r="G11" s="62">
        <v>30</v>
      </c>
      <c r="H11" s="27">
        <v>30</v>
      </c>
      <c r="I11" s="28">
        <v>0.28000000000000003</v>
      </c>
      <c r="J11" s="29">
        <v>188</v>
      </c>
      <c r="K11" s="30">
        <f t="shared" si="0"/>
        <v>52.640000000000008</v>
      </c>
      <c r="L11" s="31">
        <f t="shared" si="1"/>
        <v>135.35999999999999</v>
      </c>
      <c r="M11" s="31">
        <f t="shared" si="2"/>
        <v>146.88</v>
      </c>
      <c r="N11" s="31">
        <v>146.88</v>
      </c>
      <c r="O11" s="32">
        <f t="shared" si="3"/>
        <v>26.44</v>
      </c>
      <c r="P11" s="32">
        <f t="shared" si="4"/>
        <v>120.44</v>
      </c>
      <c r="Q11" s="32">
        <f t="shared" si="5"/>
        <v>3613.2</v>
      </c>
      <c r="R11" s="33">
        <v>2.04</v>
      </c>
      <c r="S11" s="32">
        <f>ROUND(R11*H11,0)</f>
        <v>61</v>
      </c>
      <c r="T11" s="34">
        <v>126.32</v>
      </c>
      <c r="U11" s="32">
        <f t="shared" si="7"/>
        <v>3789.6</v>
      </c>
      <c r="V11" s="32">
        <f t="shared" si="8"/>
        <v>4880</v>
      </c>
      <c r="W11" s="32">
        <f t="shared" si="9"/>
        <v>1090.4000000000001</v>
      </c>
      <c r="X11" s="24"/>
      <c r="Y11" s="91">
        <f t="shared" si="10"/>
        <v>30</v>
      </c>
      <c r="Z11" s="53">
        <f t="shared" si="11"/>
        <v>0</v>
      </c>
      <c r="AA11" s="53">
        <f t="shared" si="27"/>
        <v>3789.5999999999995</v>
      </c>
      <c r="AB11" s="53">
        <f t="shared" si="28"/>
        <v>0</v>
      </c>
      <c r="AC11" s="53">
        <f t="shared" si="12"/>
        <v>61.2</v>
      </c>
      <c r="AD11" s="53">
        <f t="shared" si="13"/>
        <v>-0.20000000000000284</v>
      </c>
      <c r="AE11" s="53">
        <f t="shared" si="14"/>
        <v>1198.2000000000005</v>
      </c>
      <c r="AF11" s="33"/>
      <c r="AG11" s="80">
        <f t="shared" si="15"/>
        <v>0</v>
      </c>
      <c r="AH11" s="80">
        <f t="shared" si="16"/>
        <v>0</v>
      </c>
      <c r="AI11" s="81">
        <f t="shared" si="17"/>
        <v>0</v>
      </c>
      <c r="AJ11" s="33">
        <f>6+6</f>
        <v>12</v>
      </c>
      <c r="AK11" s="80">
        <f t="shared" si="18"/>
        <v>1515.84</v>
      </c>
      <c r="AL11" s="84">
        <f t="shared" si="19"/>
        <v>24.48</v>
      </c>
      <c r="AM11" s="81">
        <f t="shared" si="20"/>
        <v>479.2800000000002</v>
      </c>
      <c r="AN11" s="90">
        <v>6</v>
      </c>
      <c r="AO11" s="102">
        <f t="shared" si="21"/>
        <v>757.92</v>
      </c>
      <c r="AP11" s="84">
        <f t="shared" si="22"/>
        <v>12.24</v>
      </c>
      <c r="AQ11" s="81">
        <f t="shared" si="23"/>
        <v>239.6400000000001</v>
      </c>
      <c r="AR11" s="121">
        <v>12</v>
      </c>
      <c r="AS11" s="102">
        <f t="shared" si="29"/>
        <v>1515.84</v>
      </c>
      <c r="AT11" s="84">
        <f t="shared" si="30"/>
        <v>24.48</v>
      </c>
      <c r="AU11" s="81">
        <f t="shared" si="31"/>
        <v>479.2800000000002</v>
      </c>
    </row>
    <row r="12" spans="1:47" ht="27" x14ac:dyDescent="0.2">
      <c r="A12" s="23">
        <v>47</v>
      </c>
      <c r="B12" s="24" t="s">
        <v>133</v>
      </c>
      <c r="C12" s="24" t="s">
        <v>143</v>
      </c>
      <c r="D12" s="24" t="s">
        <v>144</v>
      </c>
      <c r="E12" s="26" t="s">
        <v>33</v>
      </c>
      <c r="F12" s="26" t="s">
        <v>34</v>
      </c>
      <c r="G12" s="62">
        <v>30</v>
      </c>
      <c r="H12" s="27">
        <v>30</v>
      </c>
      <c r="I12" s="28">
        <v>0.28000000000000003</v>
      </c>
      <c r="J12" s="29">
        <v>188</v>
      </c>
      <c r="K12" s="30">
        <f t="shared" si="0"/>
        <v>52.640000000000008</v>
      </c>
      <c r="L12" s="31">
        <f t="shared" si="1"/>
        <v>135.35999999999999</v>
      </c>
      <c r="M12" s="31">
        <f t="shared" si="2"/>
        <v>146.88</v>
      </c>
      <c r="N12" s="31">
        <v>146.88</v>
      </c>
      <c r="O12" s="32">
        <f t="shared" si="3"/>
        <v>26.44</v>
      </c>
      <c r="P12" s="32">
        <f t="shared" si="4"/>
        <v>120.44</v>
      </c>
      <c r="Q12" s="32">
        <f t="shared" si="5"/>
        <v>3613.2</v>
      </c>
      <c r="R12" s="33">
        <v>2.04</v>
      </c>
      <c r="S12" s="32">
        <f>ROUND(R12*H12,0)</f>
        <v>61</v>
      </c>
      <c r="T12" s="34">
        <v>126.32</v>
      </c>
      <c r="U12" s="32">
        <f t="shared" si="7"/>
        <v>3789.6</v>
      </c>
      <c r="V12" s="32">
        <f t="shared" si="8"/>
        <v>4880</v>
      </c>
      <c r="W12" s="32">
        <f t="shared" si="9"/>
        <v>1090.4000000000001</v>
      </c>
      <c r="X12" s="24"/>
      <c r="Y12" s="91">
        <f t="shared" si="10"/>
        <v>30</v>
      </c>
      <c r="Z12" s="53">
        <f t="shared" si="11"/>
        <v>0</v>
      </c>
      <c r="AA12" s="53">
        <f t="shared" si="27"/>
        <v>3789.5999999999995</v>
      </c>
      <c r="AB12" s="53">
        <f t="shared" si="28"/>
        <v>0</v>
      </c>
      <c r="AC12" s="53">
        <f t="shared" si="12"/>
        <v>61.2</v>
      </c>
      <c r="AD12" s="53">
        <f t="shared" si="13"/>
        <v>-0.20000000000000284</v>
      </c>
      <c r="AE12" s="53">
        <f t="shared" si="14"/>
        <v>1198.2000000000005</v>
      </c>
      <c r="AF12" s="33"/>
      <c r="AG12" s="80">
        <f t="shared" si="15"/>
        <v>0</v>
      </c>
      <c r="AH12" s="80">
        <f t="shared" si="16"/>
        <v>0</v>
      </c>
      <c r="AI12" s="81">
        <f t="shared" si="17"/>
        <v>0</v>
      </c>
      <c r="AJ12" s="33">
        <f>6+6</f>
        <v>12</v>
      </c>
      <c r="AK12" s="80">
        <f t="shared" si="18"/>
        <v>1515.84</v>
      </c>
      <c r="AL12" s="84">
        <f t="shared" si="19"/>
        <v>24.48</v>
      </c>
      <c r="AM12" s="81">
        <f t="shared" si="20"/>
        <v>479.2800000000002</v>
      </c>
      <c r="AN12" s="90">
        <v>6</v>
      </c>
      <c r="AO12" s="102">
        <f t="shared" si="21"/>
        <v>757.92</v>
      </c>
      <c r="AP12" s="84">
        <f t="shared" si="22"/>
        <v>12.24</v>
      </c>
      <c r="AQ12" s="81">
        <f t="shared" si="23"/>
        <v>239.6400000000001</v>
      </c>
      <c r="AR12" s="121">
        <v>12</v>
      </c>
      <c r="AS12" s="102">
        <f t="shared" si="29"/>
        <v>1515.84</v>
      </c>
      <c r="AT12" s="84">
        <f t="shared" si="30"/>
        <v>24.48</v>
      </c>
      <c r="AU12" s="81">
        <f t="shared" si="31"/>
        <v>479.2800000000002</v>
      </c>
    </row>
    <row r="13" spans="1:47" ht="27" x14ac:dyDescent="0.2">
      <c r="A13" s="23">
        <v>81</v>
      </c>
      <c r="B13" s="24" t="s">
        <v>197</v>
      </c>
      <c r="C13" s="50" t="s">
        <v>206</v>
      </c>
      <c r="D13" s="24" t="s">
        <v>207</v>
      </c>
      <c r="E13" s="42" t="s">
        <v>138</v>
      </c>
      <c r="F13" s="42" t="s">
        <v>175</v>
      </c>
      <c r="G13" s="63">
        <v>20</v>
      </c>
      <c r="H13" s="43">
        <v>20</v>
      </c>
      <c r="I13" s="44" t="s">
        <v>179</v>
      </c>
      <c r="J13" s="34">
        <v>324</v>
      </c>
      <c r="K13" s="30">
        <f t="shared" si="0"/>
        <v>90.720000000000013</v>
      </c>
      <c r="L13" s="31">
        <f t="shared" si="1"/>
        <v>233.27999999999997</v>
      </c>
      <c r="M13" s="31">
        <f t="shared" si="2"/>
        <v>253.13</v>
      </c>
      <c r="N13" s="31">
        <v>2978.91</v>
      </c>
      <c r="O13" s="32">
        <f t="shared" si="3"/>
        <v>536.21</v>
      </c>
      <c r="P13" s="32">
        <f t="shared" si="4"/>
        <v>2442.6999999999998</v>
      </c>
      <c r="Q13" s="32">
        <f t="shared" si="5"/>
        <v>48854</v>
      </c>
      <c r="R13" s="33">
        <v>48.77</v>
      </c>
      <c r="S13" s="32">
        <f>ROUND(R13*H13,0)</f>
        <v>975</v>
      </c>
      <c r="T13" s="34">
        <v>2561.86</v>
      </c>
      <c r="U13" s="32">
        <f t="shared" si="7"/>
        <v>51237.200000000004</v>
      </c>
      <c r="V13" s="32">
        <f t="shared" si="8"/>
        <v>78000</v>
      </c>
      <c r="W13" s="32">
        <f t="shared" si="9"/>
        <v>26762.799999999996</v>
      </c>
      <c r="X13" s="24"/>
      <c r="Y13" s="91">
        <f t="shared" si="10"/>
        <v>20</v>
      </c>
      <c r="Z13" s="53">
        <f t="shared" si="11"/>
        <v>0</v>
      </c>
      <c r="AA13" s="53">
        <f t="shared" si="27"/>
        <v>51237.2</v>
      </c>
      <c r="AB13" s="53">
        <f t="shared" si="28"/>
        <v>0</v>
      </c>
      <c r="AC13" s="53">
        <f t="shared" si="12"/>
        <v>975.40000000000009</v>
      </c>
      <c r="AD13" s="53">
        <f t="shared" si="13"/>
        <v>-0.40000000000009095</v>
      </c>
      <c r="AE13" s="53">
        <f t="shared" si="14"/>
        <v>28257.899999999998</v>
      </c>
      <c r="AF13" s="33"/>
      <c r="AG13" s="80">
        <f t="shared" si="15"/>
        <v>0</v>
      </c>
      <c r="AH13" s="80">
        <f t="shared" si="16"/>
        <v>0</v>
      </c>
      <c r="AI13" s="81">
        <f t="shared" si="17"/>
        <v>0</v>
      </c>
      <c r="AJ13" s="33">
        <v>8</v>
      </c>
      <c r="AK13" s="80">
        <f t="shared" si="18"/>
        <v>20494.88</v>
      </c>
      <c r="AL13" s="84">
        <f t="shared" si="19"/>
        <v>390.16</v>
      </c>
      <c r="AM13" s="81">
        <f t="shared" si="20"/>
        <v>11303.16</v>
      </c>
      <c r="AN13" s="90">
        <v>4</v>
      </c>
      <c r="AO13" s="102">
        <f t="shared" si="21"/>
        <v>10247.44</v>
      </c>
      <c r="AP13" s="84">
        <f t="shared" si="22"/>
        <v>195.08</v>
      </c>
      <c r="AQ13" s="81">
        <f t="shared" si="23"/>
        <v>5651.58</v>
      </c>
      <c r="AR13" s="121">
        <v>8</v>
      </c>
      <c r="AS13" s="102">
        <f t="shared" si="29"/>
        <v>20494.88</v>
      </c>
      <c r="AT13" s="84">
        <f t="shared" si="30"/>
        <v>390.16</v>
      </c>
      <c r="AU13" s="81">
        <f t="shared" si="31"/>
        <v>11303.16</v>
      </c>
    </row>
    <row r="14" spans="1:47" ht="27" x14ac:dyDescent="0.2">
      <c r="A14" s="23">
        <v>79</v>
      </c>
      <c r="B14" s="24" t="s">
        <v>197</v>
      </c>
      <c r="C14" s="50" t="s">
        <v>202</v>
      </c>
      <c r="D14" s="24" t="s">
        <v>203</v>
      </c>
      <c r="E14" s="42" t="s">
        <v>138</v>
      </c>
      <c r="F14" s="42" t="s">
        <v>175</v>
      </c>
      <c r="G14" s="63">
        <v>20</v>
      </c>
      <c r="H14" s="43">
        <v>20</v>
      </c>
      <c r="I14" s="44" t="s">
        <v>179</v>
      </c>
      <c r="J14" s="34">
        <v>3813</v>
      </c>
      <c r="K14" s="30">
        <f t="shared" si="0"/>
        <v>1067.6400000000001</v>
      </c>
      <c r="L14" s="31">
        <f t="shared" si="1"/>
        <v>2745.3599999999997</v>
      </c>
      <c r="M14" s="31">
        <f t="shared" si="2"/>
        <v>2978.9100000000003</v>
      </c>
      <c r="N14" s="31">
        <v>2978.91</v>
      </c>
      <c r="O14" s="32">
        <f t="shared" si="3"/>
        <v>536.21</v>
      </c>
      <c r="P14" s="32">
        <f t="shared" si="4"/>
        <v>2442.6999999999998</v>
      </c>
      <c r="Q14" s="32">
        <f t="shared" si="5"/>
        <v>48854</v>
      </c>
      <c r="R14" s="33">
        <v>48.77</v>
      </c>
      <c r="S14" s="32">
        <f>ROUND(R14*H14,0)</f>
        <v>975</v>
      </c>
      <c r="T14" s="34">
        <v>2561.86</v>
      </c>
      <c r="U14" s="32">
        <f t="shared" si="7"/>
        <v>51237.200000000004</v>
      </c>
      <c r="V14" s="32">
        <f t="shared" si="8"/>
        <v>78000</v>
      </c>
      <c r="W14" s="32">
        <f t="shared" si="9"/>
        <v>26762.799999999996</v>
      </c>
      <c r="X14" s="24"/>
      <c r="Y14" s="91">
        <f t="shared" si="10"/>
        <v>20</v>
      </c>
      <c r="Z14" s="53">
        <f t="shared" si="11"/>
        <v>0</v>
      </c>
      <c r="AA14" s="53">
        <f t="shared" si="27"/>
        <v>51237.200000000004</v>
      </c>
      <c r="AB14" s="53">
        <f t="shared" si="28"/>
        <v>0</v>
      </c>
      <c r="AC14" s="53">
        <f t="shared" si="12"/>
        <v>975.40000000000009</v>
      </c>
      <c r="AD14" s="53">
        <f t="shared" si="13"/>
        <v>-0.40000000000009095</v>
      </c>
      <c r="AE14" s="53">
        <f t="shared" si="14"/>
        <v>28257.9</v>
      </c>
      <c r="AF14" s="33">
        <v>10</v>
      </c>
      <c r="AG14" s="80">
        <f t="shared" si="15"/>
        <v>25618.600000000002</v>
      </c>
      <c r="AH14" s="80">
        <f t="shared" si="16"/>
        <v>487.70000000000005</v>
      </c>
      <c r="AI14" s="81">
        <f t="shared" si="17"/>
        <v>14128.95</v>
      </c>
      <c r="AJ14" s="33">
        <f>8</f>
        <v>8</v>
      </c>
      <c r="AK14" s="80">
        <f t="shared" si="18"/>
        <v>20494.88</v>
      </c>
      <c r="AL14" s="84">
        <f t="shared" si="19"/>
        <v>390.16</v>
      </c>
      <c r="AM14" s="81">
        <f t="shared" si="20"/>
        <v>11303.16</v>
      </c>
      <c r="AN14" s="90">
        <v>2</v>
      </c>
      <c r="AO14" s="102">
        <f t="shared" si="21"/>
        <v>5123.72</v>
      </c>
      <c r="AP14" s="84">
        <f t="shared" si="22"/>
        <v>97.54</v>
      </c>
      <c r="AQ14" s="81">
        <f t="shared" si="23"/>
        <v>2825.79</v>
      </c>
      <c r="AR14" s="90"/>
      <c r="AS14" s="102">
        <f t="shared" si="29"/>
        <v>0</v>
      </c>
      <c r="AT14" s="84">
        <f t="shared" si="30"/>
        <v>0</v>
      </c>
      <c r="AU14" s="81">
        <f t="shared" si="31"/>
        <v>0</v>
      </c>
    </row>
    <row r="15" spans="1:47" x14ac:dyDescent="0.2">
      <c r="A15" s="23">
        <v>77</v>
      </c>
      <c r="B15" s="24" t="s">
        <v>197</v>
      </c>
      <c r="C15" s="50" t="s">
        <v>198</v>
      </c>
      <c r="D15" s="24" t="s">
        <v>199</v>
      </c>
      <c r="E15" s="42" t="s">
        <v>138</v>
      </c>
      <c r="F15" s="42" t="s">
        <v>175</v>
      </c>
      <c r="G15" s="63">
        <v>10</v>
      </c>
      <c r="H15" s="43">
        <v>10</v>
      </c>
      <c r="I15" s="44" t="s">
        <v>179</v>
      </c>
      <c r="J15" s="34">
        <v>3479</v>
      </c>
      <c r="K15" s="30">
        <f t="shared" si="0"/>
        <v>974.12000000000012</v>
      </c>
      <c r="L15" s="31">
        <f t="shared" si="1"/>
        <v>2504.88</v>
      </c>
      <c r="M15" s="31">
        <f t="shared" si="2"/>
        <v>2717.9700000000003</v>
      </c>
      <c r="N15" s="31">
        <v>2717.97</v>
      </c>
      <c r="O15" s="32">
        <f t="shared" si="3"/>
        <v>489.24</v>
      </c>
      <c r="P15" s="32">
        <f t="shared" si="4"/>
        <v>2228.7299999999996</v>
      </c>
      <c r="Q15" s="32">
        <f t="shared" si="5"/>
        <v>22287.299999999996</v>
      </c>
      <c r="R15" s="33">
        <v>44.5</v>
      </c>
      <c r="S15" s="32">
        <f>ROUNDUP(R15*H15,0)</f>
        <v>445</v>
      </c>
      <c r="T15" s="34">
        <v>2337.4499999999998</v>
      </c>
      <c r="U15" s="32">
        <f t="shared" si="7"/>
        <v>23374.5</v>
      </c>
      <c r="V15" s="32">
        <f t="shared" si="8"/>
        <v>35600</v>
      </c>
      <c r="W15" s="32">
        <f t="shared" si="9"/>
        <v>12225.5</v>
      </c>
      <c r="X15" s="24"/>
      <c r="Y15" s="91">
        <f t="shared" si="10"/>
        <v>10</v>
      </c>
      <c r="Z15" s="53">
        <f t="shared" si="11"/>
        <v>0</v>
      </c>
      <c r="AA15" s="53">
        <f t="shared" si="27"/>
        <v>23374.5</v>
      </c>
      <c r="AB15" s="53">
        <f t="shared" si="28"/>
        <v>0</v>
      </c>
      <c r="AC15" s="53">
        <f t="shared" si="12"/>
        <v>445</v>
      </c>
      <c r="AD15" s="53">
        <f t="shared" si="13"/>
        <v>0</v>
      </c>
      <c r="AE15" s="53">
        <f t="shared" si="14"/>
        <v>12893</v>
      </c>
      <c r="AF15" s="33">
        <v>5</v>
      </c>
      <c r="AG15" s="80">
        <f t="shared" si="15"/>
        <v>11687.25</v>
      </c>
      <c r="AH15" s="80">
        <f t="shared" si="16"/>
        <v>222.5</v>
      </c>
      <c r="AI15" s="81">
        <f t="shared" si="17"/>
        <v>6446.5</v>
      </c>
      <c r="AJ15" s="33">
        <v>5</v>
      </c>
      <c r="AK15" s="80">
        <f t="shared" si="18"/>
        <v>11687.25</v>
      </c>
      <c r="AL15" s="84">
        <f t="shared" si="19"/>
        <v>222.5</v>
      </c>
      <c r="AM15" s="81">
        <f t="shared" si="20"/>
        <v>6446.5</v>
      </c>
      <c r="AN15" s="90"/>
      <c r="AO15" s="102">
        <f t="shared" si="21"/>
        <v>0</v>
      </c>
      <c r="AP15" s="84">
        <f t="shared" si="22"/>
        <v>0</v>
      </c>
      <c r="AQ15" s="81">
        <f t="shared" si="23"/>
        <v>0</v>
      </c>
      <c r="AR15" s="90"/>
      <c r="AS15" s="102">
        <f t="shared" si="29"/>
        <v>0</v>
      </c>
      <c r="AT15" s="84">
        <f t="shared" si="30"/>
        <v>0</v>
      </c>
      <c r="AU15" s="81">
        <f t="shared" si="31"/>
        <v>0</v>
      </c>
    </row>
    <row r="16" spans="1:47" x14ac:dyDescent="0.2">
      <c r="A16" s="23">
        <v>78</v>
      </c>
      <c r="B16" s="24" t="s">
        <v>197</v>
      </c>
      <c r="C16" s="50" t="s">
        <v>200</v>
      </c>
      <c r="D16" s="24" t="s">
        <v>201</v>
      </c>
      <c r="E16" s="42" t="s">
        <v>138</v>
      </c>
      <c r="F16" s="42" t="s">
        <v>175</v>
      </c>
      <c r="G16" s="63">
        <v>10</v>
      </c>
      <c r="H16" s="43">
        <v>10</v>
      </c>
      <c r="I16" s="44" t="s">
        <v>179</v>
      </c>
      <c r="J16" s="34">
        <v>3479</v>
      </c>
      <c r="K16" s="30">
        <f t="shared" si="0"/>
        <v>974.12000000000012</v>
      </c>
      <c r="L16" s="31">
        <f t="shared" si="1"/>
        <v>2504.88</v>
      </c>
      <c r="M16" s="31">
        <f t="shared" si="2"/>
        <v>2717.9700000000003</v>
      </c>
      <c r="N16" s="31">
        <v>2717.97</v>
      </c>
      <c r="O16" s="32">
        <f t="shared" si="3"/>
        <v>489.24</v>
      </c>
      <c r="P16" s="32">
        <f t="shared" si="4"/>
        <v>2228.7299999999996</v>
      </c>
      <c r="Q16" s="32">
        <f t="shared" si="5"/>
        <v>22287.299999999996</v>
      </c>
      <c r="R16" s="33">
        <v>44.5</v>
      </c>
      <c r="S16" s="32">
        <f>ROUNDUP(R16*H16,0)</f>
        <v>445</v>
      </c>
      <c r="T16" s="34">
        <v>2337.4499999999998</v>
      </c>
      <c r="U16" s="32">
        <f t="shared" si="7"/>
        <v>23374.5</v>
      </c>
      <c r="V16" s="32">
        <f t="shared" si="8"/>
        <v>35600</v>
      </c>
      <c r="W16" s="32">
        <f t="shared" si="9"/>
        <v>12225.5</v>
      </c>
      <c r="X16" s="24"/>
      <c r="Y16" s="91">
        <f t="shared" si="10"/>
        <v>10</v>
      </c>
      <c r="Z16" s="53">
        <f t="shared" si="11"/>
        <v>0</v>
      </c>
      <c r="AA16" s="53">
        <f t="shared" si="27"/>
        <v>23374.5</v>
      </c>
      <c r="AB16" s="53">
        <f t="shared" si="28"/>
        <v>0</v>
      </c>
      <c r="AC16" s="53">
        <f t="shared" si="12"/>
        <v>445</v>
      </c>
      <c r="AD16" s="53">
        <f t="shared" si="13"/>
        <v>0</v>
      </c>
      <c r="AE16" s="53">
        <f t="shared" si="14"/>
        <v>12893</v>
      </c>
      <c r="AF16" s="33">
        <v>5</v>
      </c>
      <c r="AG16" s="80">
        <f t="shared" si="15"/>
        <v>11687.25</v>
      </c>
      <c r="AH16" s="80">
        <f t="shared" si="16"/>
        <v>222.5</v>
      </c>
      <c r="AI16" s="81">
        <f t="shared" si="17"/>
        <v>6446.5</v>
      </c>
      <c r="AJ16" s="33">
        <v>5</v>
      </c>
      <c r="AK16" s="80">
        <f t="shared" si="18"/>
        <v>11687.25</v>
      </c>
      <c r="AL16" s="84">
        <f t="shared" si="19"/>
        <v>222.5</v>
      </c>
      <c r="AM16" s="81">
        <f t="shared" si="20"/>
        <v>6446.5</v>
      </c>
      <c r="AN16" s="90"/>
      <c r="AO16" s="102">
        <f t="shared" si="21"/>
        <v>0</v>
      </c>
      <c r="AP16" s="84">
        <f t="shared" si="22"/>
        <v>0</v>
      </c>
      <c r="AQ16" s="81">
        <f t="shared" si="23"/>
        <v>0</v>
      </c>
      <c r="AR16" s="90"/>
      <c r="AS16" s="102">
        <f t="shared" si="29"/>
        <v>0</v>
      </c>
      <c r="AT16" s="84">
        <f t="shared" si="30"/>
        <v>0</v>
      </c>
      <c r="AU16" s="81">
        <f t="shared" si="31"/>
        <v>0</v>
      </c>
    </row>
    <row r="17" spans="1:47" ht="27" x14ac:dyDescent="0.2">
      <c r="A17" s="23">
        <v>83</v>
      </c>
      <c r="B17" s="24" t="s">
        <v>197</v>
      </c>
      <c r="C17" s="50" t="s">
        <v>210</v>
      </c>
      <c r="D17" s="24" t="s">
        <v>211</v>
      </c>
      <c r="E17" s="42" t="s">
        <v>138</v>
      </c>
      <c r="F17" s="42" t="s">
        <v>175</v>
      </c>
      <c r="G17" s="63">
        <v>20</v>
      </c>
      <c r="H17" s="43">
        <v>20</v>
      </c>
      <c r="I17" s="44" t="s">
        <v>179</v>
      </c>
      <c r="J17" s="34">
        <v>1259</v>
      </c>
      <c r="K17" s="30">
        <f t="shared" si="0"/>
        <v>352.52000000000004</v>
      </c>
      <c r="L17" s="31">
        <f t="shared" si="1"/>
        <v>906.48</v>
      </c>
      <c r="M17" s="31">
        <f t="shared" si="2"/>
        <v>983.6</v>
      </c>
      <c r="N17" s="31">
        <v>253.13</v>
      </c>
      <c r="O17" s="32">
        <f t="shared" si="3"/>
        <v>45.57</v>
      </c>
      <c r="P17" s="32">
        <f t="shared" si="4"/>
        <v>207.56</v>
      </c>
      <c r="Q17" s="32">
        <f t="shared" si="5"/>
        <v>4151.2</v>
      </c>
      <c r="R17" s="33">
        <v>4.1500000000000004</v>
      </c>
      <c r="S17" s="32">
        <f>ROUNDUP(R17*H17,0)</f>
        <v>83</v>
      </c>
      <c r="T17" s="34">
        <v>217.69</v>
      </c>
      <c r="U17" s="32">
        <f t="shared" si="7"/>
        <v>4353.8</v>
      </c>
      <c r="V17" s="32">
        <f t="shared" si="8"/>
        <v>6640</v>
      </c>
      <c r="W17" s="32">
        <f t="shared" si="9"/>
        <v>2286.1999999999998</v>
      </c>
      <c r="X17" s="24"/>
      <c r="Y17" s="91">
        <f t="shared" si="10"/>
        <v>20</v>
      </c>
      <c r="Z17" s="53">
        <f t="shared" si="11"/>
        <v>0</v>
      </c>
      <c r="AA17" s="53">
        <f t="shared" si="27"/>
        <v>4353.7999999999993</v>
      </c>
      <c r="AB17" s="53">
        <f t="shared" si="28"/>
        <v>0</v>
      </c>
      <c r="AC17" s="53">
        <f t="shared" si="12"/>
        <v>83</v>
      </c>
      <c r="AD17" s="53">
        <f t="shared" si="13"/>
        <v>0</v>
      </c>
      <c r="AE17" s="53">
        <f t="shared" si="14"/>
        <v>2410.7000000000007</v>
      </c>
      <c r="AF17" s="33"/>
      <c r="AG17" s="80">
        <f t="shared" si="15"/>
        <v>0</v>
      </c>
      <c r="AH17" s="80">
        <f t="shared" si="16"/>
        <v>0</v>
      </c>
      <c r="AI17" s="81">
        <f t="shared" si="17"/>
        <v>0</v>
      </c>
      <c r="AJ17" s="33">
        <f>4+4</f>
        <v>8</v>
      </c>
      <c r="AK17" s="80">
        <f t="shared" si="18"/>
        <v>1741.52</v>
      </c>
      <c r="AL17" s="84">
        <f t="shared" si="19"/>
        <v>33.200000000000003</v>
      </c>
      <c r="AM17" s="81">
        <f t="shared" si="20"/>
        <v>964.2800000000002</v>
      </c>
      <c r="AN17" s="90">
        <v>4</v>
      </c>
      <c r="AO17" s="102">
        <f t="shared" si="21"/>
        <v>870.76</v>
      </c>
      <c r="AP17" s="84">
        <f t="shared" si="22"/>
        <v>16.600000000000001</v>
      </c>
      <c r="AQ17" s="81">
        <f t="shared" si="23"/>
        <v>482.1400000000001</v>
      </c>
      <c r="AR17" s="121">
        <v>8</v>
      </c>
      <c r="AS17" s="102">
        <f t="shared" si="29"/>
        <v>1741.52</v>
      </c>
      <c r="AT17" s="84">
        <f t="shared" si="30"/>
        <v>33.200000000000003</v>
      </c>
      <c r="AU17" s="81">
        <f t="shared" si="31"/>
        <v>964.2800000000002</v>
      </c>
    </row>
    <row r="18" spans="1:47" ht="27" x14ac:dyDescent="0.2">
      <c r="A18" s="23">
        <v>80</v>
      </c>
      <c r="B18" s="24" t="s">
        <v>197</v>
      </c>
      <c r="C18" s="50" t="s">
        <v>204</v>
      </c>
      <c r="D18" s="24" t="s">
        <v>205</v>
      </c>
      <c r="E18" s="51" t="s">
        <v>33</v>
      </c>
      <c r="F18" s="42" t="s">
        <v>175</v>
      </c>
      <c r="G18" s="63">
        <v>20</v>
      </c>
      <c r="H18" s="43">
        <v>20</v>
      </c>
      <c r="I18" s="44" t="s">
        <v>179</v>
      </c>
      <c r="J18" s="34">
        <v>3813</v>
      </c>
      <c r="K18" s="30">
        <f t="shared" si="0"/>
        <v>1067.6400000000001</v>
      </c>
      <c r="L18" s="31">
        <f t="shared" si="1"/>
        <v>2745.3599999999997</v>
      </c>
      <c r="M18" s="31">
        <f t="shared" si="2"/>
        <v>2978.9100000000003</v>
      </c>
      <c r="N18" s="31">
        <v>225.78</v>
      </c>
      <c r="O18" s="32">
        <f t="shared" si="3"/>
        <v>40.65</v>
      </c>
      <c r="P18" s="32">
        <f t="shared" si="4"/>
        <v>185.13</v>
      </c>
      <c r="Q18" s="32">
        <f t="shared" si="5"/>
        <v>3702.6</v>
      </c>
      <c r="R18" s="33">
        <v>3.7</v>
      </c>
      <c r="S18" s="32">
        <f>ROUNDUP(R18*H18,0)</f>
        <v>74</v>
      </c>
      <c r="T18" s="34">
        <v>207.57</v>
      </c>
      <c r="U18" s="32">
        <f t="shared" si="7"/>
        <v>4151.3999999999996</v>
      </c>
      <c r="V18" s="32">
        <f t="shared" si="8"/>
        <v>5920</v>
      </c>
      <c r="W18" s="32">
        <f t="shared" si="9"/>
        <v>1768.6000000000004</v>
      </c>
      <c r="X18" s="24"/>
      <c r="Y18" s="91">
        <f t="shared" si="10"/>
        <v>20</v>
      </c>
      <c r="Z18" s="53">
        <f t="shared" si="11"/>
        <v>0</v>
      </c>
      <c r="AA18" s="53">
        <f t="shared" si="27"/>
        <v>4151.3999999999996</v>
      </c>
      <c r="AB18" s="53">
        <f t="shared" si="28"/>
        <v>0</v>
      </c>
      <c r="AC18" s="53">
        <f t="shared" si="12"/>
        <v>74</v>
      </c>
      <c r="AD18" s="53">
        <f t="shared" si="13"/>
        <v>0</v>
      </c>
      <c r="AE18" s="53">
        <f t="shared" si="14"/>
        <v>1879.6000000000004</v>
      </c>
      <c r="AF18" s="33"/>
      <c r="AG18" s="80">
        <f t="shared" si="15"/>
        <v>0</v>
      </c>
      <c r="AH18" s="80">
        <f t="shared" si="16"/>
        <v>0</v>
      </c>
      <c r="AI18" s="81">
        <f t="shared" si="17"/>
        <v>0</v>
      </c>
      <c r="AJ18" s="33">
        <f>4+4</f>
        <v>8</v>
      </c>
      <c r="AK18" s="80">
        <f t="shared" si="18"/>
        <v>1660.56</v>
      </c>
      <c r="AL18" s="84">
        <f t="shared" si="19"/>
        <v>29.6</v>
      </c>
      <c r="AM18" s="81">
        <f t="shared" si="20"/>
        <v>751.84000000000015</v>
      </c>
      <c r="AN18" s="90">
        <v>4</v>
      </c>
      <c r="AO18" s="102">
        <f t="shared" si="21"/>
        <v>830.28</v>
      </c>
      <c r="AP18" s="84">
        <f t="shared" si="22"/>
        <v>14.8</v>
      </c>
      <c r="AQ18" s="81">
        <f t="shared" si="23"/>
        <v>375.92000000000007</v>
      </c>
      <c r="AR18" s="121">
        <f>4+4</f>
        <v>8</v>
      </c>
      <c r="AS18" s="102">
        <f t="shared" si="29"/>
        <v>1660.56</v>
      </c>
      <c r="AT18" s="84">
        <f t="shared" si="30"/>
        <v>29.6</v>
      </c>
      <c r="AU18" s="81">
        <f t="shared" si="31"/>
        <v>751.84000000000015</v>
      </c>
    </row>
    <row r="19" spans="1:47" ht="27" x14ac:dyDescent="0.2">
      <c r="A19" s="23">
        <v>82</v>
      </c>
      <c r="B19" s="24" t="s">
        <v>197</v>
      </c>
      <c r="C19" s="50" t="s">
        <v>208</v>
      </c>
      <c r="D19" s="24" t="s">
        <v>209</v>
      </c>
      <c r="E19" s="51" t="s">
        <v>138</v>
      </c>
      <c r="F19" s="42" t="s">
        <v>175</v>
      </c>
      <c r="G19" s="63">
        <v>20</v>
      </c>
      <c r="H19" s="43">
        <v>20</v>
      </c>
      <c r="I19" s="44" t="s">
        <v>179</v>
      </c>
      <c r="J19" s="34">
        <v>289</v>
      </c>
      <c r="K19" s="30">
        <f t="shared" si="0"/>
        <v>80.92</v>
      </c>
      <c r="L19" s="31">
        <f t="shared" si="1"/>
        <v>208.07999999999998</v>
      </c>
      <c r="M19" s="31">
        <f t="shared" si="2"/>
        <v>225.79</v>
      </c>
      <c r="N19" s="31">
        <v>983.59</v>
      </c>
      <c r="O19" s="32">
        <f t="shared" si="3"/>
        <v>177.04999999999998</v>
      </c>
      <c r="P19" s="32">
        <f t="shared" si="4"/>
        <v>806.54000000000008</v>
      </c>
      <c r="Q19" s="32">
        <f t="shared" si="5"/>
        <v>16130.800000000001</v>
      </c>
      <c r="R19" s="33">
        <v>16.11</v>
      </c>
      <c r="S19" s="32">
        <f>ROUND(R19*H19,0)</f>
        <v>322</v>
      </c>
      <c r="T19" s="34">
        <v>845.89</v>
      </c>
      <c r="U19" s="32">
        <f t="shared" si="7"/>
        <v>16917.8</v>
      </c>
      <c r="V19" s="32">
        <f t="shared" si="8"/>
        <v>25760</v>
      </c>
      <c r="W19" s="32">
        <f t="shared" si="9"/>
        <v>8842.2000000000007</v>
      </c>
      <c r="X19" s="24"/>
      <c r="Y19" s="91">
        <f t="shared" si="10"/>
        <v>20</v>
      </c>
      <c r="Z19" s="53">
        <f t="shared" si="11"/>
        <v>0</v>
      </c>
      <c r="AA19" s="53">
        <f t="shared" si="27"/>
        <v>16917.8</v>
      </c>
      <c r="AB19" s="53">
        <f t="shared" si="28"/>
        <v>0</v>
      </c>
      <c r="AC19" s="53">
        <f t="shared" si="12"/>
        <v>322.2</v>
      </c>
      <c r="AD19" s="53">
        <f t="shared" si="13"/>
        <v>-0.19999999999998863</v>
      </c>
      <c r="AE19" s="53">
        <f t="shared" si="14"/>
        <v>9341.5</v>
      </c>
      <c r="AF19" s="33"/>
      <c r="AG19" s="80">
        <f t="shared" si="15"/>
        <v>0</v>
      </c>
      <c r="AH19" s="80">
        <f t="shared" si="16"/>
        <v>0</v>
      </c>
      <c r="AI19" s="81">
        <f t="shared" si="17"/>
        <v>0</v>
      </c>
      <c r="AJ19" s="33">
        <f>4+4</f>
        <v>8</v>
      </c>
      <c r="AK19" s="80">
        <f t="shared" si="18"/>
        <v>6767.12</v>
      </c>
      <c r="AL19" s="84">
        <f t="shared" si="19"/>
        <v>128.88</v>
      </c>
      <c r="AM19" s="81">
        <f t="shared" si="20"/>
        <v>3736.5999999999995</v>
      </c>
      <c r="AN19" s="90">
        <v>4</v>
      </c>
      <c r="AO19" s="102">
        <f t="shared" si="21"/>
        <v>3383.56</v>
      </c>
      <c r="AP19" s="84">
        <f t="shared" si="22"/>
        <v>64.44</v>
      </c>
      <c r="AQ19" s="81">
        <f t="shared" si="23"/>
        <v>1868.2999999999997</v>
      </c>
      <c r="AR19" s="121">
        <v>8</v>
      </c>
      <c r="AS19" s="102">
        <f t="shared" si="29"/>
        <v>6767.12</v>
      </c>
      <c r="AT19" s="84">
        <f t="shared" si="30"/>
        <v>128.88</v>
      </c>
      <c r="AU19" s="81">
        <f t="shared" si="31"/>
        <v>3736.5999999999995</v>
      </c>
    </row>
    <row r="20" spans="1:47" x14ac:dyDescent="0.2">
      <c r="A20" s="23">
        <v>67</v>
      </c>
      <c r="B20" s="24" t="s">
        <v>171</v>
      </c>
      <c r="C20" s="40" t="s">
        <v>177</v>
      </c>
      <c r="D20" s="24" t="s">
        <v>178</v>
      </c>
      <c r="E20" s="42" t="s">
        <v>33</v>
      </c>
      <c r="F20" s="42" t="s">
        <v>175</v>
      </c>
      <c r="G20" s="63">
        <v>100</v>
      </c>
      <c r="H20" s="43">
        <v>100</v>
      </c>
      <c r="I20" s="44" t="s">
        <v>179</v>
      </c>
      <c r="J20" s="45">
        <v>1202</v>
      </c>
      <c r="K20" s="30">
        <f t="shared" si="0"/>
        <v>336.56000000000006</v>
      </c>
      <c r="L20" s="31">
        <f t="shared" si="1"/>
        <v>865.43999999999994</v>
      </c>
      <c r="M20" s="31">
        <f t="shared" si="2"/>
        <v>939.06999999999994</v>
      </c>
      <c r="N20" s="31">
        <v>939.06</v>
      </c>
      <c r="O20" s="32">
        <f t="shared" si="3"/>
        <v>169.04</v>
      </c>
      <c r="P20" s="32">
        <f t="shared" si="4"/>
        <v>770.02</v>
      </c>
      <c r="Q20" s="32">
        <f t="shared" si="5"/>
        <v>77002</v>
      </c>
      <c r="R20" s="33">
        <v>15.38</v>
      </c>
      <c r="S20" s="32">
        <f>ROUNDUP(R20*H20,0)</f>
        <v>1538</v>
      </c>
      <c r="T20" s="34">
        <v>807.59</v>
      </c>
      <c r="U20" s="32">
        <f t="shared" si="7"/>
        <v>80759</v>
      </c>
      <c r="V20" s="32">
        <f t="shared" si="8"/>
        <v>123040</v>
      </c>
      <c r="W20" s="32">
        <f t="shared" si="9"/>
        <v>42281</v>
      </c>
      <c r="X20" s="24"/>
      <c r="Y20" s="91">
        <f t="shared" si="10"/>
        <v>100</v>
      </c>
      <c r="Z20" s="53">
        <f t="shared" si="11"/>
        <v>0</v>
      </c>
      <c r="AA20" s="53">
        <f t="shared" si="27"/>
        <v>80759</v>
      </c>
      <c r="AB20" s="53">
        <f t="shared" si="28"/>
        <v>0</v>
      </c>
      <c r="AC20" s="53">
        <f t="shared" si="12"/>
        <v>1538</v>
      </c>
      <c r="AD20" s="53">
        <f t="shared" si="13"/>
        <v>0</v>
      </c>
      <c r="AE20" s="53">
        <f t="shared" si="14"/>
        <v>44588.000000000015</v>
      </c>
      <c r="AF20" s="33">
        <v>30</v>
      </c>
      <c r="AG20" s="80">
        <f t="shared" si="15"/>
        <v>24227.7</v>
      </c>
      <c r="AH20" s="80">
        <f t="shared" si="16"/>
        <v>461.40000000000003</v>
      </c>
      <c r="AI20" s="81">
        <f t="shared" si="17"/>
        <v>13376.400000000005</v>
      </c>
      <c r="AJ20" s="33">
        <f>30</f>
        <v>30</v>
      </c>
      <c r="AK20" s="80">
        <f t="shared" si="18"/>
        <v>24227.7</v>
      </c>
      <c r="AL20" s="84">
        <f t="shared" si="19"/>
        <v>461.40000000000003</v>
      </c>
      <c r="AM20" s="81">
        <f t="shared" si="20"/>
        <v>13376.400000000005</v>
      </c>
      <c r="AN20" s="90">
        <v>14</v>
      </c>
      <c r="AO20" s="102">
        <f t="shared" si="21"/>
        <v>11306.26</v>
      </c>
      <c r="AP20" s="84">
        <f t="shared" si="22"/>
        <v>215.32000000000002</v>
      </c>
      <c r="AQ20" s="81">
        <f t="shared" si="23"/>
        <v>6242.3200000000015</v>
      </c>
      <c r="AR20" s="121">
        <f>15+11</f>
        <v>26</v>
      </c>
      <c r="AS20" s="102">
        <f t="shared" si="29"/>
        <v>20997.34</v>
      </c>
      <c r="AT20" s="84">
        <f t="shared" si="30"/>
        <v>399.88</v>
      </c>
      <c r="AU20" s="81">
        <f t="shared" si="31"/>
        <v>11592.880000000001</v>
      </c>
    </row>
    <row r="21" spans="1:47" x14ac:dyDescent="0.2">
      <c r="A21" s="23">
        <v>1</v>
      </c>
      <c r="B21" s="24" t="s">
        <v>30</v>
      </c>
      <c r="C21" s="25" t="s">
        <v>31</v>
      </c>
      <c r="D21" s="24" t="s">
        <v>32</v>
      </c>
      <c r="E21" s="26" t="s">
        <v>33</v>
      </c>
      <c r="F21" s="26" t="s">
        <v>34</v>
      </c>
      <c r="G21" s="62">
        <v>1000</v>
      </c>
      <c r="H21" s="27">
        <v>1000</v>
      </c>
      <c r="I21" s="28">
        <v>0.18</v>
      </c>
      <c r="J21" s="29">
        <v>206</v>
      </c>
      <c r="K21" s="30">
        <f t="shared" si="0"/>
        <v>37.08</v>
      </c>
      <c r="L21" s="31">
        <f t="shared" si="1"/>
        <v>168.92000000000002</v>
      </c>
      <c r="M21" s="31">
        <f t="shared" si="2"/>
        <v>174.57999999999998</v>
      </c>
      <c r="N21" s="31">
        <v>174.58</v>
      </c>
      <c r="O21" s="32">
        <f t="shared" si="3"/>
        <v>31.430000000000003</v>
      </c>
      <c r="P21" s="32">
        <f t="shared" si="4"/>
        <v>143.15</v>
      </c>
      <c r="Q21" s="32">
        <f t="shared" si="5"/>
        <v>143150</v>
      </c>
      <c r="R21" s="33">
        <v>2.2799999999999998</v>
      </c>
      <c r="S21" s="32">
        <f>R21*H21</f>
        <v>2280</v>
      </c>
      <c r="T21" s="34">
        <v>147.94999999999999</v>
      </c>
      <c r="U21" s="32">
        <f t="shared" si="7"/>
        <v>147950</v>
      </c>
      <c r="V21" s="32">
        <f t="shared" si="8"/>
        <v>182400</v>
      </c>
      <c r="W21" s="32">
        <f t="shared" si="9"/>
        <v>34450</v>
      </c>
      <c r="X21" s="35"/>
      <c r="Y21" s="91">
        <f t="shared" si="10"/>
        <v>1000</v>
      </c>
      <c r="Z21" s="53">
        <f t="shared" si="11"/>
        <v>0</v>
      </c>
      <c r="AA21" s="53">
        <f t="shared" si="27"/>
        <v>147950</v>
      </c>
      <c r="AB21" s="53">
        <f t="shared" si="28"/>
        <v>0</v>
      </c>
      <c r="AC21" s="53">
        <f t="shared" si="12"/>
        <v>2279.9999999999995</v>
      </c>
      <c r="AD21" s="53">
        <f t="shared" si="13"/>
        <v>0</v>
      </c>
      <c r="AE21" s="53">
        <f t="shared" si="14"/>
        <v>37869.999999999985</v>
      </c>
      <c r="AF21" s="33">
        <v>300</v>
      </c>
      <c r="AG21" s="80">
        <f t="shared" si="15"/>
        <v>44385</v>
      </c>
      <c r="AH21" s="80">
        <f t="shared" si="16"/>
        <v>683.99999999999989</v>
      </c>
      <c r="AI21" s="81">
        <f t="shared" si="17"/>
        <v>11360.999999999993</v>
      </c>
      <c r="AJ21" s="33">
        <f>150+4+146</f>
        <v>300</v>
      </c>
      <c r="AK21" s="80">
        <f t="shared" si="18"/>
        <v>44385</v>
      </c>
      <c r="AL21" s="84">
        <f t="shared" si="19"/>
        <v>683.99999999999989</v>
      </c>
      <c r="AM21" s="81">
        <f t="shared" si="20"/>
        <v>11360.999999999993</v>
      </c>
      <c r="AN21" s="90">
        <f>50+30+50+50+50</f>
        <v>230</v>
      </c>
      <c r="AO21" s="102">
        <f t="shared" si="21"/>
        <v>34028.5</v>
      </c>
      <c r="AP21" s="84">
        <f t="shared" si="22"/>
        <v>524.4</v>
      </c>
      <c r="AQ21" s="81">
        <f t="shared" si="23"/>
        <v>8710.0999999999985</v>
      </c>
      <c r="AR21" s="121">
        <f>150+20</f>
        <v>170</v>
      </c>
      <c r="AS21" s="102">
        <f t="shared" si="29"/>
        <v>25151.499999999996</v>
      </c>
      <c r="AT21" s="84">
        <f t="shared" si="30"/>
        <v>387.59999999999997</v>
      </c>
      <c r="AU21" s="81">
        <f t="shared" si="31"/>
        <v>6437.9000000000015</v>
      </c>
    </row>
    <row r="22" spans="1:47" ht="27" x14ac:dyDescent="0.2">
      <c r="A22" s="23">
        <v>14</v>
      </c>
      <c r="B22" s="24" t="s">
        <v>43</v>
      </c>
      <c r="C22" s="25" t="s">
        <v>64</v>
      </c>
      <c r="D22" s="24" t="s">
        <v>65</v>
      </c>
      <c r="E22" s="26" t="s">
        <v>33</v>
      </c>
      <c r="F22" s="26" t="s">
        <v>34</v>
      </c>
      <c r="G22" s="62">
        <v>10</v>
      </c>
      <c r="H22" s="27">
        <v>10</v>
      </c>
      <c r="I22" s="28">
        <v>0.18</v>
      </c>
      <c r="J22" s="29">
        <v>470</v>
      </c>
      <c r="K22" s="30">
        <f t="shared" si="0"/>
        <v>84.6</v>
      </c>
      <c r="L22" s="31">
        <f t="shared" si="1"/>
        <v>385.4</v>
      </c>
      <c r="M22" s="31">
        <f t="shared" si="2"/>
        <v>398.31</v>
      </c>
      <c r="N22" s="31">
        <v>367.19</v>
      </c>
      <c r="O22" s="32">
        <f t="shared" si="3"/>
        <v>66.100000000000009</v>
      </c>
      <c r="P22" s="32">
        <f t="shared" si="4"/>
        <v>301.08999999999997</v>
      </c>
      <c r="Q22" s="32">
        <f t="shared" si="5"/>
        <v>3010.8999999999996</v>
      </c>
      <c r="R22" s="33">
        <v>5.07</v>
      </c>
      <c r="S22" s="32">
        <f>ROUND(R22*H22,0)</f>
        <v>51</v>
      </c>
      <c r="T22" s="34">
        <v>337.57</v>
      </c>
      <c r="U22" s="32">
        <f t="shared" si="7"/>
        <v>3375.7</v>
      </c>
      <c r="V22" s="32">
        <f t="shared" si="8"/>
        <v>4080</v>
      </c>
      <c r="W22" s="32">
        <f t="shared" si="9"/>
        <v>704.30000000000018</v>
      </c>
      <c r="X22" s="24"/>
      <c r="Y22" s="91">
        <f t="shared" si="10"/>
        <v>10</v>
      </c>
      <c r="Z22" s="53">
        <f t="shared" si="11"/>
        <v>0</v>
      </c>
      <c r="AA22" s="53">
        <f t="shared" si="27"/>
        <v>3375.7</v>
      </c>
      <c r="AB22" s="53">
        <f t="shared" si="28"/>
        <v>0</v>
      </c>
      <c r="AC22" s="53">
        <f t="shared" si="12"/>
        <v>50.7</v>
      </c>
      <c r="AD22" s="53">
        <f t="shared" si="13"/>
        <v>0.29999999999999716</v>
      </c>
      <c r="AE22" s="53">
        <f t="shared" si="14"/>
        <v>756.35000000000036</v>
      </c>
      <c r="AF22" s="33"/>
      <c r="AG22" s="80">
        <f t="shared" si="15"/>
        <v>0</v>
      </c>
      <c r="AH22" s="80">
        <f t="shared" si="16"/>
        <v>0</v>
      </c>
      <c r="AI22" s="81">
        <f t="shared" si="17"/>
        <v>0</v>
      </c>
      <c r="AJ22" s="33">
        <f>9+1</f>
        <v>10</v>
      </c>
      <c r="AK22" s="80">
        <f t="shared" si="18"/>
        <v>3375.7</v>
      </c>
      <c r="AL22" s="84">
        <f t="shared" si="19"/>
        <v>50.7</v>
      </c>
      <c r="AM22" s="81">
        <f t="shared" si="20"/>
        <v>756.35000000000036</v>
      </c>
      <c r="AN22" s="90"/>
      <c r="AO22" s="102">
        <f t="shared" si="21"/>
        <v>0</v>
      </c>
      <c r="AP22" s="84">
        <f t="shared" si="22"/>
        <v>0</v>
      </c>
      <c r="AQ22" s="81">
        <f t="shared" si="23"/>
        <v>0</v>
      </c>
      <c r="AR22" s="90"/>
      <c r="AS22" s="102">
        <f t="shared" si="29"/>
        <v>0</v>
      </c>
      <c r="AT22" s="84">
        <f t="shared" si="30"/>
        <v>0</v>
      </c>
      <c r="AU22" s="81">
        <f t="shared" si="31"/>
        <v>0</v>
      </c>
    </row>
    <row r="23" spans="1:47" ht="27" x14ac:dyDescent="0.2">
      <c r="A23" s="23">
        <v>8</v>
      </c>
      <c r="B23" s="24" t="s">
        <v>43</v>
      </c>
      <c r="C23" s="25" t="s">
        <v>259</v>
      </c>
      <c r="D23" s="24" t="s">
        <v>54</v>
      </c>
      <c r="E23" s="26" t="s">
        <v>33</v>
      </c>
      <c r="F23" s="26" t="s">
        <v>34</v>
      </c>
      <c r="G23" s="62">
        <v>50</v>
      </c>
      <c r="H23" s="27">
        <v>50</v>
      </c>
      <c r="I23" s="28">
        <v>0.18</v>
      </c>
      <c r="J23" s="29">
        <v>197</v>
      </c>
      <c r="K23" s="30">
        <f t="shared" si="0"/>
        <v>35.46</v>
      </c>
      <c r="L23" s="31">
        <f t="shared" si="1"/>
        <v>161.54</v>
      </c>
      <c r="M23" s="31">
        <f t="shared" si="2"/>
        <v>166.95</v>
      </c>
      <c r="N23" s="31">
        <v>153.91</v>
      </c>
      <c r="O23" s="32">
        <f>ROUND(0.18*N23,2)</f>
        <v>27.7</v>
      </c>
      <c r="P23" s="32">
        <f t="shared" si="4"/>
        <v>126.21</v>
      </c>
      <c r="Q23" s="32">
        <f t="shared" si="5"/>
        <v>6310.5</v>
      </c>
      <c r="R23" s="33">
        <v>2.14</v>
      </c>
      <c r="S23" s="32">
        <f>R23*H23</f>
        <v>107</v>
      </c>
      <c r="T23" s="34">
        <v>136.12</v>
      </c>
      <c r="U23" s="32">
        <f t="shared" si="7"/>
        <v>6806</v>
      </c>
      <c r="V23" s="32">
        <f t="shared" si="8"/>
        <v>8560</v>
      </c>
      <c r="W23" s="32">
        <f t="shared" si="9"/>
        <v>1754</v>
      </c>
      <c r="X23" s="24"/>
      <c r="Y23" s="91">
        <f t="shared" si="10"/>
        <v>50</v>
      </c>
      <c r="Z23" s="53">
        <f t="shared" si="11"/>
        <v>0</v>
      </c>
      <c r="AA23" s="53">
        <f t="shared" si="27"/>
        <v>6806</v>
      </c>
      <c r="AB23" s="53">
        <f t="shared" si="28"/>
        <v>0</v>
      </c>
      <c r="AC23" s="53">
        <f t="shared" si="12"/>
        <v>107</v>
      </c>
      <c r="AD23" s="53">
        <f t="shared" si="13"/>
        <v>0</v>
      </c>
      <c r="AE23" s="53">
        <f t="shared" si="14"/>
        <v>1914.5</v>
      </c>
      <c r="AF23" s="33"/>
      <c r="AG23" s="80">
        <f t="shared" si="15"/>
        <v>0</v>
      </c>
      <c r="AH23" s="80">
        <f t="shared" si="16"/>
        <v>0</v>
      </c>
      <c r="AI23" s="81">
        <f t="shared" si="17"/>
        <v>0</v>
      </c>
      <c r="AJ23" s="33"/>
      <c r="AK23" s="80">
        <f t="shared" si="18"/>
        <v>0</v>
      </c>
      <c r="AL23" s="84">
        <f t="shared" si="19"/>
        <v>0</v>
      </c>
      <c r="AM23" s="81">
        <f t="shared" si="20"/>
        <v>0</v>
      </c>
      <c r="AN23" s="90"/>
      <c r="AO23" s="102">
        <f t="shared" si="21"/>
        <v>0</v>
      </c>
      <c r="AP23" s="84">
        <f t="shared" si="22"/>
        <v>0</v>
      </c>
      <c r="AQ23" s="81">
        <f t="shared" si="23"/>
        <v>0</v>
      </c>
      <c r="AR23" s="121">
        <v>50</v>
      </c>
      <c r="AS23" s="102">
        <f t="shared" si="29"/>
        <v>6806</v>
      </c>
      <c r="AT23" s="84">
        <f t="shared" si="30"/>
        <v>107</v>
      </c>
      <c r="AU23" s="81">
        <f t="shared" si="31"/>
        <v>1914.5</v>
      </c>
    </row>
    <row r="24" spans="1:47" x14ac:dyDescent="0.2">
      <c r="A24" s="23">
        <v>24</v>
      </c>
      <c r="B24" s="24" t="s">
        <v>89</v>
      </c>
      <c r="C24" s="24" t="s">
        <v>90</v>
      </c>
      <c r="D24" s="24" t="s">
        <v>91</v>
      </c>
      <c r="E24" s="26" t="s">
        <v>92</v>
      </c>
      <c r="F24" s="26" t="s">
        <v>34</v>
      </c>
      <c r="G24" s="62">
        <v>20</v>
      </c>
      <c r="H24" s="27">
        <v>20</v>
      </c>
      <c r="I24" s="28">
        <v>0.28000000000000003</v>
      </c>
      <c r="J24" s="29">
        <v>9578</v>
      </c>
      <c r="K24" s="30">
        <f t="shared" si="0"/>
        <v>2681.84</v>
      </c>
      <c r="L24" s="31">
        <f t="shared" si="1"/>
        <v>6896.16</v>
      </c>
      <c r="M24" s="31">
        <f t="shared" si="2"/>
        <v>7482.8200000000006</v>
      </c>
      <c r="N24" s="31">
        <v>7482.81</v>
      </c>
      <c r="O24" s="32">
        <f t="shared" ref="O24:O29" si="32">ROUNDUP(0.18*N24,2)</f>
        <v>1346.91</v>
      </c>
      <c r="P24" s="32">
        <f t="shared" si="4"/>
        <v>6135.9000000000005</v>
      </c>
      <c r="Q24" s="32">
        <f t="shared" si="5"/>
        <v>122718.00000000001</v>
      </c>
      <c r="R24" s="33">
        <v>104</v>
      </c>
      <c r="S24" s="32">
        <f>ROUNDUP(R24*H24,0)</f>
        <v>2080</v>
      </c>
      <c r="T24" s="34">
        <v>6435.21</v>
      </c>
      <c r="U24" s="32">
        <f t="shared" si="7"/>
        <v>128704.2</v>
      </c>
      <c r="V24" s="32">
        <f t="shared" si="8"/>
        <v>166400</v>
      </c>
      <c r="W24" s="32">
        <f t="shared" si="9"/>
        <v>37695.800000000003</v>
      </c>
      <c r="X24" s="24"/>
      <c r="Y24" s="91">
        <f t="shared" si="10"/>
        <v>20</v>
      </c>
      <c r="Z24" s="53">
        <f t="shared" si="11"/>
        <v>0</v>
      </c>
      <c r="AA24" s="53">
        <f t="shared" si="27"/>
        <v>128704.2</v>
      </c>
      <c r="AB24" s="53">
        <f t="shared" si="28"/>
        <v>0</v>
      </c>
      <c r="AC24" s="53">
        <f t="shared" si="12"/>
        <v>2080</v>
      </c>
      <c r="AD24" s="53">
        <f t="shared" si="13"/>
        <v>0</v>
      </c>
      <c r="AE24" s="53">
        <f t="shared" si="14"/>
        <v>40815.800000000003</v>
      </c>
      <c r="AF24" s="33"/>
      <c r="AG24" s="80">
        <f t="shared" si="15"/>
        <v>0</v>
      </c>
      <c r="AH24" s="80">
        <f t="shared" si="16"/>
        <v>0</v>
      </c>
      <c r="AI24" s="81">
        <f t="shared" si="17"/>
        <v>0</v>
      </c>
      <c r="AJ24" s="33">
        <f>2+6</f>
        <v>8</v>
      </c>
      <c r="AK24" s="80">
        <f t="shared" si="18"/>
        <v>51481.68</v>
      </c>
      <c r="AL24" s="84">
        <f t="shared" si="19"/>
        <v>832</v>
      </c>
      <c r="AM24" s="81">
        <f t="shared" si="20"/>
        <v>16326.32</v>
      </c>
      <c r="AN24" s="90">
        <f>1+1+1+1+1+1+1+1</f>
        <v>8</v>
      </c>
      <c r="AO24" s="102">
        <f t="shared" si="21"/>
        <v>51481.68</v>
      </c>
      <c r="AP24" s="84">
        <f t="shared" si="22"/>
        <v>832</v>
      </c>
      <c r="AQ24" s="81">
        <f t="shared" si="23"/>
        <v>16326.32</v>
      </c>
      <c r="AR24" s="121">
        <v>4</v>
      </c>
      <c r="AS24" s="102">
        <f t="shared" si="29"/>
        <v>25740.84</v>
      </c>
      <c r="AT24" s="84">
        <f t="shared" si="30"/>
        <v>416</v>
      </c>
      <c r="AU24" s="81">
        <f t="shared" si="31"/>
        <v>8163.16</v>
      </c>
    </row>
    <row r="25" spans="1:47" ht="27" x14ac:dyDescent="0.2">
      <c r="A25" s="23">
        <v>7</v>
      </c>
      <c r="B25" s="24" t="s">
        <v>43</v>
      </c>
      <c r="C25" s="25" t="s">
        <v>51</v>
      </c>
      <c r="D25" s="24" t="s">
        <v>52</v>
      </c>
      <c r="E25" s="26" t="s">
        <v>33</v>
      </c>
      <c r="F25" s="26" t="s">
        <v>34</v>
      </c>
      <c r="G25" s="62">
        <v>50</v>
      </c>
      <c r="H25" s="27">
        <v>50</v>
      </c>
      <c r="I25" s="28">
        <v>0.28000000000000003</v>
      </c>
      <c r="J25" s="29">
        <v>6841</v>
      </c>
      <c r="K25" s="30">
        <f t="shared" si="0"/>
        <v>1915.4800000000002</v>
      </c>
      <c r="L25" s="31">
        <f t="shared" si="1"/>
        <v>4925.5199999999995</v>
      </c>
      <c r="M25" s="31">
        <f t="shared" si="2"/>
        <v>5344.54</v>
      </c>
      <c r="N25" s="31">
        <v>5344.53</v>
      </c>
      <c r="O25" s="32">
        <f t="shared" si="32"/>
        <v>962.02</v>
      </c>
      <c r="P25" s="32">
        <f t="shared" si="4"/>
        <v>4382.51</v>
      </c>
      <c r="Q25" s="32">
        <f t="shared" si="5"/>
        <v>219125.5</v>
      </c>
      <c r="R25" s="33">
        <v>77.5</v>
      </c>
      <c r="S25" s="32">
        <f>R25*H25</f>
        <v>3875</v>
      </c>
      <c r="T25" s="34">
        <v>4596.29</v>
      </c>
      <c r="U25" s="32">
        <f t="shared" si="7"/>
        <v>229814.5</v>
      </c>
      <c r="V25" s="32">
        <f t="shared" si="8"/>
        <v>310000</v>
      </c>
      <c r="W25" s="32">
        <f t="shared" si="9"/>
        <v>80185.5</v>
      </c>
      <c r="X25" s="24"/>
      <c r="Y25" s="91">
        <f t="shared" si="10"/>
        <v>43</v>
      </c>
      <c r="Z25" s="53">
        <f t="shared" si="11"/>
        <v>7</v>
      </c>
      <c r="AA25" s="53">
        <f t="shared" si="27"/>
        <v>197640.47</v>
      </c>
      <c r="AB25" s="53">
        <f t="shared" si="28"/>
        <v>32174.03</v>
      </c>
      <c r="AC25" s="53">
        <f t="shared" si="12"/>
        <v>3332.5</v>
      </c>
      <c r="AD25" s="53">
        <f t="shared" si="13"/>
        <v>542.5</v>
      </c>
      <c r="AE25" s="53">
        <f t="shared" si="14"/>
        <v>73958.28</v>
      </c>
      <c r="AF25" s="33"/>
      <c r="AG25" s="80">
        <f t="shared" si="15"/>
        <v>0</v>
      </c>
      <c r="AH25" s="80">
        <f t="shared" si="16"/>
        <v>0</v>
      </c>
      <c r="AI25" s="81">
        <f t="shared" si="17"/>
        <v>0</v>
      </c>
      <c r="AJ25" s="33">
        <v>4</v>
      </c>
      <c r="AK25" s="80">
        <f t="shared" si="18"/>
        <v>18385.16</v>
      </c>
      <c r="AL25" s="84">
        <f t="shared" si="19"/>
        <v>310</v>
      </c>
      <c r="AM25" s="81">
        <f t="shared" si="20"/>
        <v>6879.84</v>
      </c>
      <c r="AN25" s="90">
        <f>18</f>
        <v>18</v>
      </c>
      <c r="AO25" s="102">
        <f t="shared" si="21"/>
        <v>82733.22</v>
      </c>
      <c r="AP25" s="84">
        <f t="shared" si="22"/>
        <v>1395</v>
      </c>
      <c r="AQ25" s="81">
        <f t="shared" si="23"/>
        <v>30959.279999999999</v>
      </c>
      <c r="AR25" s="121">
        <f>4+10+7</f>
        <v>21</v>
      </c>
      <c r="AS25" s="102">
        <f t="shared" si="29"/>
        <v>96522.09</v>
      </c>
      <c r="AT25" s="84">
        <f t="shared" si="30"/>
        <v>1627.5</v>
      </c>
      <c r="AU25" s="81">
        <f t="shared" si="31"/>
        <v>36119.160000000003</v>
      </c>
    </row>
    <row r="26" spans="1:47" x14ac:dyDescent="0.2">
      <c r="A26" s="23">
        <v>25</v>
      </c>
      <c r="B26" s="24" t="s">
        <v>89</v>
      </c>
      <c r="C26" s="24" t="s">
        <v>99</v>
      </c>
      <c r="D26" s="24" t="s">
        <v>100</v>
      </c>
      <c r="E26" s="26" t="s">
        <v>33</v>
      </c>
      <c r="F26" s="26" t="s">
        <v>34</v>
      </c>
      <c r="G26" s="62">
        <v>25</v>
      </c>
      <c r="H26" s="27">
        <v>25</v>
      </c>
      <c r="I26" s="28">
        <v>0.28000000000000003</v>
      </c>
      <c r="J26" s="29">
        <v>1407</v>
      </c>
      <c r="K26" s="30">
        <f t="shared" si="0"/>
        <v>393.96000000000004</v>
      </c>
      <c r="L26" s="31">
        <f t="shared" si="1"/>
        <v>1013.04</v>
      </c>
      <c r="M26" s="31">
        <f t="shared" si="2"/>
        <v>1099.22</v>
      </c>
      <c r="N26" s="31">
        <v>1099.22</v>
      </c>
      <c r="O26" s="32">
        <f t="shared" si="32"/>
        <v>197.85999999999999</v>
      </c>
      <c r="P26" s="32">
        <f t="shared" si="4"/>
        <v>901.36</v>
      </c>
      <c r="Q26" s="32">
        <f t="shared" si="5"/>
        <v>22534</v>
      </c>
      <c r="R26" s="33">
        <v>15.16</v>
      </c>
      <c r="S26" s="32">
        <f>ROUNDUP(R26*H26,0)</f>
        <v>379</v>
      </c>
      <c r="T26" s="34">
        <v>945.33</v>
      </c>
      <c r="U26" s="32">
        <f t="shared" si="7"/>
        <v>23633.25</v>
      </c>
      <c r="V26" s="32">
        <f t="shared" si="8"/>
        <v>30320</v>
      </c>
      <c r="W26" s="32">
        <f t="shared" si="9"/>
        <v>6686.75</v>
      </c>
      <c r="X26" s="24"/>
      <c r="Y26" s="91">
        <f t="shared" si="10"/>
        <v>25</v>
      </c>
      <c r="Z26" s="53">
        <f t="shared" si="11"/>
        <v>0</v>
      </c>
      <c r="AA26" s="53">
        <f t="shared" si="27"/>
        <v>23633.25</v>
      </c>
      <c r="AB26" s="53">
        <f t="shared" si="28"/>
        <v>0</v>
      </c>
      <c r="AC26" s="53">
        <f t="shared" si="12"/>
        <v>379</v>
      </c>
      <c r="AD26" s="53">
        <f t="shared" si="13"/>
        <v>0</v>
      </c>
      <c r="AE26" s="53">
        <f t="shared" si="14"/>
        <v>7255.25</v>
      </c>
      <c r="AF26" s="33"/>
      <c r="AG26" s="80">
        <f t="shared" si="15"/>
        <v>0</v>
      </c>
      <c r="AH26" s="80">
        <f t="shared" si="16"/>
        <v>0</v>
      </c>
      <c r="AI26" s="81">
        <f t="shared" si="17"/>
        <v>0</v>
      </c>
      <c r="AJ26" s="33"/>
      <c r="AK26" s="80">
        <f t="shared" si="18"/>
        <v>0</v>
      </c>
      <c r="AL26" s="84">
        <f t="shared" si="19"/>
        <v>0</v>
      </c>
      <c r="AM26" s="81">
        <f t="shared" si="20"/>
        <v>0</v>
      </c>
      <c r="AN26" s="90">
        <v>10</v>
      </c>
      <c r="AO26" s="102">
        <f t="shared" si="21"/>
        <v>9453.3000000000011</v>
      </c>
      <c r="AP26" s="84">
        <f t="shared" si="22"/>
        <v>151.6</v>
      </c>
      <c r="AQ26" s="81">
        <f t="shared" si="23"/>
        <v>2902.0999999999985</v>
      </c>
      <c r="AR26" s="121">
        <v>15</v>
      </c>
      <c r="AS26" s="102">
        <f t="shared" si="29"/>
        <v>14179.95</v>
      </c>
      <c r="AT26" s="84">
        <f t="shared" si="30"/>
        <v>227.4</v>
      </c>
      <c r="AU26" s="81">
        <f t="shared" si="31"/>
        <v>4353.1500000000015</v>
      </c>
    </row>
    <row r="27" spans="1:47" x14ac:dyDescent="0.2">
      <c r="A27" s="23">
        <v>27</v>
      </c>
      <c r="B27" s="24" t="s">
        <v>89</v>
      </c>
      <c r="C27" s="24" t="s">
        <v>101</v>
      </c>
      <c r="D27" s="24" t="s">
        <v>102</v>
      </c>
      <c r="E27" s="26" t="s">
        <v>103</v>
      </c>
      <c r="F27" s="26" t="s">
        <v>34</v>
      </c>
      <c r="G27" s="62">
        <v>10</v>
      </c>
      <c r="H27" s="27">
        <v>10</v>
      </c>
      <c r="I27" s="28">
        <v>0.18</v>
      </c>
      <c r="J27" s="29">
        <v>376</v>
      </c>
      <c r="K27" s="30">
        <f t="shared" si="0"/>
        <v>67.679999999999993</v>
      </c>
      <c r="L27" s="31">
        <f t="shared" si="1"/>
        <v>308.32</v>
      </c>
      <c r="M27" s="31">
        <f t="shared" si="2"/>
        <v>318.64999999999998</v>
      </c>
      <c r="N27" s="31">
        <v>293.75</v>
      </c>
      <c r="O27" s="32">
        <f t="shared" si="32"/>
        <v>52.879999999999995</v>
      </c>
      <c r="P27" s="32">
        <f t="shared" si="4"/>
        <v>240.87</v>
      </c>
      <c r="Q27" s="32">
        <f t="shared" si="5"/>
        <v>2408.6999999999998</v>
      </c>
      <c r="R27" s="33">
        <v>4.2699999999999996</v>
      </c>
      <c r="S27" s="32">
        <f>ROUNDUP(R27*H27,0)</f>
        <v>43</v>
      </c>
      <c r="T27" s="34">
        <v>270.05</v>
      </c>
      <c r="U27" s="32">
        <f t="shared" si="7"/>
        <v>2700.5</v>
      </c>
      <c r="V27" s="32">
        <f t="shared" si="8"/>
        <v>3440</v>
      </c>
      <c r="W27" s="32">
        <f t="shared" si="9"/>
        <v>739.5</v>
      </c>
      <c r="X27" s="24"/>
      <c r="Y27" s="91">
        <f t="shared" si="10"/>
        <v>10</v>
      </c>
      <c r="Z27" s="53">
        <f t="shared" si="11"/>
        <v>0</v>
      </c>
      <c r="AA27" s="53">
        <f t="shared" si="27"/>
        <v>2700.5</v>
      </c>
      <c r="AB27" s="53">
        <f t="shared" si="28"/>
        <v>0</v>
      </c>
      <c r="AC27" s="53">
        <f t="shared" si="12"/>
        <v>42.699999999999996</v>
      </c>
      <c r="AD27" s="53">
        <f t="shared" si="13"/>
        <v>0.30000000000000426</v>
      </c>
      <c r="AE27" s="53">
        <f t="shared" si="14"/>
        <v>779.54999999999973</v>
      </c>
      <c r="AF27" s="33"/>
      <c r="AG27" s="80">
        <f t="shared" si="15"/>
        <v>0</v>
      </c>
      <c r="AH27" s="80">
        <f t="shared" si="16"/>
        <v>0</v>
      </c>
      <c r="AI27" s="81">
        <f t="shared" si="17"/>
        <v>0</v>
      </c>
      <c r="AJ27" s="33"/>
      <c r="AK27" s="80">
        <f t="shared" si="18"/>
        <v>0</v>
      </c>
      <c r="AL27" s="84">
        <f t="shared" si="19"/>
        <v>0</v>
      </c>
      <c r="AM27" s="81">
        <f t="shared" si="20"/>
        <v>0</v>
      </c>
      <c r="AN27" s="90">
        <v>5</v>
      </c>
      <c r="AO27" s="102">
        <f t="shared" si="21"/>
        <v>1350.25</v>
      </c>
      <c r="AP27" s="84">
        <f t="shared" si="22"/>
        <v>21.349999999999998</v>
      </c>
      <c r="AQ27" s="81">
        <f t="shared" si="23"/>
        <v>389.77499999999986</v>
      </c>
      <c r="AR27" s="121">
        <f>1+4</f>
        <v>5</v>
      </c>
      <c r="AS27" s="102">
        <f t="shared" si="29"/>
        <v>1350.25</v>
      </c>
      <c r="AT27" s="84">
        <f t="shared" si="30"/>
        <v>21.349999999999998</v>
      </c>
      <c r="AU27" s="81">
        <f t="shared" si="31"/>
        <v>389.77499999999986</v>
      </c>
    </row>
    <row r="28" spans="1:47" ht="27" x14ac:dyDescent="0.2">
      <c r="A28" s="23">
        <v>15</v>
      </c>
      <c r="B28" s="24" t="s">
        <v>43</v>
      </c>
      <c r="C28" s="25" t="s">
        <v>66</v>
      </c>
      <c r="D28" s="24" t="s">
        <v>67</v>
      </c>
      <c r="E28" s="26" t="s">
        <v>68</v>
      </c>
      <c r="F28" s="26" t="s">
        <v>34</v>
      </c>
      <c r="G28" s="62">
        <v>50</v>
      </c>
      <c r="H28" s="27">
        <v>50</v>
      </c>
      <c r="I28" s="28">
        <v>0.28000000000000003</v>
      </c>
      <c r="J28" s="29">
        <v>5561</v>
      </c>
      <c r="K28" s="30">
        <f t="shared" si="0"/>
        <v>1557.0800000000002</v>
      </c>
      <c r="L28" s="31">
        <f t="shared" si="1"/>
        <v>4003.92</v>
      </c>
      <c r="M28" s="31">
        <f t="shared" si="2"/>
        <v>4344.54</v>
      </c>
      <c r="N28" s="31">
        <v>4344.53</v>
      </c>
      <c r="O28" s="32">
        <f t="shared" si="32"/>
        <v>782.02</v>
      </c>
      <c r="P28" s="32">
        <f t="shared" si="4"/>
        <v>3562.5099999999998</v>
      </c>
      <c r="Q28" s="32">
        <f t="shared" si="5"/>
        <v>178125.5</v>
      </c>
      <c r="R28" s="33">
        <v>61.5</v>
      </c>
      <c r="S28" s="32">
        <f>R28*H28</f>
        <v>3075</v>
      </c>
      <c r="T28" s="34">
        <v>3736.29</v>
      </c>
      <c r="U28" s="32">
        <f t="shared" si="7"/>
        <v>186814.5</v>
      </c>
      <c r="V28" s="32">
        <f t="shared" si="8"/>
        <v>246000</v>
      </c>
      <c r="W28" s="32">
        <f t="shared" si="9"/>
        <v>59185.5</v>
      </c>
      <c r="X28" s="24"/>
      <c r="Y28" s="91">
        <f t="shared" si="10"/>
        <v>50</v>
      </c>
      <c r="Z28" s="53">
        <f t="shared" si="11"/>
        <v>0</v>
      </c>
      <c r="AA28" s="53">
        <f t="shared" si="27"/>
        <v>186814.5</v>
      </c>
      <c r="AB28" s="53">
        <f t="shared" si="28"/>
        <v>0</v>
      </c>
      <c r="AC28" s="53">
        <f t="shared" si="12"/>
        <v>3075</v>
      </c>
      <c r="AD28" s="53">
        <f t="shared" si="13"/>
        <v>0</v>
      </c>
      <c r="AE28" s="53">
        <f t="shared" si="14"/>
        <v>63798</v>
      </c>
      <c r="AF28" s="33"/>
      <c r="AG28" s="80">
        <f t="shared" si="15"/>
        <v>0</v>
      </c>
      <c r="AH28" s="80">
        <f t="shared" si="16"/>
        <v>0</v>
      </c>
      <c r="AI28" s="81">
        <f t="shared" si="17"/>
        <v>0</v>
      </c>
      <c r="AJ28" s="33">
        <f>10</f>
        <v>10</v>
      </c>
      <c r="AK28" s="80">
        <f t="shared" si="18"/>
        <v>37362.9</v>
      </c>
      <c r="AL28" s="84">
        <f t="shared" si="19"/>
        <v>615</v>
      </c>
      <c r="AM28" s="81">
        <f t="shared" si="20"/>
        <v>12759.599999999999</v>
      </c>
      <c r="AN28" s="90">
        <f>5+17+8</f>
        <v>30</v>
      </c>
      <c r="AO28" s="102">
        <f t="shared" si="21"/>
        <v>112088.7</v>
      </c>
      <c r="AP28" s="84">
        <f t="shared" si="22"/>
        <v>1845</v>
      </c>
      <c r="AQ28" s="81">
        <f t="shared" si="23"/>
        <v>38278.800000000003</v>
      </c>
      <c r="AR28" s="121">
        <v>10</v>
      </c>
      <c r="AS28" s="102">
        <f t="shared" si="29"/>
        <v>37362.9</v>
      </c>
      <c r="AT28" s="84">
        <f t="shared" si="30"/>
        <v>615</v>
      </c>
      <c r="AU28" s="81">
        <f t="shared" si="31"/>
        <v>12759.599999999999</v>
      </c>
    </row>
    <row r="29" spans="1:47" ht="27" x14ac:dyDescent="0.2">
      <c r="A29" s="23">
        <v>19</v>
      </c>
      <c r="B29" s="24" t="s">
        <v>43</v>
      </c>
      <c r="C29" s="25" t="s">
        <v>76</v>
      </c>
      <c r="D29" s="24" t="s">
        <v>77</v>
      </c>
      <c r="E29" s="26" t="s">
        <v>33</v>
      </c>
      <c r="F29" s="26" t="s">
        <v>34</v>
      </c>
      <c r="G29" s="62">
        <v>50</v>
      </c>
      <c r="H29" s="27">
        <v>50</v>
      </c>
      <c r="I29" s="28">
        <v>0.18</v>
      </c>
      <c r="J29" s="29">
        <v>5298</v>
      </c>
      <c r="K29" s="30">
        <f t="shared" si="0"/>
        <v>953.64</v>
      </c>
      <c r="L29" s="31">
        <f t="shared" si="1"/>
        <v>4344.3599999999997</v>
      </c>
      <c r="M29" s="31">
        <f t="shared" si="2"/>
        <v>4489.84</v>
      </c>
      <c r="N29" s="31">
        <v>4139.0600000000004</v>
      </c>
      <c r="O29" s="32">
        <f t="shared" si="32"/>
        <v>745.04</v>
      </c>
      <c r="P29" s="32">
        <f t="shared" si="4"/>
        <v>3394.0200000000004</v>
      </c>
      <c r="Q29" s="32">
        <f t="shared" si="5"/>
        <v>169701.00000000003</v>
      </c>
      <c r="R29" s="33">
        <v>56.27</v>
      </c>
      <c r="S29" s="32">
        <f>ROUNDUP(R29*H29,0)</f>
        <v>2814</v>
      </c>
      <c r="T29" s="34">
        <v>3805.13</v>
      </c>
      <c r="U29" s="32">
        <f t="shared" si="7"/>
        <v>190256.5</v>
      </c>
      <c r="V29" s="32">
        <f t="shared" si="8"/>
        <v>225120</v>
      </c>
      <c r="W29" s="32">
        <f t="shared" si="9"/>
        <v>34863.5</v>
      </c>
      <c r="X29" s="24"/>
      <c r="Y29" s="91">
        <f t="shared" si="10"/>
        <v>50</v>
      </c>
      <c r="Z29" s="53">
        <f t="shared" si="11"/>
        <v>0</v>
      </c>
      <c r="AA29" s="53">
        <f t="shared" si="27"/>
        <v>190256.5</v>
      </c>
      <c r="AB29" s="53">
        <f t="shared" si="28"/>
        <v>0</v>
      </c>
      <c r="AC29" s="53">
        <f t="shared" si="12"/>
        <v>2813.5</v>
      </c>
      <c r="AD29" s="53">
        <f t="shared" si="13"/>
        <v>0.5</v>
      </c>
      <c r="AE29" s="53">
        <f t="shared" si="14"/>
        <v>39043.75</v>
      </c>
      <c r="AF29" s="33"/>
      <c r="AG29" s="80">
        <f t="shared" si="15"/>
        <v>0</v>
      </c>
      <c r="AH29" s="80">
        <f t="shared" si="16"/>
        <v>0</v>
      </c>
      <c r="AI29" s="81">
        <f t="shared" si="17"/>
        <v>0</v>
      </c>
      <c r="AJ29" s="33">
        <f>10+8</f>
        <v>18</v>
      </c>
      <c r="AK29" s="80">
        <f t="shared" si="18"/>
        <v>68492.34</v>
      </c>
      <c r="AL29" s="84">
        <f t="shared" si="19"/>
        <v>1012.86</v>
      </c>
      <c r="AM29" s="81">
        <f t="shared" si="20"/>
        <v>14055.75</v>
      </c>
      <c r="AN29" s="90">
        <f>10+10</f>
        <v>20</v>
      </c>
      <c r="AO29" s="102">
        <f t="shared" si="21"/>
        <v>76102.600000000006</v>
      </c>
      <c r="AP29" s="84">
        <f t="shared" si="22"/>
        <v>1125.4000000000001</v>
      </c>
      <c r="AQ29" s="81">
        <f t="shared" si="23"/>
        <v>15617.5</v>
      </c>
      <c r="AR29" s="121">
        <f>10+2</f>
        <v>12</v>
      </c>
      <c r="AS29" s="102">
        <f t="shared" si="29"/>
        <v>45661.56</v>
      </c>
      <c r="AT29" s="84">
        <f t="shared" si="30"/>
        <v>675.24</v>
      </c>
      <c r="AU29" s="81">
        <f t="shared" si="31"/>
        <v>9370.5</v>
      </c>
    </row>
    <row r="30" spans="1:47" x14ac:dyDescent="0.2">
      <c r="A30" s="23"/>
      <c r="B30" s="24"/>
      <c r="C30" s="49" t="s">
        <v>76</v>
      </c>
      <c r="D30" s="24" t="s">
        <v>221</v>
      </c>
      <c r="E30" s="42"/>
      <c r="F30" s="42"/>
      <c r="G30" s="63" t="s">
        <v>222</v>
      </c>
      <c r="H30" s="43">
        <v>50</v>
      </c>
      <c r="I30" s="44"/>
      <c r="J30" s="34"/>
      <c r="K30" s="30"/>
      <c r="L30" s="31"/>
      <c r="M30" s="31"/>
      <c r="N30" s="31"/>
      <c r="O30" s="32"/>
      <c r="P30" s="32"/>
      <c r="Q30" s="32"/>
      <c r="R30" s="33">
        <v>67.760000000000005</v>
      </c>
      <c r="S30" s="32">
        <f>ROUNDUP(R30*H30,0)</f>
        <v>3388</v>
      </c>
      <c r="T30" s="34"/>
      <c r="U30" s="32"/>
      <c r="V30" s="32"/>
      <c r="W30" s="32"/>
      <c r="X30" s="24"/>
      <c r="Y30" s="91">
        <f t="shared" si="10"/>
        <v>50</v>
      </c>
      <c r="Z30" s="103">
        <f t="shared" si="11"/>
        <v>0</v>
      </c>
      <c r="AA30" s="53">
        <f t="shared" si="27"/>
        <v>190256.5</v>
      </c>
      <c r="AB30" s="53">
        <f t="shared" si="28"/>
        <v>-190256.5</v>
      </c>
      <c r="AC30" s="53">
        <f t="shared" si="12"/>
        <v>3388.0000000000005</v>
      </c>
      <c r="AD30" s="53">
        <f t="shared" si="13"/>
        <v>0</v>
      </c>
      <c r="AE30" s="53">
        <f t="shared" si="14"/>
        <v>85865.500000000058</v>
      </c>
      <c r="AF30" s="33"/>
      <c r="AG30" s="80">
        <f t="shared" si="15"/>
        <v>0</v>
      </c>
      <c r="AH30" s="80">
        <f t="shared" si="16"/>
        <v>0</v>
      </c>
      <c r="AI30" s="81">
        <f t="shared" si="17"/>
        <v>0</v>
      </c>
      <c r="AJ30" s="33"/>
      <c r="AK30" s="80">
        <f t="shared" si="18"/>
        <v>0</v>
      </c>
      <c r="AL30" s="84">
        <f t="shared" si="19"/>
        <v>0</v>
      </c>
      <c r="AM30" s="81">
        <f t="shared" si="20"/>
        <v>0</v>
      </c>
      <c r="AN30" s="90"/>
      <c r="AO30" s="102">
        <f t="shared" si="21"/>
        <v>0</v>
      </c>
      <c r="AP30" s="84">
        <f t="shared" si="22"/>
        <v>0</v>
      </c>
      <c r="AQ30" s="81">
        <f t="shared" si="23"/>
        <v>0</v>
      </c>
      <c r="AR30" s="121">
        <v>50</v>
      </c>
      <c r="AS30" s="102">
        <f>$T29*AR30</f>
        <v>190256.5</v>
      </c>
      <c r="AT30" s="84">
        <f t="shared" si="30"/>
        <v>3388.0000000000005</v>
      </c>
      <c r="AU30" s="81">
        <f t="shared" si="31"/>
        <v>85865.500000000058</v>
      </c>
    </row>
    <row r="31" spans="1:47" x14ac:dyDescent="0.2">
      <c r="A31" s="23">
        <v>20</v>
      </c>
      <c r="B31" s="24" t="s">
        <v>78</v>
      </c>
      <c r="C31" s="25" t="s">
        <v>79</v>
      </c>
      <c r="D31" s="24" t="s">
        <v>80</v>
      </c>
      <c r="E31" s="26" t="s">
        <v>81</v>
      </c>
      <c r="F31" s="26" t="s">
        <v>34</v>
      </c>
      <c r="G31" s="62">
        <v>12</v>
      </c>
      <c r="H31" s="27">
        <v>12</v>
      </c>
      <c r="I31" s="28">
        <v>0.28000000000000003</v>
      </c>
      <c r="J31" s="29">
        <v>16217</v>
      </c>
      <c r="K31" s="30">
        <f t="shared" ref="K31:K42" si="33">J31*I31</f>
        <v>4540.76</v>
      </c>
      <c r="L31" s="31">
        <f t="shared" ref="L31:L42" si="34">J31-K31</f>
        <v>11676.24</v>
      </c>
      <c r="M31" s="31">
        <f t="shared" ref="M31:M42" si="35">ROUNDUP(J31/(1+I31),2)</f>
        <v>12669.54</v>
      </c>
      <c r="N31" s="31">
        <v>12669.53</v>
      </c>
      <c r="O31" s="32">
        <f t="shared" ref="O31:O42" si="36">ROUNDUP(0.18*N31,2)</f>
        <v>2280.5200000000004</v>
      </c>
      <c r="P31" s="32">
        <f t="shared" ref="P31:P42" si="37">N31-O31</f>
        <v>10389.01</v>
      </c>
      <c r="Q31" s="32">
        <f t="shared" ref="Q31:Q42" si="38">P31*H31</f>
        <v>124668.12</v>
      </c>
      <c r="R31" s="33">
        <v>175.5</v>
      </c>
      <c r="S31" s="32">
        <f>ROUNDUP(R31*H31,0)</f>
        <v>2106</v>
      </c>
      <c r="T31" s="34">
        <v>10895.79</v>
      </c>
      <c r="U31" s="32">
        <f t="shared" ref="U31:U42" si="39">T31*H31</f>
        <v>130749.48000000001</v>
      </c>
      <c r="V31" s="32">
        <f t="shared" ref="V31:V42" si="40">80*S31</f>
        <v>168480</v>
      </c>
      <c r="W31" s="32">
        <f t="shared" ref="W31:W42" si="41">V31-U31</f>
        <v>37730.51999999999</v>
      </c>
      <c r="X31" s="24"/>
      <c r="Y31" s="91">
        <f t="shared" si="10"/>
        <v>12</v>
      </c>
      <c r="Z31" s="53">
        <f t="shared" si="11"/>
        <v>0</v>
      </c>
      <c r="AA31" s="53">
        <f t="shared" si="27"/>
        <v>130749.48000000001</v>
      </c>
      <c r="AB31" s="53">
        <f t="shared" si="28"/>
        <v>0</v>
      </c>
      <c r="AC31" s="53">
        <f t="shared" si="12"/>
        <v>2106</v>
      </c>
      <c r="AD31" s="53">
        <f t="shared" si="13"/>
        <v>0</v>
      </c>
      <c r="AE31" s="53">
        <f t="shared" si="14"/>
        <v>40889.51999999999</v>
      </c>
      <c r="AF31" s="33"/>
      <c r="AG31" s="80">
        <f t="shared" si="15"/>
        <v>0</v>
      </c>
      <c r="AH31" s="80">
        <f t="shared" si="16"/>
        <v>0</v>
      </c>
      <c r="AI31" s="81">
        <f t="shared" si="17"/>
        <v>0</v>
      </c>
      <c r="AJ31" s="33">
        <v>4</v>
      </c>
      <c r="AK31" s="80">
        <f t="shared" si="18"/>
        <v>43583.16</v>
      </c>
      <c r="AL31" s="84">
        <f t="shared" si="19"/>
        <v>702</v>
      </c>
      <c r="AM31" s="81">
        <f t="shared" si="20"/>
        <v>13629.839999999997</v>
      </c>
      <c r="AN31" s="90">
        <v>8</v>
      </c>
      <c r="AO31" s="102">
        <f t="shared" si="21"/>
        <v>87166.32</v>
      </c>
      <c r="AP31" s="84">
        <f t="shared" si="22"/>
        <v>1404</v>
      </c>
      <c r="AQ31" s="81">
        <f t="shared" si="23"/>
        <v>27259.679999999993</v>
      </c>
      <c r="AR31" s="90"/>
      <c r="AS31" s="102">
        <f t="shared" si="29"/>
        <v>0</v>
      </c>
      <c r="AT31" s="84">
        <f t="shared" si="30"/>
        <v>0</v>
      </c>
      <c r="AU31" s="81">
        <f t="shared" si="31"/>
        <v>0</v>
      </c>
    </row>
    <row r="32" spans="1:47" ht="17.25" customHeight="1" x14ac:dyDescent="0.2">
      <c r="A32" s="23">
        <v>18</v>
      </c>
      <c r="B32" s="24" t="s">
        <v>43</v>
      </c>
      <c r="C32" s="25" t="s">
        <v>74</v>
      </c>
      <c r="D32" s="24" t="s">
        <v>256</v>
      </c>
      <c r="E32" s="26" t="s">
        <v>33</v>
      </c>
      <c r="F32" s="26" t="s">
        <v>34</v>
      </c>
      <c r="G32" s="62">
        <v>200</v>
      </c>
      <c r="H32" s="27">
        <v>200</v>
      </c>
      <c r="I32" s="28">
        <v>0.18</v>
      </c>
      <c r="J32" s="29">
        <v>922</v>
      </c>
      <c r="K32" s="30">
        <f t="shared" si="33"/>
        <v>165.96</v>
      </c>
      <c r="L32" s="31">
        <f t="shared" si="34"/>
        <v>756.04</v>
      </c>
      <c r="M32" s="31">
        <f t="shared" si="35"/>
        <v>781.36</v>
      </c>
      <c r="N32" s="31">
        <v>720.31</v>
      </c>
      <c r="O32" s="32">
        <f t="shared" si="36"/>
        <v>129.66</v>
      </c>
      <c r="P32" s="32">
        <f t="shared" si="37"/>
        <v>590.65</v>
      </c>
      <c r="Q32" s="32">
        <f t="shared" si="38"/>
        <v>118130</v>
      </c>
      <c r="R32" s="33">
        <v>9.8000000000000007</v>
      </c>
      <c r="S32" s="32">
        <f>R32*H32</f>
        <v>1960.0000000000002</v>
      </c>
      <c r="T32" s="34">
        <v>662.2</v>
      </c>
      <c r="U32" s="32">
        <f t="shared" si="39"/>
        <v>132440</v>
      </c>
      <c r="V32" s="32">
        <f t="shared" si="40"/>
        <v>156800.00000000003</v>
      </c>
      <c r="W32" s="32">
        <f t="shared" si="41"/>
        <v>24360.000000000029</v>
      </c>
      <c r="X32" s="24"/>
      <c r="Y32" s="91">
        <f t="shared" si="10"/>
        <v>200</v>
      </c>
      <c r="Z32" s="53">
        <f t="shared" si="11"/>
        <v>0</v>
      </c>
      <c r="AA32" s="53">
        <f t="shared" si="27"/>
        <v>132440</v>
      </c>
      <c r="AB32" s="53">
        <f t="shared" si="28"/>
        <v>0</v>
      </c>
      <c r="AC32" s="53">
        <f t="shared" si="12"/>
        <v>1960</v>
      </c>
      <c r="AD32" s="53">
        <f t="shared" si="13"/>
        <v>0</v>
      </c>
      <c r="AE32" s="53">
        <f t="shared" si="14"/>
        <v>27300.000000000007</v>
      </c>
      <c r="AF32" s="33">
        <v>50</v>
      </c>
      <c r="AG32" s="80">
        <f t="shared" si="15"/>
        <v>33110</v>
      </c>
      <c r="AH32" s="80">
        <f t="shared" si="16"/>
        <v>490.00000000000006</v>
      </c>
      <c r="AI32" s="81">
        <f t="shared" si="17"/>
        <v>6825.0000000000073</v>
      </c>
      <c r="AJ32" s="33">
        <f>30+30</f>
        <v>60</v>
      </c>
      <c r="AK32" s="80">
        <f t="shared" si="18"/>
        <v>39732</v>
      </c>
      <c r="AL32" s="84">
        <f t="shared" si="19"/>
        <v>588</v>
      </c>
      <c r="AM32" s="81">
        <f t="shared" si="20"/>
        <v>8190</v>
      </c>
      <c r="AN32" s="90">
        <f>30+30</f>
        <v>60</v>
      </c>
      <c r="AO32" s="102">
        <f t="shared" si="21"/>
        <v>39732</v>
      </c>
      <c r="AP32" s="84">
        <f t="shared" si="22"/>
        <v>588</v>
      </c>
      <c r="AQ32" s="81">
        <f t="shared" si="23"/>
        <v>8190</v>
      </c>
      <c r="AR32" s="121">
        <f>7+22+1</f>
        <v>30</v>
      </c>
      <c r="AS32" s="102">
        <f t="shared" si="29"/>
        <v>19866</v>
      </c>
      <c r="AT32" s="84">
        <f t="shared" si="30"/>
        <v>294</v>
      </c>
      <c r="AU32" s="81">
        <f t="shared" si="31"/>
        <v>4095</v>
      </c>
    </row>
    <row r="33" spans="1:47" ht="27" x14ac:dyDescent="0.2">
      <c r="A33" s="23">
        <v>10</v>
      </c>
      <c r="B33" s="24" t="s">
        <v>43</v>
      </c>
      <c r="C33" s="25" t="s">
        <v>58</v>
      </c>
      <c r="D33" s="24" t="s">
        <v>59</v>
      </c>
      <c r="E33" s="26" t="s">
        <v>33</v>
      </c>
      <c r="F33" s="26" t="s">
        <v>34</v>
      </c>
      <c r="G33" s="62">
        <v>200</v>
      </c>
      <c r="H33" s="27">
        <v>200</v>
      </c>
      <c r="I33" s="28">
        <v>0.18</v>
      </c>
      <c r="J33" s="29">
        <v>925</v>
      </c>
      <c r="K33" s="30">
        <f t="shared" si="33"/>
        <v>166.5</v>
      </c>
      <c r="L33" s="31">
        <f t="shared" si="34"/>
        <v>758.5</v>
      </c>
      <c r="M33" s="31">
        <f t="shared" si="35"/>
        <v>783.9</v>
      </c>
      <c r="N33" s="31">
        <v>722.66</v>
      </c>
      <c r="O33" s="32">
        <f t="shared" si="36"/>
        <v>130.07999999999998</v>
      </c>
      <c r="P33" s="32">
        <f t="shared" si="37"/>
        <v>592.57999999999993</v>
      </c>
      <c r="Q33" s="32">
        <f t="shared" si="38"/>
        <v>118515.99999999999</v>
      </c>
      <c r="R33" s="33">
        <v>10.51</v>
      </c>
      <c r="S33" s="32">
        <f>R33*H33</f>
        <v>2102</v>
      </c>
      <c r="T33" s="34">
        <v>664.36</v>
      </c>
      <c r="U33" s="32">
        <f t="shared" si="39"/>
        <v>132872</v>
      </c>
      <c r="V33" s="32">
        <f t="shared" si="40"/>
        <v>168160</v>
      </c>
      <c r="W33" s="32">
        <f t="shared" si="41"/>
        <v>35288</v>
      </c>
      <c r="X33" s="36"/>
      <c r="Y33" s="91">
        <f t="shared" si="10"/>
        <v>200</v>
      </c>
      <c r="Z33" s="53">
        <f t="shared" si="11"/>
        <v>0</v>
      </c>
      <c r="AA33" s="53">
        <f t="shared" si="27"/>
        <v>132872</v>
      </c>
      <c r="AB33" s="53">
        <f t="shared" si="28"/>
        <v>0</v>
      </c>
      <c r="AC33" s="53">
        <f t="shared" si="12"/>
        <v>2102</v>
      </c>
      <c r="AD33" s="53">
        <f t="shared" si="13"/>
        <v>0</v>
      </c>
      <c r="AE33" s="53">
        <f t="shared" si="14"/>
        <v>38440.999999999985</v>
      </c>
      <c r="AF33" s="33"/>
      <c r="AG33" s="80">
        <f t="shared" si="15"/>
        <v>0</v>
      </c>
      <c r="AH33" s="80">
        <f t="shared" si="16"/>
        <v>0</v>
      </c>
      <c r="AI33" s="81">
        <f t="shared" si="17"/>
        <v>0</v>
      </c>
      <c r="AJ33" s="33">
        <v>80</v>
      </c>
      <c r="AK33" s="80">
        <f t="shared" si="18"/>
        <v>53148.800000000003</v>
      </c>
      <c r="AL33" s="84">
        <f t="shared" si="19"/>
        <v>840.8</v>
      </c>
      <c r="AM33" s="81">
        <f t="shared" si="20"/>
        <v>15376.399999999994</v>
      </c>
      <c r="AN33" s="90">
        <f>15+25+40</f>
        <v>80</v>
      </c>
      <c r="AO33" s="102">
        <f t="shared" si="21"/>
        <v>53148.800000000003</v>
      </c>
      <c r="AP33" s="84">
        <f t="shared" si="22"/>
        <v>840.8</v>
      </c>
      <c r="AQ33" s="81">
        <f t="shared" si="23"/>
        <v>15376.399999999994</v>
      </c>
      <c r="AR33" s="121">
        <f>37+2+1</f>
        <v>40</v>
      </c>
      <c r="AS33" s="102">
        <f t="shared" si="29"/>
        <v>26574.400000000001</v>
      </c>
      <c r="AT33" s="84">
        <f t="shared" si="30"/>
        <v>420.4</v>
      </c>
      <c r="AU33" s="81">
        <f t="shared" si="31"/>
        <v>7688.1999999999971</v>
      </c>
    </row>
    <row r="34" spans="1:47" ht="27" x14ac:dyDescent="0.2">
      <c r="A34" s="23">
        <v>12</v>
      </c>
      <c r="B34" s="24" t="s">
        <v>43</v>
      </c>
      <c r="C34" s="25" t="s">
        <v>62</v>
      </c>
      <c r="D34" s="24" t="s">
        <v>63</v>
      </c>
      <c r="E34" s="26" t="s">
        <v>33</v>
      </c>
      <c r="F34" s="26" t="s">
        <v>34</v>
      </c>
      <c r="G34" s="62">
        <v>10</v>
      </c>
      <c r="H34" s="27">
        <v>10</v>
      </c>
      <c r="I34" s="28">
        <v>0.18</v>
      </c>
      <c r="J34" s="29">
        <v>2525</v>
      </c>
      <c r="K34" s="30">
        <f t="shared" si="33"/>
        <v>454.5</v>
      </c>
      <c r="L34" s="31">
        <f t="shared" si="34"/>
        <v>2070.5</v>
      </c>
      <c r="M34" s="31">
        <f t="shared" si="35"/>
        <v>2139.84</v>
      </c>
      <c r="N34" s="31">
        <v>1972.66</v>
      </c>
      <c r="O34" s="32">
        <f t="shared" si="36"/>
        <v>355.08</v>
      </c>
      <c r="P34" s="32">
        <f t="shared" si="37"/>
        <v>1617.5800000000002</v>
      </c>
      <c r="Q34" s="32">
        <f t="shared" si="38"/>
        <v>16175.800000000001</v>
      </c>
      <c r="R34" s="33">
        <v>28.15</v>
      </c>
      <c r="S34" s="32">
        <f>ROUND(R34*H34,0)</f>
        <v>282</v>
      </c>
      <c r="T34" s="34">
        <v>1813.51</v>
      </c>
      <c r="U34" s="32">
        <f t="shared" si="39"/>
        <v>18135.099999999999</v>
      </c>
      <c r="V34" s="32">
        <f t="shared" si="40"/>
        <v>22560</v>
      </c>
      <c r="W34" s="32">
        <f t="shared" si="41"/>
        <v>4424.9000000000015</v>
      </c>
      <c r="X34" s="24"/>
      <c r="Y34" s="91">
        <f t="shared" si="10"/>
        <v>10</v>
      </c>
      <c r="Z34" s="53">
        <f t="shared" si="11"/>
        <v>0</v>
      </c>
      <c r="AA34" s="53">
        <f t="shared" si="27"/>
        <v>18135.099999999999</v>
      </c>
      <c r="AB34" s="53">
        <f t="shared" si="28"/>
        <v>0</v>
      </c>
      <c r="AC34" s="53">
        <f t="shared" si="12"/>
        <v>281.5</v>
      </c>
      <c r="AD34" s="53">
        <f t="shared" si="13"/>
        <v>0.5</v>
      </c>
      <c r="AE34" s="53">
        <f t="shared" si="14"/>
        <v>4807.1500000000015</v>
      </c>
      <c r="AF34" s="33"/>
      <c r="AG34" s="80">
        <f t="shared" si="15"/>
        <v>0</v>
      </c>
      <c r="AH34" s="80">
        <f t="shared" si="16"/>
        <v>0</v>
      </c>
      <c r="AI34" s="81">
        <f t="shared" si="17"/>
        <v>0</v>
      </c>
      <c r="AJ34" s="33"/>
      <c r="AK34" s="80">
        <f t="shared" si="18"/>
        <v>0</v>
      </c>
      <c r="AL34" s="84">
        <f t="shared" si="19"/>
        <v>0</v>
      </c>
      <c r="AM34" s="81">
        <f t="shared" si="20"/>
        <v>0</v>
      </c>
      <c r="AN34" s="90">
        <f>5+5</f>
        <v>10</v>
      </c>
      <c r="AO34" s="102">
        <f t="shared" si="21"/>
        <v>18135.099999999999</v>
      </c>
      <c r="AP34" s="84">
        <f t="shared" si="22"/>
        <v>281.5</v>
      </c>
      <c r="AQ34" s="81">
        <f t="shared" si="23"/>
        <v>4807.1500000000015</v>
      </c>
      <c r="AR34" s="90"/>
      <c r="AS34" s="102">
        <f t="shared" si="29"/>
        <v>0</v>
      </c>
      <c r="AT34" s="84">
        <f t="shared" si="30"/>
        <v>0</v>
      </c>
      <c r="AU34" s="81">
        <f t="shared" si="31"/>
        <v>0</v>
      </c>
    </row>
    <row r="35" spans="1:47" ht="27" x14ac:dyDescent="0.2">
      <c r="A35" s="23">
        <v>11</v>
      </c>
      <c r="B35" s="24" t="s">
        <v>43</v>
      </c>
      <c r="C35" s="25" t="s">
        <v>60</v>
      </c>
      <c r="D35" s="24" t="s">
        <v>61</v>
      </c>
      <c r="E35" s="26" t="s">
        <v>33</v>
      </c>
      <c r="F35" s="26" t="s">
        <v>34</v>
      </c>
      <c r="G35" s="62">
        <v>50</v>
      </c>
      <c r="H35" s="27">
        <v>50</v>
      </c>
      <c r="I35" s="28">
        <v>0.28000000000000003</v>
      </c>
      <c r="J35" s="29">
        <v>3824</v>
      </c>
      <c r="K35" s="30">
        <f t="shared" si="33"/>
        <v>1070.72</v>
      </c>
      <c r="L35" s="31">
        <f t="shared" si="34"/>
        <v>2753.2799999999997</v>
      </c>
      <c r="M35" s="31">
        <f t="shared" si="35"/>
        <v>2987.5</v>
      </c>
      <c r="N35" s="31">
        <v>2987.5</v>
      </c>
      <c r="O35" s="32">
        <f t="shared" si="36"/>
        <v>537.75</v>
      </c>
      <c r="P35" s="32">
        <f t="shared" si="37"/>
        <v>2449.75</v>
      </c>
      <c r="Q35" s="32">
        <f t="shared" si="38"/>
        <v>122487.5</v>
      </c>
      <c r="R35" s="33">
        <v>40.700000000000003</v>
      </c>
      <c r="S35" s="32">
        <f>R35*H35</f>
        <v>2035.0000000000002</v>
      </c>
      <c r="T35" s="34">
        <v>2569.25</v>
      </c>
      <c r="U35" s="32">
        <f t="shared" si="39"/>
        <v>128462.5</v>
      </c>
      <c r="V35" s="32">
        <f t="shared" si="40"/>
        <v>162800.00000000003</v>
      </c>
      <c r="W35" s="32">
        <f t="shared" si="41"/>
        <v>34337.500000000029</v>
      </c>
      <c r="X35" s="36"/>
      <c r="Y35" s="91">
        <f t="shared" si="10"/>
        <v>50</v>
      </c>
      <c r="Z35" s="53">
        <f t="shared" si="11"/>
        <v>0</v>
      </c>
      <c r="AA35" s="53">
        <f t="shared" si="27"/>
        <v>128462.5</v>
      </c>
      <c r="AB35" s="53">
        <f t="shared" si="28"/>
        <v>0</v>
      </c>
      <c r="AC35" s="53">
        <f t="shared" si="12"/>
        <v>2035</v>
      </c>
      <c r="AD35" s="53">
        <f t="shared" si="13"/>
        <v>0</v>
      </c>
      <c r="AE35" s="53">
        <f t="shared" si="14"/>
        <v>37390</v>
      </c>
      <c r="AF35" s="33"/>
      <c r="AG35" s="80">
        <f t="shared" si="15"/>
        <v>0</v>
      </c>
      <c r="AH35" s="80">
        <f t="shared" si="16"/>
        <v>0</v>
      </c>
      <c r="AI35" s="81">
        <f t="shared" si="17"/>
        <v>0</v>
      </c>
      <c r="AJ35" s="33">
        <f>10</f>
        <v>10</v>
      </c>
      <c r="AK35" s="80">
        <f t="shared" si="18"/>
        <v>25692.5</v>
      </c>
      <c r="AL35" s="84">
        <f t="shared" si="19"/>
        <v>407</v>
      </c>
      <c r="AM35" s="81">
        <f t="shared" si="20"/>
        <v>7478</v>
      </c>
      <c r="AN35" s="90">
        <f>10+10</f>
        <v>20</v>
      </c>
      <c r="AO35" s="102">
        <f t="shared" si="21"/>
        <v>51385</v>
      </c>
      <c r="AP35" s="84">
        <f t="shared" si="22"/>
        <v>814</v>
      </c>
      <c r="AQ35" s="81">
        <f t="shared" si="23"/>
        <v>14956</v>
      </c>
      <c r="AR35" s="121">
        <v>20</v>
      </c>
      <c r="AS35" s="102">
        <f t="shared" si="29"/>
        <v>51385</v>
      </c>
      <c r="AT35" s="84">
        <f t="shared" si="30"/>
        <v>814</v>
      </c>
      <c r="AU35" s="81">
        <f t="shared" si="31"/>
        <v>14956</v>
      </c>
    </row>
    <row r="36" spans="1:47" x14ac:dyDescent="0.2">
      <c r="A36" s="23">
        <v>21</v>
      </c>
      <c r="B36" s="24" t="s">
        <v>82</v>
      </c>
      <c r="C36" s="25" t="s">
        <v>83</v>
      </c>
      <c r="D36" s="24" t="s">
        <v>84</v>
      </c>
      <c r="E36" s="26" t="s">
        <v>85</v>
      </c>
      <c r="F36" s="26" t="s">
        <v>34</v>
      </c>
      <c r="G36" s="62">
        <v>10</v>
      </c>
      <c r="H36" s="27">
        <v>10</v>
      </c>
      <c r="I36" s="28">
        <v>0.28000000000000003</v>
      </c>
      <c r="J36" s="29">
        <v>28871</v>
      </c>
      <c r="K36" s="30">
        <f t="shared" si="33"/>
        <v>8083.880000000001</v>
      </c>
      <c r="L36" s="31">
        <f t="shared" si="34"/>
        <v>20787.12</v>
      </c>
      <c r="M36" s="31">
        <f t="shared" si="35"/>
        <v>22555.469999999998</v>
      </c>
      <c r="N36" s="31">
        <v>22555.47</v>
      </c>
      <c r="O36" s="32">
        <f t="shared" si="36"/>
        <v>4059.9900000000002</v>
      </c>
      <c r="P36" s="32">
        <f t="shared" si="37"/>
        <v>18495.48</v>
      </c>
      <c r="Q36" s="32">
        <f t="shared" si="38"/>
        <v>184954.8</v>
      </c>
      <c r="R36" s="33">
        <v>301.27</v>
      </c>
      <c r="S36" s="32">
        <f>ROUNDUP(R36*H36,0)</f>
        <v>3013</v>
      </c>
      <c r="T36" s="34">
        <v>19397.7</v>
      </c>
      <c r="U36" s="32">
        <f t="shared" si="39"/>
        <v>193977</v>
      </c>
      <c r="V36" s="32">
        <f t="shared" si="40"/>
        <v>241040</v>
      </c>
      <c r="W36" s="32">
        <f t="shared" si="41"/>
        <v>47063</v>
      </c>
      <c r="X36" s="24"/>
      <c r="Y36" s="91">
        <f t="shared" ref="Y36:Y67" si="42">AF36+AJ36+AN36+AR36</f>
        <v>10</v>
      </c>
      <c r="Z36" s="53">
        <f t="shared" ref="Z36:Z67" si="43">H36-Y36</f>
        <v>0</v>
      </c>
      <c r="AA36" s="53">
        <f t="shared" si="27"/>
        <v>193977</v>
      </c>
      <c r="AB36" s="53">
        <f t="shared" si="28"/>
        <v>0</v>
      </c>
      <c r="AC36" s="53">
        <f t="shared" ref="AC36:AC67" si="44">AH36+AL36+AP36+AT36</f>
        <v>3012.7</v>
      </c>
      <c r="AD36" s="53">
        <f t="shared" ref="AD36:AD67" si="45">S36-AC36</f>
        <v>0.3000000000001819</v>
      </c>
      <c r="AE36" s="53">
        <f t="shared" ref="AE36:AE67" si="46">AI36+AM36+AQ36+AU36</f>
        <v>51558.049999999974</v>
      </c>
      <c r="AF36" s="33"/>
      <c r="AG36" s="80">
        <f t="shared" ref="AG36:AG67" si="47">$T36*AF36</f>
        <v>0</v>
      </c>
      <c r="AH36" s="80">
        <f t="shared" ref="AH36:AH67" si="48">AF36*$R36</f>
        <v>0</v>
      </c>
      <c r="AI36" s="81">
        <f t="shared" ref="AI36:AI67" si="49">(81.5*AH36)-AG36</f>
        <v>0</v>
      </c>
      <c r="AJ36" s="33">
        <f>4</f>
        <v>4</v>
      </c>
      <c r="AK36" s="80">
        <f t="shared" ref="AK36:AK67" si="50">$T36*AJ36</f>
        <v>77590.8</v>
      </c>
      <c r="AL36" s="84">
        <f t="shared" ref="AL36:AL67" si="51">AJ36*$R36</f>
        <v>1205.08</v>
      </c>
      <c r="AM36" s="81">
        <f t="shared" ref="AM36:AM67" si="52">(81.5*AL36)-AK36</f>
        <v>20623.219999999987</v>
      </c>
      <c r="AN36" s="90"/>
      <c r="AO36" s="102">
        <f t="shared" ref="AO36:AO67" si="53">$T36*AN36</f>
        <v>0</v>
      </c>
      <c r="AP36" s="84">
        <f t="shared" ref="AP36:AP67" si="54">AN36*$R36</f>
        <v>0</v>
      </c>
      <c r="AQ36" s="81">
        <f t="shared" ref="AQ36:AQ67" si="55">(81.5*AP36)-AO36</f>
        <v>0</v>
      </c>
      <c r="AR36" s="121">
        <f>2+4</f>
        <v>6</v>
      </c>
      <c r="AS36" s="102">
        <f t="shared" si="29"/>
        <v>116386.20000000001</v>
      </c>
      <c r="AT36" s="84">
        <f t="shared" si="30"/>
        <v>1807.62</v>
      </c>
      <c r="AU36" s="81">
        <f t="shared" si="31"/>
        <v>30934.829999999987</v>
      </c>
    </row>
    <row r="37" spans="1:47" ht="27" x14ac:dyDescent="0.2">
      <c r="A37" s="23">
        <v>6</v>
      </c>
      <c r="B37" s="24" t="s">
        <v>43</v>
      </c>
      <c r="C37" s="25" t="s">
        <v>48</v>
      </c>
      <c r="D37" s="24" t="s">
        <v>49</v>
      </c>
      <c r="E37" s="26" t="s">
        <v>50</v>
      </c>
      <c r="F37" s="26" t="s">
        <v>34</v>
      </c>
      <c r="G37" s="62">
        <v>50</v>
      </c>
      <c r="H37" s="27">
        <v>50</v>
      </c>
      <c r="I37" s="28">
        <v>0.18</v>
      </c>
      <c r="J37" s="29">
        <v>699</v>
      </c>
      <c r="K37" s="30">
        <f t="shared" si="33"/>
        <v>125.82</v>
      </c>
      <c r="L37" s="31">
        <f t="shared" si="34"/>
        <v>573.18000000000006</v>
      </c>
      <c r="M37" s="31">
        <f t="shared" si="35"/>
        <v>592.38</v>
      </c>
      <c r="N37" s="31">
        <v>592.37</v>
      </c>
      <c r="O37" s="32">
        <f t="shared" si="36"/>
        <v>106.63000000000001</v>
      </c>
      <c r="P37" s="32">
        <f t="shared" si="37"/>
        <v>485.74</v>
      </c>
      <c r="Q37" s="32">
        <f t="shared" si="38"/>
        <v>24287</v>
      </c>
      <c r="R37" s="33">
        <v>7.7</v>
      </c>
      <c r="S37" s="32">
        <f>R37*H37</f>
        <v>385</v>
      </c>
      <c r="T37" s="34">
        <v>502.01</v>
      </c>
      <c r="U37" s="32">
        <f t="shared" si="39"/>
        <v>25100.5</v>
      </c>
      <c r="V37" s="32">
        <f t="shared" si="40"/>
        <v>30800</v>
      </c>
      <c r="W37" s="32">
        <f t="shared" si="41"/>
        <v>5699.5</v>
      </c>
      <c r="X37" s="24"/>
      <c r="Y37" s="91">
        <f t="shared" si="42"/>
        <v>50</v>
      </c>
      <c r="Z37" s="53">
        <f t="shared" si="43"/>
        <v>0</v>
      </c>
      <c r="AA37" s="53">
        <f t="shared" si="27"/>
        <v>25100.5</v>
      </c>
      <c r="AB37" s="53">
        <f t="shared" si="28"/>
        <v>0</v>
      </c>
      <c r="AC37" s="53">
        <f t="shared" si="44"/>
        <v>385</v>
      </c>
      <c r="AD37" s="53">
        <f t="shared" si="45"/>
        <v>0</v>
      </c>
      <c r="AE37" s="53">
        <f t="shared" si="46"/>
        <v>6277</v>
      </c>
      <c r="AF37" s="33">
        <v>25</v>
      </c>
      <c r="AG37" s="80">
        <f t="shared" si="47"/>
        <v>12550.25</v>
      </c>
      <c r="AH37" s="80">
        <f t="shared" si="48"/>
        <v>192.5</v>
      </c>
      <c r="AI37" s="81">
        <f t="shared" si="49"/>
        <v>3138.5</v>
      </c>
      <c r="AJ37" s="33">
        <f>15+10</f>
        <v>25</v>
      </c>
      <c r="AK37" s="80">
        <f t="shared" si="50"/>
        <v>12550.25</v>
      </c>
      <c r="AL37" s="84">
        <f t="shared" si="51"/>
        <v>192.5</v>
      </c>
      <c r="AM37" s="81">
        <f t="shared" si="52"/>
        <v>3138.5</v>
      </c>
      <c r="AN37" s="90"/>
      <c r="AO37" s="102">
        <f t="shared" si="53"/>
        <v>0</v>
      </c>
      <c r="AP37" s="84">
        <f t="shared" si="54"/>
        <v>0</v>
      </c>
      <c r="AQ37" s="81">
        <f t="shared" si="55"/>
        <v>0</v>
      </c>
      <c r="AR37" s="90"/>
      <c r="AS37" s="102">
        <f t="shared" si="29"/>
        <v>0</v>
      </c>
      <c r="AT37" s="84">
        <f t="shared" si="30"/>
        <v>0</v>
      </c>
      <c r="AU37" s="81">
        <f t="shared" si="31"/>
        <v>0</v>
      </c>
    </row>
    <row r="38" spans="1:47" ht="27" x14ac:dyDescent="0.2">
      <c r="A38" s="23">
        <v>5</v>
      </c>
      <c r="B38" s="24" t="s">
        <v>43</v>
      </c>
      <c r="C38" s="25" t="s">
        <v>44</v>
      </c>
      <c r="D38" s="24" t="s">
        <v>45</v>
      </c>
      <c r="E38" s="26" t="s">
        <v>46</v>
      </c>
      <c r="F38" s="26" t="s">
        <v>34</v>
      </c>
      <c r="G38" s="62">
        <v>50</v>
      </c>
      <c r="H38" s="27">
        <v>50</v>
      </c>
      <c r="I38" s="28">
        <v>0.18</v>
      </c>
      <c r="J38" s="29">
        <v>1844</v>
      </c>
      <c r="K38" s="30">
        <f t="shared" si="33"/>
        <v>331.92</v>
      </c>
      <c r="L38" s="31">
        <f t="shared" si="34"/>
        <v>1512.08</v>
      </c>
      <c r="M38" s="31">
        <f t="shared" si="35"/>
        <v>1562.72</v>
      </c>
      <c r="N38" s="31">
        <v>1562.71</v>
      </c>
      <c r="O38" s="32">
        <f t="shared" si="36"/>
        <v>281.28999999999996</v>
      </c>
      <c r="P38" s="32">
        <f t="shared" si="37"/>
        <v>1281.42</v>
      </c>
      <c r="Q38" s="32">
        <f t="shared" si="38"/>
        <v>64071</v>
      </c>
      <c r="R38" s="33">
        <v>14.42</v>
      </c>
      <c r="S38" s="32">
        <f>R38*H38</f>
        <v>721</v>
      </c>
      <c r="T38" s="34">
        <v>1324.33</v>
      </c>
      <c r="U38" s="32">
        <f t="shared" si="39"/>
        <v>66216.5</v>
      </c>
      <c r="V38" s="32">
        <f t="shared" si="40"/>
        <v>57680</v>
      </c>
      <c r="W38" s="32">
        <f t="shared" si="41"/>
        <v>-8536.5</v>
      </c>
      <c r="X38" s="24" t="s">
        <v>47</v>
      </c>
      <c r="Y38" s="91">
        <f t="shared" si="42"/>
        <v>50</v>
      </c>
      <c r="Z38" s="53">
        <f t="shared" si="43"/>
        <v>0</v>
      </c>
      <c r="AA38" s="53">
        <f t="shared" si="27"/>
        <v>66216.5</v>
      </c>
      <c r="AB38" s="53">
        <f t="shared" si="28"/>
        <v>0</v>
      </c>
      <c r="AC38" s="53">
        <f t="shared" si="44"/>
        <v>721</v>
      </c>
      <c r="AD38" s="53">
        <f t="shared" si="45"/>
        <v>0</v>
      </c>
      <c r="AE38" s="53">
        <f t="shared" si="46"/>
        <v>-7455</v>
      </c>
      <c r="AF38" s="33"/>
      <c r="AG38" s="80">
        <f t="shared" si="47"/>
        <v>0</v>
      </c>
      <c r="AH38" s="80">
        <f t="shared" si="48"/>
        <v>0</v>
      </c>
      <c r="AI38" s="81">
        <f t="shared" si="49"/>
        <v>0</v>
      </c>
      <c r="AJ38" s="33">
        <f>10+10</f>
        <v>20</v>
      </c>
      <c r="AK38" s="80">
        <f t="shared" si="50"/>
        <v>26486.6</v>
      </c>
      <c r="AL38" s="84">
        <f t="shared" si="51"/>
        <v>288.39999999999998</v>
      </c>
      <c r="AM38" s="81">
        <f t="shared" si="52"/>
        <v>-2982</v>
      </c>
      <c r="AN38" s="90">
        <f>10+10</f>
        <v>20</v>
      </c>
      <c r="AO38" s="102">
        <f t="shared" si="53"/>
        <v>26486.6</v>
      </c>
      <c r="AP38" s="84">
        <f t="shared" si="54"/>
        <v>288.39999999999998</v>
      </c>
      <c r="AQ38" s="81">
        <f t="shared" si="55"/>
        <v>-2982</v>
      </c>
      <c r="AR38" s="121">
        <v>10</v>
      </c>
      <c r="AS38" s="102">
        <f t="shared" si="29"/>
        <v>13243.3</v>
      </c>
      <c r="AT38" s="84">
        <f t="shared" si="30"/>
        <v>144.19999999999999</v>
      </c>
      <c r="AU38" s="81">
        <f t="shared" si="31"/>
        <v>-1491</v>
      </c>
    </row>
    <row r="39" spans="1:47" x14ac:dyDescent="0.2">
      <c r="A39" s="23">
        <v>2</v>
      </c>
      <c r="B39" s="24" t="s">
        <v>30</v>
      </c>
      <c r="C39" s="25" t="s">
        <v>35</v>
      </c>
      <c r="D39" s="24" t="s">
        <v>36</v>
      </c>
      <c r="E39" s="26" t="s">
        <v>37</v>
      </c>
      <c r="F39" s="26" t="s">
        <v>34</v>
      </c>
      <c r="G39" s="62">
        <v>500</v>
      </c>
      <c r="H39" s="27">
        <v>500</v>
      </c>
      <c r="I39" s="28">
        <v>0.18</v>
      </c>
      <c r="J39" s="29">
        <v>811</v>
      </c>
      <c r="K39" s="30">
        <f t="shared" si="33"/>
        <v>145.97999999999999</v>
      </c>
      <c r="L39" s="31">
        <f t="shared" si="34"/>
        <v>665.02</v>
      </c>
      <c r="M39" s="31">
        <f t="shared" si="35"/>
        <v>687.29</v>
      </c>
      <c r="N39" s="31">
        <v>687.29</v>
      </c>
      <c r="O39" s="32">
        <f t="shared" si="36"/>
        <v>123.72</v>
      </c>
      <c r="P39" s="32">
        <f t="shared" si="37"/>
        <v>563.56999999999994</v>
      </c>
      <c r="Q39" s="32">
        <f t="shared" si="38"/>
        <v>281784.99999999994</v>
      </c>
      <c r="R39" s="33">
        <v>9</v>
      </c>
      <c r="S39" s="32">
        <f>R39*H39</f>
        <v>4500</v>
      </c>
      <c r="T39" s="34">
        <v>582.45000000000005</v>
      </c>
      <c r="U39" s="32">
        <f t="shared" si="39"/>
        <v>291225</v>
      </c>
      <c r="V39" s="32">
        <f t="shared" si="40"/>
        <v>360000</v>
      </c>
      <c r="W39" s="32">
        <f t="shared" si="41"/>
        <v>68775</v>
      </c>
      <c r="X39" s="35"/>
      <c r="Y39" s="91">
        <f t="shared" si="42"/>
        <v>500</v>
      </c>
      <c r="Z39" s="53">
        <f t="shared" si="43"/>
        <v>0</v>
      </c>
      <c r="AA39" s="53">
        <f t="shared" si="27"/>
        <v>291225</v>
      </c>
      <c r="AB39" s="53">
        <f t="shared" si="28"/>
        <v>0</v>
      </c>
      <c r="AC39" s="53">
        <f t="shared" si="44"/>
        <v>4500</v>
      </c>
      <c r="AD39" s="53">
        <f t="shared" si="45"/>
        <v>0</v>
      </c>
      <c r="AE39" s="53">
        <f t="shared" si="46"/>
        <v>75524.999999999971</v>
      </c>
      <c r="AF39" s="33">
        <v>200</v>
      </c>
      <c r="AG39" s="80">
        <f t="shared" si="47"/>
        <v>116490.00000000001</v>
      </c>
      <c r="AH39" s="80">
        <f t="shared" si="48"/>
        <v>1800</v>
      </c>
      <c r="AI39" s="81">
        <f t="shared" si="49"/>
        <v>30209.999999999985</v>
      </c>
      <c r="AJ39" s="33">
        <f>30+30+30</f>
        <v>90</v>
      </c>
      <c r="AK39" s="80">
        <f t="shared" si="50"/>
        <v>52420.500000000007</v>
      </c>
      <c r="AL39" s="84">
        <f t="shared" si="51"/>
        <v>810</v>
      </c>
      <c r="AM39" s="81">
        <f t="shared" si="52"/>
        <v>13594.499999999993</v>
      </c>
      <c r="AN39" s="90">
        <v>150</v>
      </c>
      <c r="AO39" s="102">
        <f t="shared" si="53"/>
        <v>87367.5</v>
      </c>
      <c r="AP39" s="84">
        <f t="shared" si="54"/>
        <v>1350</v>
      </c>
      <c r="AQ39" s="81">
        <f t="shared" si="55"/>
        <v>22657.5</v>
      </c>
      <c r="AR39" s="121">
        <v>60</v>
      </c>
      <c r="AS39" s="102">
        <f t="shared" si="29"/>
        <v>34947</v>
      </c>
      <c r="AT39" s="84">
        <f t="shared" si="30"/>
        <v>540</v>
      </c>
      <c r="AU39" s="81">
        <f t="shared" si="31"/>
        <v>9063</v>
      </c>
    </row>
    <row r="40" spans="1:47" x14ac:dyDescent="0.2">
      <c r="A40" s="23">
        <v>63</v>
      </c>
      <c r="B40" s="24" t="s">
        <v>171</v>
      </c>
      <c r="C40" s="40" t="s">
        <v>172</v>
      </c>
      <c r="D40" s="24" t="s">
        <v>173</v>
      </c>
      <c r="E40" s="41" t="s">
        <v>248</v>
      </c>
      <c r="F40" s="42" t="s">
        <v>175</v>
      </c>
      <c r="G40" s="63">
        <v>100</v>
      </c>
      <c r="H40" s="43">
        <v>100</v>
      </c>
      <c r="I40" s="44" t="s">
        <v>176</v>
      </c>
      <c r="J40" s="45">
        <v>1734</v>
      </c>
      <c r="K40" s="30">
        <f t="shared" si="33"/>
        <v>312.12</v>
      </c>
      <c r="L40" s="31">
        <f t="shared" si="34"/>
        <v>1421.88</v>
      </c>
      <c r="M40" s="31">
        <f t="shared" si="35"/>
        <v>1469.5</v>
      </c>
      <c r="N40" s="31">
        <v>1469.49</v>
      </c>
      <c r="O40" s="32">
        <f t="shared" si="36"/>
        <v>264.51</v>
      </c>
      <c r="P40" s="32">
        <f t="shared" si="37"/>
        <v>1204.98</v>
      </c>
      <c r="Q40" s="32">
        <f t="shared" si="38"/>
        <v>120498</v>
      </c>
      <c r="R40" s="33">
        <v>22.18</v>
      </c>
      <c r="S40" s="32">
        <f t="shared" ref="S40:S45" si="56">ROUNDUP(R40*H40,0)</f>
        <v>2218</v>
      </c>
      <c r="T40" s="34">
        <v>1245.3900000000001</v>
      </c>
      <c r="U40" s="32">
        <f t="shared" si="39"/>
        <v>124539.00000000001</v>
      </c>
      <c r="V40" s="32">
        <f t="shared" si="40"/>
        <v>177440</v>
      </c>
      <c r="W40" s="32">
        <f t="shared" si="41"/>
        <v>52900.999999999985</v>
      </c>
      <c r="X40" s="24"/>
      <c r="Y40" s="91">
        <f t="shared" si="42"/>
        <v>100</v>
      </c>
      <c r="Z40" s="53">
        <f t="shared" si="43"/>
        <v>0</v>
      </c>
      <c r="AA40" s="53">
        <f t="shared" si="27"/>
        <v>124539.00000000001</v>
      </c>
      <c r="AB40" s="53">
        <f t="shared" si="28"/>
        <v>0</v>
      </c>
      <c r="AC40" s="53">
        <f t="shared" si="44"/>
        <v>2218</v>
      </c>
      <c r="AD40" s="53">
        <f t="shared" si="45"/>
        <v>0</v>
      </c>
      <c r="AE40" s="53">
        <f t="shared" si="46"/>
        <v>56227.999999999993</v>
      </c>
      <c r="AF40" s="33"/>
      <c r="AG40" s="80">
        <f t="shared" si="47"/>
        <v>0</v>
      </c>
      <c r="AH40" s="80">
        <f t="shared" si="48"/>
        <v>0</v>
      </c>
      <c r="AI40" s="81">
        <f t="shared" si="49"/>
        <v>0</v>
      </c>
      <c r="AJ40" s="33">
        <f>20+20</f>
        <v>40</v>
      </c>
      <c r="AK40" s="80">
        <f t="shared" si="50"/>
        <v>49815.600000000006</v>
      </c>
      <c r="AL40" s="84">
        <f t="shared" si="51"/>
        <v>887.2</v>
      </c>
      <c r="AM40" s="81">
        <f t="shared" si="52"/>
        <v>22491.199999999997</v>
      </c>
      <c r="AN40" s="90">
        <f>1+17</f>
        <v>18</v>
      </c>
      <c r="AO40" s="102">
        <f t="shared" si="53"/>
        <v>22417.02</v>
      </c>
      <c r="AP40" s="84">
        <f t="shared" si="54"/>
        <v>399.24</v>
      </c>
      <c r="AQ40" s="81">
        <f t="shared" si="55"/>
        <v>10121.040000000001</v>
      </c>
      <c r="AR40" s="121">
        <f>25+17</f>
        <v>42</v>
      </c>
      <c r="AS40" s="102">
        <f t="shared" si="29"/>
        <v>52306.380000000005</v>
      </c>
      <c r="AT40" s="84">
        <f t="shared" si="30"/>
        <v>931.56</v>
      </c>
      <c r="AU40" s="81">
        <f t="shared" si="31"/>
        <v>23615.759999999995</v>
      </c>
    </row>
    <row r="41" spans="1:47" x14ac:dyDescent="0.2">
      <c r="A41" s="23">
        <v>30</v>
      </c>
      <c r="B41" s="24" t="s">
        <v>104</v>
      </c>
      <c r="C41" s="24" t="s">
        <v>111</v>
      </c>
      <c r="D41" s="24" t="s">
        <v>112</v>
      </c>
      <c r="E41" s="26" t="s">
        <v>113</v>
      </c>
      <c r="F41" s="26" t="s">
        <v>34</v>
      </c>
      <c r="G41" s="62">
        <v>10</v>
      </c>
      <c r="H41" s="27">
        <v>10</v>
      </c>
      <c r="I41" s="28">
        <v>0.18</v>
      </c>
      <c r="J41" s="29">
        <v>10073</v>
      </c>
      <c r="K41" s="30">
        <f t="shared" si="33"/>
        <v>1813.1399999999999</v>
      </c>
      <c r="L41" s="31">
        <f t="shared" si="34"/>
        <v>8259.86</v>
      </c>
      <c r="M41" s="31">
        <f t="shared" si="35"/>
        <v>8536.4500000000007</v>
      </c>
      <c r="N41" s="31">
        <v>8536.44</v>
      </c>
      <c r="O41" s="32">
        <f t="shared" si="36"/>
        <v>1536.56</v>
      </c>
      <c r="P41" s="32">
        <f t="shared" si="37"/>
        <v>6999.880000000001</v>
      </c>
      <c r="Q41" s="32">
        <f t="shared" si="38"/>
        <v>69998.800000000017</v>
      </c>
      <c r="R41" s="33">
        <v>109.27</v>
      </c>
      <c r="S41" s="32">
        <f t="shared" si="56"/>
        <v>1093</v>
      </c>
      <c r="T41" s="34">
        <v>7234.63</v>
      </c>
      <c r="U41" s="32">
        <f t="shared" si="39"/>
        <v>72346.3</v>
      </c>
      <c r="V41" s="32">
        <f t="shared" si="40"/>
        <v>87440</v>
      </c>
      <c r="W41" s="32">
        <f t="shared" si="41"/>
        <v>15093.699999999997</v>
      </c>
      <c r="X41" s="24"/>
      <c r="Y41" s="91">
        <f t="shared" si="42"/>
        <v>10</v>
      </c>
      <c r="Z41" s="53">
        <f t="shared" si="43"/>
        <v>0</v>
      </c>
      <c r="AA41" s="53">
        <f t="shared" si="27"/>
        <v>72346.3</v>
      </c>
      <c r="AB41" s="53">
        <f t="shared" si="28"/>
        <v>0</v>
      </c>
      <c r="AC41" s="53">
        <f t="shared" si="44"/>
        <v>1092.7</v>
      </c>
      <c r="AD41" s="53">
        <f t="shared" si="45"/>
        <v>0.29999999999995453</v>
      </c>
      <c r="AE41" s="53">
        <f t="shared" si="46"/>
        <v>16708.749999999993</v>
      </c>
      <c r="AF41" s="33"/>
      <c r="AG41" s="80">
        <f t="shared" si="47"/>
        <v>0</v>
      </c>
      <c r="AH41" s="80">
        <f t="shared" si="48"/>
        <v>0</v>
      </c>
      <c r="AI41" s="81">
        <f t="shared" si="49"/>
        <v>0</v>
      </c>
      <c r="AJ41" s="33">
        <f>1+1</f>
        <v>2</v>
      </c>
      <c r="AK41" s="80">
        <f t="shared" si="50"/>
        <v>14469.26</v>
      </c>
      <c r="AL41" s="84">
        <f t="shared" si="51"/>
        <v>218.54</v>
      </c>
      <c r="AM41" s="81">
        <f t="shared" si="52"/>
        <v>3341.7499999999982</v>
      </c>
      <c r="AN41" s="90">
        <f>1+1+1+1</f>
        <v>4</v>
      </c>
      <c r="AO41" s="102">
        <f t="shared" si="53"/>
        <v>28938.52</v>
      </c>
      <c r="AP41" s="84">
        <f t="shared" si="54"/>
        <v>437.08</v>
      </c>
      <c r="AQ41" s="81">
        <f t="shared" si="55"/>
        <v>6683.4999999999964</v>
      </c>
      <c r="AR41" s="121">
        <v>4</v>
      </c>
      <c r="AS41" s="102">
        <f t="shared" si="29"/>
        <v>28938.52</v>
      </c>
      <c r="AT41" s="84">
        <f t="shared" si="30"/>
        <v>437.08</v>
      </c>
      <c r="AU41" s="81">
        <f t="shared" si="31"/>
        <v>6683.4999999999964</v>
      </c>
    </row>
    <row r="42" spans="1:47" ht="40.5" x14ac:dyDescent="0.2">
      <c r="A42" s="23">
        <v>31</v>
      </c>
      <c r="B42" s="24" t="s">
        <v>104</v>
      </c>
      <c r="C42" s="24" t="s">
        <v>114</v>
      </c>
      <c r="D42" s="24" t="s">
        <v>115</v>
      </c>
      <c r="E42" s="26" t="s">
        <v>116</v>
      </c>
      <c r="F42" s="26" t="s">
        <v>34</v>
      </c>
      <c r="G42" s="62">
        <v>600</v>
      </c>
      <c r="H42" s="27">
        <v>600</v>
      </c>
      <c r="I42" s="28">
        <v>0.18</v>
      </c>
      <c r="J42" s="29">
        <v>54</v>
      </c>
      <c r="K42" s="30">
        <f t="shared" si="33"/>
        <v>9.7199999999999989</v>
      </c>
      <c r="L42" s="31">
        <f t="shared" si="34"/>
        <v>44.28</v>
      </c>
      <c r="M42" s="31">
        <f t="shared" si="35"/>
        <v>45.769999999999996</v>
      </c>
      <c r="N42" s="31">
        <v>45.76</v>
      </c>
      <c r="O42" s="32">
        <f t="shared" si="36"/>
        <v>8.24</v>
      </c>
      <c r="P42" s="32">
        <f t="shared" si="37"/>
        <v>37.519999999999996</v>
      </c>
      <c r="Q42" s="32">
        <f t="shared" si="38"/>
        <v>22511.999999999996</v>
      </c>
      <c r="R42" s="33">
        <v>0.62</v>
      </c>
      <c r="S42" s="32">
        <f t="shared" si="56"/>
        <v>372</v>
      </c>
      <c r="T42" s="34">
        <v>38.78</v>
      </c>
      <c r="U42" s="32">
        <f t="shared" si="39"/>
        <v>23268</v>
      </c>
      <c r="V42" s="32">
        <f t="shared" si="40"/>
        <v>29760</v>
      </c>
      <c r="W42" s="32">
        <f t="shared" si="41"/>
        <v>6492</v>
      </c>
      <c r="X42" s="24"/>
      <c r="Y42" s="91">
        <f t="shared" si="42"/>
        <v>600</v>
      </c>
      <c r="Z42" s="53">
        <f t="shared" si="43"/>
        <v>0</v>
      </c>
      <c r="AA42" s="53">
        <f t="shared" si="27"/>
        <v>23268</v>
      </c>
      <c r="AB42" s="53">
        <f t="shared" si="28"/>
        <v>0</v>
      </c>
      <c r="AC42" s="53">
        <f t="shared" si="44"/>
        <v>372</v>
      </c>
      <c r="AD42" s="53">
        <f t="shared" si="45"/>
        <v>0</v>
      </c>
      <c r="AE42" s="53">
        <f t="shared" si="46"/>
        <v>7050</v>
      </c>
      <c r="AF42" s="33"/>
      <c r="AG42" s="80">
        <f t="shared" si="47"/>
        <v>0</v>
      </c>
      <c r="AH42" s="80">
        <f t="shared" si="48"/>
        <v>0</v>
      </c>
      <c r="AI42" s="81">
        <f t="shared" si="49"/>
        <v>0</v>
      </c>
      <c r="AJ42" s="33">
        <f>240</f>
        <v>240</v>
      </c>
      <c r="AK42" s="80">
        <f t="shared" si="50"/>
        <v>9307.2000000000007</v>
      </c>
      <c r="AL42" s="84">
        <f t="shared" si="51"/>
        <v>148.80000000000001</v>
      </c>
      <c r="AM42" s="81">
        <f t="shared" si="52"/>
        <v>2820</v>
      </c>
      <c r="AN42" s="90">
        <v>120</v>
      </c>
      <c r="AO42" s="102">
        <f t="shared" si="53"/>
        <v>4653.6000000000004</v>
      </c>
      <c r="AP42" s="84">
        <f t="shared" si="54"/>
        <v>74.400000000000006</v>
      </c>
      <c r="AQ42" s="81">
        <f t="shared" si="55"/>
        <v>1410</v>
      </c>
      <c r="AR42" s="121">
        <f>168+72</f>
        <v>240</v>
      </c>
      <c r="AS42" s="102">
        <f t="shared" si="29"/>
        <v>9307.2000000000007</v>
      </c>
      <c r="AT42" s="84">
        <f t="shared" si="30"/>
        <v>148.80000000000001</v>
      </c>
      <c r="AU42" s="81">
        <f t="shared" si="31"/>
        <v>2820</v>
      </c>
    </row>
    <row r="43" spans="1:47" x14ac:dyDescent="0.2">
      <c r="A43" s="35"/>
      <c r="B43" s="35"/>
      <c r="C43" s="35" t="s">
        <v>114</v>
      </c>
      <c r="D43" s="35" t="s">
        <v>223</v>
      </c>
      <c r="E43" s="35"/>
      <c r="F43" s="35"/>
      <c r="G43" s="35">
        <v>120</v>
      </c>
      <c r="H43" s="52">
        <v>120</v>
      </c>
      <c r="I43" s="28">
        <v>0.18</v>
      </c>
      <c r="J43" s="29">
        <v>54</v>
      </c>
      <c r="K43" s="30">
        <f t="shared" ref="K43" si="57">J43*I43</f>
        <v>9.7199999999999989</v>
      </c>
      <c r="L43" s="31">
        <f t="shared" ref="L43" si="58">J43-K43</f>
        <v>44.28</v>
      </c>
      <c r="M43" s="31">
        <f t="shared" ref="M43" si="59">ROUNDUP(J43/(1+I43),2)</f>
        <v>45.769999999999996</v>
      </c>
      <c r="N43" s="31">
        <v>45.76</v>
      </c>
      <c r="O43" s="32">
        <f t="shared" ref="O43" si="60">ROUNDUP(0.18*N43,2)</f>
        <v>8.24</v>
      </c>
      <c r="P43" s="32">
        <f t="shared" ref="P43" si="61">N43-O43</f>
        <v>37.519999999999996</v>
      </c>
      <c r="Q43" s="32">
        <f t="shared" ref="Q43" si="62">P43*H43</f>
        <v>4502.3999999999996</v>
      </c>
      <c r="R43" s="33">
        <v>0.62</v>
      </c>
      <c r="S43" s="32">
        <f t="shared" si="56"/>
        <v>75</v>
      </c>
      <c r="T43" s="34">
        <v>38.78</v>
      </c>
      <c r="U43" s="32">
        <f t="shared" ref="U43" si="63">T43*H43</f>
        <v>4653.6000000000004</v>
      </c>
      <c r="V43" s="32">
        <f t="shared" ref="V43" si="64">80*S43</f>
        <v>6000</v>
      </c>
      <c r="W43" s="32">
        <f t="shared" ref="W43" si="65">V43-U43</f>
        <v>1346.3999999999996</v>
      </c>
      <c r="X43" s="24"/>
      <c r="Y43" s="91">
        <f t="shared" si="42"/>
        <v>60</v>
      </c>
      <c r="Z43" s="103">
        <f t="shared" si="43"/>
        <v>60</v>
      </c>
      <c r="AA43" s="53">
        <f t="shared" si="27"/>
        <v>2326.8000000000002</v>
      </c>
      <c r="AB43" s="53">
        <f t="shared" si="28"/>
        <v>2326.8000000000002</v>
      </c>
      <c r="AC43" s="53">
        <f t="shared" si="44"/>
        <v>37.200000000000003</v>
      </c>
      <c r="AD43" s="53">
        <f t="shared" si="45"/>
        <v>37.799999999999997</v>
      </c>
      <c r="AE43" s="53">
        <f t="shared" si="46"/>
        <v>705</v>
      </c>
      <c r="AF43" s="33"/>
      <c r="AG43" s="80">
        <f t="shared" si="47"/>
        <v>0</v>
      </c>
      <c r="AH43" s="80">
        <f t="shared" si="48"/>
        <v>0</v>
      </c>
      <c r="AI43" s="81">
        <f t="shared" si="49"/>
        <v>0</v>
      </c>
      <c r="AJ43" s="33"/>
      <c r="AK43" s="80">
        <f t="shared" si="50"/>
        <v>0</v>
      </c>
      <c r="AL43" s="84">
        <f t="shared" si="51"/>
        <v>0</v>
      </c>
      <c r="AM43" s="81">
        <f t="shared" si="52"/>
        <v>0</v>
      </c>
      <c r="AN43" s="90"/>
      <c r="AO43" s="102">
        <f t="shared" si="53"/>
        <v>0</v>
      </c>
      <c r="AP43" s="84">
        <f t="shared" si="54"/>
        <v>0</v>
      </c>
      <c r="AQ43" s="81">
        <f t="shared" si="55"/>
        <v>0</v>
      </c>
      <c r="AR43" s="121">
        <v>60</v>
      </c>
      <c r="AS43" s="102">
        <f t="shared" si="29"/>
        <v>2326.8000000000002</v>
      </c>
      <c r="AT43" s="84">
        <f t="shared" si="30"/>
        <v>37.200000000000003</v>
      </c>
      <c r="AU43" s="81">
        <f t="shared" si="31"/>
        <v>705</v>
      </c>
    </row>
    <row r="44" spans="1:47" x14ac:dyDescent="0.2">
      <c r="A44" s="23">
        <v>32</v>
      </c>
      <c r="B44" s="24" t="s">
        <v>104</v>
      </c>
      <c r="C44" s="24" t="s">
        <v>117</v>
      </c>
      <c r="D44" s="24" t="s">
        <v>118</v>
      </c>
      <c r="E44" s="26" t="s">
        <v>119</v>
      </c>
      <c r="F44" s="26" t="s">
        <v>34</v>
      </c>
      <c r="G44" s="62">
        <v>20</v>
      </c>
      <c r="H44" s="27">
        <v>20</v>
      </c>
      <c r="I44" s="28">
        <v>0.18</v>
      </c>
      <c r="J44" s="29">
        <v>203</v>
      </c>
      <c r="K44" s="30">
        <f t="shared" ref="K44:K74" si="66">J44*I44</f>
        <v>36.54</v>
      </c>
      <c r="L44" s="31">
        <f t="shared" ref="L44:L74" si="67">J44-K44</f>
        <v>166.46</v>
      </c>
      <c r="M44" s="31">
        <f t="shared" ref="M44:M74" si="68">ROUNDUP(J44/(1+I44),2)</f>
        <v>172.04</v>
      </c>
      <c r="N44" s="31">
        <v>172.03</v>
      </c>
      <c r="O44" s="32">
        <f t="shared" ref="O44:O74" si="69">ROUNDUP(0.18*N44,2)</f>
        <v>30.970000000000002</v>
      </c>
      <c r="P44" s="32">
        <f t="shared" ref="P44:P74" si="70">N44-O44</f>
        <v>141.06</v>
      </c>
      <c r="Q44" s="32">
        <f t="shared" ref="Q44:Q74" si="71">P44*H44</f>
        <v>2821.2</v>
      </c>
      <c r="R44" s="33">
        <v>2.2000000000000002</v>
      </c>
      <c r="S44" s="32">
        <f t="shared" si="56"/>
        <v>44</v>
      </c>
      <c r="T44" s="34">
        <v>145.80000000000001</v>
      </c>
      <c r="U44" s="32">
        <f t="shared" ref="U44:U74" si="72">T44*H44</f>
        <v>2916</v>
      </c>
      <c r="V44" s="32">
        <f t="shared" ref="V44:V74" si="73">80*S44</f>
        <v>3520</v>
      </c>
      <c r="W44" s="32">
        <f t="shared" ref="W44:W74" si="74">V44-U44</f>
        <v>604</v>
      </c>
      <c r="X44" s="24"/>
      <c r="Y44" s="91">
        <f t="shared" si="42"/>
        <v>20</v>
      </c>
      <c r="Z44" s="53">
        <f t="shared" si="43"/>
        <v>0</v>
      </c>
      <c r="AA44" s="53">
        <f t="shared" si="27"/>
        <v>2916</v>
      </c>
      <c r="AB44" s="53">
        <f t="shared" si="28"/>
        <v>0</v>
      </c>
      <c r="AC44" s="53">
        <f t="shared" si="44"/>
        <v>44</v>
      </c>
      <c r="AD44" s="53">
        <f t="shared" si="45"/>
        <v>0</v>
      </c>
      <c r="AE44" s="53">
        <f t="shared" si="46"/>
        <v>670.00000000000023</v>
      </c>
      <c r="AF44" s="33"/>
      <c r="AG44" s="80">
        <f t="shared" si="47"/>
        <v>0</v>
      </c>
      <c r="AH44" s="80">
        <f t="shared" si="48"/>
        <v>0</v>
      </c>
      <c r="AI44" s="81">
        <f t="shared" si="49"/>
        <v>0</v>
      </c>
      <c r="AJ44" s="33"/>
      <c r="AK44" s="80">
        <f t="shared" si="50"/>
        <v>0</v>
      </c>
      <c r="AL44" s="84">
        <f t="shared" si="51"/>
        <v>0</v>
      </c>
      <c r="AM44" s="81">
        <f t="shared" si="52"/>
        <v>0</v>
      </c>
      <c r="AN44" s="90">
        <v>8</v>
      </c>
      <c r="AO44" s="102">
        <f t="shared" si="53"/>
        <v>1166.4000000000001</v>
      </c>
      <c r="AP44" s="84">
        <f t="shared" si="54"/>
        <v>17.600000000000001</v>
      </c>
      <c r="AQ44" s="81">
        <f t="shared" si="55"/>
        <v>268</v>
      </c>
      <c r="AR44" s="121">
        <v>12</v>
      </c>
      <c r="AS44" s="102">
        <f t="shared" si="29"/>
        <v>1749.6000000000001</v>
      </c>
      <c r="AT44" s="84">
        <f t="shared" si="30"/>
        <v>26.400000000000002</v>
      </c>
      <c r="AU44" s="81">
        <f t="shared" si="31"/>
        <v>402.00000000000023</v>
      </c>
    </row>
    <row r="45" spans="1:47" x14ac:dyDescent="0.2">
      <c r="A45" s="23">
        <v>28</v>
      </c>
      <c r="B45" s="24" t="s">
        <v>104</v>
      </c>
      <c r="C45" s="24" t="s">
        <v>105</v>
      </c>
      <c r="D45" s="24" t="s">
        <v>106</v>
      </c>
      <c r="E45" s="26" t="s">
        <v>107</v>
      </c>
      <c r="F45" s="26" t="s">
        <v>34</v>
      </c>
      <c r="G45" s="62">
        <v>60</v>
      </c>
      <c r="H45" s="27">
        <v>60</v>
      </c>
      <c r="I45" s="28">
        <v>0.28000000000000003</v>
      </c>
      <c r="J45" s="29">
        <v>1424</v>
      </c>
      <c r="K45" s="30">
        <f t="shared" si="66"/>
        <v>398.72</v>
      </c>
      <c r="L45" s="31">
        <f t="shared" si="67"/>
        <v>1025.28</v>
      </c>
      <c r="M45" s="31">
        <f t="shared" si="68"/>
        <v>1112.5</v>
      </c>
      <c r="N45" s="31">
        <v>1112.5</v>
      </c>
      <c r="O45" s="32">
        <f t="shared" si="69"/>
        <v>200.25</v>
      </c>
      <c r="P45" s="32">
        <f t="shared" si="70"/>
        <v>912.25</v>
      </c>
      <c r="Q45" s="32">
        <f t="shared" si="71"/>
        <v>54735</v>
      </c>
      <c r="R45" s="33">
        <v>15.33</v>
      </c>
      <c r="S45" s="32">
        <f t="shared" si="56"/>
        <v>920</v>
      </c>
      <c r="T45" s="34">
        <v>956.75</v>
      </c>
      <c r="U45" s="32">
        <f t="shared" si="72"/>
        <v>57405</v>
      </c>
      <c r="V45" s="32">
        <f t="shared" si="73"/>
        <v>73600</v>
      </c>
      <c r="W45" s="32">
        <f t="shared" si="74"/>
        <v>16195</v>
      </c>
      <c r="X45" s="24"/>
      <c r="Y45" s="91">
        <f t="shared" si="42"/>
        <v>60</v>
      </c>
      <c r="Z45" s="53">
        <f t="shared" si="43"/>
        <v>0</v>
      </c>
      <c r="AA45" s="53">
        <f t="shared" si="27"/>
        <v>57405</v>
      </c>
      <c r="AB45" s="53">
        <f t="shared" si="28"/>
        <v>0</v>
      </c>
      <c r="AC45" s="53">
        <f t="shared" si="44"/>
        <v>919.8</v>
      </c>
      <c r="AD45" s="53">
        <f t="shared" si="45"/>
        <v>0.20000000000004547</v>
      </c>
      <c r="AE45" s="53">
        <f t="shared" si="46"/>
        <v>17558.699999999997</v>
      </c>
      <c r="AF45" s="33"/>
      <c r="AG45" s="80">
        <f t="shared" si="47"/>
        <v>0</v>
      </c>
      <c r="AH45" s="80">
        <f t="shared" si="48"/>
        <v>0</v>
      </c>
      <c r="AI45" s="81">
        <f t="shared" si="49"/>
        <v>0</v>
      </c>
      <c r="AJ45" s="33">
        <f>12+12</f>
        <v>24</v>
      </c>
      <c r="AK45" s="80">
        <f t="shared" si="50"/>
        <v>22962</v>
      </c>
      <c r="AL45" s="84">
        <f t="shared" si="51"/>
        <v>367.92</v>
      </c>
      <c r="AM45" s="81">
        <f t="shared" si="52"/>
        <v>7023.48</v>
      </c>
      <c r="AN45" s="90">
        <v>12</v>
      </c>
      <c r="AO45" s="102">
        <f t="shared" si="53"/>
        <v>11481</v>
      </c>
      <c r="AP45" s="84">
        <f t="shared" si="54"/>
        <v>183.96</v>
      </c>
      <c r="AQ45" s="81">
        <f t="shared" si="55"/>
        <v>3511.74</v>
      </c>
      <c r="AR45" s="121">
        <f>12+12</f>
        <v>24</v>
      </c>
      <c r="AS45" s="102">
        <f t="shared" si="29"/>
        <v>22962</v>
      </c>
      <c r="AT45" s="84">
        <f t="shared" si="30"/>
        <v>367.92</v>
      </c>
      <c r="AU45" s="81">
        <f t="shared" si="31"/>
        <v>7023.48</v>
      </c>
    </row>
    <row r="46" spans="1:47" x14ac:dyDescent="0.2">
      <c r="A46" s="23">
        <v>29</v>
      </c>
      <c r="B46" s="24" t="s">
        <v>104</v>
      </c>
      <c r="C46" s="24" t="s">
        <v>108</v>
      </c>
      <c r="D46" s="24" t="s">
        <v>257</v>
      </c>
      <c r="E46" s="26" t="s">
        <v>110</v>
      </c>
      <c r="F46" s="26" t="s">
        <v>34</v>
      </c>
      <c r="G46" s="62">
        <v>60</v>
      </c>
      <c r="H46" s="27">
        <v>60</v>
      </c>
      <c r="I46" s="28">
        <v>0.28000000000000003</v>
      </c>
      <c r="J46" s="29">
        <v>1908</v>
      </c>
      <c r="K46" s="30">
        <f t="shared" si="66"/>
        <v>534.24</v>
      </c>
      <c r="L46" s="31">
        <f t="shared" si="67"/>
        <v>1373.76</v>
      </c>
      <c r="M46" s="31">
        <f t="shared" si="68"/>
        <v>1490.6299999999999</v>
      </c>
      <c r="N46" s="31">
        <v>1490.63</v>
      </c>
      <c r="O46" s="32">
        <f t="shared" si="69"/>
        <v>268.32</v>
      </c>
      <c r="P46" s="32">
        <f t="shared" si="70"/>
        <v>1222.3100000000002</v>
      </c>
      <c r="Q46" s="32">
        <f t="shared" si="71"/>
        <v>73338.600000000006</v>
      </c>
      <c r="R46" s="33">
        <v>20.54</v>
      </c>
      <c r="S46" s="32">
        <f>ROUND(R46*H46,0)</f>
        <v>1232</v>
      </c>
      <c r="T46" s="34">
        <v>1281.94</v>
      </c>
      <c r="U46" s="32">
        <f t="shared" si="72"/>
        <v>76916.400000000009</v>
      </c>
      <c r="V46" s="32">
        <f t="shared" si="73"/>
        <v>98560</v>
      </c>
      <c r="W46" s="32">
        <f t="shared" si="74"/>
        <v>21643.599999999991</v>
      </c>
      <c r="X46" s="24"/>
      <c r="Y46" s="91">
        <f t="shared" si="42"/>
        <v>60</v>
      </c>
      <c r="Z46" s="53">
        <f t="shared" si="43"/>
        <v>0</v>
      </c>
      <c r="AA46" s="53">
        <f t="shared" si="27"/>
        <v>76916.400000000009</v>
      </c>
      <c r="AB46" s="53">
        <f t="shared" si="28"/>
        <v>0</v>
      </c>
      <c r="AC46" s="53">
        <f t="shared" si="44"/>
        <v>1232.3999999999999</v>
      </c>
      <c r="AD46" s="53">
        <f t="shared" si="45"/>
        <v>-0.39999999999986358</v>
      </c>
      <c r="AE46" s="53">
        <f t="shared" si="46"/>
        <v>23524.19999999999</v>
      </c>
      <c r="AF46" s="33"/>
      <c r="AG46" s="80">
        <f t="shared" si="47"/>
        <v>0</v>
      </c>
      <c r="AH46" s="80">
        <f t="shared" si="48"/>
        <v>0</v>
      </c>
      <c r="AI46" s="81">
        <f t="shared" si="49"/>
        <v>0</v>
      </c>
      <c r="AJ46" s="33">
        <f>12+12</f>
        <v>24</v>
      </c>
      <c r="AK46" s="80">
        <f t="shared" si="50"/>
        <v>30766.560000000001</v>
      </c>
      <c r="AL46" s="84">
        <f t="shared" si="51"/>
        <v>492.96</v>
      </c>
      <c r="AM46" s="81">
        <f t="shared" si="52"/>
        <v>9409.6799999999967</v>
      </c>
      <c r="AN46" s="90">
        <v>12</v>
      </c>
      <c r="AO46" s="102">
        <f t="shared" si="53"/>
        <v>15383.28</v>
      </c>
      <c r="AP46" s="84">
        <f t="shared" si="54"/>
        <v>246.48</v>
      </c>
      <c r="AQ46" s="81">
        <f t="shared" si="55"/>
        <v>4704.8399999999983</v>
      </c>
      <c r="AR46" s="121">
        <f>12+12</f>
        <v>24</v>
      </c>
      <c r="AS46" s="102">
        <f t="shared" si="29"/>
        <v>30766.560000000001</v>
      </c>
      <c r="AT46" s="84">
        <f t="shared" si="30"/>
        <v>492.96</v>
      </c>
      <c r="AU46" s="81">
        <f t="shared" si="31"/>
        <v>9409.6799999999967</v>
      </c>
    </row>
    <row r="47" spans="1:47" x14ac:dyDescent="0.2">
      <c r="A47" s="23">
        <v>59</v>
      </c>
      <c r="B47" s="24" t="s">
        <v>164</v>
      </c>
      <c r="C47" s="25" t="s">
        <v>165</v>
      </c>
      <c r="D47" s="24" t="s">
        <v>166</v>
      </c>
      <c r="E47" s="26" t="s">
        <v>127</v>
      </c>
      <c r="F47" s="26" t="s">
        <v>34</v>
      </c>
      <c r="G47" s="62">
        <v>20</v>
      </c>
      <c r="H47" s="27">
        <v>20</v>
      </c>
      <c r="I47" s="28">
        <v>0.28000000000000003</v>
      </c>
      <c r="J47" s="29">
        <v>2830</v>
      </c>
      <c r="K47" s="30">
        <f t="shared" si="66"/>
        <v>792.40000000000009</v>
      </c>
      <c r="L47" s="31">
        <f t="shared" si="67"/>
        <v>2037.6</v>
      </c>
      <c r="M47" s="31">
        <f t="shared" si="68"/>
        <v>2210.94</v>
      </c>
      <c r="N47" s="31">
        <v>2210.94</v>
      </c>
      <c r="O47" s="32">
        <f t="shared" si="69"/>
        <v>397.96999999999997</v>
      </c>
      <c r="P47" s="32">
        <f t="shared" si="70"/>
        <v>1812.97</v>
      </c>
      <c r="Q47" s="32">
        <f t="shared" si="71"/>
        <v>36259.4</v>
      </c>
      <c r="R47" s="33">
        <v>30.46</v>
      </c>
      <c r="S47" s="32">
        <f>ROUND(R47*H47,0)</f>
        <v>609</v>
      </c>
      <c r="T47" s="34">
        <v>1901.41</v>
      </c>
      <c r="U47" s="32">
        <f t="shared" si="72"/>
        <v>38028.200000000004</v>
      </c>
      <c r="V47" s="32">
        <f t="shared" si="73"/>
        <v>48720</v>
      </c>
      <c r="W47" s="32">
        <f t="shared" si="74"/>
        <v>10691.799999999996</v>
      </c>
      <c r="X47" s="24"/>
      <c r="Y47" s="91">
        <f t="shared" si="42"/>
        <v>20</v>
      </c>
      <c r="Z47" s="53">
        <f t="shared" si="43"/>
        <v>0</v>
      </c>
      <c r="AA47" s="53">
        <f t="shared" si="27"/>
        <v>38028.200000000004</v>
      </c>
      <c r="AB47" s="53">
        <f t="shared" si="28"/>
        <v>0</v>
      </c>
      <c r="AC47" s="53">
        <f t="shared" si="44"/>
        <v>609.20000000000005</v>
      </c>
      <c r="AD47" s="53">
        <f t="shared" si="45"/>
        <v>-0.20000000000004547</v>
      </c>
      <c r="AE47" s="53">
        <f t="shared" si="46"/>
        <v>11621.600000000002</v>
      </c>
      <c r="AF47" s="33"/>
      <c r="AG47" s="80">
        <f t="shared" si="47"/>
        <v>0</v>
      </c>
      <c r="AH47" s="80">
        <f t="shared" si="48"/>
        <v>0</v>
      </c>
      <c r="AI47" s="81">
        <f t="shared" si="49"/>
        <v>0</v>
      </c>
      <c r="AJ47" s="33">
        <v>8</v>
      </c>
      <c r="AK47" s="80">
        <f t="shared" si="50"/>
        <v>15211.28</v>
      </c>
      <c r="AL47" s="84">
        <f t="shared" si="51"/>
        <v>243.68</v>
      </c>
      <c r="AM47" s="81">
        <f t="shared" si="52"/>
        <v>4648.6400000000012</v>
      </c>
      <c r="AN47" s="90">
        <f>1+1+1+1</f>
        <v>4</v>
      </c>
      <c r="AO47" s="102">
        <f t="shared" si="53"/>
        <v>7605.64</v>
      </c>
      <c r="AP47" s="84">
        <f t="shared" si="54"/>
        <v>121.84</v>
      </c>
      <c r="AQ47" s="81">
        <f t="shared" si="55"/>
        <v>2324.3200000000006</v>
      </c>
      <c r="AR47" s="121">
        <v>8</v>
      </c>
      <c r="AS47" s="102">
        <f t="shared" si="29"/>
        <v>15211.28</v>
      </c>
      <c r="AT47" s="84">
        <f t="shared" si="30"/>
        <v>243.68</v>
      </c>
      <c r="AU47" s="81">
        <f t="shared" si="31"/>
        <v>4648.6400000000012</v>
      </c>
    </row>
    <row r="48" spans="1:47" x14ac:dyDescent="0.2">
      <c r="A48" s="23">
        <v>72</v>
      </c>
      <c r="B48" s="24" t="s">
        <v>185</v>
      </c>
      <c r="C48" s="48" t="s">
        <v>189</v>
      </c>
      <c r="D48" s="24" t="s">
        <v>190</v>
      </c>
      <c r="E48" s="42" t="s">
        <v>191</v>
      </c>
      <c r="F48" s="42" t="s">
        <v>175</v>
      </c>
      <c r="G48" s="63">
        <v>20</v>
      </c>
      <c r="H48" s="43">
        <v>20</v>
      </c>
      <c r="I48" s="44" t="s">
        <v>176</v>
      </c>
      <c r="J48" s="45">
        <v>3469</v>
      </c>
      <c r="K48" s="30">
        <f t="shared" si="66"/>
        <v>624.41999999999996</v>
      </c>
      <c r="L48" s="31">
        <f t="shared" si="67"/>
        <v>2844.58</v>
      </c>
      <c r="M48" s="31">
        <f t="shared" si="68"/>
        <v>2939.84</v>
      </c>
      <c r="N48" s="31">
        <v>2939.83</v>
      </c>
      <c r="O48" s="32">
        <f t="shared" si="69"/>
        <v>529.16999999999996</v>
      </c>
      <c r="P48" s="32">
        <f t="shared" si="70"/>
        <v>2410.66</v>
      </c>
      <c r="Q48" s="32">
        <f t="shared" si="71"/>
        <v>48213.2</v>
      </c>
      <c r="R48" s="33">
        <v>44.37</v>
      </c>
      <c r="S48" s="32">
        <f>ROUND(R48*H48,0)</f>
        <v>887</v>
      </c>
      <c r="T48" s="34">
        <v>2491.5100000000002</v>
      </c>
      <c r="U48" s="32">
        <f t="shared" si="72"/>
        <v>49830.200000000004</v>
      </c>
      <c r="V48" s="32">
        <f t="shared" si="73"/>
        <v>70960</v>
      </c>
      <c r="W48" s="32">
        <f t="shared" si="74"/>
        <v>21129.799999999996</v>
      </c>
      <c r="X48" s="24"/>
      <c r="Y48" s="91">
        <f t="shared" si="42"/>
        <v>20</v>
      </c>
      <c r="Z48" s="53">
        <f t="shared" si="43"/>
        <v>0</v>
      </c>
      <c r="AA48" s="53">
        <f t="shared" si="27"/>
        <v>49830.200000000004</v>
      </c>
      <c r="AB48" s="53">
        <f t="shared" si="28"/>
        <v>0</v>
      </c>
      <c r="AC48" s="53">
        <f t="shared" si="44"/>
        <v>887.39999999999986</v>
      </c>
      <c r="AD48" s="53">
        <f t="shared" si="45"/>
        <v>-0.39999999999986358</v>
      </c>
      <c r="AE48" s="53">
        <f t="shared" si="46"/>
        <v>22492.899999999991</v>
      </c>
      <c r="AF48" s="33"/>
      <c r="AG48" s="80">
        <f t="shared" si="47"/>
        <v>0</v>
      </c>
      <c r="AH48" s="80">
        <f t="shared" si="48"/>
        <v>0</v>
      </c>
      <c r="AI48" s="81">
        <f t="shared" si="49"/>
        <v>0</v>
      </c>
      <c r="AJ48" s="33">
        <v>4</v>
      </c>
      <c r="AK48" s="80">
        <f t="shared" si="50"/>
        <v>9966.0400000000009</v>
      </c>
      <c r="AL48" s="84">
        <f t="shared" si="51"/>
        <v>177.48</v>
      </c>
      <c r="AM48" s="81">
        <f t="shared" si="52"/>
        <v>4498.5799999999981</v>
      </c>
      <c r="AN48" s="90">
        <f>3+1+4</f>
        <v>8</v>
      </c>
      <c r="AO48" s="102">
        <f t="shared" si="53"/>
        <v>19932.080000000002</v>
      </c>
      <c r="AP48" s="84">
        <f t="shared" si="54"/>
        <v>354.96</v>
      </c>
      <c r="AQ48" s="81">
        <f t="shared" si="55"/>
        <v>8997.1599999999962</v>
      </c>
      <c r="AR48" s="121">
        <v>8</v>
      </c>
      <c r="AS48" s="102">
        <f t="shared" si="29"/>
        <v>19932.080000000002</v>
      </c>
      <c r="AT48" s="84">
        <f t="shared" si="30"/>
        <v>354.96</v>
      </c>
      <c r="AU48" s="81">
        <f t="shared" si="31"/>
        <v>8997.1599999999962</v>
      </c>
    </row>
    <row r="49" spans="1:47" ht="13.5" customHeight="1" x14ac:dyDescent="0.2">
      <c r="A49" s="23">
        <v>71</v>
      </c>
      <c r="B49" s="24" t="s">
        <v>185</v>
      </c>
      <c r="C49" s="35" t="s">
        <v>186</v>
      </c>
      <c r="D49" s="24" t="s">
        <v>187</v>
      </c>
      <c r="E49" s="42" t="s">
        <v>188</v>
      </c>
      <c r="F49" s="42" t="s">
        <v>175</v>
      </c>
      <c r="G49" s="63">
        <v>100</v>
      </c>
      <c r="H49" s="43">
        <v>100</v>
      </c>
      <c r="I49" s="44" t="s">
        <v>176</v>
      </c>
      <c r="J49" s="45">
        <v>2599</v>
      </c>
      <c r="K49" s="30">
        <f t="shared" si="66"/>
        <v>467.82</v>
      </c>
      <c r="L49" s="31">
        <f t="shared" si="67"/>
        <v>2131.1799999999998</v>
      </c>
      <c r="M49" s="31">
        <f t="shared" si="68"/>
        <v>2202.5500000000002</v>
      </c>
      <c r="N49" s="31">
        <v>2202.54</v>
      </c>
      <c r="O49" s="32">
        <f t="shared" si="69"/>
        <v>396.46</v>
      </c>
      <c r="P49" s="32">
        <f t="shared" si="70"/>
        <v>1806.08</v>
      </c>
      <c r="Q49" s="32">
        <f t="shared" si="71"/>
        <v>180608</v>
      </c>
      <c r="R49" s="33">
        <v>33.25</v>
      </c>
      <c r="S49" s="32">
        <f>ROUNDUP(R49*H49,0)</f>
        <v>3325</v>
      </c>
      <c r="T49" s="34">
        <v>1866.65</v>
      </c>
      <c r="U49" s="32">
        <f t="shared" si="72"/>
        <v>186665</v>
      </c>
      <c r="V49" s="32">
        <f t="shared" si="73"/>
        <v>266000</v>
      </c>
      <c r="W49" s="32">
        <f t="shared" si="74"/>
        <v>79335</v>
      </c>
      <c r="X49" s="24"/>
      <c r="Y49" s="91">
        <f t="shared" si="42"/>
        <v>100</v>
      </c>
      <c r="Z49" s="53">
        <f t="shared" si="43"/>
        <v>0</v>
      </c>
      <c r="AA49" s="53">
        <f t="shared" si="27"/>
        <v>186665</v>
      </c>
      <c r="AB49" s="53">
        <f t="shared" si="28"/>
        <v>0</v>
      </c>
      <c r="AC49" s="53">
        <f t="shared" si="44"/>
        <v>3325</v>
      </c>
      <c r="AD49" s="53">
        <f t="shared" si="45"/>
        <v>0</v>
      </c>
      <c r="AE49" s="53">
        <f t="shared" si="46"/>
        <v>84322.5</v>
      </c>
      <c r="AF49" s="33"/>
      <c r="AG49" s="80">
        <f t="shared" si="47"/>
        <v>0</v>
      </c>
      <c r="AH49" s="80">
        <f t="shared" si="48"/>
        <v>0</v>
      </c>
      <c r="AI49" s="81">
        <f t="shared" si="49"/>
        <v>0</v>
      </c>
      <c r="AJ49" s="33">
        <f>20+20</f>
        <v>40</v>
      </c>
      <c r="AK49" s="80">
        <f t="shared" si="50"/>
        <v>74666</v>
      </c>
      <c r="AL49" s="84">
        <f t="shared" si="51"/>
        <v>1330</v>
      </c>
      <c r="AM49" s="81">
        <f t="shared" si="52"/>
        <v>33729</v>
      </c>
      <c r="AN49" s="90">
        <v>20</v>
      </c>
      <c r="AO49" s="102">
        <f t="shared" si="53"/>
        <v>37333</v>
      </c>
      <c r="AP49" s="84">
        <f t="shared" si="54"/>
        <v>665</v>
      </c>
      <c r="AQ49" s="81">
        <f t="shared" si="55"/>
        <v>16864.5</v>
      </c>
      <c r="AR49" s="121">
        <v>40</v>
      </c>
      <c r="AS49" s="102">
        <f t="shared" si="29"/>
        <v>74666</v>
      </c>
      <c r="AT49" s="84">
        <f t="shared" si="30"/>
        <v>1330</v>
      </c>
      <c r="AU49" s="81">
        <f t="shared" si="31"/>
        <v>33729</v>
      </c>
    </row>
    <row r="50" spans="1:47" ht="27" x14ac:dyDescent="0.2">
      <c r="A50" s="23">
        <v>37</v>
      </c>
      <c r="B50" s="24" t="s">
        <v>120</v>
      </c>
      <c r="C50" s="24" t="s">
        <v>131</v>
      </c>
      <c r="D50" s="24" t="s">
        <v>132</v>
      </c>
      <c r="E50" s="26" t="s">
        <v>130</v>
      </c>
      <c r="F50" s="26" t="s">
        <v>34</v>
      </c>
      <c r="G50" s="62">
        <v>10</v>
      </c>
      <c r="H50" s="27">
        <v>10</v>
      </c>
      <c r="I50" s="28">
        <v>0.28000000000000003</v>
      </c>
      <c r="J50" s="29">
        <v>687</v>
      </c>
      <c r="K50" s="30">
        <f t="shared" si="66"/>
        <v>192.36</v>
      </c>
      <c r="L50" s="31">
        <f t="shared" si="67"/>
        <v>494.64</v>
      </c>
      <c r="M50" s="31">
        <f t="shared" si="68"/>
        <v>536.72</v>
      </c>
      <c r="N50" s="31">
        <v>536.72</v>
      </c>
      <c r="O50" s="32">
        <f t="shared" si="69"/>
        <v>96.61</v>
      </c>
      <c r="P50" s="32">
        <f t="shared" si="70"/>
        <v>440.11</v>
      </c>
      <c r="Q50" s="32">
        <f t="shared" si="71"/>
        <v>4401.1000000000004</v>
      </c>
      <c r="R50" s="33">
        <v>5.41</v>
      </c>
      <c r="S50" s="32">
        <f>ROUND(R50*H50,0)</f>
        <v>54</v>
      </c>
      <c r="T50" s="34">
        <v>461.58</v>
      </c>
      <c r="U50" s="32">
        <f t="shared" si="72"/>
        <v>4615.8</v>
      </c>
      <c r="V50" s="32">
        <f t="shared" si="73"/>
        <v>4320</v>
      </c>
      <c r="W50" s="32">
        <f t="shared" si="74"/>
        <v>-295.80000000000018</v>
      </c>
      <c r="X50" s="24" t="s">
        <v>47</v>
      </c>
      <c r="Y50" s="91">
        <f t="shared" si="42"/>
        <v>10</v>
      </c>
      <c r="Z50" s="53">
        <f t="shared" si="43"/>
        <v>0</v>
      </c>
      <c r="AA50" s="53">
        <f t="shared" si="27"/>
        <v>4615.8</v>
      </c>
      <c r="AB50" s="53">
        <f t="shared" si="28"/>
        <v>0</v>
      </c>
      <c r="AC50" s="53">
        <f t="shared" si="44"/>
        <v>54.1</v>
      </c>
      <c r="AD50" s="53">
        <f t="shared" si="45"/>
        <v>-0.10000000000000142</v>
      </c>
      <c r="AE50" s="53">
        <f t="shared" si="46"/>
        <v>-206.64999999999964</v>
      </c>
      <c r="AF50" s="33"/>
      <c r="AG50" s="80">
        <f t="shared" si="47"/>
        <v>0</v>
      </c>
      <c r="AH50" s="80">
        <f t="shared" si="48"/>
        <v>0</v>
      </c>
      <c r="AI50" s="81">
        <f t="shared" si="49"/>
        <v>0</v>
      </c>
      <c r="AJ50" s="33">
        <f>5</f>
        <v>5</v>
      </c>
      <c r="AK50" s="80">
        <f t="shared" si="50"/>
        <v>2307.9</v>
      </c>
      <c r="AL50" s="84">
        <f t="shared" si="51"/>
        <v>27.05</v>
      </c>
      <c r="AM50" s="81">
        <f t="shared" si="52"/>
        <v>-103.32499999999982</v>
      </c>
      <c r="AN50" s="90"/>
      <c r="AO50" s="102">
        <f t="shared" si="53"/>
        <v>0</v>
      </c>
      <c r="AP50" s="84">
        <f t="shared" si="54"/>
        <v>0</v>
      </c>
      <c r="AQ50" s="81">
        <f t="shared" si="55"/>
        <v>0</v>
      </c>
      <c r="AR50" s="121">
        <v>5</v>
      </c>
      <c r="AS50" s="102">
        <f t="shared" si="29"/>
        <v>2307.9</v>
      </c>
      <c r="AT50" s="84">
        <f t="shared" si="30"/>
        <v>27.05</v>
      </c>
      <c r="AU50" s="81">
        <f t="shared" si="31"/>
        <v>-103.32499999999982</v>
      </c>
    </row>
    <row r="51" spans="1:47" ht="27" x14ac:dyDescent="0.2">
      <c r="A51" s="23">
        <v>36</v>
      </c>
      <c r="B51" s="24" t="s">
        <v>120</v>
      </c>
      <c r="C51" s="24" t="s">
        <v>128</v>
      </c>
      <c r="D51" s="24" t="s">
        <v>129</v>
      </c>
      <c r="E51" s="26" t="s">
        <v>130</v>
      </c>
      <c r="F51" s="26" t="s">
        <v>34</v>
      </c>
      <c r="G51" s="62">
        <v>10</v>
      </c>
      <c r="H51" s="27">
        <v>10</v>
      </c>
      <c r="I51" s="28">
        <v>0.28000000000000003</v>
      </c>
      <c r="J51" s="29">
        <v>687</v>
      </c>
      <c r="K51" s="30">
        <f t="shared" si="66"/>
        <v>192.36</v>
      </c>
      <c r="L51" s="31">
        <f t="shared" si="67"/>
        <v>494.64</v>
      </c>
      <c r="M51" s="31">
        <f t="shared" si="68"/>
        <v>536.72</v>
      </c>
      <c r="N51" s="31">
        <v>536.72</v>
      </c>
      <c r="O51" s="32">
        <f t="shared" si="69"/>
        <v>96.61</v>
      </c>
      <c r="P51" s="32">
        <f t="shared" si="70"/>
        <v>440.11</v>
      </c>
      <c r="Q51" s="32">
        <f t="shared" si="71"/>
        <v>4401.1000000000004</v>
      </c>
      <c r="R51" s="33">
        <v>5.41</v>
      </c>
      <c r="S51" s="32">
        <f>ROUND(R51*H51,0)</f>
        <v>54</v>
      </c>
      <c r="T51" s="34">
        <v>461.58</v>
      </c>
      <c r="U51" s="32">
        <f t="shared" si="72"/>
        <v>4615.8</v>
      </c>
      <c r="V51" s="32">
        <f t="shared" si="73"/>
        <v>4320</v>
      </c>
      <c r="W51" s="32">
        <f t="shared" si="74"/>
        <v>-295.80000000000018</v>
      </c>
      <c r="X51" s="24" t="s">
        <v>47</v>
      </c>
      <c r="Y51" s="91">
        <f t="shared" si="42"/>
        <v>10</v>
      </c>
      <c r="Z51" s="53">
        <f t="shared" si="43"/>
        <v>0</v>
      </c>
      <c r="AA51" s="53">
        <f t="shared" si="27"/>
        <v>4615.8</v>
      </c>
      <c r="AB51" s="53">
        <f t="shared" si="28"/>
        <v>0</v>
      </c>
      <c r="AC51" s="53">
        <f t="shared" si="44"/>
        <v>54.1</v>
      </c>
      <c r="AD51" s="53">
        <f t="shared" si="45"/>
        <v>-0.10000000000000142</v>
      </c>
      <c r="AE51" s="53">
        <f t="shared" si="46"/>
        <v>-206.64999999999964</v>
      </c>
      <c r="AF51" s="33"/>
      <c r="AG51" s="80">
        <f t="shared" si="47"/>
        <v>0</v>
      </c>
      <c r="AH51" s="80">
        <f t="shared" si="48"/>
        <v>0</v>
      </c>
      <c r="AI51" s="81">
        <f t="shared" si="49"/>
        <v>0</v>
      </c>
      <c r="AJ51" s="33">
        <f>5</f>
        <v>5</v>
      </c>
      <c r="AK51" s="80">
        <f t="shared" si="50"/>
        <v>2307.9</v>
      </c>
      <c r="AL51" s="84">
        <f t="shared" si="51"/>
        <v>27.05</v>
      </c>
      <c r="AM51" s="81">
        <f t="shared" si="52"/>
        <v>-103.32499999999982</v>
      </c>
      <c r="AN51" s="90"/>
      <c r="AO51" s="102">
        <f t="shared" si="53"/>
        <v>0</v>
      </c>
      <c r="AP51" s="84">
        <f t="shared" si="54"/>
        <v>0</v>
      </c>
      <c r="AQ51" s="81">
        <f t="shared" si="55"/>
        <v>0</v>
      </c>
      <c r="AR51" s="121">
        <v>5</v>
      </c>
      <c r="AS51" s="102">
        <f t="shared" si="29"/>
        <v>2307.9</v>
      </c>
      <c r="AT51" s="84">
        <f t="shared" si="30"/>
        <v>27.05</v>
      </c>
      <c r="AU51" s="81">
        <f t="shared" si="31"/>
        <v>-103.32499999999982</v>
      </c>
    </row>
    <row r="52" spans="1:47" x14ac:dyDescent="0.2">
      <c r="A52" s="23">
        <v>35</v>
      </c>
      <c r="B52" s="24" t="s">
        <v>120</v>
      </c>
      <c r="C52" s="24" t="s">
        <v>125</v>
      </c>
      <c r="D52" s="24" t="s">
        <v>126</v>
      </c>
      <c r="E52" s="26" t="s">
        <v>127</v>
      </c>
      <c r="F52" s="26" t="s">
        <v>34</v>
      </c>
      <c r="G52" s="62">
        <v>20</v>
      </c>
      <c r="H52" s="27">
        <v>20</v>
      </c>
      <c r="I52" s="28">
        <v>0.28000000000000003</v>
      </c>
      <c r="J52" s="29">
        <v>1639</v>
      </c>
      <c r="K52" s="30">
        <f t="shared" si="66"/>
        <v>458.92</v>
      </c>
      <c r="L52" s="31">
        <f t="shared" si="67"/>
        <v>1180.08</v>
      </c>
      <c r="M52" s="31">
        <f t="shared" si="68"/>
        <v>1280.47</v>
      </c>
      <c r="N52" s="31">
        <v>1280.47</v>
      </c>
      <c r="O52" s="32">
        <f t="shared" si="69"/>
        <v>230.48999999999998</v>
      </c>
      <c r="P52" s="32">
        <f t="shared" si="70"/>
        <v>1049.98</v>
      </c>
      <c r="Q52" s="32">
        <f t="shared" si="71"/>
        <v>20999.599999999999</v>
      </c>
      <c r="R52" s="33">
        <v>17.64</v>
      </c>
      <c r="S52" s="32">
        <f t="shared" ref="S52:S58" si="75">ROUNDUP(R52*H52,0)</f>
        <v>353</v>
      </c>
      <c r="T52" s="34">
        <v>1101.2</v>
      </c>
      <c r="U52" s="32">
        <f t="shared" si="72"/>
        <v>22024</v>
      </c>
      <c r="V52" s="32">
        <f t="shared" si="73"/>
        <v>28240</v>
      </c>
      <c r="W52" s="32">
        <f t="shared" si="74"/>
        <v>6216</v>
      </c>
      <c r="X52" s="24"/>
      <c r="Y52" s="91">
        <f t="shared" si="42"/>
        <v>20</v>
      </c>
      <c r="Z52" s="53">
        <f t="shared" si="43"/>
        <v>0</v>
      </c>
      <c r="AA52" s="53">
        <f t="shared" si="27"/>
        <v>22024</v>
      </c>
      <c r="AB52" s="53">
        <f t="shared" si="28"/>
        <v>0</v>
      </c>
      <c r="AC52" s="53">
        <f t="shared" si="44"/>
        <v>352.8</v>
      </c>
      <c r="AD52" s="53">
        <f t="shared" si="45"/>
        <v>0.19999999999998863</v>
      </c>
      <c r="AE52" s="53">
        <f t="shared" si="46"/>
        <v>6729.2000000000007</v>
      </c>
      <c r="AF52" s="33"/>
      <c r="AG52" s="80">
        <f t="shared" si="47"/>
        <v>0</v>
      </c>
      <c r="AH52" s="80">
        <f t="shared" si="48"/>
        <v>0</v>
      </c>
      <c r="AI52" s="81">
        <f t="shared" si="49"/>
        <v>0</v>
      </c>
      <c r="AJ52" s="33">
        <f>4+4</f>
        <v>8</v>
      </c>
      <c r="AK52" s="80">
        <f t="shared" si="50"/>
        <v>8809.6</v>
      </c>
      <c r="AL52" s="84">
        <f t="shared" si="51"/>
        <v>141.12</v>
      </c>
      <c r="AM52" s="81">
        <f t="shared" si="52"/>
        <v>2691.6800000000003</v>
      </c>
      <c r="AN52" s="90">
        <v>4</v>
      </c>
      <c r="AO52" s="102">
        <f t="shared" si="53"/>
        <v>4404.8</v>
      </c>
      <c r="AP52" s="84">
        <f t="shared" si="54"/>
        <v>70.56</v>
      </c>
      <c r="AQ52" s="81">
        <f t="shared" si="55"/>
        <v>1345.8400000000001</v>
      </c>
      <c r="AR52" s="121">
        <v>8</v>
      </c>
      <c r="AS52" s="102">
        <f t="shared" si="29"/>
        <v>8809.6</v>
      </c>
      <c r="AT52" s="84">
        <f t="shared" si="30"/>
        <v>141.12</v>
      </c>
      <c r="AU52" s="81">
        <f t="shared" si="31"/>
        <v>2691.6800000000003</v>
      </c>
    </row>
    <row r="53" spans="1:47" ht="27" x14ac:dyDescent="0.2">
      <c r="A53" s="23">
        <v>33</v>
      </c>
      <c r="B53" s="24" t="s">
        <v>120</v>
      </c>
      <c r="C53" s="24" t="s">
        <v>121</v>
      </c>
      <c r="D53" s="24" t="s">
        <v>122</v>
      </c>
      <c r="E53" s="26" t="s">
        <v>33</v>
      </c>
      <c r="F53" s="26" t="s">
        <v>34</v>
      </c>
      <c r="G53" s="62">
        <v>100</v>
      </c>
      <c r="H53" s="27">
        <v>100</v>
      </c>
      <c r="I53" s="28">
        <v>0.28000000000000003</v>
      </c>
      <c r="J53" s="29">
        <v>5199</v>
      </c>
      <c r="K53" s="30">
        <f t="shared" si="66"/>
        <v>1455.72</v>
      </c>
      <c r="L53" s="31">
        <f t="shared" si="67"/>
        <v>3743.2799999999997</v>
      </c>
      <c r="M53" s="31">
        <f t="shared" si="68"/>
        <v>4061.7200000000003</v>
      </c>
      <c r="N53" s="31">
        <v>4061.72</v>
      </c>
      <c r="O53" s="32">
        <f t="shared" si="69"/>
        <v>731.11</v>
      </c>
      <c r="P53" s="32">
        <f t="shared" si="70"/>
        <v>3330.6099999999997</v>
      </c>
      <c r="Q53" s="32">
        <f t="shared" si="71"/>
        <v>333060.99999999994</v>
      </c>
      <c r="R53" s="33">
        <v>55.95</v>
      </c>
      <c r="S53" s="32">
        <f t="shared" si="75"/>
        <v>5595</v>
      </c>
      <c r="T53" s="34">
        <v>3493.08</v>
      </c>
      <c r="U53" s="32">
        <f t="shared" si="72"/>
        <v>349308</v>
      </c>
      <c r="V53" s="32">
        <f t="shared" si="73"/>
        <v>447600</v>
      </c>
      <c r="W53" s="32">
        <f t="shared" si="74"/>
        <v>98292</v>
      </c>
      <c r="X53" s="24"/>
      <c r="Y53" s="91">
        <f t="shared" si="42"/>
        <v>100</v>
      </c>
      <c r="Z53" s="53">
        <f t="shared" si="43"/>
        <v>0</v>
      </c>
      <c r="AA53" s="53">
        <f t="shared" si="27"/>
        <v>349308</v>
      </c>
      <c r="AB53" s="53">
        <f t="shared" si="28"/>
        <v>0</v>
      </c>
      <c r="AC53" s="53">
        <f t="shared" si="44"/>
        <v>5595</v>
      </c>
      <c r="AD53" s="53">
        <f t="shared" si="45"/>
        <v>0</v>
      </c>
      <c r="AE53" s="53">
        <f t="shared" si="46"/>
        <v>106684.49999999997</v>
      </c>
      <c r="AF53" s="33"/>
      <c r="AG53" s="80">
        <f t="shared" si="47"/>
        <v>0</v>
      </c>
      <c r="AH53" s="80">
        <f t="shared" si="48"/>
        <v>0</v>
      </c>
      <c r="AI53" s="81">
        <f t="shared" si="49"/>
        <v>0</v>
      </c>
      <c r="AJ53" s="33">
        <f>18+22</f>
        <v>40</v>
      </c>
      <c r="AK53" s="80">
        <f t="shared" si="50"/>
        <v>139723.20000000001</v>
      </c>
      <c r="AL53" s="84">
        <f t="shared" si="51"/>
        <v>2238</v>
      </c>
      <c r="AM53" s="81">
        <f t="shared" si="52"/>
        <v>42673.799999999988</v>
      </c>
      <c r="AN53" s="90">
        <f>10+10</f>
        <v>20</v>
      </c>
      <c r="AO53" s="102">
        <f t="shared" si="53"/>
        <v>69861.600000000006</v>
      </c>
      <c r="AP53" s="84">
        <f t="shared" si="54"/>
        <v>1119</v>
      </c>
      <c r="AQ53" s="81">
        <f t="shared" si="55"/>
        <v>21336.899999999994</v>
      </c>
      <c r="AR53" s="121">
        <f>22+18</f>
        <v>40</v>
      </c>
      <c r="AS53" s="102">
        <f t="shared" si="29"/>
        <v>139723.20000000001</v>
      </c>
      <c r="AT53" s="84">
        <f t="shared" si="30"/>
        <v>2238</v>
      </c>
      <c r="AU53" s="81">
        <f t="shared" si="31"/>
        <v>42673.799999999988</v>
      </c>
    </row>
    <row r="54" spans="1:47" ht="27" x14ac:dyDescent="0.2">
      <c r="A54" s="23">
        <v>34</v>
      </c>
      <c r="B54" s="24" t="s">
        <v>120</v>
      </c>
      <c r="C54" s="24" t="s">
        <v>123</v>
      </c>
      <c r="D54" s="24" t="s">
        <v>124</v>
      </c>
      <c r="E54" s="26" t="s">
        <v>33</v>
      </c>
      <c r="F54" s="26" t="s">
        <v>34</v>
      </c>
      <c r="G54" s="62">
        <v>20</v>
      </c>
      <c r="H54" s="38">
        <v>20</v>
      </c>
      <c r="I54" s="28">
        <v>0.28000000000000003</v>
      </c>
      <c r="J54" s="29">
        <v>3859</v>
      </c>
      <c r="K54" s="30">
        <f t="shared" si="66"/>
        <v>1080.5200000000002</v>
      </c>
      <c r="L54" s="31">
        <f t="shared" si="67"/>
        <v>2778.4799999999996</v>
      </c>
      <c r="M54" s="31">
        <f t="shared" si="68"/>
        <v>3014.8500000000004</v>
      </c>
      <c r="N54" s="31">
        <v>3014.84</v>
      </c>
      <c r="O54" s="32">
        <f t="shared" si="69"/>
        <v>542.67999999999995</v>
      </c>
      <c r="P54" s="32">
        <f t="shared" si="70"/>
        <v>2472.1600000000003</v>
      </c>
      <c r="Q54" s="32">
        <f t="shared" si="71"/>
        <v>49443.200000000004</v>
      </c>
      <c r="R54" s="33">
        <v>45.5</v>
      </c>
      <c r="S54" s="32">
        <f t="shared" si="75"/>
        <v>910</v>
      </c>
      <c r="T54" s="34">
        <v>2592.7600000000002</v>
      </c>
      <c r="U54" s="32">
        <f t="shared" si="72"/>
        <v>51855.200000000004</v>
      </c>
      <c r="V54" s="32">
        <f t="shared" si="73"/>
        <v>72800</v>
      </c>
      <c r="W54" s="32">
        <f t="shared" si="74"/>
        <v>20944.799999999996</v>
      </c>
      <c r="X54" s="24"/>
      <c r="Y54" s="91">
        <f t="shared" si="42"/>
        <v>15</v>
      </c>
      <c r="Z54" s="53">
        <f t="shared" si="43"/>
        <v>5</v>
      </c>
      <c r="AA54" s="53">
        <f t="shared" si="27"/>
        <v>38891.4</v>
      </c>
      <c r="AB54" s="53">
        <f t="shared" si="28"/>
        <v>12963.800000000003</v>
      </c>
      <c r="AC54" s="53">
        <f t="shared" si="44"/>
        <v>682.5</v>
      </c>
      <c r="AD54" s="53">
        <f t="shared" si="45"/>
        <v>227.5</v>
      </c>
      <c r="AE54" s="53">
        <f t="shared" si="46"/>
        <v>16732.349999999999</v>
      </c>
      <c r="AF54" s="33"/>
      <c r="AG54" s="80">
        <f t="shared" si="47"/>
        <v>0</v>
      </c>
      <c r="AH54" s="80">
        <f t="shared" si="48"/>
        <v>0</v>
      </c>
      <c r="AI54" s="81">
        <f t="shared" si="49"/>
        <v>0</v>
      </c>
      <c r="AJ54" s="33">
        <f>4+4</f>
        <v>8</v>
      </c>
      <c r="AK54" s="80">
        <f t="shared" si="50"/>
        <v>20742.080000000002</v>
      </c>
      <c r="AL54" s="84">
        <f t="shared" si="51"/>
        <v>364</v>
      </c>
      <c r="AM54" s="81">
        <f t="shared" si="52"/>
        <v>8923.9199999999983</v>
      </c>
      <c r="AN54" s="90"/>
      <c r="AO54" s="102">
        <f t="shared" si="53"/>
        <v>0</v>
      </c>
      <c r="AP54" s="84">
        <f t="shared" si="54"/>
        <v>0</v>
      </c>
      <c r="AQ54" s="81">
        <f t="shared" si="55"/>
        <v>0</v>
      </c>
      <c r="AR54" s="90">
        <v>7</v>
      </c>
      <c r="AS54" s="102">
        <f t="shared" si="29"/>
        <v>18149.32</v>
      </c>
      <c r="AT54" s="84">
        <f t="shared" si="30"/>
        <v>318.5</v>
      </c>
      <c r="AU54" s="81">
        <f t="shared" si="31"/>
        <v>7808.43</v>
      </c>
    </row>
    <row r="55" spans="1:47" ht="27" x14ac:dyDescent="0.2">
      <c r="A55" s="23">
        <v>76</v>
      </c>
      <c r="B55" s="24" t="s">
        <v>194</v>
      </c>
      <c r="C55" s="35" t="s">
        <v>195</v>
      </c>
      <c r="D55" s="24" t="s">
        <v>196</v>
      </c>
      <c r="E55" s="42" t="s">
        <v>130</v>
      </c>
      <c r="F55" s="42" t="s">
        <v>175</v>
      </c>
      <c r="G55" s="63">
        <v>50</v>
      </c>
      <c r="H55" s="43">
        <v>50</v>
      </c>
      <c r="I55" s="44" t="s">
        <v>179</v>
      </c>
      <c r="J55" s="34">
        <v>2977</v>
      </c>
      <c r="K55" s="30">
        <f t="shared" si="66"/>
        <v>833.56000000000006</v>
      </c>
      <c r="L55" s="31">
        <f t="shared" si="67"/>
        <v>2143.44</v>
      </c>
      <c r="M55" s="31">
        <f t="shared" si="68"/>
        <v>2325.7900000000004</v>
      </c>
      <c r="N55" s="31">
        <v>2325.7800000000002</v>
      </c>
      <c r="O55" s="32">
        <f t="shared" si="69"/>
        <v>418.65</v>
      </c>
      <c r="P55" s="32">
        <f t="shared" si="70"/>
        <v>1907.13</v>
      </c>
      <c r="Q55" s="32">
        <f t="shared" si="71"/>
        <v>95356.5</v>
      </c>
      <c r="R55" s="33">
        <v>38.08</v>
      </c>
      <c r="S55" s="32">
        <f t="shared" si="75"/>
        <v>1904</v>
      </c>
      <c r="T55" s="34">
        <v>2000.17</v>
      </c>
      <c r="U55" s="32">
        <f t="shared" si="72"/>
        <v>100008.5</v>
      </c>
      <c r="V55" s="32">
        <f t="shared" si="73"/>
        <v>152320</v>
      </c>
      <c r="W55" s="32">
        <f t="shared" si="74"/>
        <v>52311.5</v>
      </c>
      <c r="X55" s="24"/>
      <c r="Y55" s="91">
        <f t="shared" si="42"/>
        <v>50</v>
      </c>
      <c r="Z55" s="53">
        <f t="shared" si="43"/>
        <v>0</v>
      </c>
      <c r="AA55" s="53">
        <f t="shared" si="27"/>
        <v>100008.5</v>
      </c>
      <c r="AB55" s="53">
        <f t="shared" si="28"/>
        <v>0</v>
      </c>
      <c r="AC55" s="53">
        <f t="shared" si="44"/>
        <v>1903.9999999999998</v>
      </c>
      <c r="AD55" s="53">
        <f t="shared" si="45"/>
        <v>0</v>
      </c>
      <c r="AE55" s="53">
        <f t="shared" si="46"/>
        <v>55167.499999999978</v>
      </c>
      <c r="AF55" s="33"/>
      <c r="AG55" s="80">
        <f t="shared" si="47"/>
        <v>0</v>
      </c>
      <c r="AH55" s="80">
        <f t="shared" si="48"/>
        <v>0</v>
      </c>
      <c r="AI55" s="81">
        <f t="shared" si="49"/>
        <v>0</v>
      </c>
      <c r="AJ55" s="33">
        <v>20</v>
      </c>
      <c r="AK55" s="80">
        <f t="shared" si="50"/>
        <v>40003.4</v>
      </c>
      <c r="AL55" s="84">
        <f t="shared" si="51"/>
        <v>761.59999999999991</v>
      </c>
      <c r="AM55" s="81">
        <f t="shared" si="52"/>
        <v>22066.999999999993</v>
      </c>
      <c r="AN55" s="90">
        <v>10</v>
      </c>
      <c r="AO55" s="102">
        <f t="shared" si="53"/>
        <v>20001.7</v>
      </c>
      <c r="AP55" s="84">
        <f t="shared" si="54"/>
        <v>380.79999999999995</v>
      </c>
      <c r="AQ55" s="81">
        <f t="shared" si="55"/>
        <v>11033.499999999996</v>
      </c>
      <c r="AR55" s="121">
        <f>12+8</f>
        <v>20</v>
      </c>
      <c r="AS55" s="102">
        <f t="shared" si="29"/>
        <v>40003.4</v>
      </c>
      <c r="AT55" s="84">
        <f t="shared" si="30"/>
        <v>761.59999999999991</v>
      </c>
      <c r="AU55" s="81">
        <f t="shared" si="31"/>
        <v>22066.999999999993</v>
      </c>
    </row>
    <row r="56" spans="1:47" x14ac:dyDescent="0.2">
      <c r="A56" s="23">
        <v>68</v>
      </c>
      <c r="B56" s="24" t="s">
        <v>171</v>
      </c>
      <c r="C56" s="40" t="s">
        <v>180</v>
      </c>
      <c r="D56" s="24" t="s">
        <v>181</v>
      </c>
      <c r="E56" s="42" t="s">
        <v>33</v>
      </c>
      <c r="F56" s="42" t="s">
        <v>175</v>
      </c>
      <c r="G56" s="63">
        <v>50</v>
      </c>
      <c r="H56" s="43">
        <v>50</v>
      </c>
      <c r="I56" s="44" t="s">
        <v>179</v>
      </c>
      <c r="J56" s="45">
        <v>1184</v>
      </c>
      <c r="K56" s="30">
        <f t="shared" si="66"/>
        <v>331.52000000000004</v>
      </c>
      <c r="L56" s="31">
        <f t="shared" si="67"/>
        <v>852.48</v>
      </c>
      <c r="M56" s="31">
        <f t="shared" si="68"/>
        <v>925</v>
      </c>
      <c r="N56" s="31">
        <v>925</v>
      </c>
      <c r="O56" s="32">
        <f t="shared" si="69"/>
        <v>166.5</v>
      </c>
      <c r="P56" s="32">
        <f t="shared" si="70"/>
        <v>758.5</v>
      </c>
      <c r="Q56" s="32">
        <f t="shared" si="71"/>
        <v>37925</v>
      </c>
      <c r="R56" s="33">
        <v>15.15</v>
      </c>
      <c r="S56" s="32">
        <f t="shared" si="75"/>
        <v>758</v>
      </c>
      <c r="T56" s="34">
        <v>795.5</v>
      </c>
      <c r="U56" s="32">
        <f t="shared" si="72"/>
        <v>39775</v>
      </c>
      <c r="V56" s="32">
        <f t="shared" si="73"/>
        <v>60640</v>
      </c>
      <c r="W56" s="32">
        <f t="shared" si="74"/>
        <v>20865</v>
      </c>
      <c r="X56" s="24"/>
      <c r="Y56" s="91">
        <f t="shared" si="42"/>
        <v>38</v>
      </c>
      <c r="Z56" s="53">
        <f t="shared" si="43"/>
        <v>12</v>
      </c>
      <c r="AA56" s="53">
        <f t="shared" si="27"/>
        <v>30229</v>
      </c>
      <c r="AB56" s="53">
        <f t="shared" si="28"/>
        <v>9546</v>
      </c>
      <c r="AC56" s="53">
        <f t="shared" si="44"/>
        <v>575.70000000000005</v>
      </c>
      <c r="AD56" s="53">
        <f t="shared" si="45"/>
        <v>182.29999999999995</v>
      </c>
      <c r="AE56" s="53">
        <f t="shared" si="46"/>
        <v>16690.550000000003</v>
      </c>
      <c r="AF56" s="33"/>
      <c r="AG56" s="80">
        <f t="shared" si="47"/>
        <v>0</v>
      </c>
      <c r="AH56" s="80">
        <f t="shared" si="48"/>
        <v>0</v>
      </c>
      <c r="AI56" s="81">
        <f t="shared" si="49"/>
        <v>0</v>
      </c>
      <c r="AJ56" s="33">
        <v>8</v>
      </c>
      <c r="AK56" s="80">
        <f t="shared" si="50"/>
        <v>6364</v>
      </c>
      <c r="AL56" s="84">
        <f t="shared" si="51"/>
        <v>121.2</v>
      </c>
      <c r="AM56" s="81">
        <f t="shared" si="52"/>
        <v>3513.8000000000011</v>
      </c>
      <c r="AN56" s="90">
        <v>22</v>
      </c>
      <c r="AO56" s="102">
        <f t="shared" si="53"/>
        <v>17501</v>
      </c>
      <c r="AP56" s="84">
        <f t="shared" si="54"/>
        <v>333.3</v>
      </c>
      <c r="AQ56" s="81">
        <f t="shared" si="55"/>
        <v>9662.9500000000007</v>
      </c>
      <c r="AR56" s="121">
        <v>8</v>
      </c>
      <c r="AS56" s="102">
        <f t="shared" si="29"/>
        <v>6364</v>
      </c>
      <c r="AT56" s="84">
        <f t="shared" si="30"/>
        <v>121.2</v>
      </c>
      <c r="AU56" s="81">
        <f t="shared" si="31"/>
        <v>3513.8000000000011</v>
      </c>
    </row>
    <row r="57" spans="1:47" ht="27" x14ac:dyDescent="0.2">
      <c r="A57" s="23">
        <v>69</v>
      </c>
      <c r="B57" s="24" t="s">
        <v>171</v>
      </c>
      <c r="C57" s="46" t="s">
        <v>182</v>
      </c>
      <c r="D57" s="24" t="s">
        <v>183</v>
      </c>
      <c r="E57" s="35">
        <v>87084000</v>
      </c>
      <c r="F57" s="35" t="s">
        <v>175</v>
      </c>
      <c r="G57" s="33">
        <v>0</v>
      </c>
      <c r="H57" s="43">
        <v>2</v>
      </c>
      <c r="I57" s="47">
        <v>0.28000000000000003</v>
      </c>
      <c r="J57" s="45">
        <v>66910</v>
      </c>
      <c r="K57" s="30">
        <f t="shared" si="66"/>
        <v>18734.800000000003</v>
      </c>
      <c r="L57" s="31">
        <f t="shared" si="67"/>
        <v>48175.199999999997</v>
      </c>
      <c r="M57" s="31">
        <f t="shared" si="68"/>
        <v>52273.440000000002</v>
      </c>
      <c r="N57" s="31">
        <v>52273.440000000002</v>
      </c>
      <c r="O57" s="32">
        <f t="shared" si="69"/>
        <v>9409.2199999999993</v>
      </c>
      <c r="P57" s="32">
        <f t="shared" si="70"/>
        <v>42864.22</v>
      </c>
      <c r="Q57" s="32">
        <f t="shared" si="71"/>
        <v>85728.44</v>
      </c>
      <c r="R57" s="33">
        <v>855.64</v>
      </c>
      <c r="S57" s="32">
        <f t="shared" si="75"/>
        <v>1712</v>
      </c>
      <c r="T57" s="34">
        <v>46496.75</v>
      </c>
      <c r="U57" s="64">
        <f t="shared" si="72"/>
        <v>92993.5</v>
      </c>
      <c r="V57" s="32">
        <f t="shared" si="73"/>
        <v>136960</v>
      </c>
      <c r="W57" s="32">
        <f t="shared" si="74"/>
        <v>43966.5</v>
      </c>
      <c r="X57" s="24" t="s">
        <v>184</v>
      </c>
      <c r="Y57" s="91">
        <f t="shared" si="42"/>
        <v>2</v>
      </c>
      <c r="Z57" s="103">
        <f t="shared" si="43"/>
        <v>0</v>
      </c>
      <c r="AA57" s="53">
        <f t="shared" si="27"/>
        <v>92993.5</v>
      </c>
      <c r="AB57" s="53">
        <f t="shared" si="28"/>
        <v>0</v>
      </c>
      <c r="AC57" s="53">
        <f t="shared" si="44"/>
        <v>1711.28</v>
      </c>
      <c r="AD57" s="53">
        <f t="shared" si="45"/>
        <v>0.72000000000002728</v>
      </c>
      <c r="AE57" s="53">
        <f t="shared" si="46"/>
        <v>46475.820000000007</v>
      </c>
      <c r="AF57" s="33"/>
      <c r="AG57" s="80">
        <f t="shared" si="47"/>
        <v>0</v>
      </c>
      <c r="AH57" s="80">
        <f t="shared" si="48"/>
        <v>0</v>
      </c>
      <c r="AI57" s="81">
        <f t="shared" si="49"/>
        <v>0</v>
      </c>
      <c r="AJ57" s="33"/>
      <c r="AK57" s="80">
        <f t="shared" si="50"/>
        <v>0</v>
      </c>
      <c r="AL57" s="84">
        <f t="shared" si="51"/>
        <v>0</v>
      </c>
      <c r="AM57" s="81">
        <f t="shared" si="52"/>
        <v>0</v>
      </c>
      <c r="AN57" s="90"/>
      <c r="AO57" s="102">
        <f t="shared" si="53"/>
        <v>0</v>
      </c>
      <c r="AP57" s="84">
        <f t="shared" si="54"/>
        <v>0</v>
      </c>
      <c r="AQ57" s="81">
        <f t="shared" si="55"/>
        <v>0</v>
      </c>
      <c r="AR57" s="90">
        <v>2</v>
      </c>
      <c r="AS57" s="102">
        <f t="shared" si="29"/>
        <v>92993.5</v>
      </c>
      <c r="AT57" s="84">
        <f t="shared" si="30"/>
        <v>1711.28</v>
      </c>
      <c r="AU57" s="81">
        <f t="shared" si="31"/>
        <v>46475.820000000007</v>
      </c>
    </row>
    <row r="58" spans="1:47" x14ac:dyDescent="0.2">
      <c r="A58" s="23">
        <v>23</v>
      </c>
      <c r="B58" s="24" t="s">
        <v>95</v>
      </c>
      <c r="C58" s="24" t="s">
        <v>96</v>
      </c>
      <c r="D58" s="24" t="s">
        <v>97</v>
      </c>
      <c r="E58" s="26" t="s">
        <v>98</v>
      </c>
      <c r="F58" s="26" t="s">
        <v>34</v>
      </c>
      <c r="G58" s="62">
        <v>200</v>
      </c>
      <c r="H58" s="27">
        <v>200</v>
      </c>
      <c r="I58" s="28">
        <v>0.28000000000000003</v>
      </c>
      <c r="J58" s="29">
        <v>9888</v>
      </c>
      <c r="K58" s="30">
        <f t="shared" si="66"/>
        <v>2768.6400000000003</v>
      </c>
      <c r="L58" s="31">
        <f t="shared" si="67"/>
        <v>7119.36</v>
      </c>
      <c r="M58" s="31">
        <f t="shared" si="68"/>
        <v>7725</v>
      </c>
      <c r="N58" s="31">
        <v>7725</v>
      </c>
      <c r="O58" s="32">
        <f t="shared" si="69"/>
        <v>1390.5</v>
      </c>
      <c r="P58" s="32">
        <f t="shared" si="70"/>
        <v>6334.5</v>
      </c>
      <c r="Q58" s="32">
        <f t="shared" si="71"/>
        <v>1266900</v>
      </c>
      <c r="R58" s="33">
        <v>105.75</v>
      </c>
      <c r="S58" s="32">
        <f t="shared" si="75"/>
        <v>21150</v>
      </c>
      <c r="T58" s="34">
        <v>6643.5</v>
      </c>
      <c r="U58" s="32">
        <f t="shared" si="72"/>
        <v>1328700</v>
      </c>
      <c r="V58" s="32">
        <f t="shared" si="73"/>
        <v>1692000</v>
      </c>
      <c r="W58" s="32">
        <f t="shared" si="74"/>
        <v>363300</v>
      </c>
      <c r="X58" s="24"/>
      <c r="Y58" s="91">
        <f t="shared" si="42"/>
        <v>200</v>
      </c>
      <c r="Z58" s="53">
        <f t="shared" si="43"/>
        <v>0</v>
      </c>
      <c r="AA58" s="53">
        <f t="shared" si="27"/>
        <v>1328700</v>
      </c>
      <c r="AB58" s="53">
        <f t="shared" si="28"/>
        <v>0</v>
      </c>
      <c r="AC58" s="53">
        <f t="shared" si="44"/>
        <v>21150</v>
      </c>
      <c r="AD58" s="53">
        <f t="shared" si="45"/>
        <v>0</v>
      </c>
      <c r="AE58" s="53">
        <f t="shared" si="46"/>
        <v>395025</v>
      </c>
      <c r="AF58" s="33">
        <v>10</v>
      </c>
      <c r="AG58" s="80">
        <f t="shared" si="47"/>
        <v>66435</v>
      </c>
      <c r="AH58" s="80">
        <f t="shared" si="48"/>
        <v>1057.5</v>
      </c>
      <c r="AI58" s="81">
        <f t="shared" si="49"/>
        <v>19751.25</v>
      </c>
      <c r="AJ58" s="33">
        <f>38+38</f>
        <v>76</v>
      </c>
      <c r="AK58" s="80">
        <f t="shared" si="50"/>
        <v>504906</v>
      </c>
      <c r="AL58" s="84">
        <f t="shared" si="51"/>
        <v>8037</v>
      </c>
      <c r="AM58" s="81">
        <f t="shared" si="52"/>
        <v>150109.5</v>
      </c>
      <c r="AN58" s="90">
        <v>76</v>
      </c>
      <c r="AO58" s="102">
        <f t="shared" si="53"/>
        <v>504906</v>
      </c>
      <c r="AP58" s="84">
        <f t="shared" si="54"/>
        <v>8037</v>
      </c>
      <c r="AQ58" s="81">
        <f t="shared" si="55"/>
        <v>150109.5</v>
      </c>
      <c r="AR58" s="121">
        <v>38</v>
      </c>
      <c r="AS58" s="102">
        <f t="shared" si="29"/>
        <v>252453</v>
      </c>
      <c r="AT58" s="84">
        <f t="shared" si="30"/>
        <v>4018.5</v>
      </c>
      <c r="AU58" s="81">
        <f t="shared" si="31"/>
        <v>75054.75</v>
      </c>
    </row>
    <row r="59" spans="1:47" x14ac:dyDescent="0.2">
      <c r="A59" s="23">
        <v>3</v>
      </c>
      <c r="B59" s="24" t="s">
        <v>30</v>
      </c>
      <c r="C59" s="25" t="s">
        <v>38</v>
      </c>
      <c r="D59" s="24" t="s">
        <v>39</v>
      </c>
      <c r="E59" s="26" t="s">
        <v>33</v>
      </c>
      <c r="F59" s="26" t="s">
        <v>34</v>
      </c>
      <c r="G59" s="62">
        <v>1000</v>
      </c>
      <c r="H59" s="27">
        <v>1000</v>
      </c>
      <c r="I59" s="28">
        <v>0.18</v>
      </c>
      <c r="J59" s="29">
        <v>610</v>
      </c>
      <c r="K59" s="30">
        <f t="shared" si="66"/>
        <v>109.8</v>
      </c>
      <c r="L59" s="31">
        <f t="shared" si="67"/>
        <v>500.2</v>
      </c>
      <c r="M59" s="31">
        <f t="shared" si="68"/>
        <v>516.95000000000005</v>
      </c>
      <c r="N59" s="31">
        <v>516.95000000000005</v>
      </c>
      <c r="O59" s="32">
        <f t="shared" si="69"/>
        <v>93.06</v>
      </c>
      <c r="P59" s="32">
        <f t="shared" si="70"/>
        <v>423.89000000000004</v>
      </c>
      <c r="Q59" s="32">
        <f t="shared" si="71"/>
        <v>423890.00000000006</v>
      </c>
      <c r="R59" s="33">
        <v>6.75</v>
      </c>
      <c r="S59" s="32">
        <f>R59*H59</f>
        <v>6750</v>
      </c>
      <c r="T59" s="34">
        <v>438.09</v>
      </c>
      <c r="U59" s="32">
        <f t="shared" si="72"/>
        <v>438090</v>
      </c>
      <c r="V59" s="32">
        <f t="shared" si="73"/>
        <v>540000</v>
      </c>
      <c r="W59" s="32">
        <f t="shared" si="74"/>
        <v>101910</v>
      </c>
      <c r="X59" s="35"/>
      <c r="Y59" s="91">
        <f t="shared" si="42"/>
        <v>1000</v>
      </c>
      <c r="Z59" s="53">
        <f t="shared" si="43"/>
        <v>0</v>
      </c>
      <c r="AA59" s="53">
        <f t="shared" si="27"/>
        <v>438090</v>
      </c>
      <c r="AB59" s="53">
        <f t="shared" si="28"/>
        <v>0</v>
      </c>
      <c r="AC59" s="53">
        <f t="shared" si="44"/>
        <v>6750</v>
      </c>
      <c r="AD59" s="53">
        <f t="shared" si="45"/>
        <v>0</v>
      </c>
      <c r="AE59" s="53">
        <f t="shared" si="46"/>
        <v>112035.00000000003</v>
      </c>
      <c r="AF59" s="33">
        <v>325</v>
      </c>
      <c r="AG59" s="80">
        <f t="shared" si="47"/>
        <v>142379.25</v>
      </c>
      <c r="AH59" s="80">
        <f t="shared" si="48"/>
        <v>2193.75</v>
      </c>
      <c r="AI59" s="81">
        <f t="shared" si="49"/>
        <v>36411.375</v>
      </c>
      <c r="AJ59" s="33">
        <f>96+48+147</f>
        <v>291</v>
      </c>
      <c r="AK59" s="80">
        <f t="shared" si="50"/>
        <v>127484.18999999999</v>
      </c>
      <c r="AL59" s="84">
        <f t="shared" si="51"/>
        <v>1964.25</v>
      </c>
      <c r="AM59" s="81">
        <f t="shared" si="52"/>
        <v>32602.185000000012</v>
      </c>
      <c r="AN59" s="90">
        <f>47+60</f>
        <v>107</v>
      </c>
      <c r="AO59" s="102">
        <f t="shared" si="53"/>
        <v>46875.63</v>
      </c>
      <c r="AP59" s="84">
        <f t="shared" si="54"/>
        <v>722.25</v>
      </c>
      <c r="AQ59" s="81">
        <f t="shared" si="55"/>
        <v>11987.745000000003</v>
      </c>
      <c r="AR59" s="121">
        <f>156+121</f>
        <v>277</v>
      </c>
      <c r="AS59" s="102">
        <f t="shared" si="29"/>
        <v>121350.93</v>
      </c>
      <c r="AT59" s="84">
        <f t="shared" si="30"/>
        <v>1869.75</v>
      </c>
      <c r="AU59" s="81">
        <f t="shared" si="31"/>
        <v>31033.695000000007</v>
      </c>
    </row>
    <row r="60" spans="1:47" x14ac:dyDescent="0.2">
      <c r="A60" s="23">
        <v>22</v>
      </c>
      <c r="B60" s="24" t="s">
        <v>86</v>
      </c>
      <c r="C60" s="25" t="s">
        <v>87</v>
      </c>
      <c r="D60" s="24" t="s">
        <v>88</v>
      </c>
      <c r="E60" s="26" t="s">
        <v>33</v>
      </c>
      <c r="F60" s="26" t="s">
        <v>34</v>
      </c>
      <c r="G60" s="62">
        <v>10</v>
      </c>
      <c r="H60" s="27">
        <v>10</v>
      </c>
      <c r="I60" s="28">
        <v>0.28000000000000003</v>
      </c>
      <c r="J60" s="29">
        <v>2262</v>
      </c>
      <c r="K60" s="30">
        <f t="shared" si="66"/>
        <v>633.36</v>
      </c>
      <c r="L60" s="31">
        <f t="shared" si="67"/>
        <v>1628.6399999999999</v>
      </c>
      <c r="M60" s="31">
        <f t="shared" si="68"/>
        <v>1767.19</v>
      </c>
      <c r="N60" s="31">
        <v>1767.19</v>
      </c>
      <c r="O60" s="32">
        <f t="shared" si="69"/>
        <v>318.09999999999997</v>
      </c>
      <c r="P60" s="32">
        <f t="shared" si="70"/>
        <v>1449.0900000000001</v>
      </c>
      <c r="Q60" s="32">
        <f t="shared" si="71"/>
        <v>14490.900000000001</v>
      </c>
      <c r="R60" s="33">
        <v>24.35</v>
      </c>
      <c r="S60" s="32">
        <f>ROUNDUP(R60*H60,0)</f>
        <v>244</v>
      </c>
      <c r="T60" s="34">
        <v>1519.78</v>
      </c>
      <c r="U60" s="32">
        <f t="shared" si="72"/>
        <v>15197.8</v>
      </c>
      <c r="V60" s="32">
        <f t="shared" si="73"/>
        <v>19520</v>
      </c>
      <c r="W60" s="32">
        <f t="shared" si="74"/>
        <v>4322.2000000000007</v>
      </c>
      <c r="X60" s="24"/>
      <c r="Y60" s="91">
        <f t="shared" si="42"/>
        <v>10</v>
      </c>
      <c r="Z60" s="53">
        <f t="shared" si="43"/>
        <v>0</v>
      </c>
      <c r="AA60" s="53">
        <f t="shared" si="27"/>
        <v>15197.8</v>
      </c>
      <c r="AB60" s="53">
        <f t="shared" si="28"/>
        <v>0</v>
      </c>
      <c r="AC60" s="53">
        <f t="shared" si="44"/>
        <v>243.5</v>
      </c>
      <c r="AD60" s="53">
        <f t="shared" si="45"/>
        <v>0.5</v>
      </c>
      <c r="AE60" s="53">
        <f t="shared" si="46"/>
        <v>4647.4500000000007</v>
      </c>
      <c r="AF60" s="33"/>
      <c r="AG60" s="80">
        <f t="shared" si="47"/>
        <v>0</v>
      </c>
      <c r="AH60" s="80">
        <f t="shared" si="48"/>
        <v>0</v>
      </c>
      <c r="AI60" s="81">
        <f t="shared" si="49"/>
        <v>0</v>
      </c>
      <c r="AJ60" s="33"/>
      <c r="AK60" s="80">
        <f t="shared" si="50"/>
        <v>0</v>
      </c>
      <c r="AL60" s="84">
        <f t="shared" si="51"/>
        <v>0</v>
      </c>
      <c r="AM60" s="81">
        <f t="shared" si="52"/>
        <v>0</v>
      </c>
      <c r="AN60" s="90">
        <v>5</v>
      </c>
      <c r="AO60" s="102">
        <f t="shared" si="53"/>
        <v>7598.9</v>
      </c>
      <c r="AP60" s="84">
        <f t="shared" si="54"/>
        <v>121.75</v>
      </c>
      <c r="AQ60" s="81">
        <f t="shared" si="55"/>
        <v>2323.7250000000004</v>
      </c>
      <c r="AR60" s="121">
        <v>5</v>
      </c>
      <c r="AS60" s="102">
        <f t="shared" si="29"/>
        <v>7598.9</v>
      </c>
      <c r="AT60" s="84">
        <f t="shared" si="30"/>
        <v>121.75</v>
      </c>
      <c r="AU60" s="81">
        <f t="shared" si="31"/>
        <v>2323.7250000000004</v>
      </c>
    </row>
    <row r="61" spans="1:47" ht="27" x14ac:dyDescent="0.2">
      <c r="A61" s="23">
        <v>17</v>
      </c>
      <c r="B61" s="24" t="s">
        <v>43</v>
      </c>
      <c r="C61" s="25" t="s">
        <v>72</v>
      </c>
      <c r="D61" s="24" t="s">
        <v>73</v>
      </c>
      <c r="E61" s="26" t="s">
        <v>33</v>
      </c>
      <c r="F61" s="26" t="s">
        <v>34</v>
      </c>
      <c r="G61" s="62">
        <v>10</v>
      </c>
      <c r="H61" s="27">
        <v>10</v>
      </c>
      <c r="I61" s="28">
        <v>0.18</v>
      </c>
      <c r="J61" s="29">
        <v>28224</v>
      </c>
      <c r="K61" s="30">
        <f t="shared" si="66"/>
        <v>5080.32</v>
      </c>
      <c r="L61" s="31">
        <f t="shared" si="67"/>
        <v>23143.68</v>
      </c>
      <c r="M61" s="31">
        <f t="shared" si="68"/>
        <v>23918.649999999998</v>
      </c>
      <c r="N61" s="31">
        <v>22050</v>
      </c>
      <c r="O61" s="32">
        <f t="shared" si="69"/>
        <v>3969</v>
      </c>
      <c r="P61" s="32">
        <f t="shared" si="70"/>
        <v>18081</v>
      </c>
      <c r="Q61" s="32">
        <f t="shared" si="71"/>
        <v>180810</v>
      </c>
      <c r="R61" s="33">
        <v>306.55</v>
      </c>
      <c r="S61" s="32">
        <f>ROUNDUP(R61*H61,0)</f>
        <v>3066</v>
      </c>
      <c r="T61" s="34">
        <v>20271.05</v>
      </c>
      <c r="U61" s="32">
        <f t="shared" si="72"/>
        <v>202710.5</v>
      </c>
      <c r="V61" s="32">
        <f t="shared" si="73"/>
        <v>245280</v>
      </c>
      <c r="W61" s="32">
        <f t="shared" si="74"/>
        <v>42569.5</v>
      </c>
      <c r="X61" s="24"/>
      <c r="Y61" s="91">
        <f t="shared" si="42"/>
        <v>10</v>
      </c>
      <c r="Z61" s="53">
        <f t="shared" si="43"/>
        <v>0</v>
      </c>
      <c r="AA61" s="53">
        <f t="shared" si="27"/>
        <v>202710.5</v>
      </c>
      <c r="AB61" s="53">
        <f t="shared" si="28"/>
        <v>0</v>
      </c>
      <c r="AC61" s="53">
        <f t="shared" si="44"/>
        <v>3065.5</v>
      </c>
      <c r="AD61" s="53">
        <f t="shared" si="45"/>
        <v>0.5</v>
      </c>
      <c r="AE61" s="53">
        <f t="shared" si="46"/>
        <v>47127.750000000015</v>
      </c>
      <c r="AF61" s="33"/>
      <c r="AG61" s="80">
        <f t="shared" si="47"/>
        <v>0</v>
      </c>
      <c r="AH61" s="80">
        <f t="shared" si="48"/>
        <v>0</v>
      </c>
      <c r="AI61" s="81">
        <f t="shared" si="49"/>
        <v>0</v>
      </c>
      <c r="AJ61" s="33">
        <f>2+2</f>
        <v>4</v>
      </c>
      <c r="AK61" s="80">
        <f t="shared" si="50"/>
        <v>81084.2</v>
      </c>
      <c r="AL61" s="84">
        <f t="shared" si="51"/>
        <v>1226.2</v>
      </c>
      <c r="AM61" s="81">
        <f t="shared" si="52"/>
        <v>18851.100000000006</v>
      </c>
      <c r="AN61" s="90">
        <f>1+1+1+1</f>
        <v>4</v>
      </c>
      <c r="AO61" s="102">
        <f t="shared" si="53"/>
        <v>81084.2</v>
      </c>
      <c r="AP61" s="84">
        <f t="shared" si="54"/>
        <v>1226.2</v>
      </c>
      <c r="AQ61" s="81">
        <f t="shared" si="55"/>
        <v>18851.100000000006</v>
      </c>
      <c r="AR61" s="121">
        <v>2</v>
      </c>
      <c r="AS61" s="102">
        <f t="shared" si="29"/>
        <v>40542.1</v>
      </c>
      <c r="AT61" s="84">
        <f t="shared" si="30"/>
        <v>613.1</v>
      </c>
      <c r="AU61" s="81">
        <f t="shared" si="31"/>
        <v>9425.5500000000029</v>
      </c>
    </row>
    <row r="62" spans="1:47" x14ac:dyDescent="0.2">
      <c r="A62" s="23">
        <v>26</v>
      </c>
      <c r="B62" s="24" t="s">
        <v>89</v>
      </c>
      <c r="C62" s="24" t="s">
        <v>93</v>
      </c>
      <c r="D62" s="24" t="s">
        <v>94</v>
      </c>
      <c r="E62" s="26" t="s">
        <v>33</v>
      </c>
      <c r="F62" s="26" t="s">
        <v>34</v>
      </c>
      <c r="G62" s="62">
        <v>25</v>
      </c>
      <c r="H62" s="27">
        <v>25</v>
      </c>
      <c r="I62" s="28">
        <v>0.18</v>
      </c>
      <c r="J62" s="29">
        <v>14400</v>
      </c>
      <c r="K62" s="30">
        <f t="shared" si="66"/>
        <v>2592</v>
      </c>
      <c r="L62" s="31">
        <f t="shared" si="67"/>
        <v>11808</v>
      </c>
      <c r="M62" s="31">
        <f t="shared" si="68"/>
        <v>12203.39</v>
      </c>
      <c r="N62" s="31">
        <v>11250</v>
      </c>
      <c r="O62" s="32">
        <f t="shared" si="69"/>
        <v>2025</v>
      </c>
      <c r="P62" s="32">
        <f t="shared" si="70"/>
        <v>9225</v>
      </c>
      <c r="Q62" s="32">
        <f t="shared" si="71"/>
        <v>230625</v>
      </c>
      <c r="R62" s="33">
        <v>154.57</v>
      </c>
      <c r="S62" s="32">
        <f>ROUND(R62*H62,0)</f>
        <v>3864</v>
      </c>
      <c r="T62" s="34">
        <v>10342.370000000001</v>
      </c>
      <c r="U62" s="32">
        <f t="shared" si="72"/>
        <v>258559.25000000003</v>
      </c>
      <c r="V62" s="32">
        <f t="shared" si="73"/>
        <v>309120</v>
      </c>
      <c r="W62" s="32">
        <f t="shared" si="74"/>
        <v>50560.749999999971</v>
      </c>
      <c r="X62" s="24"/>
      <c r="Y62" s="91">
        <f t="shared" si="42"/>
        <v>25</v>
      </c>
      <c r="Z62" s="53">
        <f t="shared" si="43"/>
        <v>0</v>
      </c>
      <c r="AA62" s="53">
        <f t="shared" si="27"/>
        <v>258559.25000000003</v>
      </c>
      <c r="AB62" s="53">
        <f t="shared" si="28"/>
        <v>0</v>
      </c>
      <c r="AC62" s="53">
        <f t="shared" si="44"/>
        <v>3864.2499999999995</v>
      </c>
      <c r="AD62" s="53">
        <f t="shared" si="45"/>
        <v>-0.24999999999954525</v>
      </c>
      <c r="AE62" s="53">
        <f t="shared" si="46"/>
        <v>56377.124999999942</v>
      </c>
      <c r="AF62" s="33"/>
      <c r="AG62" s="80">
        <f t="shared" si="47"/>
        <v>0</v>
      </c>
      <c r="AH62" s="80">
        <f t="shared" si="48"/>
        <v>0</v>
      </c>
      <c r="AI62" s="81">
        <f t="shared" si="49"/>
        <v>0</v>
      </c>
      <c r="AJ62" s="33">
        <f>5+5</f>
        <v>10</v>
      </c>
      <c r="AK62" s="80">
        <f t="shared" si="50"/>
        <v>103423.70000000001</v>
      </c>
      <c r="AL62" s="84">
        <f t="shared" si="51"/>
        <v>1545.6999999999998</v>
      </c>
      <c r="AM62" s="81">
        <f t="shared" si="52"/>
        <v>22550.849999999977</v>
      </c>
      <c r="AN62" s="90">
        <v>10</v>
      </c>
      <c r="AO62" s="102">
        <f t="shared" si="53"/>
        <v>103423.70000000001</v>
      </c>
      <c r="AP62" s="84">
        <f t="shared" si="54"/>
        <v>1545.6999999999998</v>
      </c>
      <c r="AQ62" s="81">
        <f t="shared" si="55"/>
        <v>22550.849999999977</v>
      </c>
      <c r="AR62" s="121">
        <v>5</v>
      </c>
      <c r="AS62" s="102">
        <f t="shared" si="29"/>
        <v>51711.850000000006</v>
      </c>
      <c r="AT62" s="84">
        <f t="shared" si="30"/>
        <v>772.84999999999991</v>
      </c>
      <c r="AU62" s="81">
        <f t="shared" si="31"/>
        <v>11275.424999999988</v>
      </c>
    </row>
    <row r="63" spans="1:47" x14ac:dyDescent="0.2">
      <c r="A63" s="23">
        <v>4</v>
      </c>
      <c r="B63" s="24" t="s">
        <v>30</v>
      </c>
      <c r="C63" s="25" t="s">
        <v>41</v>
      </c>
      <c r="D63" s="24" t="s">
        <v>42</v>
      </c>
      <c r="E63" s="26" t="s">
        <v>33</v>
      </c>
      <c r="F63" s="26" t="s">
        <v>34</v>
      </c>
      <c r="G63" s="62">
        <v>500</v>
      </c>
      <c r="H63" s="27">
        <v>500</v>
      </c>
      <c r="I63" s="28">
        <v>0.18</v>
      </c>
      <c r="J63" s="29">
        <v>597</v>
      </c>
      <c r="K63" s="30">
        <f t="shared" si="66"/>
        <v>107.46</v>
      </c>
      <c r="L63" s="31">
        <f t="shared" si="67"/>
        <v>489.54</v>
      </c>
      <c r="M63" s="31">
        <f t="shared" si="68"/>
        <v>505.94</v>
      </c>
      <c r="N63" s="31">
        <v>505.93</v>
      </c>
      <c r="O63" s="32">
        <f t="shared" si="69"/>
        <v>91.070000000000007</v>
      </c>
      <c r="P63" s="32">
        <f t="shared" si="70"/>
        <v>414.86</v>
      </c>
      <c r="Q63" s="32">
        <f t="shared" si="71"/>
        <v>207430</v>
      </c>
      <c r="R63" s="33">
        <v>6.5</v>
      </c>
      <c r="S63" s="32">
        <f>R63*H63</f>
        <v>3250</v>
      </c>
      <c r="T63" s="34">
        <v>428.75</v>
      </c>
      <c r="U63" s="32">
        <f t="shared" si="72"/>
        <v>214375</v>
      </c>
      <c r="V63" s="32">
        <f t="shared" si="73"/>
        <v>260000</v>
      </c>
      <c r="W63" s="32">
        <f t="shared" si="74"/>
        <v>45625</v>
      </c>
      <c r="X63" s="35"/>
      <c r="Y63" s="91">
        <f t="shared" si="42"/>
        <v>500</v>
      </c>
      <c r="Z63" s="53">
        <f t="shared" si="43"/>
        <v>0</v>
      </c>
      <c r="AA63" s="53">
        <f t="shared" si="27"/>
        <v>214375</v>
      </c>
      <c r="AB63" s="53">
        <f t="shared" si="28"/>
        <v>0</v>
      </c>
      <c r="AC63" s="53">
        <f t="shared" si="44"/>
        <v>3250</v>
      </c>
      <c r="AD63" s="53">
        <f t="shared" si="45"/>
        <v>0</v>
      </c>
      <c r="AE63" s="53">
        <f t="shared" si="46"/>
        <v>50500</v>
      </c>
      <c r="AF63" s="33">
        <v>20</v>
      </c>
      <c r="AG63" s="80">
        <f t="shared" si="47"/>
        <v>8575</v>
      </c>
      <c r="AH63" s="80">
        <f t="shared" si="48"/>
        <v>130</v>
      </c>
      <c r="AI63" s="81">
        <f t="shared" si="49"/>
        <v>2020</v>
      </c>
      <c r="AJ63" s="33">
        <f>131+49</f>
        <v>180</v>
      </c>
      <c r="AK63" s="80">
        <f t="shared" si="50"/>
        <v>77175</v>
      </c>
      <c r="AL63" s="84">
        <f t="shared" si="51"/>
        <v>1170</v>
      </c>
      <c r="AM63" s="81">
        <f t="shared" si="52"/>
        <v>18180</v>
      </c>
      <c r="AN63" s="90">
        <f>31+90+90</f>
        <v>211</v>
      </c>
      <c r="AO63" s="102">
        <f t="shared" si="53"/>
        <v>90466.25</v>
      </c>
      <c r="AP63" s="84">
        <f t="shared" si="54"/>
        <v>1371.5</v>
      </c>
      <c r="AQ63" s="81">
        <f t="shared" si="55"/>
        <v>21311</v>
      </c>
      <c r="AR63" s="121">
        <v>89</v>
      </c>
      <c r="AS63" s="102">
        <f t="shared" si="29"/>
        <v>38158.75</v>
      </c>
      <c r="AT63" s="84">
        <f t="shared" si="30"/>
        <v>578.5</v>
      </c>
      <c r="AU63" s="81">
        <f t="shared" si="31"/>
        <v>8989</v>
      </c>
    </row>
    <row r="64" spans="1:47" ht="27" x14ac:dyDescent="0.2">
      <c r="A64" s="23">
        <v>9</v>
      </c>
      <c r="B64" s="24" t="s">
        <v>43</v>
      </c>
      <c r="C64" s="25" t="s">
        <v>55</v>
      </c>
      <c r="D64" s="24" t="s">
        <v>56</v>
      </c>
      <c r="E64" s="26" t="s">
        <v>57</v>
      </c>
      <c r="F64" s="26" t="s">
        <v>34</v>
      </c>
      <c r="G64" s="62">
        <v>25</v>
      </c>
      <c r="H64" s="27">
        <v>25</v>
      </c>
      <c r="I64" s="28">
        <v>0.28000000000000003</v>
      </c>
      <c r="J64" s="29">
        <v>19054</v>
      </c>
      <c r="K64" s="30">
        <f t="shared" si="66"/>
        <v>5335.1200000000008</v>
      </c>
      <c r="L64" s="31">
        <f t="shared" si="67"/>
        <v>13718.88</v>
      </c>
      <c r="M64" s="31">
        <f t="shared" si="68"/>
        <v>14885.94</v>
      </c>
      <c r="N64" s="31">
        <v>14885.94</v>
      </c>
      <c r="O64" s="32">
        <f t="shared" si="69"/>
        <v>2679.4700000000003</v>
      </c>
      <c r="P64" s="32">
        <f t="shared" si="70"/>
        <v>12206.470000000001</v>
      </c>
      <c r="Q64" s="32">
        <f t="shared" si="71"/>
        <v>305161.75</v>
      </c>
      <c r="R64" s="33">
        <v>179.18</v>
      </c>
      <c r="S64" s="32">
        <f>ROUNDUP(R64*H64,0)</f>
        <v>4480</v>
      </c>
      <c r="T64" s="34">
        <v>12838.49</v>
      </c>
      <c r="U64" s="32">
        <f t="shared" si="72"/>
        <v>320962.25</v>
      </c>
      <c r="V64" s="32">
        <f t="shared" si="73"/>
        <v>358400</v>
      </c>
      <c r="W64" s="32">
        <f t="shared" si="74"/>
        <v>37437.75</v>
      </c>
      <c r="X64" s="36"/>
      <c r="Y64" s="91">
        <f t="shared" si="42"/>
        <v>25</v>
      </c>
      <c r="Z64" s="53">
        <f t="shared" si="43"/>
        <v>0</v>
      </c>
      <c r="AA64" s="53">
        <f t="shared" si="27"/>
        <v>320962.25</v>
      </c>
      <c r="AB64" s="53">
        <f t="shared" si="28"/>
        <v>0</v>
      </c>
      <c r="AC64" s="53">
        <f t="shared" si="44"/>
        <v>4479.5</v>
      </c>
      <c r="AD64" s="53">
        <f t="shared" si="45"/>
        <v>0.5</v>
      </c>
      <c r="AE64" s="53">
        <f t="shared" si="46"/>
        <v>44117.000000000044</v>
      </c>
      <c r="AF64" s="33"/>
      <c r="AG64" s="80">
        <f t="shared" si="47"/>
        <v>0</v>
      </c>
      <c r="AH64" s="80">
        <f t="shared" si="48"/>
        <v>0</v>
      </c>
      <c r="AI64" s="81">
        <f t="shared" si="49"/>
        <v>0</v>
      </c>
      <c r="AJ64" s="33">
        <f>4+6</f>
        <v>10</v>
      </c>
      <c r="AK64" s="80">
        <f t="shared" si="50"/>
        <v>128384.9</v>
      </c>
      <c r="AL64" s="84">
        <f t="shared" si="51"/>
        <v>1791.8000000000002</v>
      </c>
      <c r="AM64" s="81">
        <f t="shared" si="52"/>
        <v>17646.800000000017</v>
      </c>
      <c r="AN64" s="90">
        <v>10</v>
      </c>
      <c r="AO64" s="102">
        <f t="shared" si="53"/>
        <v>128384.9</v>
      </c>
      <c r="AP64" s="84">
        <f t="shared" si="54"/>
        <v>1791.8000000000002</v>
      </c>
      <c r="AQ64" s="81">
        <f t="shared" si="55"/>
        <v>17646.800000000017</v>
      </c>
      <c r="AR64" s="121">
        <f>1+1+1+1+1</f>
        <v>5</v>
      </c>
      <c r="AS64" s="102">
        <f t="shared" si="29"/>
        <v>64192.45</v>
      </c>
      <c r="AT64" s="84">
        <f t="shared" si="30"/>
        <v>895.90000000000009</v>
      </c>
      <c r="AU64" s="81">
        <f t="shared" si="31"/>
        <v>8823.4000000000087</v>
      </c>
    </row>
    <row r="65" spans="1:47" x14ac:dyDescent="0.2">
      <c r="A65" s="23">
        <v>53</v>
      </c>
      <c r="B65" s="24" t="s">
        <v>151</v>
      </c>
      <c r="C65" s="25" t="s">
        <v>152</v>
      </c>
      <c r="D65" s="24" t="s">
        <v>153</v>
      </c>
      <c r="E65" s="26" t="s">
        <v>154</v>
      </c>
      <c r="F65" s="26" t="s">
        <v>34</v>
      </c>
      <c r="G65" s="62">
        <v>20</v>
      </c>
      <c r="H65" s="27">
        <v>20</v>
      </c>
      <c r="I65" s="28">
        <v>0.18</v>
      </c>
      <c r="J65" s="29">
        <v>9807</v>
      </c>
      <c r="K65" s="30">
        <f t="shared" si="66"/>
        <v>1765.26</v>
      </c>
      <c r="L65" s="31">
        <f t="shared" si="67"/>
        <v>8041.74</v>
      </c>
      <c r="M65" s="31">
        <f t="shared" si="68"/>
        <v>8311.02</v>
      </c>
      <c r="N65" s="31">
        <v>7661.72</v>
      </c>
      <c r="O65" s="32">
        <f t="shared" si="69"/>
        <v>1379.11</v>
      </c>
      <c r="P65" s="32">
        <f t="shared" si="70"/>
        <v>6282.6100000000006</v>
      </c>
      <c r="Q65" s="32">
        <f t="shared" si="71"/>
        <v>125652.20000000001</v>
      </c>
      <c r="R65" s="33">
        <v>107.5</v>
      </c>
      <c r="S65" s="32">
        <f>ROUNDUP(R65*H65,0)</f>
        <v>2150</v>
      </c>
      <c r="T65" s="34">
        <v>7043.59</v>
      </c>
      <c r="U65" s="32">
        <f t="shared" si="72"/>
        <v>140871.79999999999</v>
      </c>
      <c r="V65" s="32">
        <f t="shared" si="73"/>
        <v>172000</v>
      </c>
      <c r="W65" s="32">
        <f t="shared" si="74"/>
        <v>31128.200000000012</v>
      </c>
      <c r="X65" s="24"/>
      <c r="Y65" s="91">
        <f t="shared" si="42"/>
        <v>20</v>
      </c>
      <c r="Z65" s="53">
        <f t="shared" si="43"/>
        <v>0</v>
      </c>
      <c r="AA65" s="53">
        <f t="shared" si="27"/>
        <v>140871.79999999999</v>
      </c>
      <c r="AB65" s="53">
        <f t="shared" si="28"/>
        <v>0</v>
      </c>
      <c r="AC65" s="53">
        <f t="shared" si="44"/>
        <v>2150</v>
      </c>
      <c r="AD65" s="53">
        <f t="shared" si="45"/>
        <v>0</v>
      </c>
      <c r="AE65" s="53">
        <f t="shared" si="46"/>
        <v>34353.199999999997</v>
      </c>
      <c r="AF65" s="33"/>
      <c r="AG65" s="80">
        <f t="shared" si="47"/>
        <v>0</v>
      </c>
      <c r="AH65" s="80">
        <f t="shared" si="48"/>
        <v>0</v>
      </c>
      <c r="AI65" s="81">
        <f t="shared" si="49"/>
        <v>0</v>
      </c>
      <c r="AJ65" s="33">
        <v>8</v>
      </c>
      <c r="AK65" s="80">
        <f t="shared" si="50"/>
        <v>56348.72</v>
      </c>
      <c r="AL65" s="84">
        <f t="shared" si="51"/>
        <v>860</v>
      </c>
      <c r="AM65" s="81">
        <f t="shared" si="52"/>
        <v>13741.279999999999</v>
      </c>
      <c r="AN65" s="90">
        <v>4</v>
      </c>
      <c r="AO65" s="102">
        <f t="shared" si="53"/>
        <v>28174.36</v>
      </c>
      <c r="AP65" s="84">
        <f t="shared" si="54"/>
        <v>430</v>
      </c>
      <c r="AQ65" s="81">
        <f t="shared" si="55"/>
        <v>6870.6399999999994</v>
      </c>
      <c r="AR65" s="121">
        <v>8</v>
      </c>
      <c r="AS65" s="102">
        <f t="shared" si="29"/>
        <v>56348.72</v>
      </c>
      <c r="AT65" s="84">
        <f t="shared" si="30"/>
        <v>860</v>
      </c>
      <c r="AU65" s="81">
        <f t="shared" si="31"/>
        <v>13741.279999999999</v>
      </c>
    </row>
    <row r="66" spans="1:47" x14ac:dyDescent="0.2">
      <c r="A66" s="23">
        <v>54</v>
      </c>
      <c r="B66" s="24" t="s">
        <v>151</v>
      </c>
      <c r="C66" s="25" t="s">
        <v>155</v>
      </c>
      <c r="D66" s="24" t="s">
        <v>156</v>
      </c>
      <c r="E66" s="26" t="s">
        <v>157</v>
      </c>
      <c r="F66" s="26" t="s">
        <v>34</v>
      </c>
      <c r="G66" s="62">
        <v>20</v>
      </c>
      <c r="H66" s="27">
        <v>20</v>
      </c>
      <c r="I66" s="28">
        <v>0.18</v>
      </c>
      <c r="J66" s="29">
        <v>9807</v>
      </c>
      <c r="K66" s="30">
        <f t="shared" si="66"/>
        <v>1765.26</v>
      </c>
      <c r="L66" s="31">
        <f t="shared" si="67"/>
        <v>8041.74</v>
      </c>
      <c r="M66" s="31">
        <f t="shared" si="68"/>
        <v>8311.02</v>
      </c>
      <c r="N66" s="31">
        <v>7661.72</v>
      </c>
      <c r="O66" s="32">
        <f t="shared" si="69"/>
        <v>1379.11</v>
      </c>
      <c r="P66" s="32">
        <f t="shared" si="70"/>
        <v>6282.6100000000006</v>
      </c>
      <c r="Q66" s="32">
        <f t="shared" si="71"/>
        <v>125652.20000000001</v>
      </c>
      <c r="R66" s="33">
        <v>107.5</v>
      </c>
      <c r="S66" s="32">
        <f>ROUNDUP(R66*H66,0)</f>
        <v>2150</v>
      </c>
      <c r="T66" s="34">
        <v>7043.59</v>
      </c>
      <c r="U66" s="32">
        <f t="shared" si="72"/>
        <v>140871.79999999999</v>
      </c>
      <c r="V66" s="32">
        <f t="shared" si="73"/>
        <v>172000</v>
      </c>
      <c r="W66" s="32">
        <f t="shared" si="74"/>
        <v>31128.200000000012</v>
      </c>
      <c r="X66" s="24"/>
      <c r="Y66" s="91">
        <f t="shared" si="42"/>
        <v>20</v>
      </c>
      <c r="Z66" s="53">
        <f t="shared" si="43"/>
        <v>0</v>
      </c>
      <c r="AA66" s="53">
        <f t="shared" si="27"/>
        <v>140871.79999999999</v>
      </c>
      <c r="AB66" s="53">
        <f t="shared" si="28"/>
        <v>0</v>
      </c>
      <c r="AC66" s="53">
        <f t="shared" si="44"/>
        <v>2150</v>
      </c>
      <c r="AD66" s="53">
        <f t="shared" si="45"/>
        <v>0</v>
      </c>
      <c r="AE66" s="53">
        <f t="shared" si="46"/>
        <v>34353.199999999997</v>
      </c>
      <c r="AF66" s="33"/>
      <c r="AG66" s="80">
        <f t="shared" si="47"/>
        <v>0</v>
      </c>
      <c r="AH66" s="80">
        <f t="shared" si="48"/>
        <v>0</v>
      </c>
      <c r="AI66" s="81">
        <f t="shared" si="49"/>
        <v>0</v>
      </c>
      <c r="AJ66" s="33">
        <v>8</v>
      </c>
      <c r="AK66" s="80">
        <f t="shared" si="50"/>
        <v>56348.72</v>
      </c>
      <c r="AL66" s="84">
        <f t="shared" si="51"/>
        <v>860</v>
      </c>
      <c r="AM66" s="81">
        <f t="shared" si="52"/>
        <v>13741.279999999999</v>
      </c>
      <c r="AN66" s="90">
        <v>4</v>
      </c>
      <c r="AO66" s="102">
        <f t="shared" si="53"/>
        <v>28174.36</v>
      </c>
      <c r="AP66" s="84">
        <f t="shared" si="54"/>
        <v>430</v>
      </c>
      <c r="AQ66" s="81">
        <f t="shared" si="55"/>
        <v>6870.6399999999994</v>
      </c>
      <c r="AR66" s="121">
        <v>8</v>
      </c>
      <c r="AS66" s="102">
        <f t="shared" si="29"/>
        <v>56348.72</v>
      </c>
      <c r="AT66" s="84">
        <f t="shared" si="30"/>
        <v>860</v>
      </c>
      <c r="AU66" s="81">
        <f t="shared" si="31"/>
        <v>13741.279999999999</v>
      </c>
    </row>
    <row r="67" spans="1:47" x14ac:dyDescent="0.2">
      <c r="A67" s="23">
        <v>57</v>
      </c>
      <c r="B67" s="24" t="s">
        <v>151</v>
      </c>
      <c r="C67" s="25" t="s">
        <v>160</v>
      </c>
      <c r="D67" s="24" t="s">
        <v>161</v>
      </c>
      <c r="E67" s="26" t="s">
        <v>157</v>
      </c>
      <c r="F67" s="26" t="s">
        <v>34</v>
      </c>
      <c r="G67" s="62">
        <v>20</v>
      </c>
      <c r="H67" s="27">
        <v>20</v>
      </c>
      <c r="I67" s="28">
        <v>0.18</v>
      </c>
      <c r="J67" s="29">
        <v>1336</v>
      </c>
      <c r="K67" s="30">
        <f t="shared" si="66"/>
        <v>240.48</v>
      </c>
      <c r="L67" s="31">
        <f t="shared" si="67"/>
        <v>1095.52</v>
      </c>
      <c r="M67" s="31">
        <f t="shared" si="68"/>
        <v>1132.21</v>
      </c>
      <c r="N67" s="31">
        <v>1132.2</v>
      </c>
      <c r="O67" s="32">
        <f t="shared" si="69"/>
        <v>203.79999999999998</v>
      </c>
      <c r="P67" s="32">
        <f t="shared" si="70"/>
        <v>928.40000000000009</v>
      </c>
      <c r="Q67" s="32">
        <f t="shared" si="71"/>
        <v>18568</v>
      </c>
      <c r="R67" s="33">
        <v>14.51</v>
      </c>
      <c r="S67" s="32">
        <f>ROUND(R67*H67,0)</f>
        <v>290</v>
      </c>
      <c r="T67" s="34">
        <v>959.54</v>
      </c>
      <c r="U67" s="32">
        <f t="shared" si="72"/>
        <v>19190.8</v>
      </c>
      <c r="V67" s="32">
        <f t="shared" si="73"/>
        <v>23200</v>
      </c>
      <c r="W67" s="32">
        <f t="shared" si="74"/>
        <v>4009.2000000000007</v>
      </c>
      <c r="X67" s="24"/>
      <c r="Y67" s="91">
        <f t="shared" si="42"/>
        <v>20</v>
      </c>
      <c r="Z67" s="53">
        <f t="shared" si="43"/>
        <v>0</v>
      </c>
      <c r="AA67" s="53">
        <f t="shared" si="27"/>
        <v>19190.8</v>
      </c>
      <c r="AB67" s="53">
        <f t="shared" si="28"/>
        <v>0</v>
      </c>
      <c r="AC67" s="53">
        <f t="shared" si="44"/>
        <v>290.2</v>
      </c>
      <c r="AD67" s="53">
        <f t="shared" si="45"/>
        <v>-0.19999999999998863</v>
      </c>
      <c r="AE67" s="53">
        <f t="shared" si="46"/>
        <v>4460.5000000000018</v>
      </c>
      <c r="AF67" s="33"/>
      <c r="AG67" s="80">
        <f t="shared" si="47"/>
        <v>0</v>
      </c>
      <c r="AH67" s="80">
        <f t="shared" si="48"/>
        <v>0</v>
      </c>
      <c r="AI67" s="81">
        <f t="shared" si="49"/>
        <v>0</v>
      </c>
      <c r="AJ67" s="33">
        <f>4+4</f>
        <v>8</v>
      </c>
      <c r="AK67" s="80">
        <f t="shared" si="50"/>
        <v>7676.32</v>
      </c>
      <c r="AL67" s="84">
        <f t="shared" si="51"/>
        <v>116.08</v>
      </c>
      <c r="AM67" s="81">
        <f t="shared" si="52"/>
        <v>1784.2000000000007</v>
      </c>
      <c r="AN67" s="90"/>
      <c r="AO67" s="102">
        <f t="shared" si="53"/>
        <v>0</v>
      </c>
      <c r="AP67" s="84">
        <f t="shared" si="54"/>
        <v>0</v>
      </c>
      <c r="AQ67" s="81">
        <f t="shared" si="55"/>
        <v>0</v>
      </c>
      <c r="AR67" s="121">
        <f>4+8</f>
        <v>12</v>
      </c>
      <c r="AS67" s="102">
        <f t="shared" si="29"/>
        <v>11514.48</v>
      </c>
      <c r="AT67" s="84">
        <f t="shared" si="30"/>
        <v>174.12</v>
      </c>
      <c r="AU67" s="81">
        <f t="shared" si="31"/>
        <v>2676.3000000000011</v>
      </c>
    </row>
    <row r="68" spans="1:47" x14ac:dyDescent="0.2">
      <c r="A68" s="23">
        <v>58</v>
      </c>
      <c r="B68" s="24" t="s">
        <v>151</v>
      </c>
      <c r="C68" s="25" t="s">
        <v>162</v>
      </c>
      <c r="D68" s="24" t="s">
        <v>163</v>
      </c>
      <c r="E68" s="26" t="s">
        <v>154</v>
      </c>
      <c r="F68" s="26" t="s">
        <v>34</v>
      </c>
      <c r="G68" s="62">
        <v>20</v>
      </c>
      <c r="H68" s="27">
        <v>20</v>
      </c>
      <c r="I68" s="28">
        <v>0.18</v>
      </c>
      <c r="J68" s="29">
        <v>1336</v>
      </c>
      <c r="K68" s="30">
        <f t="shared" si="66"/>
        <v>240.48</v>
      </c>
      <c r="L68" s="31">
        <f t="shared" si="67"/>
        <v>1095.52</v>
      </c>
      <c r="M68" s="31">
        <f t="shared" si="68"/>
        <v>1132.21</v>
      </c>
      <c r="N68" s="31">
        <v>1132.2</v>
      </c>
      <c r="O68" s="32">
        <f t="shared" si="69"/>
        <v>203.79999999999998</v>
      </c>
      <c r="P68" s="32">
        <f t="shared" si="70"/>
        <v>928.40000000000009</v>
      </c>
      <c r="Q68" s="32">
        <f t="shared" si="71"/>
        <v>18568</v>
      </c>
      <c r="R68" s="33">
        <v>14.51</v>
      </c>
      <c r="S68" s="32">
        <f>ROUND(R68*H68,0)</f>
        <v>290</v>
      </c>
      <c r="T68" s="34">
        <v>959.54</v>
      </c>
      <c r="U68" s="32">
        <f t="shared" si="72"/>
        <v>19190.8</v>
      </c>
      <c r="V68" s="32">
        <f t="shared" si="73"/>
        <v>23200</v>
      </c>
      <c r="W68" s="32">
        <f t="shared" si="74"/>
        <v>4009.2000000000007</v>
      </c>
      <c r="X68" s="24"/>
      <c r="Y68" s="91">
        <f t="shared" ref="Y68:Y74" si="76">AF68+AJ68+AN68+AR68</f>
        <v>20</v>
      </c>
      <c r="Z68" s="53">
        <f t="shared" ref="Z68:Z74" si="77">H68-Y68</f>
        <v>0</v>
      </c>
      <c r="AA68" s="53">
        <f t="shared" si="27"/>
        <v>19190.8</v>
      </c>
      <c r="AB68" s="53">
        <f t="shared" si="28"/>
        <v>0</v>
      </c>
      <c r="AC68" s="53">
        <f t="shared" ref="AC68:AC74" si="78">AH68+AL68+AP68+AT68</f>
        <v>290.2</v>
      </c>
      <c r="AD68" s="53">
        <f t="shared" ref="AD68:AD74" si="79">S68-AC68</f>
        <v>-0.19999999999998863</v>
      </c>
      <c r="AE68" s="53">
        <f t="shared" ref="AE68:AE74" si="80">AI68+AM68+AQ68+AU68</f>
        <v>4460.5000000000018</v>
      </c>
      <c r="AF68" s="33"/>
      <c r="AG68" s="80">
        <f t="shared" ref="AG68:AG74" si="81">$T68*AF68</f>
        <v>0</v>
      </c>
      <c r="AH68" s="80">
        <f t="shared" ref="AH68:AH74" si="82">AF68*$R68</f>
        <v>0</v>
      </c>
      <c r="AI68" s="81">
        <f t="shared" ref="AI68:AI74" si="83">(81.5*AH68)-AG68</f>
        <v>0</v>
      </c>
      <c r="AJ68" s="33">
        <f>4</f>
        <v>4</v>
      </c>
      <c r="AK68" s="80">
        <f t="shared" ref="AK68:AK74" si="84">$T68*AJ68</f>
        <v>3838.16</v>
      </c>
      <c r="AL68" s="84">
        <f t="shared" ref="AL68:AL74" si="85">AJ68*$R68</f>
        <v>58.04</v>
      </c>
      <c r="AM68" s="81">
        <f t="shared" ref="AM68:AM74" si="86">(81.5*AL68)-AK68</f>
        <v>892.10000000000036</v>
      </c>
      <c r="AN68" s="90">
        <v>4</v>
      </c>
      <c r="AO68" s="102">
        <f t="shared" ref="AO68:AO74" si="87">$T68*AN68</f>
        <v>3838.16</v>
      </c>
      <c r="AP68" s="84">
        <f t="shared" ref="AP68:AP74" si="88">AN68*$R68</f>
        <v>58.04</v>
      </c>
      <c r="AQ68" s="81">
        <f t="shared" ref="AQ68:AQ74" si="89">(81.5*AP68)-AO68</f>
        <v>892.10000000000036</v>
      </c>
      <c r="AR68" s="121">
        <v>12</v>
      </c>
      <c r="AS68" s="102">
        <f t="shared" si="29"/>
        <v>11514.48</v>
      </c>
      <c r="AT68" s="84">
        <f t="shared" si="30"/>
        <v>174.12</v>
      </c>
      <c r="AU68" s="81">
        <f t="shared" si="31"/>
        <v>2676.3000000000011</v>
      </c>
    </row>
    <row r="69" spans="1:47" x14ac:dyDescent="0.2">
      <c r="A69" s="23">
        <v>56</v>
      </c>
      <c r="B69" s="24" t="s">
        <v>151</v>
      </c>
      <c r="C69" s="25" t="s">
        <v>158</v>
      </c>
      <c r="D69" s="24" t="s">
        <v>159</v>
      </c>
      <c r="E69" s="26" t="s">
        <v>154</v>
      </c>
      <c r="F69" s="26" t="s">
        <v>34</v>
      </c>
      <c r="G69" s="62">
        <v>50</v>
      </c>
      <c r="H69" s="27">
        <v>50</v>
      </c>
      <c r="I69" s="28">
        <v>0.18</v>
      </c>
      <c r="J69" s="29">
        <v>795</v>
      </c>
      <c r="K69" s="30">
        <f t="shared" si="66"/>
        <v>143.1</v>
      </c>
      <c r="L69" s="31">
        <f t="shared" si="67"/>
        <v>651.9</v>
      </c>
      <c r="M69" s="31">
        <f t="shared" si="68"/>
        <v>673.73</v>
      </c>
      <c r="N69" s="31">
        <v>673.73</v>
      </c>
      <c r="O69" s="32">
        <f t="shared" si="69"/>
        <v>121.28</v>
      </c>
      <c r="P69" s="32">
        <f t="shared" si="70"/>
        <v>552.45000000000005</v>
      </c>
      <c r="Q69" s="32">
        <f t="shared" si="71"/>
        <v>27622.500000000004</v>
      </c>
      <c r="R69" s="33">
        <v>8.64</v>
      </c>
      <c r="S69" s="32">
        <f>ROUNDUP(R69*H69,0)</f>
        <v>432</v>
      </c>
      <c r="T69" s="34">
        <v>570.99</v>
      </c>
      <c r="U69" s="32">
        <f t="shared" si="72"/>
        <v>28549.5</v>
      </c>
      <c r="V69" s="32">
        <f t="shared" si="73"/>
        <v>34560</v>
      </c>
      <c r="W69" s="32">
        <f t="shared" si="74"/>
        <v>6010.5</v>
      </c>
      <c r="X69" s="24"/>
      <c r="Y69" s="91">
        <f t="shared" si="76"/>
        <v>50</v>
      </c>
      <c r="Z69" s="53">
        <f t="shared" si="77"/>
        <v>0</v>
      </c>
      <c r="AA69" s="53">
        <f t="shared" ref="AA69:AA74" si="90">AG69+AK69+AO69+AS69+AW69</f>
        <v>28549.5</v>
      </c>
      <c r="AB69" s="53">
        <f t="shared" ref="AB69:AB74" si="91">U69-AA69</f>
        <v>0</v>
      </c>
      <c r="AC69" s="53">
        <f t="shared" si="78"/>
        <v>432</v>
      </c>
      <c r="AD69" s="53">
        <f t="shared" si="79"/>
        <v>0</v>
      </c>
      <c r="AE69" s="53">
        <f t="shared" si="80"/>
        <v>6658.5000000000036</v>
      </c>
      <c r="AF69" s="33"/>
      <c r="AG69" s="80">
        <f t="shared" si="81"/>
        <v>0</v>
      </c>
      <c r="AH69" s="80">
        <f t="shared" si="82"/>
        <v>0</v>
      </c>
      <c r="AI69" s="81">
        <f t="shared" si="83"/>
        <v>0</v>
      </c>
      <c r="AJ69" s="33">
        <f>9+10</f>
        <v>19</v>
      </c>
      <c r="AK69" s="80">
        <f t="shared" si="84"/>
        <v>10848.81</v>
      </c>
      <c r="AL69" s="84">
        <f t="shared" si="85"/>
        <v>164.16000000000003</v>
      </c>
      <c r="AM69" s="81">
        <f t="shared" si="86"/>
        <v>2530.2300000000032</v>
      </c>
      <c r="AN69" s="90">
        <v>10</v>
      </c>
      <c r="AO69" s="102">
        <f t="shared" si="87"/>
        <v>5709.9</v>
      </c>
      <c r="AP69" s="84">
        <f t="shared" si="88"/>
        <v>86.4</v>
      </c>
      <c r="AQ69" s="81">
        <f t="shared" si="89"/>
        <v>1331.7000000000007</v>
      </c>
      <c r="AR69" s="121">
        <f>12+9</f>
        <v>21</v>
      </c>
      <c r="AS69" s="102">
        <f t="shared" ref="AS69:AS74" si="92">$T69*AR69</f>
        <v>11990.79</v>
      </c>
      <c r="AT69" s="84">
        <f t="shared" ref="AT69:AT74" si="93">AR69*$R69</f>
        <v>181.44</v>
      </c>
      <c r="AU69" s="81">
        <f t="shared" ref="AU69:AU74" si="94">(81.5*AT69)-AS69</f>
        <v>2796.5699999999997</v>
      </c>
    </row>
    <row r="70" spans="1:47" ht="27" x14ac:dyDescent="0.2">
      <c r="A70" s="23">
        <v>60</v>
      </c>
      <c r="B70" s="24" t="s">
        <v>164</v>
      </c>
      <c r="C70" s="25" t="s">
        <v>251</v>
      </c>
      <c r="D70" s="24" t="s">
        <v>252</v>
      </c>
      <c r="E70" s="26" t="s">
        <v>33</v>
      </c>
      <c r="F70" s="26" t="s">
        <v>34</v>
      </c>
      <c r="G70" s="62">
        <v>30</v>
      </c>
      <c r="H70" s="27">
        <v>30</v>
      </c>
      <c r="I70" s="28">
        <v>0.18</v>
      </c>
      <c r="J70" s="29">
        <v>1004</v>
      </c>
      <c r="K70" s="30">
        <f t="shared" si="66"/>
        <v>180.72</v>
      </c>
      <c r="L70" s="31">
        <f t="shared" si="67"/>
        <v>823.28</v>
      </c>
      <c r="M70" s="31">
        <f t="shared" si="68"/>
        <v>850.85</v>
      </c>
      <c r="N70" s="31">
        <f>M70</f>
        <v>850.85</v>
      </c>
      <c r="O70" s="32">
        <f t="shared" si="69"/>
        <v>153.16</v>
      </c>
      <c r="P70" s="32">
        <f t="shared" si="70"/>
        <v>697.69</v>
      </c>
      <c r="Q70" s="32">
        <f t="shared" si="71"/>
        <v>20930.7</v>
      </c>
      <c r="R70" s="33">
        <v>20.149999999999999</v>
      </c>
      <c r="S70" s="32">
        <f>ROUNDDOWN(R70*H70,2)</f>
        <v>604.5</v>
      </c>
      <c r="T70" s="34">
        <v>697.68</v>
      </c>
      <c r="U70" s="32">
        <f t="shared" si="72"/>
        <v>20930.399999999998</v>
      </c>
      <c r="V70" s="32">
        <f t="shared" si="73"/>
        <v>48360</v>
      </c>
      <c r="W70" s="32">
        <f t="shared" si="74"/>
        <v>27429.600000000002</v>
      </c>
      <c r="X70" s="24"/>
      <c r="Y70" s="91">
        <f t="shared" si="76"/>
        <v>30</v>
      </c>
      <c r="Z70" s="53">
        <f t="shared" si="77"/>
        <v>0</v>
      </c>
      <c r="AA70" s="53">
        <f t="shared" si="90"/>
        <v>20930.399999999998</v>
      </c>
      <c r="AB70" s="53">
        <f t="shared" si="91"/>
        <v>0</v>
      </c>
      <c r="AC70" s="53">
        <f t="shared" si="78"/>
        <v>604.5</v>
      </c>
      <c r="AD70" s="53">
        <f t="shared" si="79"/>
        <v>0</v>
      </c>
      <c r="AE70" s="53">
        <f t="shared" si="80"/>
        <v>28336.350000000002</v>
      </c>
      <c r="AF70" s="33"/>
      <c r="AG70" s="80">
        <f t="shared" si="81"/>
        <v>0</v>
      </c>
      <c r="AH70" s="80">
        <f t="shared" si="82"/>
        <v>0</v>
      </c>
      <c r="AI70" s="81">
        <f t="shared" si="83"/>
        <v>0</v>
      </c>
      <c r="AJ70" s="33">
        <v>0</v>
      </c>
      <c r="AK70" s="80">
        <f t="shared" si="84"/>
        <v>0</v>
      </c>
      <c r="AL70" s="84">
        <f t="shared" si="85"/>
        <v>0</v>
      </c>
      <c r="AM70" s="81">
        <f t="shared" si="86"/>
        <v>0</v>
      </c>
      <c r="AN70" s="90">
        <v>10</v>
      </c>
      <c r="AO70" s="102">
        <f t="shared" si="87"/>
        <v>6976.7999999999993</v>
      </c>
      <c r="AP70" s="84">
        <f t="shared" si="88"/>
        <v>201.5</v>
      </c>
      <c r="AQ70" s="81">
        <f t="shared" si="89"/>
        <v>9445.4500000000007</v>
      </c>
      <c r="AR70" s="121">
        <v>20</v>
      </c>
      <c r="AS70" s="102">
        <f t="shared" si="92"/>
        <v>13953.599999999999</v>
      </c>
      <c r="AT70" s="84">
        <f t="shared" si="93"/>
        <v>403</v>
      </c>
      <c r="AU70" s="81">
        <f t="shared" si="94"/>
        <v>18890.900000000001</v>
      </c>
    </row>
    <row r="71" spans="1:47" ht="27.75" thickBot="1" x14ac:dyDescent="0.25">
      <c r="A71" s="23">
        <v>16</v>
      </c>
      <c r="B71" s="24" t="s">
        <v>43</v>
      </c>
      <c r="C71" s="37" t="s">
        <v>69</v>
      </c>
      <c r="D71" s="24" t="s">
        <v>70</v>
      </c>
      <c r="E71" s="26" t="s">
        <v>71</v>
      </c>
      <c r="F71" s="26" t="s">
        <v>34</v>
      </c>
      <c r="G71" s="62">
        <v>50</v>
      </c>
      <c r="H71" s="27">
        <v>50</v>
      </c>
      <c r="I71" s="28">
        <v>0.18</v>
      </c>
      <c r="J71" s="29">
        <v>33</v>
      </c>
      <c r="K71" s="30">
        <f t="shared" si="66"/>
        <v>5.9399999999999995</v>
      </c>
      <c r="L71" s="31">
        <f t="shared" si="67"/>
        <v>27.060000000000002</v>
      </c>
      <c r="M71" s="31">
        <f t="shared" si="68"/>
        <v>27.970000000000002</v>
      </c>
      <c r="N71" s="31">
        <v>27.97</v>
      </c>
      <c r="O71" s="32">
        <f t="shared" si="69"/>
        <v>5.04</v>
      </c>
      <c r="P71" s="32">
        <f t="shared" si="70"/>
        <v>22.93</v>
      </c>
      <c r="Q71" s="32">
        <f t="shared" si="71"/>
        <v>1146.5</v>
      </c>
      <c r="R71" s="33">
        <v>0.36</v>
      </c>
      <c r="S71" s="32">
        <f>R71*H71</f>
        <v>18</v>
      </c>
      <c r="T71" s="34">
        <v>23.7</v>
      </c>
      <c r="U71" s="32">
        <f t="shared" si="72"/>
        <v>1185</v>
      </c>
      <c r="V71" s="32">
        <f t="shared" si="73"/>
        <v>1440</v>
      </c>
      <c r="W71" s="32">
        <f t="shared" si="74"/>
        <v>255</v>
      </c>
      <c r="X71" s="24"/>
      <c r="Y71" s="91">
        <f t="shared" si="76"/>
        <v>50</v>
      </c>
      <c r="Z71" s="53">
        <f t="shared" si="77"/>
        <v>0</v>
      </c>
      <c r="AA71" s="53">
        <f t="shared" si="90"/>
        <v>1185</v>
      </c>
      <c r="AB71" s="53">
        <f t="shared" si="91"/>
        <v>0</v>
      </c>
      <c r="AC71" s="53">
        <f t="shared" si="78"/>
        <v>18</v>
      </c>
      <c r="AD71" s="53">
        <f t="shared" si="79"/>
        <v>0</v>
      </c>
      <c r="AE71" s="53">
        <f t="shared" si="80"/>
        <v>281.99999999999989</v>
      </c>
      <c r="AF71" s="33">
        <v>20</v>
      </c>
      <c r="AG71" s="80">
        <f t="shared" si="81"/>
        <v>474</v>
      </c>
      <c r="AH71" s="80">
        <f t="shared" si="82"/>
        <v>7.1999999999999993</v>
      </c>
      <c r="AI71" s="81">
        <f t="shared" si="83"/>
        <v>112.79999999999995</v>
      </c>
      <c r="AJ71" s="33"/>
      <c r="AK71" s="80">
        <f t="shared" si="84"/>
        <v>0</v>
      </c>
      <c r="AL71" s="85">
        <f t="shared" si="85"/>
        <v>0</v>
      </c>
      <c r="AM71" s="82">
        <f t="shared" si="86"/>
        <v>0</v>
      </c>
      <c r="AN71" s="90">
        <v>30</v>
      </c>
      <c r="AO71" s="102">
        <f t="shared" si="87"/>
        <v>711</v>
      </c>
      <c r="AP71" s="84">
        <f t="shared" si="88"/>
        <v>10.799999999999999</v>
      </c>
      <c r="AQ71" s="81">
        <f t="shared" si="89"/>
        <v>169.19999999999993</v>
      </c>
      <c r="AR71" s="90"/>
      <c r="AS71" s="102">
        <f t="shared" si="92"/>
        <v>0</v>
      </c>
      <c r="AT71" s="84">
        <f t="shared" si="93"/>
        <v>0</v>
      </c>
      <c r="AU71" s="81">
        <f t="shared" si="94"/>
        <v>0</v>
      </c>
    </row>
    <row r="72" spans="1:47" ht="14.25" thickTop="1" x14ac:dyDescent="0.2">
      <c r="A72" s="23">
        <v>85</v>
      </c>
      <c r="B72" s="24" t="s">
        <v>212</v>
      </c>
      <c r="C72" s="49" t="s">
        <v>215</v>
      </c>
      <c r="D72" s="24" t="s">
        <v>216</v>
      </c>
      <c r="E72" s="42" t="s">
        <v>217</v>
      </c>
      <c r="F72" s="42" t="s">
        <v>175</v>
      </c>
      <c r="G72" s="63">
        <v>50</v>
      </c>
      <c r="H72" s="43">
        <v>50</v>
      </c>
      <c r="I72" s="44" t="s">
        <v>176</v>
      </c>
      <c r="J72" s="34">
        <v>65</v>
      </c>
      <c r="K72" s="30">
        <f t="shared" si="66"/>
        <v>11.7</v>
      </c>
      <c r="L72" s="31">
        <f t="shared" si="67"/>
        <v>53.3</v>
      </c>
      <c r="M72" s="31">
        <f t="shared" si="68"/>
        <v>55.089999999999996</v>
      </c>
      <c r="N72" s="31">
        <f>1377.12/25</f>
        <v>55.084799999999994</v>
      </c>
      <c r="O72" s="32">
        <f t="shared" si="69"/>
        <v>9.92</v>
      </c>
      <c r="P72" s="32">
        <f t="shared" si="70"/>
        <v>45.164799999999993</v>
      </c>
      <c r="Q72" s="32">
        <f t="shared" si="71"/>
        <v>2258.2399999999998</v>
      </c>
      <c r="R72" s="33">
        <v>0.84</v>
      </c>
      <c r="S72" s="32">
        <f>ROUNDUP(R72*H72,0)</f>
        <v>42</v>
      </c>
      <c r="T72" s="34">
        <v>43.6708</v>
      </c>
      <c r="U72" s="32">
        <f t="shared" si="72"/>
        <v>2183.54</v>
      </c>
      <c r="V72" s="32">
        <f t="shared" si="73"/>
        <v>3360</v>
      </c>
      <c r="W72" s="32">
        <f t="shared" si="74"/>
        <v>1176.46</v>
      </c>
      <c r="X72" s="24"/>
      <c r="Y72" s="91">
        <f t="shared" si="76"/>
        <v>50</v>
      </c>
      <c r="Z72" s="53">
        <f t="shared" si="77"/>
        <v>0</v>
      </c>
      <c r="AA72" s="53">
        <f t="shared" si="90"/>
        <v>2183.54</v>
      </c>
      <c r="AB72" s="53">
        <f t="shared" si="91"/>
        <v>0</v>
      </c>
      <c r="AC72" s="53">
        <f t="shared" si="78"/>
        <v>42</v>
      </c>
      <c r="AD72" s="53">
        <f t="shared" si="79"/>
        <v>0</v>
      </c>
      <c r="AE72" s="53">
        <f t="shared" si="80"/>
        <v>1239.46</v>
      </c>
      <c r="AF72" s="33"/>
      <c r="AG72" s="80">
        <f t="shared" si="81"/>
        <v>0</v>
      </c>
      <c r="AH72" s="80">
        <f t="shared" si="82"/>
        <v>0</v>
      </c>
      <c r="AI72" s="81">
        <f t="shared" si="83"/>
        <v>0</v>
      </c>
      <c r="AJ72" s="33"/>
      <c r="AK72" s="80">
        <f t="shared" si="84"/>
        <v>0</v>
      </c>
      <c r="AL72" s="73">
        <f t="shared" si="85"/>
        <v>0</v>
      </c>
      <c r="AM72" s="60">
        <f t="shared" si="86"/>
        <v>0</v>
      </c>
      <c r="AN72" s="90">
        <v>50</v>
      </c>
      <c r="AO72" s="102">
        <f t="shared" si="87"/>
        <v>2183.54</v>
      </c>
      <c r="AP72" s="84">
        <f t="shared" si="88"/>
        <v>42</v>
      </c>
      <c r="AQ72" s="81">
        <f t="shared" si="89"/>
        <v>1239.46</v>
      </c>
      <c r="AR72" s="90"/>
      <c r="AS72" s="102">
        <f t="shared" si="92"/>
        <v>0</v>
      </c>
      <c r="AT72" s="84">
        <f t="shared" si="93"/>
        <v>0</v>
      </c>
      <c r="AU72" s="81">
        <f t="shared" si="94"/>
        <v>0</v>
      </c>
    </row>
    <row r="73" spans="1:47" x14ac:dyDescent="0.2">
      <c r="A73" s="23">
        <v>84</v>
      </c>
      <c r="B73" s="24" t="s">
        <v>212</v>
      </c>
      <c r="C73" s="49" t="s">
        <v>213</v>
      </c>
      <c r="D73" s="24" t="s">
        <v>214</v>
      </c>
      <c r="E73" s="42" t="s">
        <v>119</v>
      </c>
      <c r="F73" s="42" t="s">
        <v>175</v>
      </c>
      <c r="G73" s="63">
        <v>50</v>
      </c>
      <c r="H73" s="43">
        <v>50</v>
      </c>
      <c r="I73" s="44" t="s">
        <v>176</v>
      </c>
      <c r="J73" s="34">
        <v>63</v>
      </c>
      <c r="K73" s="30">
        <f t="shared" si="66"/>
        <v>11.34</v>
      </c>
      <c r="L73" s="31">
        <f t="shared" si="67"/>
        <v>51.66</v>
      </c>
      <c r="M73" s="31">
        <f t="shared" si="68"/>
        <v>53.39</v>
      </c>
      <c r="N73" s="31">
        <f>1334.75/25</f>
        <v>53.39</v>
      </c>
      <c r="O73" s="32">
        <f t="shared" si="69"/>
        <v>9.6199999999999992</v>
      </c>
      <c r="P73" s="32">
        <f t="shared" si="70"/>
        <v>43.77</v>
      </c>
      <c r="Q73" s="32">
        <f t="shared" si="71"/>
        <v>2188.5</v>
      </c>
      <c r="R73" s="33">
        <v>0.82</v>
      </c>
      <c r="S73" s="32">
        <f>ROUNDUP(R73*H73,0)</f>
        <v>41</v>
      </c>
      <c r="T73" s="34">
        <v>42.329000000000001</v>
      </c>
      <c r="U73" s="32">
        <f t="shared" si="72"/>
        <v>2116.4499999999998</v>
      </c>
      <c r="V73" s="32">
        <f t="shared" si="73"/>
        <v>3280</v>
      </c>
      <c r="W73" s="32">
        <f t="shared" si="74"/>
        <v>1163.5500000000002</v>
      </c>
      <c r="X73" s="24"/>
      <c r="Y73" s="91">
        <f t="shared" si="76"/>
        <v>50</v>
      </c>
      <c r="Z73" s="53">
        <f t="shared" si="77"/>
        <v>0</v>
      </c>
      <c r="AA73" s="53">
        <f t="shared" si="90"/>
        <v>2116.4499999999998</v>
      </c>
      <c r="AB73" s="53">
        <f t="shared" si="91"/>
        <v>0</v>
      </c>
      <c r="AC73" s="53">
        <f t="shared" si="78"/>
        <v>41</v>
      </c>
      <c r="AD73" s="53">
        <f t="shared" si="79"/>
        <v>0</v>
      </c>
      <c r="AE73" s="53">
        <f t="shared" si="80"/>
        <v>1225.0500000000002</v>
      </c>
      <c r="AF73" s="33"/>
      <c r="AG73" s="80">
        <f t="shared" si="81"/>
        <v>0</v>
      </c>
      <c r="AH73" s="80">
        <f t="shared" si="82"/>
        <v>0</v>
      </c>
      <c r="AI73" s="81">
        <f t="shared" si="83"/>
        <v>0</v>
      </c>
      <c r="AJ73" s="33">
        <v>25</v>
      </c>
      <c r="AK73" s="80">
        <f t="shared" si="84"/>
        <v>1058.2249999999999</v>
      </c>
      <c r="AL73" s="73">
        <f t="shared" si="85"/>
        <v>20.5</v>
      </c>
      <c r="AM73" s="60">
        <f t="shared" si="86"/>
        <v>612.52500000000009</v>
      </c>
      <c r="AN73" s="90">
        <v>25</v>
      </c>
      <c r="AO73" s="102">
        <f t="shared" si="87"/>
        <v>1058.2249999999999</v>
      </c>
      <c r="AP73" s="84">
        <f t="shared" si="88"/>
        <v>20.5</v>
      </c>
      <c r="AQ73" s="81">
        <f t="shared" si="89"/>
        <v>612.52500000000009</v>
      </c>
      <c r="AR73" s="90"/>
      <c r="AS73" s="102">
        <f t="shared" si="92"/>
        <v>0</v>
      </c>
      <c r="AT73" s="84">
        <f t="shared" si="93"/>
        <v>0</v>
      </c>
      <c r="AU73" s="81">
        <f t="shared" si="94"/>
        <v>0</v>
      </c>
    </row>
    <row r="74" spans="1:47" ht="14.25" thickBot="1" x14ac:dyDescent="0.25">
      <c r="A74" s="23">
        <v>61</v>
      </c>
      <c r="B74" s="24" t="s">
        <v>164</v>
      </c>
      <c r="C74" s="39" t="s">
        <v>169</v>
      </c>
      <c r="D74" s="24" t="s">
        <v>170</v>
      </c>
      <c r="E74" s="26" t="s">
        <v>116</v>
      </c>
      <c r="F74" s="26" t="s">
        <v>34</v>
      </c>
      <c r="G74" s="62">
        <v>100</v>
      </c>
      <c r="H74" s="38">
        <v>100</v>
      </c>
      <c r="I74" s="28">
        <v>0.18</v>
      </c>
      <c r="J74" s="29">
        <v>47</v>
      </c>
      <c r="K74" s="30">
        <f t="shared" si="66"/>
        <v>8.4599999999999991</v>
      </c>
      <c r="L74" s="31">
        <f t="shared" si="67"/>
        <v>38.54</v>
      </c>
      <c r="M74" s="31">
        <f t="shared" si="68"/>
        <v>39.839999999999996</v>
      </c>
      <c r="N74" s="31">
        <v>39.83</v>
      </c>
      <c r="O74" s="32">
        <f t="shared" si="69"/>
        <v>7.17</v>
      </c>
      <c r="P74" s="32">
        <f t="shared" si="70"/>
        <v>32.659999999999997</v>
      </c>
      <c r="Q74" s="32">
        <f t="shared" si="71"/>
        <v>3265.9999999999995</v>
      </c>
      <c r="R74" s="33">
        <v>1</v>
      </c>
      <c r="S74" s="32">
        <f>ROUNDUP(R74*H74,0)</f>
        <v>100</v>
      </c>
      <c r="T74" s="34">
        <v>33.76</v>
      </c>
      <c r="U74" s="32">
        <f t="shared" si="72"/>
        <v>3376</v>
      </c>
      <c r="V74" s="32">
        <f t="shared" si="73"/>
        <v>8000</v>
      </c>
      <c r="W74" s="32">
        <f t="shared" si="74"/>
        <v>4624</v>
      </c>
      <c r="X74" s="24"/>
      <c r="Y74" s="91">
        <f t="shared" si="76"/>
        <v>100</v>
      </c>
      <c r="Z74" s="53">
        <f t="shared" si="77"/>
        <v>0</v>
      </c>
      <c r="AA74" s="53">
        <f t="shared" si="90"/>
        <v>3376</v>
      </c>
      <c r="AB74" s="53">
        <f t="shared" si="91"/>
        <v>0</v>
      </c>
      <c r="AC74" s="53">
        <f t="shared" si="78"/>
        <v>100</v>
      </c>
      <c r="AD74" s="53">
        <f t="shared" si="79"/>
        <v>0</v>
      </c>
      <c r="AE74" s="53">
        <f t="shared" si="80"/>
        <v>4774</v>
      </c>
      <c r="AF74" s="33"/>
      <c r="AG74" s="80">
        <f t="shared" si="81"/>
        <v>0</v>
      </c>
      <c r="AH74" s="80">
        <f t="shared" si="82"/>
        <v>0</v>
      </c>
      <c r="AI74" s="81">
        <f t="shared" si="83"/>
        <v>0</v>
      </c>
      <c r="AJ74" s="33">
        <v>100</v>
      </c>
      <c r="AK74" s="80">
        <f t="shared" si="84"/>
        <v>3376</v>
      </c>
      <c r="AL74" s="74">
        <f t="shared" si="85"/>
        <v>100</v>
      </c>
      <c r="AM74" s="60">
        <f t="shared" si="86"/>
        <v>4774</v>
      </c>
      <c r="AN74" s="90"/>
      <c r="AO74" s="102">
        <f t="shared" si="87"/>
        <v>0</v>
      </c>
      <c r="AP74" s="84">
        <f t="shared" si="88"/>
        <v>0</v>
      </c>
      <c r="AQ74" s="81">
        <f t="shared" si="89"/>
        <v>0</v>
      </c>
      <c r="AR74" s="90"/>
      <c r="AS74" s="102">
        <f t="shared" si="92"/>
        <v>0</v>
      </c>
      <c r="AT74" s="84">
        <f t="shared" si="93"/>
        <v>0</v>
      </c>
      <c r="AU74" s="81">
        <f t="shared" si="94"/>
        <v>0</v>
      </c>
    </row>
    <row r="75" spans="1:47" ht="14.25" thickTop="1" x14ac:dyDescent="0.2">
      <c r="A75" s="35"/>
      <c r="B75" s="35"/>
      <c r="C75" s="35"/>
      <c r="D75" s="35"/>
      <c r="E75" s="35"/>
      <c r="F75" s="35"/>
      <c r="G75" s="35"/>
      <c r="H75" s="53">
        <f>SUM(H4:H74)</f>
        <v>6499</v>
      </c>
      <c r="I75" s="24"/>
      <c r="J75" s="24"/>
      <c r="K75" s="30"/>
      <c r="L75" s="30"/>
      <c r="M75" s="30"/>
      <c r="N75" s="30"/>
      <c r="O75" s="35"/>
      <c r="P75" s="35"/>
      <c r="Q75" s="53">
        <f>SUM(Q4:Q72)+SUM(Q74:Q74)</f>
        <v>6556827.5500000017</v>
      </c>
      <c r="R75" s="35"/>
      <c r="S75" s="32">
        <f>SUM(S4:S74)</f>
        <v>113964.5</v>
      </c>
      <c r="T75" s="53"/>
      <c r="U75" s="32">
        <f>SUM(U4:U72)</f>
        <v>6929182.6699999999</v>
      </c>
      <c r="V75" s="53">
        <f>ROUNDUP(SUM(V4:V74),0)</f>
        <v>8846120</v>
      </c>
      <c r="W75" s="32">
        <f>SUM(W4:W72)</f>
        <v>1905657.3299999998</v>
      </c>
      <c r="X75" s="54">
        <f>ROUNDUP(SUM(X74:X74),0)</f>
        <v>0</v>
      </c>
      <c r="Y75" s="54"/>
      <c r="Z75" s="54">
        <f>SUM(Z4:Z74)</f>
        <v>84</v>
      </c>
      <c r="AC75" s="53">
        <f>SUM(AC4:AC74)</f>
        <v>112971.02999999998</v>
      </c>
      <c r="AD75" s="32">
        <f>SUM(AD4:AD74)</f>
        <v>993.47000000000048</v>
      </c>
      <c r="AE75" s="53">
        <f t="shared" ref="AE75:AE80" si="95">AI75+AM75+AQ75+AU75</f>
        <v>830416.52500000014</v>
      </c>
      <c r="AF75" s="53">
        <f>SUM(AF4:AF72)</f>
        <v>1000</v>
      </c>
      <c r="AG75" s="80">
        <f>SUM(AG4:AG74)</f>
        <v>497619.3</v>
      </c>
      <c r="AH75" s="32">
        <f t="shared" ref="AH75:AL75" si="96">SUM(AH4:AH72)</f>
        <v>7949.05</v>
      </c>
      <c r="AI75" s="81">
        <f t="shared" ref="AI75:AI80" si="97">(81.5*AH75)-AG75</f>
        <v>150228.27500000008</v>
      </c>
      <c r="AJ75" s="53">
        <f t="shared" si="96"/>
        <v>1937</v>
      </c>
      <c r="AK75" s="80">
        <f>SUM(AK4:AK74)</f>
        <v>2328318.2350000008</v>
      </c>
      <c r="AL75" s="86">
        <f t="shared" si="96"/>
        <v>36793.69000000001</v>
      </c>
      <c r="AM75" s="55">
        <f>SUM(AM4:AM74)</f>
        <v>680188.25</v>
      </c>
      <c r="AO75" s="104"/>
      <c r="AP75" s="89"/>
      <c r="AQ75" s="89"/>
      <c r="AR75" s="90"/>
      <c r="AS75" s="89"/>
      <c r="AT75" s="89"/>
      <c r="AU75" s="89"/>
    </row>
    <row r="76" spans="1:47" x14ac:dyDescent="0.2">
      <c r="H76" s="55"/>
      <c r="I76" s="57"/>
      <c r="J76" s="57"/>
      <c r="K76" s="65"/>
      <c r="L76" s="65"/>
      <c r="M76" s="65"/>
      <c r="N76" s="65"/>
      <c r="Q76" s="55" t="s">
        <v>224</v>
      </c>
      <c r="S76" s="60">
        <f>S77-S75</f>
        <v>6.5</v>
      </c>
      <c r="T76" s="55"/>
      <c r="U76" s="60"/>
      <c r="V76" s="55"/>
      <c r="W76" s="60"/>
      <c r="X76" s="58"/>
      <c r="Y76" s="58"/>
      <c r="Z76" s="58"/>
      <c r="AA76" s="58"/>
      <c r="AB76" s="53">
        <f t="shared" ref="AB76" si="98">U76-AG76-AK76-AO76-AS76</f>
        <v>0</v>
      </c>
      <c r="AC76" s="55"/>
      <c r="AD76" s="55"/>
      <c r="AE76" s="53">
        <f t="shared" si="95"/>
        <v>0</v>
      </c>
      <c r="AI76" s="81">
        <f t="shared" si="97"/>
        <v>0</v>
      </c>
      <c r="AJ76" s="55"/>
      <c r="AL76" s="55"/>
      <c r="AM76" s="55"/>
      <c r="AR76" s="55"/>
    </row>
    <row r="77" spans="1:47" x14ac:dyDescent="0.2">
      <c r="H77" s="56"/>
      <c r="I77" s="57"/>
      <c r="J77" s="57"/>
      <c r="K77" s="58"/>
      <c r="L77" s="58"/>
      <c r="M77" s="58"/>
      <c r="N77" s="58"/>
      <c r="P77" s="4" t="s">
        <v>218</v>
      </c>
      <c r="Q77" s="59">
        <f>ROUNDDOWN(Q75,0)</f>
        <v>6556827</v>
      </c>
      <c r="S77" s="1">
        <v>113971</v>
      </c>
      <c r="T77" s="60"/>
      <c r="Z77" s="75"/>
      <c r="AA77" s="54">
        <f>SUM(AA4:AA76)</f>
        <v>7067920.9899999993</v>
      </c>
      <c r="AB77" s="54">
        <f>SUM(AB4:AB76)</f>
        <v>-133245.87</v>
      </c>
      <c r="AC77" s="55"/>
      <c r="AD77" s="55"/>
      <c r="AE77" s="53">
        <f t="shared" si="95"/>
        <v>810684.5107000001</v>
      </c>
      <c r="AG77" s="60">
        <f>1.001*AG75</f>
        <v>498116.91929999995</v>
      </c>
      <c r="AI77" s="81">
        <f t="shared" si="97"/>
        <v>-498116.91929999995</v>
      </c>
      <c r="AJ77" s="55">
        <f>SUM(AJ4:AJ76)</f>
        <v>3999</v>
      </c>
      <c r="AN77" s="75">
        <f>SUM(AN4:AN76)</f>
        <v>1601</v>
      </c>
      <c r="AO77" s="75">
        <f t="shared" ref="AO77:AQ77" si="99">SUM(AO4:AO76)</f>
        <v>2105899.6949999998</v>
      </c>
      <c r="AP77" s="75">
        <f t="shared" si="99"/>
        <v>33251.93</v>
      </c>
      <c r="AQ77" s="75">
        <f t="shared" si="99"/>
        <v>604132.59999999986</v>
      </c>
      <c r="AR77" s="55">
        <f>SUM(AR4:AR76)</f>
        <v>1752</v>
      </c>
      <c r="AS77" s="55">
        <f>SUM(AS4:AS76)</f>
        <v>2136083.7600000002</v>
      </c>
      <c r="AT77" s="55">
        <f>SUM(AT4:AT76)</f>
        <v>34855.86</v>
      </c>
      <c r="AU77" s="55">
        <f>SUM(AU4:AU76)</f>
        <v>704668.83000000019</v>
      </c>
    </row>
    <row r="78" spans="1:47" x14ac:dyDescent="0.2">
      <c r="S78" s="60"/>
      <c r="Z78" s="67">
        <f>Z77/H75</f>
        <v>0</v>
      </c>
      <c r="AA78" s="67"/>
      <c r="AB78" s="55">
        <f t="shared" ref="AB78" si="100">U78-AG78-AK78-AN78</f>
        <v>0</v>
      </c>
      <c r="AC78" s="55"/>
      <c r="AD78" s="78">
        <f>AD75/S75</f>
        <v>8.7173637404630439E-3</v>
      </c>
      <c r="AE78" s="53">
        <f t="shared" si="95"/>
        <v>0</v>
      </c>
      <c r="AI78" s="81">
        <f t="shared" si="97"/>
        <v>0</v>
      </c>
      <c r="AS78" s="60">
        <f>1.001*AS77</f>
        <v>2138219.8437600001</v>
      </c>
    </row>
    <row r="79" spans="1:47" x14ac:dyDescent="0.2">
      <c r="Z79" s="1" t="s">
        <v>382</v>
      </c>
      <c r="AB79" s="1" t="s">
        <v>234</v>
      </c>
      <c r="AE79" s="53">
        <f t="shared" si="95"/>
        <v>0</v>
      </c>
      <c r="AI79" s="81">
        <f t="shared" si="97"/>
        <v>0</v>
      </c>
      <c r="AK79" s="60">
        <f>-0.4*AK75</f>
        <v>-931327.29400000034</v>
      </c>
      <c r="AS79" s="1">
        <v>-748817.44</v>
      </c>
    </row>
    <row r="80" spans="1:47" x14ac:dyDescent="0.2">
      <c r="AE80" s="53">
        <f t="shared" si="95"/>
        <v>0</v>
      </c>
      <c r="AI80" s="81">
        <f t="shared" si="97"/>
        <v>0</v>
      </c>
      <c r="AK80" s="60">
        <f>0.1%*AK75</f>
        <v>2328.3182350000006</v>
      </c>
      <c r="AS80" s="60">
        <f>AS79+AS78</f>
        <v>1389402.4037600001</v>
      </c>
    </row>
    <row r="81" spans="28:37" x14ac:dyDescent="0.2">
      <c r="AB81" s="1" t="s">
        <v>235</v>
      </c>
      <c r="AK81" s="60" t="s">
        <v>255</v>
      </c>
    </row>
  </sheetData>
  <autoFilter ref="A3:AQ81" xr:uid="{B11571EC-D53B-4AE6-926B-2F30E396FB2E}">
    <sortState ref="A4:AQ74">
      <sortCondition ref="C3:C74"/>
    </sortState>
  </autoFilter>
  <mergeCells count="7">
    <mergeCell ref="AN2:AQ2"/>
    <mergeCell ref="AR2:AU2"/>
    <mergeCell ref="H1:I1"/>
    <mergeCell ref="R1:T1"/>
    <mergeCell ref="O2:Q2"/>
    <mergeCell ref="AF2:AH2"/>
    <mergeCell ref="AJ2:AM2"/>
  </mergeCells>
  <conditionalFormatting sqref="W4:W42 W44:W73">
    <cfRule type="cellIs" dxfId="4" priority="3" operator="lessThan">
      <formula>0</formula>
    </cfRule>
  </conditionalFormatting>
  <conditionalFormatting sqref="Z4:AE4 AD5:AD74 AB76:AD78 AC5:AC75 AE5:AE80 Z5:AB74">
    <cfRule type="cellIs" dxfId="3" priority="2" operator="lessThan">
      <formula>0</formula>
    </cfRule>
  </conditionalFormatting>
  <conditionalFormatting sqref="W43">
    <cfRule type="cellIs" dxfId="2" priority="1" operator="lessThan">
      <formula>0</formula>
    </cfRule>
  </conditionalFormatting>
  <printOptions horizontalCentered="1"/>
  <pageMargins left="0.31496062992125984" right="0.31496062992125984" top="1.1417322834645669" bottom="0.74803149606299213" header="0.70866141732283472" footer="0.51181102362204722"/>
  <pageSetup paperSize="9" scale="99" orientation="portrait" r:id="rId1"/>
  <headerFooter>
    <oddHeader>&amp;LHaseeba Exports
Second shipment value of M2All&amp;R`</oddHeader>
    <oddFooter>&amp;R&amp;8&amp;P/&amp;N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C410-C45E-4AD5-9C3D-440B1D74C4B6}">
  <dimension ref="A1:AU67"/>
  <sheetViews>
    <sheetView zoomScaleNormal="100" workbookViewId="0">
      <pane xSplit="4" ySplit="3" topLeftCell="E59" activePane="bottomRight" state="frozen"/>
      <selection pane="topRight" activeCell="F1" sqref="F1"/>
      <selection pane="bottomLeft" activeCell="A3" sqref="A3"/>
      <selection pane="bottomRight" activeCell="D42" sqref="D42"/>
    </sheetView>
  </sheetViews>
  <sheetFormatPr defaultRowHeight="13.5" x14ac:dyDescent="0.2"/>
  <cols>
    <col min="1" max="1" width="6.33203125" style="1" customWidth="1"/>
    <col min="2" max="2" width="17.6640625" style="1" customWidth="1"/>
    <col min="3" max="3" width="17.5" style="1" customWidth="1"/>
    <col min="4" max="4" width="27" style="1" customWidth="1"/>
    <col min="5" max="5" width="11.33203125" style="1" customWidth="1"/>
    <col min="6" max="7" width="5.1640625" style="1" hidden="1" customWidth="1"/>
    <col min="8" max="8" width="7.83203125" style="2" hidden="1" customWidth="1"/>
    <col min="9" max="9" width="6.33203125" style="1" hidden="1" customWidth="1"/>
    <col min="10" max="10" width="10" style="1" hidden="1" customWidth="1"/>
    <col min="11" max="11" width="8.33203125" style="4" hidden="1" customWidth="1"/>
    <col min="12" max="14" width="10.5" style="4" hidden="1" customWidth="1"/>
    <col min="15" max="15" width="9.83203125" style="1" hidden="1" customWidth="1"/>
    <col min="16" max="16" width="11" style="1" hidden="1" customWidth="1"/>
    <col min="17" max="17" width="12.6640625" style="1" hidden="1" customWidth="1"/>
    <col min="18" max="18" width="9.33203125" style="1" hidden="1" customWidth="1"/>
    <col min="19" max="19" width="11.5" style="1" hidden="1" customWidth="1"/>
    <col min="20" max="21" width="12.6640625" style="1" hidden="1" customWidth="1"/>
    <col min="22" max="22" width="14.33203125" style="1" hidden="1" customWidth="1"/>
    <col min="23" max="24" width="12.6640625" style="1" hidden="1" customWidth="1"/>
    <col min="25" max="25" width="8.6640625" style="1" hidden="1" customWidth="1"/>
    <col min="26" max="26" width="8.1640625" style="1" hidden="1" customWidth="1"/>
    <col min="27" max="30" width="11.1640625" style="1" hidden="1" customWidth="1"/>
    <col min="31" max="31" width="6.83203125" style="1" hidden="1" customWidth="1"/>
    <col min="32" max="32" width="10.33203125" style="1" hidden="1" customWidth="1"/>
    <col min="33" max="33" width="8.1640625" style="1" hidden="1" customWidth="1"/>
    <col min="34" max="34" width="10.83203125" style="1" hidden="1" customWidth="1"/>
    <col min="35" max="35" width="7.1640625" style="1" hidden="1" customWidth="1"/>
    <col min="36" max="36" width="11.1640625" style="1" hidden="1" customWidth="1"/>
    <col min="37" max="37" width="9.33203125" style="1" hidden="1" customWidth="1"/>
    <col min="38" max="38" width="10.1640625" style="1" hidden="1" customWidth="1"/>
    <col min="39" max="39" width="6.83203125" style="1" customWidth="1"/>
    <col min="40" max="40" width="10.33203125" style="1" hidden="1" customWidth="1"/>
    <col min="41" max="41" width="10.33203125" style="1" customWidth="1"/>
    <col min="42" max="42" width="12" style="1" customWidth="1"/>
    <col min="43" max="43" width="10.1640625" style="1" hidden="1" customWidth="1"/>
    <col min="44" max="44" width="6.83203125" style="1" hidden="1" customWidth="1"/>
    <col min="45" max="45" width="10.33203125" style="1" hidden="1" customWidth="1"/>
    <col min="46" max="46" width="9.33203125" style="1" hidden="1" customWidth="1"/>
    <col min="47" max="47" width="10.1640625" style="1" hidden="1" customWidth="1"/>
    <col min="48" max="16384" width="9.33203125" style="1"/>
  </cols>
  <sheetData>
    <row r="1" spans="1:47" ht="14.25" thickBot="1" x14ac:dyDescent="0.25">
      <c r="E1" s="1" t="s">
        <v>0</v>
      </c>
      <c r="F1" s="1" t="s">
        <v>1</v>
      </c>
      <c r="H1" s="125">
        <v>200000</v>
      </c>
      <c r="I1" s="125"/>
      <c r="J1" s="1" t="s">
        <v>2</v>
      </c>
      <c r="K1" s="2"/>
      <c r="L1" s="3">
        <v>50000</v>
      </c>
      <c r="N1" s="4" t="s">
        <v>3</v>
      </c>
      <c r="O1" s="5">
        <v>0.15</v>
      </c>
      <c r="P1" s="1" t="s">
        <v>4</v>
      </c>
      <c r="Q1" s="1">
        <v>80</v>
      </c>
      <c r="R1" s="126" t="s">
        <v>5</v>
      </c>
      <c r="S1" s="126"/>
      <c r="T1" s="126"/>
      <c r="U1" s="1" t="s">
        <v>6</v>
      </c>
      <c r="V1" s="1">
        <v>25000</v>
      </c>
    </row>
    <row r="2" spans="1:47" ht="14.25" thickTop="1" x14ac:dyDescent="0.2">
      <c r="K2" s="2"/>
      <c r="O2" s="126" t="s">
        <v>7</v>
      </c>
      <c r="P2" s="126"/>
      <c r="Q2" s="126"/>
      <c r="R2" s="6"/>
      <c r="S2" s="6"/>
      <c r="T2" s="6"/>
      <c r="AE2" s="135" t="s">
        <v>225</v>
      </c>
      <c r="AF2" s="136"/>
      <c r="AG2" s="136"/>
      <c r="AH2" s="92"/>
      <c r="AI2" s="137" t="s">
        <v>231</v>
      </c>
      <c r="AJ2" s="137"/>
      <c r="AK2" s="137"/>
      <c r="AL2" s="137"/>
      <c r="AM2" s="133" t="s">
        <v>249</v>
      </c>
      <c r="AN2" s="134"/>
      <c r="AO2" s="134"/>
      <c r="AP2" s="134"/>
      <c r="AQ2" s="134"/>
      <c r="AR2" s="134" t="s">
        <v>250</v>
      </c>
      <c r="AS2" s="134"/>
      <c r="AT2" s="134"/>
      <c r="AU2" s="134"/>
    </row>
    <row r="3" spans="1:47" s="9" customFormat="1" ht="55.5" customHeight="1" x14ac:dyDescent="0.2">
      <c r="A3" s="87" t="s">
        <v>8</v>
      </c>
      <c r="B3" s="87" t="s">
        <v>9</v>
      </c>
      <c r="C3" s="87" t="s">
        <v>10</v>
      </c>
      <c r="D3" s="87" t="s">
        <v>11</v>
      </c>
      <c r="E3" s="87" t="s">
        <v>12</v>
      </c>
      <c r="F3" s="87" t="s">
        <v>13</v>
      </c>
      <c r="G3" s="87" t="s">
        <v>219</v>
      </c>
      <c r="H3" s="87" t="s">
        <v>220</v>
      </c>
      <c r="I3" s="87" t="s">
        <v>14</v>
      </c>
      <c r="J3" s="87" t="s">
        <v>15</v>
      </c>
      <c r="K3" s="87" t="s">
        <v>16</v>
      </c>
      <c r="L3" s="87" t="s">
        <v>17</v>
      </c>
      <c r="M3" s="87" t="s">
        <v>18</v>
      </c>
      <c r="N3" s="87" t="s">
        <v>19</v>
      </c>
      <c r="O3" s="87" t="s">
        <v>20</v>
      </c>
      <c r="P3" s="87" t="s">
        <v>21</v>
      </c>
      <c r="Q3" s="87" t="s">
        <v>22</v>
      </c>
      <c r="R3" s="87" t="s">
        <v>23</v>
      </c>
      <c r="S3" s="87" t="s">
        <v>24</v>
      </c>
      <c r="T3" s="87" t="s">
        <v>25</v>
      </c>
      <c r="U3" s="87" t="s">
        <v>26</v>
      </c>
      <c r="V3" s="87" t="s">
        <v>27</v>
      </c>
      <c r="W3" s="87" t="s">
        <v>28</v>
      </c>
      <c r="X3" s="87" t="s">
        <v>29</v>
      </c>
      <c r="Y3" s="87" t="s">
        <v>227</v>
      </c>
      <c r="Z3" s="87" t="s">
        <v>226</v>
      </c>
      <c r="AA3" s="87" t="s">
        <v>233</v>
      </c>
      <c r="AB3" s="87" t="s">
        <v>236</v>
      </c>
      <c r="AC3" s="87" t="s">
        <v>237</v>
      </c>
      <c r="AD3" s="87" t="s">
        <v>28</v>
      </c>
      <c r="AE3" s="87" t="s">
        <v>228</v>
      </c>
      <c r="AF3" s="87" t="s">
        <v>229</v>
      </c>
      <c r="AG3" s="87" t="s">
        <v>230</v>
      </c>
      <c r="AH3" s="93" t="s">
        <v>28</v>
      </c>
      <c r="AI3" s="87" t="s">
        <v>232</v>
      </c>
      <c r="AJ3" s="87" t="s">
        <v>229</v>
      </c>
      <c r="AK3" s="94" t="s">
        <v>230</v>
      </c>
      <c r="AL3" s="93" t="s">
        <v>28</v>
      </c>
      <c r="AM3" s="87" t="s">
        <v>232</v>
      </c>
      <c r="AN3" s="87" t="s">
        <v>229</v>
      </c>
      <c r="AO3" s="94" t="s">
        <v>253</v>
      </c>
      <c r="AP3" s="94" t="s">
        <v>254</v>
      </c>
      <c r="AQ3" s="79" t="s">
        <v>28</v>
      </c>
      <c r="AR3" s="23" t="s">
        <v>232</v>
      </c>
      <c r="AS3" s="23" t="s">
        <v>229</v>
      </c>
      <c r="AT3" s="83" t="s">
        <v>230</v>
      </c>
      <c r="AU3" s="79" t="s">
        <v>28</v>
      </c>
    </row>
    <row r="4" spans="1:47" x14ac:dyDescent="0.2">
      <c r="A4" s="23">
        <v>1</v>
      </c>
      <c r="B4" s="24" t="s">
        <v>30</v>
      </c>
      <c r="C4" s="25" t="s">
        <v>31</v>
      </c>
      <c r="D4" s="24" t="s">
        <v>32</v>
      </c>
      <c r="E4" s="26" t="s">
        <v>33</v>
      </c>
      <c r="F4" s="26" t="s">
        <v>34</v>
      </c>
      <c r="G4" s="62">
        <v>1000</v>
      </c>
      <c r="H4" s="27">
        <v>1000</v>
      </c>
      <c r="I4" s="28">
        <v>0.18</v>
      </c>
      <c r="J4" s="29">
        <v>206</v>
      </c>
      <c r="K4" s="30">
        <f t="shared" ref="K4:K55" si="0">J4*I4</f>
        <v>37.08</v>
      </c>
      <c r="L4" s="31">
        <f t="shared" ref="L4:L55" si="1">J4-K4</f>
        <v>168.92000000000002</v>
      </c>
      <c r="M4" s="31">
        <f>ROUNDUP(J4/(1+I4),2)</f>
        <v>174.57999999999998</v>
      </c>
      <c r="N4" s="31">
        <v>174.58</v>
      </c>
      <c r="O4" s="32">
        <f>ROUNDUP(0.18*N4,2)</f>
        <v>31.430000000000003</v>
      </c>
      <c r="P4" s="32">
        <f>N4-O4</f>
        <v>143.15</v>
      </c>
      <c r="Q4" s="32">
        <f t="shared" ref="Q4:Q55" si="2">P4*H4</f>
        <v>143150</v>
      </c>
      <c r="R4" s="33">
        <v>2.2799999999999998</v>
      </c>
      <c r="S4" s="32">
        <f>R4*H4</f>
        <v>2280</v>
      </c>
      <c r="T4" s="34">
        <v>147.94999999999999</v>
      </c>
      <c r="U4" s="32">
        <f>T4*H4</f>
        <v>147950</v>
      </c>
      <c r="V4" s="32">
        <f>80*S4</f>
        <v>182400</v>
      </c>
      <c r="W4" s="32">
        <f>V4-U4</f>
        <v>34450</v>
      </c>
      <c r="X4" s="35"/>
      <c r="Y4" s="91">
        <f t="shared" ref="Y4:Y35" si="3">AE4+AI4+AM4+AR4</f>
        <v>830</v>
      </c>
      <c r="Z4" s="53">
        <f>H4-Y4</f>
        <v>170</v>
      </c>
      <c r="AA4" s="53">
        <f t="shared" ref="AA4:AA35" si="4">U4-AF4-AJ4-AN4-AS4</f>
        <v>25151.5</v>
      </c>
      <c r="AB4" s="53">
        <f t="shared" ref="AB4:AB35" si="5">AG4+AK4+AP4+AT4</f>
        <v>1892.3999999999996</v>
      </c>
      <c r="AC4" s="53">
        <f>S4-AB4</f>
        <v>387.60000000000036</v>
      </c>
      <c r="AD4" s="53">
        <f t="shared" ref="AD4:AD35" si="6">AH4+AL4+AQ4+AU4</f>
        <v>31432.099999999984</v>
      </c>
      <c r="AE4" s="33">
        <v>300</v>
      </c>
      <c r="AF4" s="80">
        <f>$T4*AE4</f>
        <v>44385</v>
      </c>
      <c r="AG4" s="80">
        <f>AE4*$R4</f>
        <v>683.99999999999989</v>
      </c>
      <c r="AH4" s="32">
        <f>(81.5*AG4)-AF4</f>
        <v>11360.999999999993</v>
      </c>
      <c r="AI4" s="33">
        <f>150+4+146</f>
        <v>300</v>
      </c>
      <c r="AJ4" s="80">
        <f>$T4*AI4</f>
        <v>44385</v>
      </c>
      <c r="AK4" s="80">
        <f t="shared" ref="AK4:AK55" si="7">AI4*$R4</f>
        <v>683.99999999999989</v>
      </c>
      <c r="AL4" s="32">
        <f>(81.5*AK4)-AJ4</f>
        <v>11360.999999999993</v>
      </c>
      <c r="AM4" s="101">
        <f>50+30+50+50+50</f>
        <v>230</v>
      </c>
      <c r="AN4" s="80">
        <f t="shared" ref="AN4:AN55" si="8">$T4*AM4</f>
        <v>34028.5</v>
      </c>
      <c r="AO4" s="80">
        <f>R4</f>
        <v>2.2799999999999998</v>
      </c>
      <c r="AP4" s="80">
        <f t="shared" ref="AP4:AP35" si="9">AM4*$R4</f>
        <v>524.4</v>
      </c>
      <c r="AQ4" s="81">
        <f t="shared" ref="AQ4:AQ35" si="10">(81.5*AP4)-AN4</f>
        <v>8710.0999999999985</v>
      </c>
      <c r="AR4" s="90"/>
      <c r="AS4" s="89"/>
      <c r="AT4" s="89"/>
      <c r="AU4" s="89"/>
    </row>
    <row r="5" spans="1:47" x14ac:dyDescent="0.2">
      <c r="A5" s="23">
        <v>2</v>
      </c>
      <c r="B5" s="24" t="s">
        <v>30</v>
      </c>
      <c r="C5" s="25" t="s">
        <v>35</v>
      </c>
      <c r="D5" s="24" t="s">
        <v>36</v>
      </c>
      <c r="E5" s="26" t="s">
        <v>37</v>
      </c>
      <c r="F5" s="26" t="s">
        <v>34</v>
      </c>
      <c r="G5" s="62">
        <v>500</v>
      </c>
      <c r="H5" s="27">
        <v>500</v>
      </c>
      <c r="I5" s="28">
        <v>0.18</v>
      </c>
      <c r="J5" s="29">
        <v>811</v>
      </c>
      <c r="K5" s="30">
        <f t="shared" si="0"/>
        <v>145.97999999999999</v>
      </c>
      <c r="L5" s="31">
        <f t="shared" si="1"/>
        <v>665.02</v>
      </c>
      <c r="M5" s="31">
        <f t="shared" ref="M5:M56" si="11">ROUNDUP(J5/(1+I5),2)</f>
        <v>687.29</v>
      </c>
      <c r="N5" s="31">
        <v>687.29</v>
      </c>
      <c r="O5" s="32">
        <f t="shared" ref="O5:O56" si="12">ROUNDUP(0.18*N5,2)</f>
        <v>123.72</v>
      </c>
      <c r="P5" s="32">
        <f t="shared" ref="P5:P56" si="13">N5-O5</f>
        <v>563.56999999999994</v>
      </c>
      <c r="Q5" s="32">
        <f t="shared" si="2"/>
        <v>281784.99999999994</v>
      </c>
      <c r="R5" s="33">
        <v>9</v>
      </c>
      <c r="S5" s="32">
        <f t="shared" ref="S5:S17" si="14">R5*H5</f>
        <v>4500</v>
      </c>
      <c r="T5" s="34">
        <v>582.45000000000005</v>
      </c>
      <c r="U5" s="32">
        <f t="shared" ref="U5:U56" si="15">T5*H5</f>
        <v>291225</v>
      </c>
      <c r="V5" s="32">
        <f t="shared" ref="V5:V56" si="16">80*S5</f>
        <v>360000</v>
      </c>
      <c r="W5" s="32">
        <f t="shared" ref="W5:W56" si="17">V5-U5</f>
        <v>68775</v>
      </c>
      <c r="X5" s="35"/>
      <c r="Y5" s="91">
        <f t="shared" si="3"/>
        <v>440</v>
      </c>
      <c r="Z5" s="53">
        <f t="shared" ref="Z5:Z56" si="18">H5-Y5</f>
        <v>60</v>
      </c>
      <c r="AA5" s="53">
        <f t="shared" si="4"/>
        <v>34947</v>
      </c>
      <c r="AB5" s="53">
        <f t="shared" si="5"/>
        <v>3960</v>
      </c>
      <c r="AC5" s="53">
        <f t="shared" ref="AC5:AC56" si="19">S5-AB5</f>
        <v>540</v>
      </c>
      <c r="AD5" s="53">
        <f t="shared" si="6"/>
        <v>66461.999999999971</v>
      </c>
      <c r="AE5" s="33">
        <v>200</v>
      </c>
      <c r="AF5" s="80">
        <f t="shared" ref="AF5:AF56" si="20">$T5*AE5</f>
        <v>116490.00000000001</v>
      </c>
      <c r="AG5" s="80">
        <f t="shared" ref="AG5:AG56" si="21">AE5*$R5</f>
        <v>1800</v>
      </c>
      <c r="AH5" s="32">
        <f t="shared" ref="AH5:AH56" si="22">(81.5*AG5)-AF5</f>
        <v>30209.999999999985</v>
      </c>
      <c r="AI5" s="33">
        <f>30+30+30</f>
        <v>90</v>
      </c>
      <c r="AJ5" s="80">
        <f t="shared" ref="AJ5:AJ56" si="23">$T5*AI5</f>
        <v>52420.500000000007</v>
      </c>
      <c r="AK5" s="80">
        <f t="shared" si="7"/>
        <v>810</v>
      </c>
      <c r="AL5" s="32">
        <f t="shared" ref="AL5:AL56" si="24">(81.5*AK5)-AJ5</f>
        <v>13594.499999999993</v>
      </c>
      <c r="AM5" s="101">
        <f>15+15+15+15+15+15+15+15+17+13</f>
        <v>150</v>
      </c>
      <c r="AN5" s="80">
        <f t="shared" si="8"/>
        <v>87367.5</v>
      </c>
      <c r="AO5" s="80">
        <f t="shared" ref="AO5:AO66" si="25">R5</f>
        <v>9</v>
      </c>
      <c r="AP5" s="80">
        <f t="shared" si="9"/>
        <v>1350</v>
      </c>
      <c r="AQ5" s="81">
        <f t="shared" si="10"/>
        <v>22657.5</v>
      </c>
      <c r="AR5" s="90"/>
      <c r="AS5" s="89"/>
      <c r="AT5" s="89"/>
      <c r="AU5" s="89"/>
    </row>
    <row r="6" spans="1:47" x14ac:dyDescent="0.2">
      <c r="A6" s="23">
        <v>3</v>
      </c>
      <c r="B6" s="24" t="s">
        <v>30</v>
      </c>
      <c r="C6" s="25" t="s">
        <v>38</v>
      </c>
      <c r="D6" s="24" t="s">
        <v>39</v>
      </c>
      <c r="E6" s="26" t="s">
        <v>33</v>
      </c>
      <c r="F6" s="26" t="s">
        <v>34</v>
      </c>
      <c r="G6" s="62">
        <v>1000</v>
      </c>
      <c r="H6" s="27">
        <v>1000</v>
      </c>
      <c r="I6" s="28">
        <v>0.18</v>
      </c>
      <c r="J6" s="29">
        <v>610</v>
      </c>
      <c r="K6" s="30">
        <f t="shared" si="0"/>
        <v>109.8</v>
      </c>
      <c r="L6" s="31">
        <f t="shared" si="1"/>
        <v>500.2</v>
      </c>
      <c r="M6" s="31">
        <f t="shared" si="11"/>
        <v>516.95000000000005</v>
      </c>
      <c r="N6" s="31">
        <v>516.95000000000005</v>
      </c>
      <c r="O6" s="32">
        <f t="shared" si="12"/>
        <v>93.06</v>
      </c>
      <c r="P6" s="32">
        <f t="shared" si="13"/>
        <v>423.89000000000004</v>
      </c>
      <c r="Q6" s="32">
        <f t="shared" si="2"/>
        <v>423890.00000000006</v>
      </c>
      <c r="R6" s="33">
        <v>6.75</v>
      </c>
      <c r="S6" s="32">
        <f t="shared" si="14"/>
        <v>6750</v>
      </c>
      <c r="T6" s="34">
        <v>438.09</v>
      </c>
      <c r="U6" s="32">
        <f t="shared" si="15"/>
        <v>438090</v>
      </c>
      <c r="V6" s="32">
        <f t="shared" si="16"/>
        <v>540000</v>
      </c>
      <c r="W6" s="32">
        <f t="shared" si="17"/>
        <v>101910</v>
      </c>
      <c r="X6" s="35"/>
      <c r="Y6" s="91">
        <f t="shared" si="3"/>
        <v>723</v>
      </c>
      <c r="Z6" s="53">
        <f t="shared" si="18"/>
        <v>277</v>
      </c>
      <c r="AA6" s="53">
        <f t="shared" si="4"/>
        <v>121350.93</v>
      </c>
      <c r="AB6" s="53">
        <f t="shared" si="5"/>
        <v>4880.25</v>
      </c>
      <c r="AC6" s="53">
        <f t="shared" si="19"/>
        <v>1869.75</v>
      </c>
      <c r="AD6" s="53">
        <f t="shared" si="6"/>
        <v>81001.305000000022</v>
      </c>
      <c r="AE6" s="33">
        <v>325</v>
      </c>
      <c r="AF6" s="80">
        <f t="shared" si="20"/>
        <v>142379.25</v>
      </c>
      <c r="AG6" s="80">
        <f t="shared" si="21"/>
        <v>2193.75</v>
      </c>
      <c r="AH6" s="32">
        <f t="shared" si="22"/>
        <v>36411.375</v>
      </c>
      <c r="AI6" s="33">
        <f>96+48+147</f>
        <v>291</v>
      </c>
      <c r="AJ6" s="80">
        <f t="shared" si="23"/>
        <v>127484.18999999999</v>
      </c>
      <c r="AK6" s="80">
        <f t="shared" si="7"/>
        <v>1964.25</v>
      </c>
      <c r="AL6" s="32">
        <f t="shared" si="24"/>
        <v>32602.185000000012</v>
      </c>
      <c r="AM6" s="101">
        <f>47+60</f>
        <v>107</v>
      </c>
      <c r="AN6" s="80">
        <f t="shared" si="8"/>
        <v>46875.63</v>
      </c>
      <c r="AO6" s="80">
        <f t="shared" si="25"/>
        <v>6.75</v>
      </c>
      <c r="AP6" s="80">
        <f t="shared" si="9"/>
        <v>722.25</v>
      </c>
      <c r="AQ6" s="81">
        <f t="shared" si="10"/>
        <v>11987.745000000003</v>
      </c>
      <c r="AR6" s="90"/>
      <c r="AS6" s="89"/>
      <c r="AT6" s="89"/>
      <c r="AU6" s="89"/>
    </row>
    <row r="7" spans="1:47" x14ac:dyDescent="0.2">
      <c r="A7" s="23">
        <v>4</v>
      </c>
      <c r="B7" s="24" t="s">
        <v>30</v>
      </c>
      <c r="C7" s="25" t="s">
        <v>41</v>
      </c>
      <c r="D7" s="24" t="s">
        <v>42</v>
      </c>
      <c r="E7" s="26" t="s">
        <v>33</v>
      </c>
      <c r="F7" s="26" t="s">
        <v>34</v>
      </c>
      <c r="G7" s="62">
        <v>500</v>
      </c>
      <c r="H7" s="27">
        <v>500</v>
      </c>
      <c r="I7" s="28">
        <v>0.18</v>
      </c>
      <c r="J7" s="29">
        <v>597</v>
      </c>
      <c r="K7" s="30">
        <f t="shared" si="0"/>
        <v>107.46</v>
      </c>
      <c r="L7" s="31">
        <f t="shared" si="1"/>
        <v>489.54</v>
      </c>
      <c r="M7" s="31">
        <f t="shared" si="11"/>
        <v>505.94</v>
      </c>
      <c r="N7" s="31">
        <v>505.93</v>
      </c>
      <c r="O7" s="32">
        <f t="shared" si="12"/>
        <v>91.070000000000007</v>
      </c>
      <c r="P7" s="32">
        <f t="shared" si="13"/>
        <v>414.86</v>
      </c>
      <c r="Q7" s="32">
        <f t="shared" si="2"/>
        <v>207430</v>
      </c>
      <c r="R7" s="33">
        <v>6.5</v>
      </c>
      <c r="S7" s="32">
        <f t="shared" si="14"/>
        <v>3250</v>
      </c>
      <c r="T7" s="34">
        <v>428.75</v>
      </c>
      <c r="U7" s="32">
        <f t="shared" si="15"/>
        <v>214375</v>
      </c>
      <c r="V7" s="32">
        <f t="shared" si="16"/>
        <v>260000</v>
      </c>
      <c r="W7" s="32">
        <f t="shared" si="17"/>
        <v>45625</v>
      </c>
      <c r="X7" s="35"/>
      <c r="Y7" s="91">
        <f t="shared" si="3"/>
        <v>411</v>
      </c>
      <c r="Z7" s="53">
        <f t="shared" si="18"/>
        <v>89</v>
      </c>
      <c r="AA7" s="53">
        <f t="shared" si="4"/>
        <v>38158.75</v>
      </c>
      <c r="AB7" s="53">
        <f t="shared" si="5"/>
        <v>2671.5</v>
      </c>
      <c r="AC7" s="53">
        <f t="shared" si="19"/>
        <v>578.5</v>
      </c>
      <c r="AD7" s="53">
        <f t="shared" si="6"/>
        <v>41511</v>
      </c>
      <c r="AE7" s="33">
        <v>20</v>
      </c>
      <c r="AF7" s="80">
        <f t="shared" si="20"/>
        <v>8575</v>
      </c>
      <c r="AG7" s="80">
        <f t="shared" si="21"/>
        <v>130</v>
      </c>
      <c r="AH7" s="32">
        <f t="shared" si="22"/>
        <v>2020</v>
      </c>
      <c r="AI7" s="33">
        <f>131+49</f>
        <v>180</v>
      </c>
      <c r="AJ7" s="80">
        <f t="shared" si="23"/>
        <v>77175</v>
      </c>
      <c r="AK7" s="80">
        <f t="shared" si="7"/>
        <v>1170</v>
      </c>
      <c r="AL7" s="32">
        <f t="shared" si="24"/>
        <v>18180</v>
      </c>
      <c r="AM7" s="101">
        <f>31+90+90</f>
        <v>211</v>
      </c>
      <c r="AN7" s="80">
        <f t="shared" si="8"/>
        <v>90466.25</v>
      </c>
      <c r="AO7" s="80">
        <f t="shared" si="25"/>
        <v>6.5</v>
      </c>
      <c r="AP7" s="80">
        <f t="shared" si="9"/>
        <v>1371.5</v>
      </c>
      <c r="AQ7" s="81">
        <f t="shared" si="10"/>
        <v>21311</v>
      </c>
      <c r="AR7" s="90"/>
      <c r="AS7" s="89"/>
      <c r="AT7" s="89"/>
      <c r="AU7" s="89"/>
    </row>
    <row r="8" spans="1:47" ht="27" x14ac:dyDescent="0.2">
      <c r="A8" s="23">
        <v>5</v>
      </c>
      <c r="B8" s="24" t="s">
        <v>43</v>
      </c>
      <c r="C8" s="25" t="s">
        <v>44</v>
      </c>
      <c r="D8" s="24" t="s">
        <v>45</v>
      </c>
      <c r="E8" s="26" t="s">
        <v>46</v>
      </c>
      <c r="F8" s="26" t="s">
        <v>34</v>
      </c>
      <c r="G8" s="62">
        <v>50</v>
      </c>
      <c r="H8" s="27">
        <v>50</v>
      </c>
      <c r="I8" s="28">
        <v>0.18</v>
      </c>
      <c r="J8" s="29">
        <v>1844</v>
      </c>
      <c r="K8" s="30">
        <f t="shared" si="0"/>
        <v>331.92</v>
      </c>
      <c r="L8" s="31">
        <f t="shared" si="1"/>
        <v>1512.08</v>
      </c>
      <c r="M8" s="31">
        <f t="shared" si="11"/>
        <v>1562.72</v>
      </c>
      <c r="N8" s="31">
        <v>1562.71</v>
      </c>
      <c r="O8" s="32">
        <f t="shared" si="12"/>
        <v>281.28999999999996</v>
      </c>
      <c r="P8" s="32">
        <f t="shared" si="13"/>
        <v>1281.42</v>
      </c>
      <c r="Q8" s="32">
        <f t="shared" si="2"/>
        <v>64071</v>
      </c>
      <c r="R8" s="33">
        <v>14.42</v>
      </c>
      <c r="S8" s="32">
        <f t="shared" si="14"/>
        <v>721</v>
      </c>
      <c r="T8" s="34">
        <v>1324.33</v>
      </c>
      <c r="U8" s="32">
        <f t="shared" si="15"/>
        <v>66216.5</v>
      </c>
      <c r="V8" s="32">
        <f t="shared" si="16"/>
        <v>57680</v>
      </c>
      <c r="W8" s="32">
        <f t="shared" si="17"/>
        <v>-8536.5</v>
      </c>
      <c r="X8" s="24" t="s">
        <v>47</v>
      </c>
      <c r="Y8" s="91">
        <f t="shared" si="3"/>
        <v>40</v>
      </c>
      <c r="Z8" s="53">
        <f t="shared" si="18"/>
        <v>10</v>
      </c>
      <c r="AA8" s="53">
        <f t="shared" si="4"/>
        <v>13243.300000000003</v>
      </c>
      <c r="AB8" s="53">
        <f t="shared" si="5"/>
        <v>576.79999999999995</v>
      </c>
      <c r="AC8" s="53">
        <f t="shared" si="19"/>
        <v>144.20000000000005</v>
      </c>
      <c r="AD8" s="53">
        <f t="shared" si="6"/>
        <v>-5964</v>
      </c>
      <c r="AE8" s="33"/>
      <c r="AF8" s="80">
        <f t="shared" si="20"/>
        <v>0</v>
      </c>
      <c r="AG8" s="80">
        <f t="shared" si="21"/>
        <v>0</v>
      </c>
      <c r="AH8" s="32">
        <f t="shared" si="22"/>
        <v>0</v>
      </c>
      <c r="AI8" s="33">
        <f>10+10</f>
        <v>20</v>
      </c>
      <c r="AJ8" s="80">
        <f t="shared" si="23"/>
        <v>26486.6</v>
      </c>
      <c r="AK8" s="80">
        <f t="shared" si="7"/>
        <v>288.39999999999998</v>
      </c>
      <c r="AL8" s="32">
        <f t="shared" si="24"/>
        <v>-2982</v>
      </c>
      <c r="AM8" s="101">
        <f>10+10</f>
        <v>20</v>
      </c>
      <c r="AN8" s="80">
        <f t="shared" si="8"/>
        <v>26486.6</v>
      </c>
      <c r="AO8" s="80">
        <f t="shared" si="25"/>
        <v>14.42</v>
      </c>
      <c r="AP8" s="80">
        <f t="shared" si="9"/>
        <v>288.39999999999998</v>
      </c>
      <c r="AQ8" s="81">
        <f t="shared" si="10"/>
        <v>-2982</v>
      </c>
      <c r="AR8" s="90"/>
      <c r="AS8" s="89"/>
      <c r="AT8" s="89"/>
      <c r="AU8" s="89"/>
    </row>
    <row r="9" spans="1:47" ht="27" x14ac:dyDescent="0.2">
      <c r="A9" s="23">
        <v>7</v>
      </c>
      <c r="B9" s="24" t="s">
        <v>43</v>
      </c>
      <c r="C9" s="25" t="s">
        <v>51</v>
      </c>
      <c r="D9" s="24" t="s">
        <v>52</v>
      </c>
      <c r="E9" s="26" t="s">
        <v>33</v>
      </c>
      <c r="F9" s="26" t="s">
        <v>34</v>
      </c>
      <c r="G9" s="62">
        <v>50</v>
      </c>
      <c r="H9" s="27">
        <v>50</v>
      </c>
      <c r="I9" s="28">
        <v>0.28000000000000003</v>
      </c>
      <c r="J9" s="29">
        <v>6841</v>
      </c>
      <c r="K9" s="30">
        <f t="shared" si="0"/>
        <v>1915.4800000000002</v>
      </c>
      <c r="L9" s="31">
        <f t="shared" si="1"/>
        <v>4925.5199999999995</v>
      </c>
      <c r="M9" s="31">
        <f t="shared" si="11"/>
        <v>5344.54</v>
      </c>
      <c r="N9" s="31">
        <v>5344.53</v>
      </c>
      <c r="O9" s="32">
        <f t="shared" si="12"/>
        <v>962.02</v>
      </c>
      <c r="P9" s="32">
        <f t="shared" si="13"/>
        <v>4382.51</v>
      </c>
      <c r="Q9" s="32">
        <f t="shared" si="2"/>
        <v>219125.5</v>
      </c>
      <c r="R9" s="33">
        <v>77.5</v>
      </c>
      <c r="S9" s="32">
        <f t="shared" si="14"/>
        <v>3875</v>
      </c>
      <c r="T9" s="34">
        <v>4596.29</v>
      </c>
      <c r="U9" s="32">
        <f t="shared" si="15"/>
        <v>229814.5</v>
      </c>
      <c r="V9" s="32">
        <f t="shared" si="16"/>
        <v>310000</v>
      </c>
      <c r="W9" s="32">
        <f t="shared" si="17"/>
        <v>80185.5</v>
      </c>
      <c r="X9" s="24"/>
      <c r="Y9" s="91">
        <f t="shared" si="3"/>
        <v>22</v>
      </c>
      <c r="Z9" s="53">
        <f t="shared" si="18"/>
        <v>28</v>
      </c>
      <c r="AA9" s="53">
        <f t="shared" si="4"/>
        <v>128696.12</v>
      </c>
      <c r="AB9" s="53">
        <f t="shared" si="5"/>
        <v>1705</v>
      </c>
      <c r="AC9" s="53">
        <f t="shared" si="19"/>
        <v>2170</v>
      </c>
      <c r="AD9" s="53">
        <f t="shared" si="6"/>
        <v>37839.119999999995</v>
      </c>
      <c r="AE9" s="33"/>
      <c r="AF9" s="80">
        <f t="shared" si="20"/>
        <v>0</v>
      </c>
      <c r="AG9" s="80">
        <f t="shared" si="21"/>
        <v>0</v>
      </c>
      <c r="AH9" s="32">
        <f t="shared" si="22"/>
        <v>0</v>
      </c>
      <c r="AI9" s="33">
        <v>4</v>
      </c>
      <c r="AJ9" s="80">
        <f t="shared" si="23"/>
        <v>18385.16</v>
      </c>
      <c r="AK9" s="80">
        <f t="shared" si="7"/>
        <v>310</v>
      </c>
      <c r="AL9" s="32">
        <f t="shared" si="24"/>
        <v>6879.84</v>
      </c>
      <c r="AM9" s="101">
        <f>18</f>
        <v>18</v>
      </c>
      <c r="AN9" s="80">
        <f t="shared" si="8"/>
        <v>82733.22</v>
      </c>
      <c r="AO9" s="80">
        <f t="shared" si="25"/>
        <v>77.5</v>
      </c>
      <c r="AP9" s="80">
        <f t="shared" si="9"/>
        <v>1395</v>
      </c>
      <c r="AQ9" s="81">
        <f t="shared" si="10"/>
        <v>30959.279999999999</v>
      </c>
      <c r="AR9" s="90"/>
      <c r="AS9" s="89"/>
      <c r="AT9" s="89"/>
      <c r="AU9" s="89"/>
    </row>
    <row r="10" spans="1:47" ht="27" x14ac:dyDescent="0.2">
      <c r="A10" s="23">
        <v>9</v>
      </c>
      <c r="B10" s="24" t="s">
        <v>43</v>
      </c>
      <c r="C10" s="25" t="s">
        <v>55</v>
      </c>
      <c r="D10" s="24" t="s">
        <v>52</v>
      </c>
      <c r="E10" s="26" t="s">
        <v>57</v>
      </c>
      <c r="F10" s="26" t="s">
        <v>34</v>
      </c>
      <c r="G10" s="62">
        <v>25</v>
      </c>
      <c r="H10" s="27">
        <v>25</v>
      </c>
      <c r="I10" s="28">
        <v>0.28000000000000003</v>
      </c>
      <c r="J10" s="29">
        <v>19054</v>
      </c>
      <c r="K10" s="30">
        <f t="shared" si="0"/>
        <v>5335.1200000000008</v>
      </c>
      <c r="L10" s="31">
        <f t="shared" si="1"/>
        <v>13718.88</v>
      </c>
      <c r="M10" s="31">
        <f t="shared" si="11"/>
        <v>14885.94</v>
      </c>
      <c r="N10" s="31">
        <v>14885.94</v>
      </c>
      <c r="O10" s="32">
        <f t="shared" si="12"/>
        <v>2679.4700000000003</v>
      </c>
      <c r="P10" s="32">
        <f t="shared" si="13"/>
        <v>12206.470000000001</v>
      </c>
      <c r="Q10" s="32">
        <f t="shared" si="2"/>
        <v>305161.75</v>
      </c>
      <c r="R10" s="33">
        <v>179.18</v>
      </c>
      <c r="S10" s="32">
        <f>ROUNDUP(R10*H10,0)</f>
        <v>4480</v>
      </c>
      <c r="T10" s="34">
        <v>12838.49</v>
      </c>
      <c r="U10" s="32">
        <f t="shared" si="15"/>
        <v>320962.25</v>
      </c>
      <c r="V10" s="32">
        <f t="shared" si="16"/>
        <v>358400</v>
      </c>
      <c r="W10" s="32">
        <f t="shared" si="17"/>
        <v>37437.75</v>
      </c>
      <c r="X10" s="36"/>
      <c r="Y10" s="91">
        <f t="shared" si="3"/>
        <v>20</v>
      </c>
      <c r="Z10" s="53">
        <f t="shared" si="18"/>
        <v>5</v>
      </c>
      <c r="AA10" s="53">
        <f t="shared" si="4"/>
        <v>64192.450000000012</v>
      </c>
      <c r="AB10" s="53">
        <f t="shared" si="5"/>
        <v>3583.6000000000004</v>
      </c>
      <c r="AC10" s="53">
        <f t="shared" si="19"/>
        <v>896.39999999999964</v>
      </c>
      <c r="AD10" s="53">
        <f t="shared" si="6"/>
        <v>35293.600000000035</v>
      </c>
      <c r="AE10" s="33"/>
      <c r="AF10" s="80">
        <f t="shared" si="20"/>
        <v>0</v>
      </c>
      <c r="AG10" s="80">
        <f t="shared" si="21"/>
        <v>0</v>
      </c>
      <c r="AH10" s="32">
        <f t="shared" si="22"/>
        <v>0</v>
      </c>
      <c r="AI10" s="33">
        <f>4+6</f>
        <v>10</v>
      </c>
      <c r="AJ10" s="80">
        <f t="shared" si="23"/>
        <v>128384.9</v>
      </c>
      <c r="AK10" s="80">
        <f t="shared" si="7"/>
        <v>1791.8000000000002</v>
      </c>
      <c r="AL10" s="32">
        <f t="shared" si="24"/>
        <v>17646.800000000017</v>
      </c>
      <c r="AM10" s="101">
        <v>10</v>
      </c>
      <c r="AN10" s="80">
        <f t="shared" si="8"/>
        <v>128384.9</v>
      </c>
      <c r="AO10" s="80">
        <f t="shared" si="25"/>
        <v>179.18</v>
      </c>
      <c r="AP10" s="80">
        <f t="shared" si="9"/>
        <v>1791.8000000000002</v>
      </c>
      <c r="AQ10" s="81">
        <f t="shared" si="10"/>
        <v>17646.800000000017</v>
      </c>
      <c r="AR10" s="90"/>
      <c r="AS10" s="89"/>
      <c r="AT10" s="89"/>
      <c r="AU10" s="89"/>
    </row>
    <row r="11" spans="1:47" ht="27" x14ac:dyDescent="0.2">
      <c r="A11" s="23">
        <v>10</v>
      </c>
      <c r="B11" s="24" t="s">
        <v>43</v>
      </c>
      <c r="C11" s="25" t="s">
        <v>58</v>
      </c>
      <c r="D11" s="24" t="s">
        <v>59</v>
      </c>
      <c r="E11" s="26" t="s">
        <v>33</v>
      </c>
      <c r="F11" s="26" t="s">
        <v>34</v>
      </c>
      <c r="G11" s="62">
        <v>200</v>
      </c>
      <c r="H11" s="27">
        <v>200</v>
      </c>
      <c r="I11" s="28">
        <v>0.18</v>
      </c>
      <c r="J11" s="29">
        <v>925</v>
      </c>
      <c r="K11" s="30">
        <f t="shared" si="0"/>
        <v>166.5</v>
      </c>
      <c r="L11" s="31">
        <f t="shared" si="1"/>
        <v>758.5</v>
      </c>
      <c r="M11" s="31">
        <f t="shared" si="11"/>
        <v>783.9</v>
      </c>
      <c r="N11" s="31">
        <v>722.66</v>
      </c>
      <c r="O11" s="32">
        <f t="shared" si="12"/>
        <v>130.07999999999998</v>
      </c>
      <c r="P11" s="32">
        <f t="shared" si="13"/>
        <v>592.57999999999993</v>
      </c>
      <c r="Q11" s="32">
        <f t="shared" si="2"/>
        <v>118515.99999999999</v>
      </c>
      <c r="R11" s="33">
        <v>10.51</v>
      </c>
      <c r="S11" s="32">
        <f t="shared" si="14"/>
        <v>2102</v>
      </c>
      <c r="T11" s="34">
        <v>664.36</v>
      </c>
      <c r="U11" s="32">
        <f t="shared" si="15"/>
        <v>132872</v>
      </c>
      <c r="V11" s="32">
        <f t="shared" si="16"/>
        <v>168160</v>
      </c>
      <c r="W11" s="32">
        <f t="shared" si="17"/>
        <v>35288</v>
      </c>
      <c r="X11" s="36"/>
      <c r="Y11" s="91">
        <f t="shared" si="3"/>
        <v>160</v>
      </c>
      <c r="Z11" s="53">
        <f t="shared" si="18"/>
        <v>40</v>
      </c>
      <c r="AA11" s="53">
        <f t="shared" si="4"/>
        <v>26574.399999999994</v>
      </c>
      <c r="AB11" s="53">
        <f t="shared" si="5"/>
        <v>1681.6</v>
      </c>
      <c r="AC11" s="53">
        <f t="shared" si="19"/>
        <v>420.40000000000009</v>
      </c>
      <c r="AD11" s="53">
        <f t="shared" si="6"/>
        <v>30752.799999999988</v>
      </c>
      <c r="AE11" s="33"/>
      <c r="AF11" s="80">
        <f t="shared" si="20"/>
        <v>0</v>
      </c>
      <c r="AG11" s="80">
        <f t="shared" si="21"/>
        <v>0</v>
      </c>
      <c r="AH11" s="32">
        <f t="shared" si="22"/>
        <v>0</v>
      </c>
      <c r="AI11" s="33">
        <v>80</v>
      </c>
      <c r="AJ11" s="80">
        <f t="shared" si="23"/>
        <v>53148.800000000003</v>
      </c>
      <c r="AK11" s="80">
        <f t="shared" si="7"/>
        <v>840.8</v>
      </c>
      <c r="AL11" s="32">
        <f t="shared" si="24"/>
        <v>15376.399999999994</v>
      </c>
      <c r="AM11" s="101">
        <f>15+25+40</f>
        <v>80</v>
      </c>
      <c r="AN11" s="80">
        <f t="shared" si="8"/>
        <v>53148.800000000003</v>
      </c>
      <c r="AO11" s="80">
        <f t="shared" si="25"/>
        <v>10.51</v>
      </c>
      <c r="AP11" s="80">
        <f t="shared" si="9"/>
        <v>840.8</v>
      </c>
      <c r="AQ11" s="81">
        <f t="shared" si="10"/>
        <v>15376.399999999994</v>
      </c>
      <c r="AR11" s="90"/>
      <c r="AS11" s="89"/>
      <c r="AT11" s="89"/>
      <c r="AU11" s="89"/>
    </row>
    <row r="12" spans="1:47" ht="27" x14ac:dyDescent="0.2">
      <c r="A12" s="23">
        <v>11</v>
      </c>
      <c r="B12" s="24" t="s">
        <v>43</v>
      </c>
      <c r="C12" s="25" t="s">
        <v>60</v>
      </c>
      <c r="D12" s="24" t="s">
        <v>61</v>
      </c>
      <c r="E12" s="26" t="s">
        <v>33</v>
      </c>
      <c r="F12" s="26" t="s">
        <v>34</v>
      </c>
      <c r="G12" s="62">
        <v>50</v>
      </c>
      <c r="H12" s="27">
        <v>50</v>
      </c>
      <c r="I12" s="28">
        <v>0.28000000000000003</v>
      </c>
      <c r="J12" s="29">
        <v>3824</v>
      </c>
      <c r="K12" s="30">
        <f t="shared" si="0"/>
        <v>1070.72</v>
      </c>
      <c r="L12" s="31">
        <f t="shared" si="1"/>
        <v>2753.2799999999997</v>
      </c>
      <c r="M12" s="31">
        <f t="shared" si="11"/>
        <v>2987.5</v>
      </c>
      <c r="N12" s="31">
        <v>2987.5</v>
      </c>
      <c r="O12" s="32">
        <f t="shared" si="12"/>
        <v>537.75</v>
      </c>
      <c r="P12" s="32">
        <f t="shared" si="13"/>
        <v>2449.75</v>
      </c>
      <c r="Q12" s="32">
        <f t="shared" si="2"/>
        <v>122487.5</v>
      </c>
      <c r="R12" s="33">
        <v>40.700000000000003</v>
      </c>
      <c r="S12" s="32">
        <f t="shared" si="14"/>
        <v>2035.0000000000002</v>
      </c>
      <c r="T12" s="34">
        <v>2569.25</v>
      </c>
      <c r="U12" s="32">
        <f t="shared" si="15"/>
        <v>128462.5</v>
      </c>
      <c r="V12" s="32">
        <f t="shared" si="16"/>
        <v>162800.00000000003</v>
      </c>
      <c r="W12" s="32">
        <f t="shared" si="17"/>
        <v>34337.500000000029</v>
      </c>
      <c r="X12" s="36"/>
      <c r="Y12" s="91">
        <f t="shared" si="3"/>
        <v>30</v>
      </c>
      <c r="Z12" s="53">
        <f t="shared" si="18"/>
        <v>20</v>
      </c>
      <c r="AA12" s="53">
        <f t="shared" si="4"/>
        <v>51385</v>
      </c>
      <c r="AB12" s="53">
        <f t="shared" si="5"/>
        <v>1221</v>
      </c>
      <c r="AC12" s="53">
        <f t="shared" si="19"/>
        <v>814.00000000000023</v>
      </c>
      <c r="AD12" s="53">
        <f t="shared" si="6"/>
        <v>22434</v>
      </c>
      <c r="AE12" s="33"/>
      <c r="AF12" s="80">
        <f t="shared" si="20"/>
        <v>0</v>
      </c>
      <c r="AG12" s="80">
        <f t="shared" si="21"/>
        <v>0</v>
      </c>
      <c r="AH12" s="32">
        <f t="shared" si="22"/>
        <v>0</v>
      </c>
      <c r="AI12" s="33">
        <f>10</f>
        <v>10</v>
      </c>
      <c r="AJ12" s="80">
        <f t="shared" si="23"/>
        <v>25692.5</v>
      </c>
      <c r="AK12" s="80">
        <f t="shared" si="7"/>
        <v>407</v>
      </c>
      <c r="AL12" s="32">
        <f t="shared" si="24"/>
        <v>7478</v>
      </c>
      <c r="AM12" s="101">
        <f>10+10</f>
        <v>20</v>
      </c>
      <c r="AN12" s="80">
        <f t="shared" si="8"/>
        <v>51385</v>
      </c>
      <c r="AO12" s="80">
        <f t="shared" si="25"/>
        <v>40.700000000000003</v>
      </c>
      <c r="AP12" s="80">
        <f t="shared" si="9"/>
        <v>814</v>
      </c>
      <c r="AQ12" s="81">
        <f t="shared" si="10"/>
        <v>14956</v>
      </c>
      <c r="AR12" s="90"/>
      <c r="AS12" s="89"/>
      <c r="AT12" s="89"/>
      <c r="AU12" s="89"/>
    </row>
    <row r="13" spans="1:47" ht="27" x14ac:dyDescent="0.2">
      <c r="A13" s="23">
        <v>12</v>
      </c>
      <c r="B13" s="24" t="s">
        <v>43</v>
      </c>
      <c r="C13" s="25" t="s">
        <v>62</v>
      </c>
      <c r="D13" s="24" t="s">
        <v>63</v>
      </c>
      <c r="E13" s="26" t="s">
        <v>33</v>
      </c>
      <c r="F13" s="26" t="s">
        <v>34</v>
      </c>
      <c r="G13" s="62">
        <v>10</v>
      </c>
      <c r="H13" s="27">
        <v>10</v>
      </c>
      <c r="I13" s="28">
        <v>0.18</v>
      </c>
      <c r="J13" s="29">
        <v>2525</v>
      </c>
      <c r="K13" s="30">
        <f t="shared" si="0"/>
        <v>454.5</v>
      </c>
      <c r="L13" s="31">
        <f t="shared" si="1"/>
        <v>2070.5</v>
      </c>
      <c r="M13" s="31">
        <f t="shared" si="11"/>
        <v>2139.84</v>
      </c>
      <c r="N13" s="31">
        <v>1972.66</v>
      </c>
      <c r="O13" s="32">
        <f t="shared" si="12"/>
        <v>355.08</v>
      </c>
      <c r="P13" s="32">
        <f t="shared" si="13"/>
        <v>1617.5800000000002</v>
      </c>
      <c r="Q13" s="32">
        <f t="shared" si="2"/>
        <v>16175.800000000001</v>
      </c>
      <c r="R13" s="33">
        <v>28.15</v>
      </c>
      <c r="S13" s="32">
        <f>ROUND(R13*H13,0)</f>
        <v>282</v>
      </c>
      <c r="T13" s="34">
        <v>1813.51</v>
      </c>
      <c r="U13" s="32">
        <f t="shared" si="15"/>
        <v>18135.099999999999</v>
      </c>
      <c r="V13" s="32">
        <f t="shared" si="16"/>
        <v>22560</v>
      </c>
      <c r="W13" s="32">
        <f t="shared" si="17"/>
        <v>4424.9000000000015</v>
      </c>
      <c r="X13" s="24"/>
      <c r="Y13" s="91">
        <f t="shared" si="3"/>
        <v>10</v>
      </c>
      <c r="Z13" s="53">
        <f t="shared" si="18"/>
        <v>0</v>
      </c>
      <c r="AA13" s="53">
        <f t="shared" si="4"/>
        <v>0</v>
      </c>
      <c r="AB13" s="53">
        <f t="shared" si="5"/>
        <v>281.5</v>
      </c>
      <c r="AC13" s="53">
        <f t="shared" si="19"/>
        <v>0.5</v>
      </c>
      <c r="AD13" s="53">
        <f t="shared" si="6"/>
        <v>4807.1500000000015</v>
      </c>
      <c r="AE13" s="33"/>
      <c r="AF13" s="80">
        <f t="shared" si="20"/>
        <v>0</v>
      </c>
      <c r="AG13" s="80">
        <f t="shared" si="21"/>
        <v>0</v>
      </c>
      <c r="AH13" s="32">
        <f t="shared" si="22"/>
        <v>0</v>
      </c>
      <c r="AI13" s="33"/>
      <c r="AJ13" s="80">
        <f t="shared" si="23"/>
        <v>0</v>
      </c>
      <c r="AK13" s="80">
        <f t="shared" si="7"/>
        <v>0</v>
      </c>
      <c r="AL13" s="32">
        <f t="shared" si="24"/>
        <v>0</v>
      </c>
      <c r="AM13" s="101">
        <f>5+5</f>
        <v>10</v>
      </c>
      <c r="AN13" s="80">
        <f t="shared" si="8"/>
        <v>18135.099999999999</v>
      </c>
      <c r="AO13" s="80">
        <f t="shared" si="25"/>
        <v>28.15</v>
      </c>
      <c r="AP13" s="80">
        <f t="shared" si="9"/>
        <v>281.5</v>
      </c>
      <c r="AQ13" s="81">
        <f t="shared" si="10"/>
        <v>4807.1500000000015</v>
      </c>
      <c r="AR13" s="90"/>
      <c r="AS13" s="89"/>
      <c r="AT13" s="89"/>
      <c r="AU13" s="89"/>
    </row>
    <row r="14" spans="1:47" ht="27" x14ac:dyDescent="0.2">
      <c r="A14" s="23">
        <v>15</v>
      </c>
      <c r="B14" s="24" t="s">
        <v>43</v>
      </c>
      <c r="C14" s="25" t="s">
        <v>66</v>
      </c>
      <c r="D14" s="24" t="s">
        <v>67</v>
      </c>
      <c r="E14" s="26" t="s">
        <v>68</v>
      </c>
      <c r="F14" s="26" t="s">
        <v>34</v>
      </c>
      <c r="G14" s="62">
        <v>50</v>
      </c>
      <c r="H14" s="27">
        <v>50</v>
      </c>
      <c r="I14" s="28">
        <v>0.28000000000000003</v>
      </c>
      <c r="J14" s="29">
        <v>5561</v>
      </c>
      <c r="K14" s="30">
        <f t="shared" si="0"/>
        <v>1557.0800000000002</v>
      </c>
      <c r="L14" s="31">
        <f t="shared" si="1"/>
        <v>4003.92</v>
      </c>
      <c r="M14" s="31">
        <f t="shared" si="11"/>
        <v>4344.54</v>
      </c>
      <c r="N14" s="31">
        <v>4344.53</v>
      </c>
      <c r="O14" s="32">
        <f t="shared" si="12"/>
        <v>782.02</v>
      </c>
      <c r="P14" s="32">
        <f t="shared" si="13"/>
        <v>3562.5099999999998</v>
      </c>
      <c r="Q14" s="32">
        <f t="shared" si="2"/>
        <v>178125.5</v>
      </c>
      <c r="R14" s="33">
        <v>61.5</v>
      </c>
      <c r="S14" s="32">
        <f t="shared" si="14"/>
        <v>3075</v>
      </c>
      <c r="T14" s="34">
        <v>3736.29</v>
      </c>
      <c r="U14" s="32">
        <f t="shared" si="15"/>
        <v>186814.5</v>
      </c>
      <c r="V14" s="32">
        <f t="shared" si="16"/>
        <v>246000</v>
      </c>
      <c r="W14" s="32">
        <f t="shared" si="17"/>
        <v>59185.5</v>
      </c>
      <c r="X14" s="24"/>
      <c r="Y14" s="91">
        <f t="shared" si="3"/>
        <v>40</v>
      </c>
      <c r="Z14" s="53">
        <f t="shared" si="18"/>
        <v>10</v>
      </c>
      <c r="AA14" s="53">
        <f t="shared" si="4"/>
        <v>37362.900000000009</v>
      </c>
      <c r="AB14" s="53">
        <f t="shared" si="5"/>
        <v>2460</v>
      </c>
      <c r="AC14" s="53">
        <f t="shared" si="19"/>
        <v>615</v>
      </c>
      <c r="AD14" s="53">
        <f t="shared" si="6"/>
        <v>51038.400000000001</v>
      </c>
      <c r="AE14" s="33"/>
      <c r="AF14" s="80">
        <f t="shared" si="20"/>
        <v>0</v>
      </c>
      <c r="AG14" s="80">
        <f t="shared" si="21"/>
        <v>0</v>
      </c>
      <c r="AH14" s="32">
        <f t="shared" si="22"/>
        <v>0</v>
      </c>
      <c r="AI14" s="33">
        <f>10</f>
        <v>10</v>
      </c>
      <c r="AJ14" s="80">
        <f t="shared" si="23"/>
        <v>37362.9</v>
      </c>
      <c r="AK14" s="80">
        <f t="shared" si="7"/>
        <v>615</v>
      </c>
      <c r="AL14" s="32">
        <f t="shared" si="24"/>
        <v>12759.599999999999</v>
      </c>
      <c r="AM14" s="101">
        <f>5+17+8</f>
        <v>30</v>
      </c>
      <c r="AN14" s="80">
        <f t="shared" si="8"/>
        <v>112088.7</v>
      </c>
      <c r="AO14" s="80">
        <f t="shared" si="25"/>
        <v>61.5</v>
      </c>
      <c r="AP14" s="80">
        <f t="shared" si="9"/>
        <v>1845</v>
      </c>
      <c r="AQ14" s="81">
        <f t="shared" si="10"/>
        <v>38278.800000000003</v>
      </c>
      <c r="AR14" s="90"/>
      <c r="AS14" s="89"/>
      <c r="AT14" s="89"/>
      <c r="AU14" s="89"/>
    </row>
    <row r="15" spans="1:47" ht="27" x14ac:dyDescent="0.2">
      <c r="A15" s="23">
        <v>16</v>
      </c>
      <c r="B15" s="24" t="s">
        <v>43</v>
      </c>
      <c r="C15" s="37" t="s">
        <v>69</v>
      </c>
      <c r="D15" s="24" t="s">
        <v>70</v>
      </c>
      <c r="E15" s="26" t="s">
        <v>71</v>
      </c>
      <c r="F15" s="26" t="s">
        <v>34</v>
      </c>
      <c r="G15" s="62">
        <v>50</v>
      </c>
      <c r="H15" s="27">
        <v>50</v>
      </c>
      <c r="I15" s="28">
        <v>0.18</v>
      </c>
      <c r="J15" s="29">
        <v>33</v>
      </c>
      <c r="K15" s="30">
        <f t="shared" si="0"/>
        <v>5.9399999999999995</v>
      </c>
      <c r="L15" s="31">
        <f t="shared" si="1"/>
        <v>27.060000000000002</v>
      </c>
      <c r="M15" s="31">
        <f t="shared" si="11"/>
        <v>27.970000000000002</v>
      </c>
      <c r="N15" s="31">
        <v>27.97</v>
      </c>
      <c r="O15" s="32">
        <f t="shared" si="12"/>
        <v>5.04</v>
      </c>
      <c r="P15" s="32">
        <f t="shared" si="13"/>
        <v>22.93</v>
      </c>
      <c r="Q15" s="32">
        <f t="shared" si="2"/>
        <v>1146.5</v>
      </c>
      <c r="R15" s="33">
        <v>0.36</v>
      </c>
      <c r="S15" s="32">
        <f t="shared" si="14"/>
        <v>18</v>
      </c>
      <c r="T15" s="34">
        <v>23.7</v>
      </c>
      <c r="U15" s="32">
        <f t="shared" si="15"/>
        <v>1185</v>
      </c>
      <c r="V15" s="32">
        <f t="shared" si="16"/>
        <v>1440</v>
      </c>
      <c r="W15" s="32">
        <f t="shared" si="17"/>
        <v>255</v>
      </c>
      <c r="X15" s="24"/>
      <c r="Y15" s="91">
        <f t="shared" si="3"/>
        <v>50</v>
      </c>
      <c r="Z15" s="53">
        <f t="shared" si="18"/>
        <v>0</v>
      </c>
      <c r="AA15" s="53">
        <f t="shared" si="4"/>
        <v>0</v>
      </c>
      <c r="AB15" s="53">
        <f t="shared" si="5"/>
        <v>18</v>
      </c>
      <c r="AC15" s="53">
        <f t="shared" si="19"/>
        <v>0</v>
      </c>
      <c r="AD15" s="53">
        <f t="shared" si="6"/>
        <v>281.99999999999989</v>
      </c>
      <c r="AE15" s="33">
        <v>20</v>
      </c>
      <c r="AF15" s="80">
        <f t="shared" si="20"/>
        <v>474</v>
      </c>
      <c r="AG15" s="80">
        <f t="shared" si="21"/>
        <v>7.1999999999999993</v>
      </c>
      <c r="AH15" s="32">
        <f t="shared" si="22"/>
        <v>112.79999999999995</v>
      </c>
      <c r="AI15" s="33"/>
      <c r="AJ15" s="80">
        <f t="shared" si="23"/>
        <v>0</v>
      </c>
      <c r="AK15" s="80">
        <f t="shared" si="7"/>
        <v>0</v>
      </c>
      <c r="AL15" s="32">
        <f t="shared" si="24"/>
        <v>0</v>
      </c>
      <c r="AM15" s="101">
        <v>30</v>
      </c>
      <c r="AN15" s="80">
        <f t="shared" si="8"/>
        <v>711</v>
      </c>
      <c r="AO15" s="80">
        <f t="shared" si="25"/>
        <v>0.36</v>
      </c>
      <c r="AP15" s="80">
        <f t="shared" si="9"/>
        <v>10.799999999999999</v>
      </c>
      <c r="AQ15" s="81">
        <f t="shared" si="10"/>
        <v>169.19999999999993</v>
      </c>
      <c r="AR15" s="90"/>
      <c r="AS15" s="89"/>
      <c r="AT15" s="89"/>
      <c r="AU15" s="89"/>
    </row>
    <row r="16" spans="1:47" ht="27" x14ac:dyDescent="0.2">
      <c r="A16" s="23">
        <v>17</v>
      </c>
      <c r="B16" s="24" t="s">
        <v>43</v>
      </c>
      <c r="C16" s="25" t="s">
        <v>72</v>
      </c>
      <c r="D16" s="24" t="s">
        <v>73</v>
      </c>
      <c r="E16" s="26" t="s">
        <v>33</v>
      </c>
      <c r="F16" s="26" t="s">
        <v>34</v>
      </c>
      <c r="G16" s="62">
        <v>10</v>
      </c>
      <c r="H16" s="27">
        <v>10</v>
      </c>
      <c r="I16" s="28">
        <v>0.18</v>
      </c>
      <c r="J16" s="29">
        <v>28224</v>
      </c>
      <c r="K16" s="30">
        <f t="shared" si="0"/>
        <v>5080.32</v>
      </c>
      <c r="L16" s="31">
        <f t="shared" si="1"/>
        <v>23143.68</v>
      </c>
      <c r="M16" s="31">
        <f t="shared" si="11"/>
        <v>23918.649999999998</v>
      </c>
      <c r="N16" s="31">
        <v>22050</v>
      </c>
      <c r="O16" s="32">
        <f t="shared" si="12"/>
        <v>3969</v>
      </c>
      <c r="P16" s="32">
        <f t="shared" si="13"/>
        <v>18081</v>
      </c>
      <c r="Q16" s="32">
        <f t="shared" si="2"/>
        <v>180810</v>
      </c>
      <c r="R16" s="33">
        <v>306.55</v>
      </c>
      <c r="S16" s="32">
        <f>ROUNDUP(R16*H16,0)</f>
        <v>3066</v>
      </c>
      <c r="T16" s="34">
        <v>20271.05</v>
      </c>
      <c r="U16" s="32">
        <f t="shared" si="15"/>
        <v>202710.5</v>
      </c>
      <c r="V16" s="32">
        <f t="shared" si="16"/>
        <v>245280</v>
      </c>
      <c r="W16" s="32">
        <f t="shared" si="17"/>
        <v>42569.5</v>
      </c>
      <c r="X16" s="24"/>
      <c r="Y16" s="91">
        <f t="shared" si="3"/>
        <v>8</v>
      </c>
      <c r="Z16" s="53">
        <f t="shared" si="18"/>
        <v>2</v>
      </c>
      <c r="AA16" s="53">
        <f t="shared" si="4"/>
        <v>40542.100000000006</v>
      </c>
      <c r="AB16" s="53">
        <f t="shared" si="5"/>
        <v>2452.4</v>
      </c>
      <c r="AC16" s="53">
        <f t="shared" si="19"/>
        <v>613.59999999999991</v>
      </c>
      <c r="AD16" s="53">
        <f t="shared" si="6"/>
        <v>37702.200000000012</v>
      </c>
      <c r="AE16" s="33"/>
      <c r="AF16" s="80">
        <f t="shared" si="20"/>
        <v>0</v>
      </c>
      <c r="AG16" s="80">
        <f t="shared" si="21"/>
        <v>0</v>
      </c>
      <c r="AH16" s="32">
        <f t="shared" si="22"/>
        <v>0</v>
      </c>
      <c r="AI16" s="33">
        <f>2+2</f>
        <v>4</v>
      </c>
      <c r="AJ16" s="80">
        <f t="shared" si="23"/>
        <v>81084.2</v>
      </c>
      <c r="AK16" s="80">
        <f t="shared" si="7"/>
        <v>1226.2</v>
      </c>
      <c r="AL16" s="32">
        <f t="shared" si="24"/>
        <v>18851.100000000006</v>
      </c>
      <c r="AM16" s="101">
        <f>1+1+1+1</f>
        <v>4</v>
      </c>
      <c r="AN16" s="80">
        <f t="shared" si="8"/>
        <v>81084.2</v>
      </c>
      <c r="AO16" s="80">
        <f t="shared" si="25"/>
        <v>306.55</v>
      </c>
      <c r="AP16" s="80">
        <f t="shared" si="9"/>
        <v>1226.2</v>
      </c>
      <c r="AQ16" s="81">
        <f t="shared" si="10"/>
        <v>18851.100000000006</v>
      </c>
      <c r="AR16" s="90"/>
      <c r="AS16" s="89"/>
      <c r="AT16" s="89"/>
      <c r="AU16" s="89"/>
    </row>
    <row r="17" spans="1:47" ht="27" x14ac:dyDescent="0.2">
      <c r="A17" s="23">
        <v>18</v>
      </c>
      <c r="B17" s="24" t="s">
        <v>43</v>
      </c>
      <c r="C17" s="25" t="s">
        <v>74</v>
      </c>
      <c r="D17" s="24" t="s">
        <v>75</v>
      </c>
      <c r="E17" s="26" t="s">
        <v>33</v>
      </c>
      <c r="F17" s="26" t="s">
        <v>34</v>
      </c>
      <c r="G17" s="62">
        <v>200</v>
      </c>
      <c r="H17" s="27">
        <v>200</v>
      </c>
      <c r="I17" s="28">
        <v>0.18</v>
      </c>
      <c r="J17" s="29">
        <v>922</v>
      </c>
      <c r="K17" s="30">
        <f t="shared" si="0"/>
        <v>165.96</v>
      </c>
      <c r="L17" s="31">
        <f t="shared" si="1"/>
        <v>756.04</v>
      </c>
      <c r="M17" s="31">
        <f t="shared" si="11"/>
        <v>781.36</v>
      </c>
      <c r="N17" s="31">
        <v>720.31</v>
      </c>
      <c r="O17" s="32">
        <f t="shared" si="12"/>
        <v>129.66</v>
      </c>
      <c r="P17" s="32">
        <f t="shared" si="13"/>
        <v>590.65</v>
      </c>
      <c r="Q17" s="32">
        <f t="shared" si="2"/>
        <v>118130</v>
      </c>
      <c r="R17" s="33">
        <v>9.8000000000000007</v>
      </c>
      <c r="S17" s="32">
        <f t="shared" si="14"/>
        <v>1960.0000000000002</v>
      </c>
      <c r="T17" s="34">
        <v>662.2</v>
      </c>
      <c r="U17" s="32">
        <f t="shared" si="15"/>
        <v>132440</v>
      </c>
      <c r="V17" s="32">
        <f t="shared" si="16"/>
        <v>156800.00000000003</v>
      </c>
      <c r="W17" s="32">
        <f t="shared" si="17"/>
        <v>24360.000000000029</v>
      </c>
      <c r="X17" s="24"/>
      <c r="Y17" s="91">
        <f t="shared" si="3"/>
        <v>170</v>
      </c>
      <c r="Z17" s="53">
        <f t="shared" si="18"/>
        <v>30</v>
      </c>
      <c r="AA17" s="53">
        <f t="shared" si="4"/>
        <v>19866</v>
      </c>
      <c r="AB17" s="53">
        <f t="shared" si="5"/>
        <v>1666</v>
      </c>
      <c r="AC17" s="53">
        <f t="shared" si="19"/>
        <v>294.00000000000023</v>
      </c>
      <c r="AD17" s="53">
        <f t="shared" si="6"/>
        <v>23205.000000000007</v>
      </c>
      <c r="AE17" s="33">
        <v>50</v>
      </c>
      <c r="AF17" s="80">
        <f t="shared" si="20"/>
        <v>33110</v>
      </c>
      <c r="AG17" s="80">
        <f t="shared" si="21"/>
        <v>490.00000000000006</v>
      </c>
      <c r="AH17" s="32">
        <f t="shared" si="22"/>
        <v>6825.0000000000073</v>
      </c>
      <c r="AI17" s="33">
        <f>30+30</f>
        <v>60</v>
      </c>
      <c r="AJ17" s="80">
        <f t="shared" si="23"/>
        <v>39732</v>
      </c>
      <c r="AK17" s="80">
        <f t="shared" si="7"/>
        <v>588</v>
      </c>
      <c r="AL17" s="32">
        <f t="shared" si="24"/>
        <v>8190</v>
      </c>
      <c r="AM17" s="101">
        <f>30+30</f>
        <v>60</v>
      </c>
      <c r="AN17" s="80">
        <f t="shared" si="8"/>
        <v>39732</v>
      </c>
      <c r="AO17" s="80">
        <f t="shared" si="25"/>
        <v>9.8000000000000007</v>
      </c>
      <c r="AP17" s="80">
        <f t="shared" si="9"/>
        <v>588</v>
      </c>
      <c r="AQ17" s="81">
        <f t="shared" si="10"/>
        <v>8190</v>
      </c>
      <c r="AR17" s="90"/>
      <c r="AS17" s="89"/>
      <c r="AT17" s="89"/>
      <c r="AU17" s="89"/>
    </row>
    <row r="18" spans="1:47" ht="27" x14ac:dyDescent="0.2">
      <c r="A18" s="23">
        <v>19</v>
      </c>
      <c r="B18" s="24" t="s">
        <v>43</v>
      </c>
      <c r="C18" s="25" t="s">
        <v>76</v>
      </c>
      <c r="D18" s="24" t="s">
        <v>77</v>
      </c>
      <c r="E18" s="26" t="s">
        <v>33</v>
      </c>
      <c r="F18" s="26" t="s">
        <v>34</v>
      </c>
      <c r="G18" s="62">
        <v>50</v>
      </c>
      <c r="H18" s="27">
        <v>50</v>
      </c>
      <c r="I18" s="28">
        <v>0.18</v>
      </c>
      <c r="J18" s="29">
        <v>5298</v>
      </c>
      <c r="K18" s="30">
        <f t="shared" si="0"/>
        <v>953.64</v>
      </c>
      <c r="L18" s="31">
        <f t="shared" si="1"/>
        <v>4344.3599999999997</v>
      </c>
      <c r="M18" s="31">
        <f t="shared" si="11"/>
        <v>4489.84</v>
      </c>
      <c r="N18" s="31">
        <v>4139.0600000000004</v>
      </c>
      <c r="O18" s="32">
        <f t="shared" si="12"/>
        <v>745.04</v>
      </c>
      <c r="P18" s="32">
        <f t="shared" si="13"/>
        <v>3394.0200000000004</v>
      </c>
      <c r="Q18" s="32">
        <f t="shared" si="2"/>
        <v>169701.00000000003</v>
      </c>
      <c r="R18" s="33">
        <v>56.27</v>
      </c>
      <c r="S18" s="32">
        <f>ROUNDUP(R18*H18,0)</f>
        <v>2814</v>
      </c>
      <c r="T18" s="34">
        <v>3805.13</v>
      </c>
      <c r="U18" s="32">
        <f t="shared" si="15"/>
        <v>190256.5</v>
      </c>
      <c r="V18" s="32">
        <f t="shared" si="16"/>
        <v>225120</v>
      </c>
      <c r="W18" s="32">
        <f t="shared" si="17"/>
        <v>34863.5</v>
      </c>
      <c r="X18" s="24"/>
      <c r="Y18" s="91">
        <f t="shared" si="3"/>
        <v>38</v>
      </c>
      <c r="Z18" s="53">
        <f t="shared" si="18"/>
        <v>12</v>
      </c>
      <c r="AA18" s="53">
        <f t="shared" si="4"/>
        <v>45661.56</v>
      </c>
      <c r="AB18" s="53">
        <f t="shared" si="5"/>
        <v>2138.2600000000002</v>
      </c>
      <c r="AC18" s="53">
        <f t="shared" si="19"/>
        <v>675.73999999999978</v>
      </c>
      <c r="AD18" s="53">
        <f t="shared" si="6"/>
        <v>29673.25</v>
      </c>
      <c r="AE18" s="33"/>
      <c r="AF18" s="80">
        <f t="shared" si="20"/>
        <v>0</v>
      </c>
      <c r="AG18" s="80">
        <f t="shared" si="21"/>
        <v>0</v>
      </c>
      <c r="AH18" s="32">
        <f t="shared" si="22"/>
        <v>0</v>
      </c>
      <c r="AI18" s="33">
        <f>10+8</f>
        <v>18</v>
      </c>
      <c r="AJ18" s="80">
        <f t="shared" si="23"/>
        <v>68492.34</v>
      </c>
      <c r="AK18" s="80">
        <f t="shared" si="7"/>
        <v>1012.86</v>
      </c>
      <c r="AL18" s="32">
        <f t="shared" si="24"/>
        <v>14055.75</v>
      </c>
      <c r="AM18" s="101">
        <f>10+10</f>
        <v>20</v>
      </c>
      <c r="AN18" s="80">
        <f t="shared" si="8"/>
        <v>76102.600000000006</v>
      </c>
      <c r="AO18" s="80">
        <f t="shared" si="25"/>
        <v>56.27</v>
      </c>
      <c r="AP18" s="80">
        <f t="shared" si="9"/>
        <v>1125.4000000000001</v>
      </c>
      <c r="AQ18" s="81">
        <f t="shared" si="10"/>
        <v>15617.5</v>
      </c>
      <c r="AR18" s="90"/>
      <c r="AS18" s="89"/>
      <c r="AT18" s="89"/>
      <c r="AU18" s="89"/>
    </row>
    <row r="19" spans="1:47" x14ac:dyDescent="0.2">
      <c r="A19" s="23">
        <v>20</v>
      </c>
      <c r="B19" s="24" t="s">
        <v>78</v>
      </c>
      <c r="C19" s="25" t="s">
        <v>79</v>
      </c>
      <c r="D19" s="24" t="s">
        <v>80</v>
      </c>
      <c r="E19" s="26" t="s">
        <v>81</v>
      </c>
      <c r="F19" s="26" t="s">
        <v>34</v>
      </c>
      <c r="G19" s="62">
        <v>12</v>
      </c>
      <c r="H19" s="27">
        <v>12</v>
      </c>
      <c r="I19" s="28">
        <v>0.28000000000000003</v>
      </c>
      <c r="J19" s="29">
        <v>16217</v>
      </c>
      <c r="K19" s="30">
        <f t="shared" si="0"/>
        <v>4540.76</v>
      </c>
      <c r="L19" s="31">
        <f t="shared" si="1"/>
        <v>11676.24</v>
      </c>
      <c r="M19" s="31">
        <f t="shared" si="11"/>
        <v>12669.54</v>
      </c>
      <c r="N19" s="31">
        <v>12669.53</v>
      </c>
      <c r="O19" s="32">
        <f t="shared" si="12"/>
        <v>2280.5200000000004</v>
      </c>
      <c r="P19" s="32">
        <f t="shared" si="13"/>
        <v>10389.01</v>
      </c>
      <c r="Q19" s="32">
        <f t="shared" si="2"/>
        <v>124668.12</v>
      </c>
      <c r="R19" s="33">
        <v>175.5</v>
      </c>
      <c r="S19" s="32">
        <f t="shared" ref="S19:S60" si="26">ROUNDUP(R19*H19,0)</f>
        <v>2106</v>
      </c>
      <c r="T19" s="34">
        <v>10895.79</v>
      </c>
      <c r="U19" s="32">
        <f t="shared" si="15"/>
        <v>130749.48000000001</v>
      </c>
      <c r="V19" s="32">
        <f t="shared" si="16"/>
        <v>168480</v>
      </c>
      <c r="W19" s="32">
        <f t="shared" si="17"/>
        <v>37730.51999999999</v>
      </c>
      <c r="X19" s="24"/>
      <c r="Y19" s="91">
        <f t="shared" si="3"/>
        <v>12</v>
      </c>
      <c r="Z19" s="53">
        <f t="shared" si="18"/>
        <v>0</v>
      </c>
      <c r="AA19" s="53">
        <f t="shared" si="4"/>
        <v>0</v>
      </c>
      <c r="AB19" s="53">
        <f t="shared" si="5"/>
        <v>2106</v>
      </c>
      <c r="AC19" s="53">
        <f t="shared" si="19"/>
        <v>0</v>
      </c>
      <c r="AD19" s="53">
        <f t="shared" si="6"/>
        <v>40889.51999999999</v>
      </c>
      <c r="AE19" s="33"/>
      <c r="AF19" s="80">
        <f t="shared" si="20"/>
        <v>0</v>
      </c>
      <c r="AG19" s="80">
        <f t="shared" si="21"/>
        <v>0</v>
      </c>
      <c r="AH19" s="32">
        <f t="shared" si="22"/>
        <v>0</v>
      </c>
      <c r="AI19" s="33">
        <v>4</v>
      </c>
      <c r="AJ19" s="80">
        <f t="shared" si="23"/>
        <v>43583.16</v>
      </c>
      <c r="AK19" s="80">
        <f t="shared" si="7"/>
        <v>702</v>
      </c>
      <c r="AL19" s="32">
        <f t="shared" si="24"/>
        <v>13629.839999999997</v>
      </c>
      <c r="AM19" s="101">
        <v>8</v>
      </c>
      <c r="AN19" s="80">
        <f t="shared" si="8"/>
        <v>87166.32</v>
      </c>
      <c r="AO19" s="80">
        <f t="shared" si="25"/>
        <v>175.5</v>
      </c>
      <c r="AP19" s="80">
        <f t="shared" si="9"/>
        <v>1404</v>
      </c>
      <c r="AQ19" s="81">
        <f t="shared" si="10"/>
        <v>27259.679999999993</v>
      </c>
      <c r="AR19" s="90"/>
      <c r="AS19" s="89"/>
      <c r="AT19" s="89"/>
      <c r="AU19" s="89"/>
    </row>
    <row r="20" spans="1:47" x14ac:dyDescent="0.2">
      <c r="A20" s="23">
        <v>22</v>
      </c>
      <c r="B20" s="24" t="s">
        <v>86</v>
      </c>
      <c r="C20" s="25" t="s">
        <v>87</v>
      </c>
      <c r="D20" s="24" t="s">
        <v>88</v>
      </c>
      <c r="E20" s="26" t="s">
        <v>33</v>
      </c>
      <c r="F20" s="26" t="s">
        <v>34</v>
      </c>
      <c r="G20" s="62">
        <v>10</v>
      </c>
      <c r="H20" s="27">
        <v>10</v>
      </c>
      <c r="I20" s="28">
        <v>0.28000000000000003</v>
      </c>
      <c r="J20" s="29">
        <v>2262</v>
      </c>
      <c r="K20" s="30">
        <f t="shared" si="0"/>
        <v>633.36</v>
      </c>
      <c r="L20" s="31">
        <f t="shared" si="1"/>
        <v>1628.6399999999999</v>
      </c>
      <c r="M20" s="31">
        <f t="shared" si="11"/>
        <v>1767.19</v>
      </c>
      <c r="N20" s="31">
        <v>1767.19</v>
      </c>
      <c r="O20" s="32">
        <f t="shared" si="12"/>
        <v>318.09999999999997</v>
      </c>
      <c r="P20" s="32">
        <f t="shared" si="13"/>
        <v>1449.0900000000001</v>
      </c>
      <c r="Q20" s="32">
        <f t="shared" si="2"/>
        <v>14490.900000000001</v>
      </c>
      <c r="R20" s="33">
        <v>24.35</v>
      </c>
      <c r="S20" s="32">
        <f t="shared" si="26"/>
        <v>244</v>
      </c>
      <c r="T20" s="34">
        <v>1519.78</v>
      </c>
      <c r="U20" s="32">
        <f t="shared" si="15"/>
        <v>15197.8</v>
      </c>
      <c r="V20" s="32">
        <f t="shared" si="16"/>
        <v>19520</v>
      </c>
      <c r="W20" s="32">
        <f t="shared" si="17"/>
        <v>4322.2000000000007</v>
      </c>
      <c r="X20" s="24"/>
      <c r="Y20" s="91">
        <f t="shared" si="3"/>
        <v>5</v>
      </c>
      <c r="Z20" s="53">
        <f t="shared" si="18"/>
        <v>5</v>
      </c>
      <c r="AA20" s="53">
        <f t="shared" si="4"/>
        <v>7598.9</v>
      </c>
      <c r="AB20" s="53">
        <f t="shared" si="5"/>
        <v>121.75</v>
      </c>
      <c r="AC20" s="53">
        <f t="shared" si="19"/>
        <v>122.25</v>
      </c>
      <c r="AD20" s="53">
        <f t="shared" si="6"/>
        <v>2323.7250000000004</v>
      </c>
      <c r="AE20" s="33"/>
      <c r="AF20" s="80">
        <f t="shared" si="20"/>
        <v>0</v>
      </c>
      <c r="AG20" s="80">
        <f t="shared" si="21"/>
        <v>0</v>
      </c>
      <c r="AH20" s="32">
        <f t="shared" si="22"/>
        <v>0</v>
      </c>
      <c r="AI20" s="33"/>
      <c r="AJ20" s="80">
        <f t="shared" si="23"/>
        <v>0</v>
      </c>
      <c r="AK20" s="80">
        <f t="shared" si="7"/>
        <v>0</v>
      </c>
      <c r="AL20" s="32">
        <f t="shared" si="24"/>
        <v>0</v>
      </c>
      <c r="AM20" s="101">
        <v>5</v>
      </c>
      <c r="AN20" s="80">
        <f t="shared" si="8"/>
        <v>7598.9</v>
      </c>
      <c r="AO20" s="80">
        <f t="shared" si="25"/>
        <v>24.35</v>
      </c>
      <c r="AP20" s="80">
        <f t="shared" si="9"/>
        <v>121.75</v>
      </c>
      <c r="AQ20" s="81">
        <f t="shared" si="10"/>
        <v>2323.7250000000004</v>
      </c>
      <c r="AR20" s="90"/>
      <c r="AS20" s="89"/>
      <c r="AT20" s="89"/>
      <c r="AU20" s="89"/>
    </row>
    <row r="21" spans="1:47" x14ac:dyDescent="0.2">
      <c r="A21" s="23">
        <v>24</v>
      </c>
      <c r="B21" s="24" t="s">
        <v>89</v>
      </c>
      <c r="C21" s="24" t="s">
        <v>90</v>
      </c>
      <c r="D21" s="24" t="s">
        <v>91</v>
      </c>
      <c r="E21" s="26" t="s">
        <v>92</v>
      </c>
      <c r="F21" s="26" t="s">
        <v>34</v>
      </c>
      <c r="G21" s="62">
        <v>20</v>
      </c>
      <c r="H21" s="27">
        <v>20</v>
      </c>
      <c r="I21" s="28">
        <v>0.28000000000000003</v>
      </c>
      <c r="J21" s="29">
        <v>9578</v>
      </c>
      <c r="K21" s="30">
        <f t="shared" si="0"/>
        <v>2681.84</v>
      </c>
      <c r="L21" s="31">
        <f t="shared" si="1"/>
        <v>6896.16</v>
      </c>
      <c r="M21" s="31">
        <f t="shared" si="11"/>
        <v>7482.8200000000006</v>
      </c>
      <c r="N21" s="31">
        <v>7482.81</v>
      </c>
      <c r="O21" s="32">
        <f t="shared" si="12"/>
        <v>1346.91</v>
      </c>
      <c r="P21" s="32">
        <f t="shared" si="13"/>
        <v>6135.9000000000005</v>
      </c>
      <c r="Q21" s="32">
        <f t="shared" si="2"/>
        <v>122718.00000000001</v>
      </c>
      <c r="R21" s="33">
        <v>104</v>
      </c>
      <c r="S21" s="32">
        <f t="shared" si="26"/>
        <v>2080</v>
      </c>
      <c r="T21" s="34">
        <v>6435.21</v>
      </c>
      <c r="U21" s="32">
        <f t="shared" si="15"/>
        <v>128704.2</v>
      </c>
      <c r="V21" s="32">
        <f t="shared" si="16"/>
        <v>166400</v>
      </c>
      <c r="W21" s="32">
        <f t="shared" si="17"/>
        <v>37695.800000000003</v>
      </c>
      <c r="X21" s="24"/>
      <c r="Y21" s="91">
        <f t="shared" si="3"/>
        <v>16</v>
      </c>
      <c r="Z21" s="53">
        <f t="shared" si="18"/>
        <v>4</v>
      </c>
      <c r="AA21" s="53">
        <f t="shared" si="4"/>
        <v>25740.839999999989</v>
      </c>
      <c r="AB21" s="53">
        <f t="shared" si="5"/>
        <v>1664</v>
      </c>
      <c r="AC21" s="53">
        <f t="shared" si="19"/>
        <v>416</v>
      </c>
      <c r="AD21" s="53">
        <f t="shared" si="6"/>
        <v>32652.639999999999</v>
      </c>
      <c r="AE21" s="33"/>
      <c r="AF21" s="80">
        <f t="shared" si="20"/>
        <v>0</v>
      </c>
      <c r="AG21" s="80">
        <f t="shared" si="21"/>
        <v>0</v>
      </c>
      <c r="AH21" s="32">
        <f t="shared" si="22"/>
        <v>0</v>
      </c>
      <c r="AI21" s="33">
        <f>2+6</f>
        <v>8</v>
      </c>
      <c r="AJ21" s="80">
        <f t="shared" si="23"/>
        <v>51481.68</v>
      </c>
      <c r="AK21" s="80">
        <f t="shared" si="7"/>
        <v>832</v>
      </c>
      <c r="AL21" s="32">
        <f t="shared" si="24"/>
        <v>16326.32</v>
      </c>
      <c r="AM21" s="101">
        <f>1+1+1+1+1+1+1+1</f>
        <v>8</v>
      </c>
      <c r="AN21" s="80">
        <f t="shared" si="8"/>
        <v>51481.68</v>
      </c>
      <c r="AO21" s="80">
        <f t="shared" si="25"/>
        <v>104</v>
      </c>
      <c r="AP21" s="80">
        <f t="shared" si="9"/>
        <v>832</v>
      </c>
      <c r="AQ21" s="81">
        <f t="shared" si="10"/>
        <v>16326.32</v>
      </c>
      <c r="AR21" s="90"/>
      <c r="AS21" s="89"/>
      <c r="AT21" s="89"/>
      <c r="AU21" s="89"/>
    </row>
    <row r="22" spans="1:47" x14ac:dyDescent="0.2">
      <c r="A22" s="23">
        <v>26</v>
      </c>
      <c r="B22" s="24" t="s">
        <v>89</v>
      </c>
      <c r="C22" s="24" t="s">
        <v>93</v>
      </c>
      <c r="D22" s="24" t="s">
        <v>94</v>
      </c>
      <c r="E22" s="26" t="s">
        <v>33</v>
      </c>
      <c r="F22" s="26" t="s">
        <v>34</v>
      </c>
      <c r="G22" s="62">
        <v>25</v>
      </c>
      <c r="H22" s="27">
        <v>25</v>
      </c>
      <c r="I22" s="28">
        <v>0.18</v>
      </c>
      <c r="J22" s="29">
        <v>14400</v>
      </c>
      <c r="K22" s="30">
        <f t="shared" si="0"/>
        <v>2592</v>
      </c>
      <c r="L22" s="31">
        <f t="shared" si="1"/>
        <v>11808</v>
      </c>
      <c r="M22" s="31">
        <f t="shared" si="11"/>
        <v>12203.39</v>
      </c>
      <c r="N22" s="31">
        <v>11250</v>
      </c>
      <c r="O22" s="32">
        <f t="shared" si="12"/>
        <v>2025</v>
      </c>
      <c r="P22" s="32">
        <f t="shared" si="13"/>
        <v>9225</v>
      </c>
      <c r="Q22" s="32">
        <f t="shared" si="2"/>
        <v>230625</v>
      </c>
      <c r="R22" s="33">
        <v>154.57</v>
      </c>
      <c r="S22" s="32">
        <f>ROUND(R22*H22,0)</f>
        <v>3864</v>
      </c>
      <c r="T22" s="34">
        <v>10342.370000000001</v>
      </c>
      <c r="U22" s="32">
        <f t="shared" si="15"/>
        <v>258559.25000000003</v>
      </c>
      <c r="V22" s="32">
        <f t="shared" si="16"/>
        <v>309120</v>
      </c>
      <c r="W22" s="32">
        <f t="shared" si="17"/>
        <v>50560.749999999971</v>
      </c>
      <c r="X22" s="24"/>
      <c r="Y22" s="91">
        <f t="shared" si="3"/>
        <v>20</v>
      </c>
      <c r="Z22" s="53">
        <f t="shared" si="18"/>
        <v>5</v>
      </c>
      <c r="AA22" s="53">
        <f t="shared" si="4"/>
        <v>51711.850000000006</v>
      </c>
      <c r="AB22" s="53">
        <f t="shared" si="5"/>
        <v>3091.3999999999996</v>
      </c>
      <c r="AC22" s="53">
        <f t="shared" si="19"/>
        <v>772.60000000000036</v>
      </c>
      <c r="AD22" s="53">
        <f t="shared" si="6"/>
        <v>45101.699999999953</v>
      </c>
      <c r="AE22" s="33"/>
      <c r="AF22" s="80">
        <f t="shared" si="20"/>
        <v>0</v>
      </c>
      <c r="AG22" s="80">
        <f t="shared" si="21"/>
        <v>0</v>
      </c>
      <c r="AH22" s="32">
        <f t="shared" si="22"/>
        <v>0</v>
      </c>
      <c r="AI22" s="33">
        <f>5+5</f>
        <v>10</v>
      </c>
      <c r="AJ22" s="80">
        <f t="shared" si="23"/>
        <v>103423.70000000001</v>
      </c>
      <c r="AK22" s="80">
        <f t="shared" si="7"/>
        <v>1545.6999999999998</v>
      </c>
      <c r="AL22" s="32">
        <f t="shared" si="24"/>
        <v>22550.849999999977</v>
      </c>
      <c r="AM22" s="101">
        <v>10</v>
      </c>
      <c r="AN22" s="80">
        <f t="shared" si="8"/>
        <v>103423.70000000001</v>
      </c>
      <c r="AO22" s="80">
        <f t="shared" si="25"/>
        <v>154.57</v>
      </c>
      <c r="AP22" s="80">
        <f t="shared" si="9"/>
        <v>1545.6999999999998</v>
      </c>
      <c r="AQ22" s="81">
        <f t="shared" si="10"/>
        <v>22550.849999999977</v>
      </c>
      <c r="AR22" s="90"/>
      <c r="AS22" s="89"/>
      <c r="AT22" s="89"/>
      <c r="AU22" s="89"/>
    </row>
    <row r="23" spans="1:47" x14ac:dyDescent="0.2">
      <c r="A23" s="23">
        <v>23</v>
      </c>
      <c r="B23" s="24" t="s">
        <v>95</v>
      </c>
      <c r="C23" s="24" t="s">
        <v>96</v>
      </c>
      <c r="D23" s="24" t="s">
        <v>97</v>
      </c>
      <c r="E23" s="26" t="s">
        <v>98</v>
      </c>
      <c r="F23" s="26" t="s">
        <v>34</v>
      </c>
      <c r="G23" s="62">
        <v>200</v>
      </c>
      <c r="H23" s="27">
        <v>200</v>
      </c>
      <c r="I23" s="28">
        <v>0.28000000000000003</v>
      </c>
      <c r="J23" s="29">
        <v>9888</v>
      </c>
      <c r="K23" s="30">
        <f>J23*I23</f>
        <v>2768.6400000000003</v>
      </c>
      <c r="L23" s="31">
        <f>J23-K23</f>
        <v>7119.36</v>
      </c>
      <c r="M23" s="31">
        <f>ROUNDUP(J23/(1+I23),2)</f>
        <v>7725</v>
      </c>
      <c r="N23" s="31">
        <v>7725</v>
      </c>
      <c r="O23" s="32">
        <f>ROUNDUP(0.18*N23,2)</f>
        <v>1390.5</v>
      </c>
      <c r="P23" s="32">
        <f>N23-O23</f>
        <v>6334.5</v>
      </c>
      <c r="Q23" s="32">
        <f>P23*H23</f>
        <v>1266900</v>
      </c>
      <c r="R23" s="33">
        <v>105.75</v>
      </c>
      <c r="S23" s="32">
        <f t="shared" si="26"/>
        <v>21150</v>
      </c>
      <c r="T23" s="34">
        <v>6643.5</v>
      </c>
      <c r="U23" s="32">
        <f t="shared" si="15"/>
        <v>1328700</v>
      </c>
      <c r="V23" s="32">
        <f t="shared" si="16"/>
        <v>1692000</v>
      </c>
      <c r="W23" s="32">
        <f t="shared" si="17"/>
        <v>363300</v>
      </c>
      <c r="X23" s="24"/>
      <c r="Y23" s="91">
        <f t="shared" si="3"/>
        <v>162</v>
      </c>
      <c r="Z23" s="53">
        <f t="shared" si="18"/>
        <v>38</v>
      </c>
      <c r="AA23" s="53">
        <f t="shared" si="4"/>
        <v>252453</v>
      </c>
      <c r="AB23" s="53">
        <f t="shared" si="5"/>
        <v>17131.5</v>
      </c>
      <c r="AC23" s="53">
        <f t="shared" si="19"/>
        <v>4018.5</v>
      </c>
      <c r="AD23" s="53">
        <f t="shared" si="6"/>
        <v>319970.25</v>
      </c>
      <c r="AE23" s="33">
        <v>10</v>
      </c>
      <c r="AF23" s="80">
        <f t="shared" si="20"/>
        <v>66435</v>
      </c>
      <c r="AG23" s="80">
        <f t="shared" si="21"/>
        <v>1057.5</v>
      </c>
      <c r="AH23" s="32">
        <f t="shared" si="22"/>
        <v>19751.25</v>
      </c>
      <c r="AI23" s="33">
        <f>38+38</f>
        <v>76</v>
      </c>
      <c r="AJ23" s="80">
        <f t="shared" si="23"/>
        <v>504906</v>
      </c>
      <c r="AK23" s="80">
        <f t="shared" si="7"/>
        <v>8037</v>
      </c>
      <c r="AL23" s="32">
        <f t="shared" si="24"/>
        <v>150109.5</v>
      </c>
      <c r="AM23" s="101">
        <v>76</v>
      </c>
      <c r="AN23" s="80">
        <f t="shared" si="8"/>
        <v>504906</v>
      </c>
      <c r="AO23" s="80">
        <f t="shared" si="25"/>
        <v>105.75</v>
      </c>
      <c r="AP23" s="80">
        <f t="shared" si="9"/>
        <v>8037</v>
      </c>
      <c r="AQ23" s="81">
        <f t="shared" si="10"/>
        <v>150109.5</v>
      </c>
      <c r="AR23" s="90"/>
      <c r="AS23" s="89"/>
      <c r="AT23" s="89"/>
      <c r="AU23" s="89"/>
    </row>
    <row r="24" spans="1:47" x14ac:dyDescent="0.2">
      <c r="A24" s="23">
        <v>25</v>
      </c>
      <c r="B24" s="24" t="s">
        <v>89</v>
      </c>
      <c r="C24" s="24" t="s">
        <v>99</v>
      </c>
      <c r="D24" s="24" t="s">
        <v>100</v>
      </c>
      <c r="E24" s="26" t="s">
        <v>33</v>
      </c>
      <c r="F24" s="26" t="s">
        <v>34</v>
      </c>
      <c r="G24" s="62">
        <v>25</v>
      </c>
      <c r="H24" s="27">
        <v>25</v>
      </c>
      <c r="I24" s="28">
        <v>0.28000000000000003</v>
      </c>
      <c r="J24" s="29">
        <v>1407</v>
      </c>
      <c r="K24" s="30">
        <f>J24*I24</f>
        <v>393.96000000000004</v>
      </c>
      <c r="L24" s="31">
        <f>J24-K24</f>
        <v>1013.04</v>
      </c>
      <c r="M24" s="31">
        <f>ROUNDUP(J24/(1+I24),2)</f>
        <v>1099.22</v>
      </c>
      <c r="N24" s="31">
        <v>1099.22</v>
      </c>
      <c r="O24" s="32">
        <f>ROUNDUP(0.18*N24,2)</f>
        <v>197.85999999999999</v>
      </c>
      <c r="P24" s="32">
        <f>N24-O24</f>
        <v>901.36</v>
      </c>
      <c r="Q24" s="32">
        <f>P24*H24</f>
        <v>22534</v>
      </c>
      <c r="R24" s="33">
        <v>15.16</v>
      </c>
      <c r="S24" s="32">
        <f t="shared" si="26"/>
        <v>379</v>
      </c>
      <c r="T24" s="34">
        <v>945.33</v>
      </c>
      <c r="U24" s="32">
        <f t="shared" si="15"/>
        <v>23633.25</v>
      </c>
      <c r="V24" s="32">
        <f t="shared" si="16"/>
        <v>30320</v>
      </c>
      <c r="W24" s="32">
        <f t="shared" si="17"/>
        <v>6686.75</v>
      </c>
      <c r="X24" s="24"/>
      <c r="Y24" s="91">
        <f t="shared" si="3"/>
        <v>10</v>
      </c>
      <c r="Z24" s="53">
        <f t="shared" si="18"/>
        <v>15</v>
      </c>
      <c r="AA24" s="53">
        <f t="shared" si="4"/>
        <v>14179.949999999999</v>
      </c>
      <c r="AB24" s="53">
        <f t="shared" si="5"/>
        <v>151.6</v>
      </c>
      <c r="AC24" s="53">
        <f t="shared" si="19"/>
        <v>227.4</v>
      </c>
      <c r="AD24" s="53">
        <f t="shared" si="6"/>
        <v>2902.0999999999985</v>
      </c>
      <c r="AE24" s="33"/>
      <c r="AF24" s="80">
        <f t="shared" si="20"/>
        <v>0</v>
      </c>
      <c r="AG24" s="80">
        <f t="shared" si="21"/>
        <v>0</v>
      </c>
      <c r="AH24" s="32">
        <f t="shared" si="22"/>
        <v>0</v>
      </c>
      <c r="AI24" s="33"/>
      <c r="AJ24" s="80">
        <f t="shared" si="23"/>
        <v>0</v>
      </c>
      <c r="AK24" s="80">
        <f t="shared" si="7"/>
        <v>0</v>
      </c>
      <c r="AL24" s="32">
        <f t="shared" si="24"/>
        <v>0</v>
      </c>
      <c r="AM24" s="101">
        <v>10</v>
      </c>
      <c r="AN24" s="80">
        <f t="shared" si="8"/>
        <v>9453.3000000000011</v>
      </c>
      <c r="AO24" s="80">
        <f t="shared" si="25"/>
        <v>15.16</v>
      </c>
      <c r="AP24" s="80">
        <f t="shared" si="9"/>
        <v>151.6</v>
      </c>
      <c r="AQ24" s="81">
        <f t="shared" si="10"/>
        <v>2902.0999999999985</v>
      </c>
      <c r="AR24" s="90"/>
      <c r="AS24" s="89"/>
      <c r="AT24" s="89"/>
      <c r="AU24" s="89"/>
    </row>
    <row r="25" spans="1:47" x14ac:dyDescent="0.2">
      <c r="A25" s="23">
        <v>27</v>
      </c>
      <c r="B25" s="24" t="s">
        <v>89</v>
      </c>
      <c r="C25" s="24" t="s">
        <v>101</v>
      </c>
      <c r="D25" s="24" t="s">
        <v>102</v>
      </c>
      <c r="E25" s="26" t="s">
        <v>103</v>
      </c>
      <c r="F25" s="26" t="s">
        <v>34</v>
      </c>
      <c r="G25" s="62">
        <v>10</v>
      </c>
      <c r="H25" s="27">
        <v>10</v>
      </c>
      <c r="I25" s="28">
        <v>0.18</v>
      </c>
      <c r="J25" s="29">
        <v>376</v>
      </c>
      <c r="K25" s="30">
        <f t="shared" si="0"/>
        <v>67.679999999999993</v>
      </c>
      <c r="L25" s="31">
        <f t="shared" si="1"/>
        <v>308.32</v>
      </c>
      <c r="M25" s="31">
        <f t="shared" si="11"/>
        <v>318.64999999999998</v>
      </c>
      <c r="N25" s="31">
        <v>293.75</v>
      </c>
      <c r="O25" s="32">
        <f t="shared" si="12"/>
        <v>52.879999999999995</v>
      </c>
      <c r="P25" s="32">
        <f t="shared" si="13"/>
        <v>240.87</v>
      </c>
      <c r="Q25" s="32">
        <f t="shared" si="2"/>
        <v>2408.6999999999998</v>
      </c>
      <c r="R25" s="33">
        <v>4.2699999999999996</v>
      </c>
      <c r="S25" s="32">
        <f t="shared" si="26"/>
        <v>43</v>
      </c>
      <c r="T25" s="34">
        <v>270.05</v>
      </c>
      <c r="U25" s="32">
        <f t="shared" si="15"/>
        <v>2700.5</v>
      </c>
      <c r="V25" s="32">
        <f t="shared" si="16"/>
        <v>3440</v>
      </c>
      <c r="W25" s="32">
        <f t="shared" si="17"/>
        <v>739.5</v>
      </c>
      <c r="X25" s="24"/>
      <c r="Y25" s="91">
        <f t="shared" si="3"/>
        <v>5</v>
      </c>
      <c r="Z25" s="53">
        <f t="shared" si="18"/>
        <v>5</v>
      </c>
      <c r="AA25" s="53">
        <f t="shared" si="4"/>
        <v>1350.25</v>
      </c>
      <c r="AB25" s="53">
        <f t="shared" si="5"/>
        <v>21.349999999999998</v>
      </c>
      <c r="AC25" s="53">
        <f t="shared" si="19"/>
        <v>21.650000000000002</v>
      </c>
      <c r="AD25" s="53">
        <f t="shared" si="6"/>
        <v>389.77499999999986</v>
      </c>
      <c r="AE25" s="33"/>
      <c r="AF25" s="80">
        <f t="shared" si="20"/>
        <v>0</v>
      </c>
      <c r="AG25" s="80">
        <f t="shared" si="21"/>
        <v>0</v>
      </c>
      <c r="AH25" s="32">
        <f t="shared" si="22"/>
        <v>0</v>
      </c>
      <c r="AI25" s="33"/>
      <c r="AJ25" s="80">
        <f t="shared" si="23"/>
        <v>0</v>
      </c>
      <c r="AK25" s="80">
        <f t="shared" si="7"/>
        <v>0</v>
      </c>
      <c r="AL25" s="32">
        <f t="shared" si="24"/>
        <v>0</v>
      </c>
      <c r="AM25" s="101">
        <v>5</v>
      </c>
      <c r="AN25" s="80">
        <f t="shared" si="8"/>
        <v>1350.25</v>
      </c>
      <c r="AO25" s="80">
        <f t="shared" si="25"/>
        <v>4.2699999999999996</v>
      </c>
      <c r="AP25" s="80">
        <f t="shared" si="9"/>
        <v>21.349999999999998</v>
      </c>
      <c r="AQ25" s="81">
        <f t="shared" si="10"/>
        <v>389.77499999999986</v>
      </c>
      <c r="AR25" s="90"/>
      <c r="AS25" s="89"/>
      <c r="AT25" s="89"/>
      <c r="AU25" s="89"/>
    </row>
    <row r="26" spans="1:47" x14ac:dyDescent="0.2">
      <c r="A26" s="23">
        <v>28</v>
      </c>
      <c r="B26" s="24" t="s">
        <v>104</v>
      </c>
      <c r="C26" s="24" t="s">
        <v>105</v>
      </c>
      <c r="D26" s="24" t="s">
        <v>106</v>
      </c>
      <c r="E26" s="26" t="s">
        <v>107</v>
      </c>
      <c r="F26" s="26" t="s">
        <v>34</v>
      </c>
      <c r="G26" s="62">
        <v>60</v>
      </c>
      <c r="H26" s="27">
        <v>60</v>
      </c>
      <c r="I26" s="28">
        <v>0.28000000000000003</v>
      </c>
      <c r="J26" s="29">
        <v>1424</v>
      </c>
      <c r="K26" s="30">
        <f t="shared" si="0"/>
        <v>398.72</v>
      </c>
      <c r="L26" s="31">
        <f t="shared" si="1"/>
        <v>1025.28</v>
      </c>
      <c r="M26" s="31">
        <f t="shared" si="11"/>
        <v>1112.5</v>
      </c>
      <c r="N26" s="31">
        <v>1112.5</v>
      </c>
      <c r="O26" s="32">
        <f t="shared" si="12"/>
        <v>200.25</v>
      </c>
      <c r="P26" s="32">
        <f t="shared" si="13"/>
        <v>912.25</v>
      </c>
      <c r="Q26" s="32">
        <f t="shared" si="2"/>
        <v>54735</v>
      </c>
      <c r="R26" s="33">
        <v>15.33</v>
      </c>
      <c r="S26" s="32">
        <f t="shared" si="26"/>
        <v>920</v>
      </c>
      <c r="T26" s="34">
        <v>956.75</v>
      </c>
      <c r="U26" s="32">
        <f t="shared" si="15"/>
        <v>57405</v>
      </c>
      <c r="V26" s="32">
        <f t="shared" si="16"/>
        <v>73600</v>
      </c>
      <c r="W26" s="32">
        <f t="shared" si="17"/>
        <v>16195</v>
      </c>
      <c r="X26" s="24"/>
      <c r="Y26" s="91">
        <f t="shared" si="3"/>
        <v>36</v>
      </c>
      <c r="Z26" s="53">
        <f t="shared" si="18"/>
        <v>24</v>
      </c>
      <c r="AA26" s="53">
        <f t="shared" si="4"/>
        <v>22962</v>
      </c>
      <c r="AB26" s="53">
        <f t="shared" si="5"/>
        <v>551.88</v>
      </c>
      <c r="AC26" s="53">
        <f t="shared" si="19"/>
        <v>368.12</v>
      </c>
      <c r="AD26" s="53">
        <f t="shared" si="6"/>
        <v>10535.22</v>
      </c>
      <c r="AE26" s="33"/>
      <c r="AF26" s="80">
        <f t="shared" si="20"/>
        <v>0</v>
      </c>
      <c r="AG26" s="80">
        <f t="shared" si="21"/>
        <v>0</v>
      </c>
      <c r="AH26" s="32">
        <f t="shared" si="22"/>
        <v>0</v>
      </c>
      <c r="AI26" s="33">
        <f>12+12</f>
        <v>24</v>
      </c>
      <c r="AJ26" s="80">
        <f t="shared" si="23"/>
        <v>22962</v>
      </c>
      <c r="AK26" s="80">
        <f t="shared" si="7"/>
        <v>367.92</v>
      </c>
      <c r="AL26" s="32">
        <f t="shared" si="24"/>
        <v>7023.48</v>
      </c>
      <c r="AM26" s="101">
        <v>12</v>
      </c>
      <c r="AN26" s="80">
        <f t="shared" si="8"/>
        <v>11481</v>
      </c>
      <c r="AO26" s="80">
        <f t="shared" si="25"/>
        <v>15.33</v>
      </c>
      <c r="AP26" s="80">
        <f t="shared" si="9"/>
        <v>183.96</v>
      </c>
      <c r="AQ26" s="81">
        <f t="shared" si="10"/>
        <v>3511.74</v>
      </c>
      <c r="AR26" s="90"/>
      <c r="AS26" s="89"/>
      <c r="AT26" s="89"/>
      <c r="AU26" s="89"/>
    </row>
    <row r="27" spans="1:47" x14ac:dyDescent="0.2">
      <c r="A27" s="23">
        <v>29</v>
      </c>
      <c r="B27" s="24" t="s">
        <v>104</v>
      </c>
      <c r="C27" s="24" t="s">
        <v>108</v>
      </c>
      <c r="D27" s="24" t="s">
        <v>109</v>
      </c>
      <c r="E27" s="26" t="s">
        <v>110</v>
      </c>
      <c r="F27" s="26" t="s">
        <v>34</v>
      </c>
      <c r="G27" s="62">
        <v>60</v>
      </c>
      <c r="H27" s="27">
        <v>60</v>
      </c>
      <c r="I27" s="28">
        <v>0.28000000000000003</v>
      </c>
      <c r="J27" s="29">
        <v>1908</v>
      </c>
      <c r="K27" s="30">
        <f t="shared" si="0"/>
        <v>534.24</v>
      </c>
      <c r="L27" s="31">
        <f t="shared" si="1"/>
        <v>1373.76</v>
      </c>
      <c r="M27" s="31">
        <f t="shared" si="11"/>
        <v>1490.6299999999999</v>
      </c>
      <c r="N27" s="31">
        <v>1490.63</v>
      </c>
      <c r="O27" s="32">
        <f t="shared" si="12"/>
        <v>268.32</v>
      </c>
      <c r="P27" s="32">
        <f t="shared" si="13"/>
        <v>1222.3100000000002</v>
      </c>
      <c r="Q27" s="32">
        <f t="shared" si="2"/>
        <v>73338.600000000006</v>
      </c>
      <c r="R27" s="33">
        <v>20.54</v>
      </c>
      <c r="S27" s="32">
        <f>ROUND(R27*H27,0)</f>
        <v>1232</v>
      </c>
      <c r="T27" s="34">
        <v>1281.94</v>
      </c>
      <c r="U27" s="32">
        <f t="shared" si="15"/>
        <v>76916.400000000009</v>
      </c>
      <c r="V27" s="32">
        <f t="shared" si="16"/>
        <v>98560</v>
      </c>
      <c r="W27" s="32">
        <f t="shared" si="17"/>
        <v>21643.599999999991</v>
      </c>
      <c r="X27" s="24"/>
      <c r="Y27" s="91">
        <f t="shared" si="3"/>
        <v>36</v>
      </c>
      <c r="Z27" s="53">
        <f t="shared" si="18"/>
        <v>24</v>
      </c>
      <c r="AA27" s="53">
        <f t="shared" si="4"/>
        <v>30766.560000000012</v>
      </c>
      <c r="AB27" s="53">
        <f t="shared" si="5"/>
        <v>739.43999999999994</v>
      </c>
      <c r="AC27" s="53">
        <f t="shared" si="19"/>
        <v>492.56000000000006</v>
      </c>
      <c r="AD27" s="53">
        <f t="shared" si="6"/>
        <v>14114.519999999995</v>
      </c>
      <c r="AE27" s="33"/>
      <c r="AF27" s="80">
        <f t="shared" si="20"/>
        <v>0</v>
      </c>
      <c r="AG27" s="80">
        <f t="shared" si="21"/>
        <v>0</v>
      </c>
      <c r="AH27" s="32">
        <f t="shared" si="22"/>
        <v>0</v>
      </c>
      <c r="AI27" s="33">
        <f>12+12</f>
        <v>24</v>
      </c>
      <c r="AJ27" s="80">
        <f t="shared" si="23"/>
        <v>30766.560000000001</v>
      </c>
      <c r="AK27" s="80">
        <f t="shared" si="7"/>
        <v>492.96</v>
      </c>
      <c r="AL27" s="32">
        <f t="shared" si="24"/>
        <v>9409.6799999999967</v>
      </c>
      <c r="AM27" s="101">
        <v>12</v>
      </c>
      <c r="AN27" s="80">
        <f t="shared" si="8"/>
        <v>15383.28</v>
      </c>
      <c r="AO27" s="80">
        <f t="shared" si="25"/>
        <v>20.54</v>
      </c>
      <c r="AP27" s="80">
        <f t="shared" si="9"/>
        <v>246.48</v>
      </c>
      <c r="AQ27" s="81">
        <f t="shared" si="10"/>
        <v>4704.8399999999983</v>
      </c>
      <c r="AR27" s="90"/>
      <c r="AS27" s="89"/>
      <c r="AT27" s="89"/>
      <c r="AU27" s="89"/>
    </row>
    <row r="28" spans="1:47" ht="17.25" customHeight="1" x14ac:dyDescent="0.2">
      <c r="A28" s="23">
        <v>30</v>
      </c>
      <c r="B28" s="24" t="s">
        <v>104</v>
      </c>
      <c r="C28" s="24" t="s">
        <v>111</v>
      </c>
      <c r="D28" s="24" t="s">
        <v>112</v>
      </c>
      <c r="E28" s="26" t="s">
        <v>113</v>
      </c>
      <c r="F28" s="26" t="s">
        <v>34</v>
      </c>
      <c r="G28" s="62">
        <v>10</v>
      </c>
      <c r="H28" s="27">
        <v>10</v>
      </c>
      <c r="I28" s="28">
        <v>0.18</v>
      </c>
      <c r="J28" s="29">
        <v>10073</v>
      </c>
      <c r="K28" s="30">
        <f t="shared" si="0"/>
        <v>1813.1399999999999</v>
      </c>
      <c r="L28" s="31">
        <f t="shared" si="1"/>
        <v>8259.86</v>
      </c>
      <c r="M28" s="31">
        <f t="shared" si="11"/>
        <v>8536.4500000000007</v>
      </c>
      <c r="N28" s="31">
        <v>8536.44</v>
      </c>
      <c r="O28" s="32">
        <f t="shared" si="12"/>
        <v>1536.56</v>
      </c>
      <c r="P28" s="32">
        <f t="shared" si="13"/>
        <v>6999.880000000001</v>
      </c>
      <c r="Q28" s="32">
        <f t="shared" si="2"/>
        <v>69998.800000000017</v>
      </c>
      <c r="R28" s="33">
        <v>109.27</v>
      </c>
      <c r="S28" s="32">
        <f t="shared" si="26"/>
        <v>1093</v>
      </c>
      <c r="T28" s="34">
        <v>7234.63</v>
      </c>
      <c r="U28" s="32">
        <f t="shared" si="15"/>
        <v>72346.3</v>
      </c>
      <c r="V28" s="32">
        <f t="shared" si="16"/>
        <v>87440</v>
      </c>
      <c r="W28" s="32">
        <f t="shared" si="17"/>
        <v>15093.699999999997</v>
      </c>
      <c r="X28" s="24"/>
      <c r="Y28" s="91">
        <f t="shared" si="3"/>
        <v>6</v>
      </c>
      <c r="Z28" s="53">
        <f t="shared" si="18"/>
        <v>4</v>
      </c>
      <c r="AA28" s="53">
        <f t="shared" si="4"/>
        <v>28938.52</v>
      </c>
      <c r="AB28" s="53">
        <f t="shared" si="5"/>
        <v>655.62</v>
      </c>
      <c r="AC28" s="53">
        <f t="shared" si="19"/>
        <v>437.38</v>
      </c>
      <c r="AD28" s="53">
        <f t="shared" si="6"/>
        <v>10025.249999999995</v>
      </c>
      <c r="AE28" s="33"/>
      <c r="AF28" s="80">
        <f t="shared" si="20"/>
        <v>0</v>
      </c>
      <c r="AG28" s="80">
        <f t="shared" si="21"/>
        <v>0</v>
      </c>
      <c r="AH28" s="32">
        <f t="shared" si="22"/>
        <v>0</v>
      </c>
      <c r="AI28" s="33">
        <f>1+1</f>
        <v>2</v>
      </c>
      <c r="AJ28" s="80">
        <f t="shared" si="23"/>
        <v>14469.26</v>
      </c>
      <c r="AK28" s="80">
        <f t="shared" si="7"/>
        <v>218.54</v>
      </c>
      <c r="AL28" s="32">
        <f t="shared" si="24"/>
        <v>3341.7499999999982</v>
      </c>
      <c r="AM28" s="101">
        <f>1+1+1+1</f>
        <v>4</v>
      </c>
      <c r="AN28" s="80">
        <f t="shared" si="8"/>
        <v>28938.52</v>
      </c>
      <c r="AO28" s="80">
        <f t="shared" si="25"/>
        <v>109.27</v>
      </c>
      <c r="AP28" s="80">
        <f t="shared" si="9"/>
        <v>437.08</v>
      </c>
      <c r="AQ28" s="81">
        <f t="shared" si="10"/>
        <v>6683.4999999999964</v>
      </c>
      <c r="AR28" s="90"/>
      <c r="AS28" s="89"/>
      <c r="AT28" s="89"/>
      <c r="AU28" s="89"/>
    </row>
    <row r="29" spans="1:47" ht="40.5" x14ac:dyDescent="0.2">
      <c r="A29" s="23">
        <v>31</v>
      </c>
      <c r="B29" s="24" t="s">
        <v>104</v>
      </c>
      <c r="C29" s="24" t="s">
        <v>114</v>
      </c>
      <c r="D29" s="24" t="s">
        <v>115</v>
      </c>
      <c r="E29" s="26" t="s">
        <v>116</v>
      </c>
      <c r="F29" s="26" t="s">
        <v>34</v>
      </c>
      <c r="G29" s="62">
        <v>600</v>
      </c>
      <c r="H29" s="27">
        <v>600</v>
      </c>
      <c r="I29" s="28">
        <v>0.18</v>
      </c>
      <c r="J29" s="29">
        <v>54</v>
      </c>
      <c r="K29" s="30">
        <f t="shared" si="0"/>
        <v>9.7199999999999989</v>
      </c>
      <c r="L29" s="31">
        <f t="shared" si="1"/>
        <v>44.28</v>
      </c>
      <c r="M29" s="31">
        <f t="shared" si="11"/>
        <v>45.769999999999996</v>
      </c>
      <c r="N29" s="31">
        <v>45.76</v>
      </c>
      <c r="O29" s="32">
        <f t="shared" si="12"/>
        <v>8.24</v>
      </c>
      <c r="P29" s="32">
        <f t="shared" si="13"/>
        <v>37.519999999999996</v>
      </c>
      <c r="Q29" s="32">
        <f t="shared" si="2"/>
        <v>22511.999999999996</v>
      </c>
      <c r="R29" s="33">
        <v>0.62</v>
      </c>
      <c r="S29" s="32">
        <f t="shared" si="26"/>
        <v>372</v>
      </c>
      <c r="T29" s="34">
        <v>38.78</v>
      </c>
      <c r="U29" s="32">
        <f t="shared" si="15"/>
        <v>23268</v>
      </c>
      <c r="V29" s="32">
        <f t="shared" si="16"/>
        <v>29760</v>
      </c>
      <c r="W29" s="32">
        <f t="shared" si="17"/>
        <v>6492</v>
      </c>
      <c r="X29" s="24"/>
      <c r="Y29" s="91">
        <f t="shared" si="3"/>
        <v>360</v>
      </c>
      <c r="Z29" s="53">
        <f t="shared" si="18"/>
        <v>240</v>
      </c>
      <c r="AA29" s="53">
        <f t="shared" si="4"/>
        <v>9307.1999999999989</v>
      </c>
      <c r="AB29" s="53">
        <f t="shared" si="5"/>
        <v>223.20000000000002</v>
      </c>
      <c r="AC29" s="53">
        <f t="shared" si="19"/>
        <v>148.79999999999998</v>
      </c>
      <c r="AD29" s="53">
        <f t="shared" si="6"/>
        <v>4230</v>
      </c>
      <c r="AE29" s="33"/>
      <c r="AF29" s="80">
        <f t="shared" si="20"/>
        <v>0</v>
      </c>
      <c r="AG29" s="80">
        <f t="shared" si="21"/>
        <v>0</v>
      </c>
      <c r="AH29" s="32">
        <f t="shared" si="22"/>
        <v>0</v>
      </c>
      <c r="AI29" s="33">
        <f>240</f>
        <v>240</v>
      </c>
      <c r="AJ29" s="80">
        <f t="shared" si="23"/>
        <v>9307.2000000000007</v>
      </c>
      <c r="AK29" s="80">
        <f t="shared" si="7"/>
        <v>148.80000000000001</v>
      </c>
      <c r="AL29" s="32">
        <f t="shared" si="24"/>
        <v>2820</v>
      </c>
      <c r="AM29" s="101">
        <v>120</v>
      </c>
      <c r="AN29" s="80">
        <f t="shared" si="8"/>
        <v>4653.6000000000004</v>
      </c>
      <c r="AO29" s="80">
        <f t="shared" si="25"/>
        <v>0.62</v>
      </c>
      <c r="AP29" s="80">
        <f t="shared" si="9"/>
        <v>74.400000000000006</v>
      </c>
      <c r="AQ29" s="81">
        <f t="shared" si="10"/>
        <v>1410</v>
      </c>
      <c r="AR29" s="90"/>
      <c r="AS29" s="89"/>
      <c r="AT29" s="89"/>
      <c r="AU29" s="89"/>
    </row>
    <row r="30" spans="1:47" x14ac:dyDescent="0.2">
      <c r="A30" s="23">
        <v>32</v>
      </c>
      <c r="B30" s="24" t="s">
        <v>104</v>
      </c>
      <c r="C30" s="24" t="s">
        <v>117</v>
      </c>
      <c r="D30" s="24" t="s">
        <v>118</v>
      </c>
      <c r="E30" s="26" t="s">
        <v>119</v>
      </c>
      <c r="F30" s="26" t="s">
        <v>34</v>
      </c>
      <c r="G30" s="62">
        <v>20</v>
      </c>
      <c r="H30" s="27">
        <v>20</v>
      </c>
      <c r="I30" s="28">
        <v>0.18</v>
      </c>
      <c r="J30" s="29">
        <v>203</v>
      </c>
      <c r="K30" s="30">
        <f t="shared" si="0"/>
        <v>36.54</v>
      </c>
      <c r="L30" s="31">
        <f t="shared" si="1"/>
        <v>166.46</v>
      </c>
      <c r="M30" s="31">
        <f t="shared" si="11"/>
        <v>172.04</v>
      </c>
      <c r="N30" s="31">
        <v>172.03</v>
      </c>
      <c r="O30" s="32">
        <f t="shared" si="12"/>
        <v>30.970000000000002</v>
      </c>
      <c r="P30" s="32">
        <f t="shared" si="13"/>
        <v>141.06</v>
      </c>
      <c r="Q30" s="32">
        <f t="shared" si="2"/>
        <v>2821.2</v>
      </c>
      <c r="R30" s="33">
        <v>2.2000000000000002</v>
      </c>
      <c r="S30" s="32">
        <f t="shared" si="26"/>
        <v>44</v>
      </c>
      <c r="T30" s="34">
        <v>145.80000000000001</v>
      </c>
      <c r="U30" s="32">
        <f t="shared" si="15"/>
        <v>2916</v>
      </c>
      <c r="V30" s="32">
        <f t="shared" si="16"/>
        <v>3520</v>
      </c>
      <c r="W30" s="32">
        <f t="shared" si="17"/>
        <v>604</v>
      </c>
      <c r="X30" s="24"/>
      <c r="Y30" s="91">
        <f t="shared" si="3"/>
        <v>8</v>
      </c>
      <c r="Z30" s="53">
        <f t="shared" si="18"/>
        <v>12</v>
      </c>
      <c r="AA30" s="53">
        <f t="shared" si="4"/>
        <v>1749.6</v>
      </c>
      <c r="AB30" s="53">
        <f t="shared" si="5"/>
        <v>17.600000000000001</v>
      </c>
      <c r="AC30" s="53">
        <f t="shared" si="19"/>
        <v>26.4</v>
      </c>
      <c r="AD30" s="53">
        <f t="shared" si="6"/>
        <v>268</v>
      </c>
      <c r="AE30" s="33"/>
      <c r="AF30" s="80">
        <f t="shared" si="20"/>
        <v>0</v>
      </c>
      <c r="AG30" s="80">
        <f t="shared" si="21"/>
        <v>0</v>
      </c>
      <c r="AH30" s="32">
        <f t="shared" si="22"/>
        <v>0</v>
      </c>
      <c r="AI30" s="33"/>
      <c r="AJ30" s="80">
        <f t="shared" si="23"/>
        <v>0</v>
      </c>
      <c r="AK30" s="80">
        <f t="shared" si="7"/>
        <v>0</v>
      </c>
      <c r="AL30" s="32">
        <f t="shared" si="24"/>
        <v>0</v>
      </c>
      <c r="AM30" s="101">
        <v>8</v>
      </c>
      <c r="AN30" s="80">
        <f t="shared" si="8"/>
        <v>1166.4000000000001</v>
      </c>
      <c r="AO30" s="80">
        <f t="shared" si="25"/>
        <v>2.2000000000000002</v>
      </c>
      <c r="AP30" s="80">
        <f t="shared" si="9"/>
        <v>17.600000000000001</v>
      </c>
      <c r="AQ30" s="81">
        <f t="shared" si="10"/>
        <v>268</v>
      </c>
      <c r="AR30" s="90"/>
      <c r="AS30" s="89"/>
      <c r="AT30" s="89"/>
      <c r="AU30" s="89"/>
    </row>
    <row r="31" spans="1:47" ht="27" x14ac:dyDescent="0.2">
      <c r="A31" s="23">
        <v>33</v>
      </c>
      <c r="B31" s="24" t="s">
        <v>120</v>
      </c>
      <c r="C31" s="24" t="s">
        <v>121</v>
      </c>
      <c r="D31" s="24" t="s">
        <v>122</v>
      </c>
      <c r="E31" s="26" t="s">
        <v>33</v>
      </c>
      <c r="F31" s="26" t="s">
        <v>34</v>
      </c>
      <c r="G31" s="62">
        <v>100</v>
      </c>
      <c r="H31" s="27">
        <v>100</v>
      </c>
      <c r="I31" s="28">
        <v>0.28000000000000003</v>
      </c>
      <c r="J31" s="29">
        <v>5199</v>
      </c>
      <c r="K31" s="30">
        <f t="shared" si="0"/>
        <v>1455.72</v>
      </c>
      <c r="L31" s="31">
        <f t="shared" si="1"/>
        <v>3743.2799999999997</v>
      </c>
      <c r="M31" s="31">
        <f t="shared" si="11"/>
        <v>4061.7200000000003</v>
      </c>
      <c r="N31" s="31">
        <v>4061.72</v>
      </c>
      <c r="O31" s="32">
        <f t="shared" si="12"/>
        <v>731.11</v>
      </c>
      <c r="P31" s="32">
        <f t="shared" si="13"/>
        <v>3330.6099999999997</v>
      </c>
      <c r="Q31" s="32">
        <f t="shared" si="2"/>
        <v>333060.99999999994</v>
      </c>
      <c r="R31" s="33">
        <v>55.95</v>
      </c>
      <c r="S31" s="32">
        <f t="shared" si="26"/>
        <v>5595</v>
      </c>
      <c r="T31" s="34">
        <v>3493.08</v>
      </c>
      <c r="U31" s="32">
        <f t="shared" si="15"/>
        <v>349308</v>
      </c>
      <c r="V31" s="32">
        <f t="shared" si="16"/>
        <v>447600</v>
      </c>
      <c r="W31" s="32">
        <f t="shared" si="17"/>
        <v>98292</v>
      </c>
      <c r="X31" s="24"/>
      <c r="Y31" s="91">
        <f t="shared" si="3"/>
        <v>60</v>
      </c>
      <c r="Z31" s="53">
        <f t="shared" si="18"/>
        <v>40</v>
      </c>
      <c r="AA31" s="53">
        <f t="shared" si="4"/>
        <v>139723.19999999998</v>
      </c>
      <c r="AB31" s="53">
        <f t="shared" si="5"/>
        <v>3357</v>
      </c>
      <c r="AC31" s="53">
        <f t="shared" si="19"/>
        <v>2238</v>
      </c>
      <c r="AD31" s="53">
        <f t="shared" si="6"/>
        <v>64010.699999999983</v>
      </c>
      <c r="AE31" s="33"/>
      <c r="AF31" s="80">
        <f t="shared" si="20"/>
        <v>0</v>
      </c>
      <c r="AG31" s="80">
        <f t="shared" si="21"/>
        <v>0</v>
      </c>
      <c r="AH31" s="32">
        <f t="shared" si="22"/>
        <v>0</v>
      </c>
      <c r="AI31" s="33">
        <f>18+22</f>
        <v>40</v>
      </c>
      <c r="AJ31" s="80">
        <f t="shared" si="23"/>
        <v>139723.20000000001</v>
      </c>
      <c r="AK31" s="80">
        <f t="shared" si="7"/>
        <v>2238</v>
      </c>
      <c r="AL31" s="32">
        <f t="shared" si="24"/>
        <v>42673.799999999988</v>
      </c>
      <c r="AM31" s="101">
        <f>10+10</f>
        <v>20</v>
      </c>
      <c r="AN31" s="80">
        <f t="shared" si="8"/>
        <v>69861.600000000006</v>
      </c>
      <c r="AO31" s="80">
        <f t="shared" si="25"/>
        <v>55.95</v>
      </c>
      <c r="AP31" s="80">
        <f t="shared" si="9"/>
        <v>1119</v>
      </c>
      <c r="AQ31" s="81">
        <f t="shared" si="10"/>
        <v>21336.899999999994</v>
      </c>
      <c r="AR31" s="90"/>
      <c r="AS31" s="89"/>
      <c r="AT31" s="89"/>
      <c r="AU31" s="89"/>
    </row>
    <row r="32" spans="1:47" x14ac:dyDescent="0.2">
      <c r="A32" s="23">
        <v>35</v>
      </c>
      <c r="B32" s="24" t="s">
        <v>120</v>
      </c>
      <c r="C32" s="24" t="s">
        <v>125</v>
      </c>
      <c r="D32" s="24" t="s">
        <v>126</v>
      </c>
      <c r="E32" s="26" t="s">
        <v>127</v>
      </c>
      <c r="F32" s="26" t="s">
        <v>34</v>
      </c>
      <c r="G32" s="62">
        <v>20</v>
      </c>
      <c r="H32" s="27">
        <v>20</v>
      </c>
      <c r="I32" s="28">
        <v>0.28000000000000003</v>
      </c>
      <c r="J32" s="29">
        <v>1639</v>
      </c>
      <c r="K32" s="30">
        <f t="shared" si="0"/>
        <v>458.92</v>
      </c>
      <c r="L32" s="31">
        <f t="shared" si="1"/>
        <v>1180.08</v>
      </c>
      <c r="M32" s="31">
        <f t="shared" si="11"/>
        <v>1280.47</v>
      </c>
      <c r="N32" s="31">
        <v>1280.47</v>
      </c>
      <c r="O32" s="32">
        <f t="shared" si="12"/>
        <v>230.48999999999998</v>
      </c>
      <c r="P32" s="32">
        <f t="shared" si="13"/>
        <v>1049.98</v>
      </c>
      <c r="Q32" s="32">
        <f t="shared" si="2"/>
        <v>20999.599999999999</v>
      </c>
      <c r="R32" s="33">
        <v>17.64</v>
      </c>
      <c r="S32" s="32">
        <f t="shared" si="26"/>
        <v>353</v>
      </c>
      <c r="T32" s="34">
        <v>1101.2</v>
      </c>
      <c r="U32" s="32">
        <f t="shared" si="15"/>
        <v>22024</v>
      </c>
      <c r="V32" s="32">
        <f t="shared" si="16"/>
        <v>28240</v>
      </c>
      <c r="W32" s="32">
        <f t="shared" si="17"/>
        <v>6216</v>
      </c>
      <c r="X32" s="24"/>
      <c r="Y32" s="91">
        <f t="shared" si="3"/>
        <v>12</v>
      </c>
      <c r="Z32" s="53">
        <f t="shared" si="18"/>
        <v>8</v>
      </c>
      <c r="AA32" s="53">
        <f t="shared" si="4"/>
        <v>8809.5999999999985</v>
      </c>
      <c r="AB32" s="53">
        <f t="shared" si="5"/>
        <v>211.68</v>
      </c>
      <c r="AC32" s="53">
        <f t="shared" si="19"/>
        <v>141.32</v>
      </c>
      <c r="AD32" s="53">
        <f t="shared" si="6"/>
        <v>4037.5200000000004</v>
      </c>
      <c r="AE32" s="33"/>
      <c r="AF32" s="80">
        <f t="shared" si="20"/>
        <v>0</v>
      </c>
      <c r="AG32" s="80">
        <f t="shared" si="21"/>
        <v>0</v>
      </c>
      <c r="AH32" s="32">
        <f t="shared" si="22"/>
        <v>0</v>
      </c>
      <c r="AI32" s="33">
        <f>4+4</f>
        <v>8</v>
      </c>
      <c r="AJ32" s="80">
        <f t="shared" si="23"/>
        <v>8809.6</v>
      </c>
      <c r="AK32" s="80">
        <f t="shared" si="7"/>
        <v>141.12</v>
      </c>
      <c r="AL32" s="32">
        <f t="shared" si="24"/>
        <v>2691.6800000000003</v>
      </c>
      <c r="AM32" s="101">
        <v>4</v>
      </c>
      <c r="AN32" s="80">
        <f t="shared" si="8"/>
        <v>4404.8</v>
      </c>
      <c r="AO32" s="80">
        <f t="shared" si="25"/>
        <v>17.64</v>
      </c>
      <c r="AP32" s="80">
        <f t="shared" si="9"/>
        <v>70.56</v>
      </c>
      <c r="AQ32" s="81">
        <f t="shared" si="10"/>
        <v>1345.8400000000001</v>
      </c>
      <c r="AR32" s="90"/>
      <c r="AS32" s="89"/>
      <c r="AT32" s="89"/>
      <c r="AU32" s="89"/>
    </row>
    <row r="33" spans="1:47" ht="27" x14ac:dyDescent="0.2">
      <c r="A33" s="23">
        <v>43</v>
      </c>
      <c r="B33" s="24" t="s">
        <v>133</v>
      </c>
      <c r="C33" s="24" t="s">
        <v>134</v>
      </c>
      <c r="D33" s="24" t="s">
        <v>135</v>
      </c>
      <c r="E33" s="26" t="s">
        <v>33</v>
      </c>
      <c r="F33" s="26" t="s">
        <v>34</v>
      </c>
      <c r="G33" s="62">
        <v>20</v>
      </c>
      <c r="H33" s="27">
        <v>20</v>
      </c>
      <c r="I33" s="28">
        <v>0.28000000000000003</v>
      </c>
      <c r="J33" s="29">
        <v>3813</v>
      </c>
      <c r="K33" s="30">
        <f t="shared" si="0"/>
        <v>1067.6400000000001</v>
      </c>
      <c r="L33" s="31">
        <f t="shared" si="1"/>
        <v>2745.3599999999997</v>
      </c>
      <c r="M33" s="31">
        <f t="shared" si="11"/>
        <v>2978.9100000000003</v>
      </c>
      <c r="N33" s="31">
        <v>2978.91</v>
      </c>
      <c r="O33" s="32">
        <f t="shared" si="12"/>
        <v>536.21</v>
      </c>
      <c r="P33" s="32">
        <f t="shared" si="13"/>
        <v>2442.6999999999998</v>
      </c>
      <c r="Q33" s="32">
        <f t="shared" si="2"/>
        <v>48854</v>
      </c>
      <c r="R33" s="33">
        <v>41.03</v>
      </c>
      <c r="S33" s="32">
        <f t="shared" si="26"/>
        <v>821</v>
      </c>
      <c r="T33" s="34">
        <v>2561.86</v>
      </c>
      <c r="U33" s="32">
        <f t="shared" si="15"/>
        <v>51237.200000000004</v>
      </c>
      <c r="V33" s="32">
        <f t="shared" si="16"/>
        <v>65680</v>
      </c>
      <c r="W33" s="32">
        <f t="shared" si="17"/>
        <v>14442.799999999996</v>
      </c>
      <c r="X33" s="24"/>
      <c r="Y33" s="91">
        <f t="shared" si="3"/>
        <v>12</v>
      </c>
      <c r="Z33" s="53">
        <f t="shared" si="18"/>
        <v>8</v>
      </c>
      <c r="AA33" s="53">
        <f t="shared" si="4"/>
        <v>20494.880000000005</v>
      </c>
      <c r="AB33" s="53">
        <f t="shared" si="5"/>
        <v>492.36</v>
      </c>
      <c r="AC33" s="53">
        <f t="shared" si="19"/>
        <v>328.64</v>
      </c>
      <c r="AD33" s="53">
        <f t="shared" si="6"/>
        <v>9385.02</v>
      </c>
      <c r="AE33" s="33"/>
      <c r="AF33" s="80">
        <f t="shared" si="20"/>
        <v>0</v>
      </c>
      <c r="AG33" s="80">
        <f t="shared" si="21"/>
        <v>0</v>
      </c>
      <c r="AH33" s="32">
        <f t="shared" si="22"/>
        <v>0</v>
      </c>
      <c r="AI33" s="33">
        <f>4+4</f>
        <v>8</v>
      </c>
      <c r="AJ33" s="80">
        <f t="shared" si="23"/>
        <v>20494.88</v>
      </c>
      <c r="AK33" s="80">
        <f t="shared" si="7"/>
        <v>328.24</v>
      </c>
      <c r="AL33" s="32">
        <f t="shared" si="24"/>
        <v>6256.68</v>
      </c>
      <c r="AM33" s="101">
        <f>1+1+1+1</f>
        <v>4</v>
      </c>
      <c r="AN33" s="80">
        <f t="shared" si="8"/>
        <v>10247.44</v>
      </c>
      <c r="AO33" s="80">
        <f t="shared" si="25"/>
        <v>41.03</v>
      </c>
      <c r="AP33" s="80">
        <f t="shared" si="9"/>
        <v>164.12</v>
      </c>
      <c r="AQ33" s="81">
        <f t="shared" si="10"/>
        <v>3128.34</v>
      </c>
      <c r="AR33" s="90"/>
      <c r="AS33" s="89"/>
      <c r="AT33" s="89"/>
      <c r="AU33" s="89"/>
    </row>
    <row r="34" spans="1:47" ht="27" x14ac:dyDescent="0.2">
      <c r="A34" s="23">
        <v>44</v>
      </c>
      <c r="B34" s="24" t="s">
        <v>133</v>
      </c>
      <c r="C34" s="24" t="s">
        <v>136</v>
      </c>
      <c r="D34" s="24" t="s">
        <v>137</v>
      </c>
      <c r="E34" s="26" t="s">
        <v>138</v>
      </c>
      <c r="F34" s="26" t="s">
        <v>34</v>
      </c>
      <c r="G34" s="62">
        <v>30</v>
      </c>
      <c r="H34" s="27">
        <v>30</v>
      </c>
      <c r="I34" s="28">
        <v>0.28000000000000003</v>
      </c>
      <c r="J34" s="29">
        <v>994</v>
      </c>
      <c r="K34" s="30">
        <f t="shared" si="0"/>
        <v>278.32000000000005</v>
      </c>
      <c r="L34" s="31">
        <f t="shared" si="1"/>
        <v>715.68</v>
      </c>
      <c r="M34" s="31">
        <f t="shared" si="11"/>
        <v>776.56999999999994</v>
      </c>
      <c r="N34" s="31">
        <v>776.56</v>
      </c>
      <c r="O34" s="32">
        <f t="shared" si="12"/>
        <v>139.79</v>
      </c>
      <c r="P34" s="32">
        <f t="shared" si="13"/>
        <v>636.77</v>
      </c>
      <c r="Q34" s="32">
        <f t="shared" si="2"/>
        <v>19103.099999999999</v>
      </c>
      <c r="R34" s="33">
        <v>8.36</v>
      </c>
      <c r="S34" s="32">
        <f t="shared" si="26"/>
        <v>251</v>
      </c>
      <c r="T34" s="34">
        <v>667.84</v>
      </c>
      <c r="U34" s="32">
        <f t="shared" si="15"/>
        <v>20035.2</v>
      </c>
      <c r="V34" s="32">
        <f t="shared" si="16"/>
        <v>20080</v>
      </c>
      <c r="W34" s="32">
        <f t="shared" si="17"/>
        <v>44.799999999999272</v>
      </c>
      <c r="X34" s="24"/>
      <c r="Y34" s="91">
        <f t="shared" si="3"/>
        <v>18</v>
      </c>
      <c r="Z34" s="53">
        <f t="shared" si="18"/>
        <v>12</v>
      </c>
      <c r="AA34" s="53">
        <f t="shared" si="4"/>
        <v>8014.0800000000008</v>
      </c>
      <c r="AB34" s="53">
        <f t="shared" si="5"/>
        <v>150.47999999999999</v>
      </c>
      <c r="AC34" s="53">
        <f t="shared" si="19"/>
        <v>100.52000000000001</v>
      </c>
      <c r="AD34" s="53">
        <f t="shared" si="6"/>
        <v>242.99999999999864</v>
      </c>
      <c r="AE34" s="33"/>
      <c r="AF34" s="80">
        <f t="shared" si="20"/>
        <v>0</v>
      </c>
      <c r="AG34" s="80">
        <f t="shared" si="21"/>
        <v>0</v>
      </c>
      <c r="AH34" s="32">
        <f t="shared" si="22"/>
        <v>0</v>
      </c>
      <c r="AI34" s="33">
        <v>12</v>
      </c>
      <c r="AJ34" s="80">
        <f t="shared" si="23"/>
        <v>8014.08</v>
      </c>
      <c r="AK34" s="80">
        <f t="shared" si="7"/>
        <v>100.32</v>
      </c>
      <c r="AL34" s="32">
        <f t="shared" si="24"/>
        <v>161.99999999999909</v>
      </c>
      <c r="AM34" s="101">
        <f>1+1+1+1+1+1</f>
        <v>6</v>
      </c>
      <c r="AN34" s="80">
        <f t="shared" si="8"/>
        <v>4007.04</v>
      </c>
      <c r="AO34" s="80">
        <f t="shared" si="25"/>
        <v>8.36</v>
      </c>
      <c r="AP34" s="80">
        <f t="shared" si="9"/>
        <v>50.16</v>
      </c>
      <c r="AQ34" s="81">
        <f t="shared" si="10"/>
        <v>80.999999999999545</v>
      </c>
      <c r="AR34" s="90"/>
      <c r="AS34" s="89"/>
      <c r="AT34" s="89"/>
      <c r="AU34" s="89"/>
    </row>
    <row r="35" spans="1:47" ht="27" x14ac:dyDescent="0.2">
      <c r="A35" s="23">
        <v>45</v>
      </c>
      <c r="B35" s="24" t="s">
        <v>133</v>
      </c>
      <c r="C35" s="24" t="s">
        <v>139</v>
      </c>
      <c r="D35" s="24" t="s">
        <v>140</v>
      </c>
      <c r="E35" s="26" t="s">
        <v>138</v>
      </c>
      <c r="F35" s="26" t="s">
        <v>34</v>
      </c>
      <c r="G35" s="62">
        <v>30</v>
      </c>
      <c r="H35" s="27">
        <v>30</v>
      </c>
      <c r="I35" s="28">
        <v>0.28000000000000003</v>
      </c>
      <c r="J35" s="29">
        <v>994</v>
      </c>
      <c r="K35" s="30">
        <f t="shared" si="0"/>
        <v>278.32000000000005</v>
      </c>
      <c r="L35" s="31">
        <f t="shared" si="1"/>
        <v>715.68</v>
      </c>
      <c r="M35" s="31">
        <f t="shared" si="11"/>
        <v>776.56999999999994</v>
      </c>
      <c r="N35" s="31">
        <v>776.56</v>
      </c>
      <c r="O35" s="32">
        <f t="shared" si="12"/>
        <v>139.79</v>
      </c>
      <c r="P35" s="32">
        <f t="shared" si="13"/>
        <v>636.77</v>
      </c>
      <c r="Q35" s="32">
        <f t="shared" si="2"/>
        <v>19103.099999999999</v>
      </c>
      <c r="R35" s="33">
        <v>8.36</v>
      </c>
      <c r="S35" s="32">
        <f t="shared" si="26"/>
        <v>251</v>
      </c>
      <c r="T35" s="34">
        <v>667.84</v>
      </c>
      <c r="U35" s="32">
        <f t="shared" si="15"/>
        <v>20035.2</v>
      </c>
      <c r="V35" s="32">
        <f t="shared" si="16"/>
        <v>20080</v>
      </c>
      <c r="W35" s="32">
        <f t="shared" si="17"/>
        <v>44.799999999999272</v>
      </c>
      <c r="X35" s="24"/>
      <c r="Y35" s="91">
        <f t="shared" si="3"/>
        <v>18</v>
      </c>
      <c r="Z35" s="53">
        <f t="shared" si="18"/>
        <v>12</v>
      </c>
      <c r="AA35" s="53">
        <f t="shared" si="4"/>
        <v>8014.0800000000008</v>
      </c>
      <c r="AB35" s="53">
        <f t="shared" si="5"/>
        <v>150.47999999999999</v>
      </c>
      <c r="AC35" s="53">
        <f t="shared" si="19"/>
        <v>100.52000000000001</v>
      </c>
      <c r="AD35" s="53">
        <f t="shared" si="6"/>
        <v>242.99999999999864</v>
      </c>
      <c r="AE35" s="33"/>
      <c r="AF35" s="80">
        <f t="shared" si="20"/>
        <v>0</v>
      </c>
      <c r="AG35" s="80">
        <f t="shared" si="21"/>
        <v>0</v>
      </c>
      <c r="AH35" s="32">
        <f t="shared" si="22"/>
        <v>0</v>
      </c>
      <c r="AI35" s="33">
        <v>12</v>
      </c>
      <c r="AJ35" s="80">
        <f t="shared" si="23"/>
        <v>8014.08</v>
      </c>
      <c r="AK35" s="80">
        <f t="shared" si="7"/>
        <v>100.32</v>
      </c>
      <c r="AL35" s="32">
        <f t="shared" si="24"/>
        <v>161.99999999999909</v>
      </c>
      <c r="AM35" s="101">
        <f>1+1+1+1+1+1</f>
        <v>6</v>
      </c>
      <c r="AN35" s="80">
        <f t="shared" si="8"/>
        <v>4007.04</v>
      </c>
      <c r="AO35" s="80">
        <f t="shared" si="25"/>
        <v>8.36</v>
      </c>
      <c r="AP35" s="80">
        <f t="shared" si="9"/>
        <v>50.16</v>
      </c>
      <c r="AQ35" s="81">
        <f t="shared" si="10"/>
        <v>80.999999999999545</v>
      </c>
      <c r="AR35" s="90"/>
      <c r="AS35" s="89"/>
      <c r="AT35" s="89"/>
      <c r="AU35" s="89"/>
    </row>
    <row r="36" spans="1:47" ht="27" x14ac:dyDescent="0.2">
      <c r="A36" s="23">
        <v>46</v>
      </c>
      <c r="B36" s="24" t="s">
        <v>133</v>
      </c>
      <c r="C36" s="24" t="s">
        <v>141</v>
      </c>
      <c r="D36" s="24" t="s">
        <v>142</v>
      </c>
      <c r="E36" s="26" t="s">
        <v>33</v>
      </c>
      <c r="F36" s="26" t="s">
        <v>34</v>
      </c>
      <c r="G36" s="62">
        <v>30</v>
      </c>
      <c r="H36" s="27">
        <v>30</v>
      </c>
      <c r="I36" s="28">
        <v>0.28000000000000003</v>
      </c>
      <c r="J36" s="29">
        <v>867</v>
      </c>
      <c r="K36" s="30">
        <f t="shared" si="0"/>
        <v>242.76000000000002</v>
      </c>
      <c r="L36" s="31">
        <f t="shared" si="1"/>
        <v>624.24</v>
      </c>
      <c r="M36" s="31">
        <f t="shared" si="11"/>
        <v>677.35</v>
      </c>
      <c r="N36" s="31">
        <v>677.34</v>
      </c>
      <c r="O36" s="32">
        <f t="shared" si="12"/>
        <v>121.93</v>
      </c>
      <c r="P36" s="32">
        <f t="shared" si="13"/>
        <v>555.41000000000008</v>
      </c>
      <c r="Q36" s="32">
        <f t="shared" si="2"/>
        <v>16662.300000000003</v>
      </c>
      <c r="R36" s="33">
        <v>9.36</v>
      </c>
      <c r="S36" s="32">
        <f t="shared" si="26"/>
        <v>281</v>
      </c>
      <c r="T36" s="34">
        <v>582.51</v>
      </c>
      <c r="U36" s="32">
        <f t="shared" si="15"/>
        <v>17475.3</v>
      </c>
      <c r="V36" s="32">
        <f t="shared" si="16"/>
        <v>22480</v>
      </c>
      <c r="W36" s="32">
        <f t="shared" si="17"/>
        <v>5004.7000000000007</v>
      </c>
      <c r="X36" s="24"/>
      <c r="Y36" s="91">
        <f t="shared" ref="Y36:Y60" si="27">AE36+AI36+AM36+AR36</f>
        <v>18</v>
      </c>
      <c r="Z36" s="53">
        <f t="shared" si="18"/>
        <v>12</v>
      </c>
      <c r="AA36" s="53">
        <f t="shared" ref="AA36:AA62" si="28">U36-AF36-AJ36-AN36-AS36</f>
        <v>6990.119999999999</v>
      </c>
      <c r="AB36" s="53">
        <f t="shared" ref="AB36:AB61" si="29">AG36+AK36+AP36+AT36</f>
        <v>168.48</v>
      </c>
      <c r="AC36" s="53">
        <f t="shared" si="19"/>
        <v>112.52000000000001</v>
      </c>
      <c r="AD36" s="53">
        <f t="shared" ref="AD36:AD66" si="30">AH36+AL36+AQ36+AU36</f>
        <v>3245.9399999999987</v>
      </c>
      <c r="AE36" s="33"/>
      <c r="AF36" s="80">
        <f t="shared" si="20"/>
        <v>0</v>
      </c>
      <c r="AG36" s="80">
        <f t="shared" si="21"/>
        <v>0</v>
      </c>
      <c r="AH36" s="32">
        <f t="shared" si="22"/>
        <v>0</v>
      </c>
      <c r="AI36" s="33"/>
      <c r="AJ36" s="80">
        <f t="shared" si="23"/>
        <v>0</v>
      </c>
      <c r="AK36" s="80">
        <f t="shared" si="7"/>
        <v>0</v>
      </c>
      <c r="AL36" s="32">
        <f t="shared" si="24"/>
        <v>0</v>
      </c>
      <c r="AM36" s="101">
        <f>6+12</f>
        <v>18</v>
      </c>
      <c r="AN36" s="80">
        <f t="shared" si="8"/>
        <v>10485.18</v>
      </c>
      <c r="AO36" s="80">
        <f t="shared" si="25"/>
        <v>9.36</v>
      </c>
      <c r="AP36" s="80">
        <f t="shared" ref="AP36:AP60" si="31">AM36*$R36</f>
        <v>168.48</v>
      </c>
      <c r="AQ36" s="81">
        <f t="shared" ref="AQ36:AQ60" si="32">(81.5*AP36)-AN36</f>
        <v>3245.9399999999987</v>
      </c>
      <c r="AR36" s="90"/>
      <c r="AS36" s="89"/>
      <c r="AT36" s="89"/>
      <c r="AU36" s="89"/>
    </row>
    <row r="37" spans="1:47" ht="27" x14ac:dyDescent="0.2">
      <c r="A37" s="23">
        <v>47</v>
      </c>
      <c r="B37" s="24" t="s">
        <v>133</v>
      </c>
      <c r="C37" s="24" t="s">
        <v>143</v>
      </c>
      <c r="D37" s="24" t="s">
        <v>144</v>
      </c>
      <c r="E37" s="26" t="s">
        <v>33</v>
      </c>
      <c r="F37" s="26" t="s">
        <v>34</v>
      </c>
      <c r="G37" s="62">
        <v>30</v>
      </c>
      <c r="H37" s="27">
        <v>30</v>
      </c>
      <c r="I37" s="28">
        <v>0.28000000000000003</v>
      </c>
      <c r="J37" s="29">
        <v>188</v>
      </c>
      <c r="K37" s="30">
        <f t="shared" si="0"/>
        <v>52.640000000000008</v>
      </c>
      <c r="L37" s="31">
        <f t="shared" si="1"/>
        <v>135.35999999999999</v>
      </c>
      <c r="M37" s="31">
        <f t="shared" si="11"/>
        <v>146.88</v>
      </c>
      <c r="N37" s="31">
        <v>146.88</v>
      </c>
      <c r="O37" s="32">
        <f t="shared" si="12"/>
        <v>26.44</v>
      </c>
      <c r="P37" s="32">
        <f t="shared" si="13"/>
        <v>120.44</v>
      </c>
      <c r="Q37" s="32">
        <f t="shared" si="2"/>
        <v>3613.2</v>
      </c>
      <c r="R37" s="33">
        <v>2.04</v>
      </c>
      <c r="S37" s="32">
        <f>ROUND(R37*H37,0)</f>
        <v>61</v>
      </c>
      <c r="T37" s="34">
        <v>126.32</v>
      </c>
      <c r="U37" s="32">
        <f t="shared" si="15"/>
        <v>3789.6</v>
      </c>
      <c r="V37" s="32">
        <f t="shared" si="16"/>
        <v>4880</v>
      </c>
      <c r="W37" s="32">
        <f t="shared" si="17"/>
        <v>1090.4000000000001</v>
      </c>
      <c r="X37" s="24"/>
      <c r="Y37" s="91">
        <f t="shared" si="27"/>
        <v>18</v>
      </c>
      <c r="Z37" s="53">
        <f t="shared" si="18"/>
        <v>12</v>
      </c>
      <c r="AA37" s="53">
        <f t="shared" si="28"/>
        <v>1515.8400000000001</v>
      </c>
      <c r="AB37" s="53">
        <f t="shared" si="29"/>
        <v>36.72</v>
      </c>
      <c r="AC37" s="53">
        <f t="shared" si="19"/>
        <v>24.28</v>
      </c>
      <c r="AD37" s="53">
        <f t="shared" si="30"/>
        <v>718.9200000000003</v>
      </c>
      <c r="AE37" s="33"/>
      <c r="AF37" s="80">
        <f t="shared" si="20"/>
        <v>0</v>
      </c>
      <c r="AG37" s="80">
        <f t="shared" si="21"/>
        <v>0</v>
      </c>
      <c r="AH37" s="32">
        <f t="shared" si="22"/>
        <v>0</v>
      </c>
      <c r="AI37" s="33">
        <f>6+6</f>
        <v>12</v>
      </c>
      <c r="AJ37" s="80">
        <f t="shared" si="23"/>
        <v>1515.84</v>
      </c>
      <c r="AK37" s="80">
        <f t="shared" si="7"/>
        <v>24.48</v>
      </c>
      <c r="AL37" s="32">
        <f t="shared" si="24"/>
        <v>479.2800000000002</v>
      </c>
      <c r="AM37" s="101">
        <v>6</v>
      </c>
      <c r="AN37" s="80">
        <f t="shared" si="8"/>
        <v>757.92</v>
      </c>
      <c r="AO37" s="80">
        <f t="shared" si="25"/>
        <v>2.04</v>
      </c>
      <c r="AP37" s="80">
        <f t="shared" si="31"/>
        <v>12.24</v>
      </c>
      <c r="AQ37" s="81">
        <f t="shared" si="32"/>
        <v>239.6400000000001</v>
      </c>
      <c r="AR37" s="90"/>
      <c r="AS37" s="89"/>
      <c r="AT37" s="89"/>
      <c r="AU37" s="89"/>
    </row>
    <row r="38" spans="1:47" ht="27" x14ac:dyDescent="0.2">
      <c r="A38" s="23">
        <v>48</v>
      </c>
      <c r="B38" s="24" t="s">
        <v>133</v>
      </c>
      <c r="C38" s="24" t="s">
        <v>145</v>
      </c>
      <c r="D38" s="24" t="s">
        <v>146</v>
      </c>
      <c r="E38" s="26" t="s">
        <v>33</v>
      </c>
      <c r="F38" s="26" t="s">
        <v>34</v>
      </c>
      <c r="G38" s="62">
        <v>30</v>
      </c>
      <c r="H38" s="27">
        <v>30</v>
      </c>
      <c r="I38" s="28">
        <v>0.28000000000000003</v>
      </c>
      <c r="J38" s="29">
        <v>188</v>
      </c>
      <c r="K38" s="30">
        <f t="shared" si="0"/>
        <v>52.640000000000008</v>
      </c>
      <c r="L38" s="31">
        <f t="shared" si="1"/>
        <v>135.35999999999999</v>
      </c>
      <c r="M38" s="31">
        <f t="shared" si="11"/>
        <v>146.88</v>
      </c>
      <c r="N38" s="31">
        <v>146.88</v>
      </c>
      <c r="O38" s="32">
        <f t="shared" si="12"/>
        <v>26.44</v>
      </c>
      <c r="P38" s="32">
        <f t="shared" si="13"/>
        <v>120.44</v>
      </c>
      <c r="Q38" s="32">
        <f t="shared" si="2"/>
        <v>3613.2</v>
      </c>
      <c r="R38" s="33">
        <v>2.04</v>
      </c>
      <c r="S38" s="32">
        <f>ROUND(R38*H38,0)</f>
        <v>61</v>
      </c>
      <c r="T38" s="34">
        <v>126.32</v>
      </c>
      <c r="U38" s="32">
        <f t="shared" si="15"/>
        <v>3789.6</v>
      </c>
      <c r="V38" s="32">
        <f t="shared" si="16"/>
        <v>4880</v>
      </c>
      <c r="W38" s="32">
        <f t="shared" si="17"/>
        <v>1090.4000000000001</v>
      </c>
      <c r="X38" s="24"/>
      <c r="Y38" s="91">
        <f t="shared" si="27"/>
        <v>18</v>
      </c>
      <c r="Z38" s="53">
        <f t="shared" si="18"/>
        <v>12</v>
      </c>
      <c r="AA38" s="53">
        <f t="shared" si="28"/>
        <v>1515.8400000000001</v>
      </c>
      <c r="AB38" s="53">
        <f t="shared" si="29"/>
        <v>36.72</v>
      </c>
      <c r="AC38" s="53">
        <f t="shared" si="19"/>
        <v>24.28</v>
      </c>
      <c r="AD38" s="53">
        <f t="shared" si="30"/>
        <v>718.9200000000003</v>
      </c>
      <c r="AE38" s="33"/>
      <c r="AF38" s="80">
        <f t="shared" si="20"/>
        <v>0</v>
      </c>
      <c r="AG38" s="80">
        <f t="shared" si="21"/>
        <v>0</v>
      </c>
      <c r="AH38" s="32">
        <f t="shared" si="22"/>
        <v>0</v>
      </c>
      <c r="AI38" s="33">
        <f>6+6</f>
        <v>12</v>
      </c>
      <c r="AJ38" s="80">
        <f t="shared" si="23"/>
        <v>1515.84</v>
      </c>
      <c r="AK38" s="80">
        <f t="shared" si="7"/>
        <v>24.48</v>
      </c>
      <c r="AL38" s="32">
        <f t="shared" si="24"/>
        <v>479.2800000000002</v>
      </c>
      <c r="AM38" s="101">
        <v>6</v>
      </c>
      <c r="AN38" s="80">
        <f t="shared" si="8"/>
        <v>757.92</v>
      </c>
      <c r="AO38" s="80">
        <f t="shared" si="25"/>
        <v>2.04</v>
      </c>
      <c r="AP38" s="80">
        <f t="shared" si="31"/>
        <v>12.24</v>
      </c>
      <c r="AQ38" s="81">
        <f t="shared" si="32"/>
        <v>239.6400000000001</v>
      </c>
      <c r="AR38" s="90"/>
      <c r="AS38" s="89"/>
      <c r="AT38" s="89"/>
      <c r="AU38" s="89"/>
    </row>
    <row r="39" spans="1:47" ht="27" x14ac:dyDescent="0.2">
      <c r="A39" s="23">
        <v>49</v>
      </c>
      <c r="B39" s="24" t="s">
        <v>133</v>
      </c>
      <c r="C39" s="24" t="s">
        <v>147</v>
      </c>
      <c r="D39" s="24" t="s">
        <v>148</v>
      </c>
      <c r="E39" s="26" t="s">
        <v>33</v>
      </c>
      <c r="F39" s="26" t="s">
        <v>34</v>
      </c>
      <c r="G39" s="62">
        <v>30</v>
      </c>
      <c r="H39" s="27">
        <v>30</v>
      </c>
      <c r="I39" s="28">
        <v>0.28000000000000003</v>
      </c>
      <c r="J39" s="29">
        <v>121</v>
      </c>
      <c r="K39" s="30">
        <f t="shared" si="0"/>
        <v>33.880000000000003</v>
      </c>
      <c r="L39" s="31">
        <f t="shared" si="1"/>
        <v>87.12</v>
      </c>
      <c r="M39" s="31">
        <f t="shared" si="11"/>
        <v>94.54</v>
      </c>
      <c r="N39" s="31">
        <v>94.53</v>
      </c>
      <c r="O39" s="32">
        <f t="shared" si="12"/>
        <v>17.020000000000003</v>
      </c>
      <c r="P39" s="32">
        <f t="shared" si="13"/>
        <v>77.509999999999991</v>
      </c>
      <c r="Q39" s="32">
        <f t="shared" si="2"/>
        <v>2325.2999999999997</v>
      </c>
      <c r="R39" s="33">
        <v>1.32</v>
      </c>
      <c r="S39" s="32">
        <f t="shared" si="26"/>
        <v>40</v>
      </c>
      <c r="T39" s="34">
        <v>81.3</v>
      </c>
      <c r="U39" s="32">
        <f t="shared" si="15"/>
        <v>2439</v>
      </c>
      <c r="V39" s="32">
        <f t="shared" si="16"/>
        <v>3200</v>
      </c>
      <c r="W39" s="32">
        <f t="shared" si="17"/>
        <v>761</v>
      </c>
      <c r="X39" s="24"/>
      <c r="Y39" s="91">
        <f t="shared" si="27"/>
        <v>18</v>
      </c>
      <c r="Z39" s="53">
        <f t="shared" si="18"/>
        <v>12</v>
      </c>
      <c r="AA39" s="53">
        <f t="shared" si="28"/>
        <v>975.60000000000014</v>
      </c>
      <c r="AB39" s="53">
        <f t="shared" si="29"/>
        <v>23.759999999999998</v>
      </c>
      <c r="AC39" s="53">
        <f t="shared" si="19"/>
        <v>16.240000000000002</v>
      </c>
      <c r="AD39" s="53">
        <f t="shared" si="30"/>
        <v>473.04000000000019</v>
      </c>
      <c r="AE39" s="33"/>
      <c r="AF39" s="80">
        <f t="shared" si="20"/>
        <v>0</v>
      </c>
      <c r="AG39" s="80">
        <f t="shared" si="21"/>
        <v>0</v>
      </c>
      <c r="AH39" s="32">
        <f t="shared" si="22"/>
        <v>0</v>
      </c>
      <c r="AI39" s="33">
        <f>6+6</f>
        <v>12</v>
      </c>
      <c r="AJ39" s="80">
        <f t="shared" si="23"/>
        <v>975.59999999999991</v>
      </c>
      <c r="AK39" s="80">
        <f t="shared" si="7"/>
        <v>15.84</v>
      </c>
      <c r="AL39" s="32">
        <f t="shared" si="24"/>
        <v>315.36000000000013</v>
      </c>
      <c r="AM39" s="101">
        <v>6</v>
      </c>
      <c r="AN39" s="80">
        <f t="shared" si="8"/>
        <v>487.79999999999995</v>
      </c>
      <c r="AO39" s="80">
        <f t="shared" si="25"/>
        <v>1.32</v>
      </c>
      <c r="AP39" s="80">
        <f t="shared" si="31"/>
        <v>7.92</v>
      </c>
      <c r="AQ39" s="81">
        <f t="shared" si="32"/>
        <v>157.68000000000006</v>
      </c>
      <c r="AR39" s="90"/>
      <c r="AS39" s="89"/>
      <c r="AT39" s="89"/>
      <c r="AU39" s="89"/>
    </row>
    <row r="40" spans="1:47" ht="27" x14ac:dyDescent="0.2">
      <c r="A40" s="23">
        <v>50</v>
      </c>
      <c r="B40" s="24" t="s">
        <v>133</v>
      </c>
      <c r="C40" s="24" t="s">
        <v>149</v>
      </c>
      <c r="D40" s="24" t="s">
        <v>150</v>
      </c>
      <c r="E40" s="26" t="s">
        <v>33</v>
      </c>
      <c r="F40" s="26" t="s">
        <v>34</v>
      </c>
      <c r="G40" s="62">
        <v>30</v>
      </c>
      <c r="H40" s="27">
        <v>30</v>
      </c>
      <c r="I40" s="28">
        <v>0.28000000000000003</v>
      </c>
      <c r="J40" s="29">
        <v>121</v>
      </c>
      <c r="K40" s="30">
        <f t="shared" si="0"/>
        <v>33.880000000000003</v>
      </c>
      <c r="L40" s="31">
        <f t="shared" si="1"/>
        <v>87.12</v>
      </c>
      <c r="M40" s="31">
        <f t="shared" si="11"/>
        <v>94.54</v>
      </c>
      <c r="N40" s="31">
        <v>94.53</v>
      </c>
      <c r="O40" s="32">
        <f t="shared" si="12"/>
        <v>17.020000000000003</v>
      </c>
      <c r="P40" s="32">
        <f t="shared" si="13"/>
        <v>77.509999999999991</v>
      </c>
      <c r="Q40" s="32">
        <f t="shared" si="2"/>
        <v>2325.2999999999997</v>
      </c>
      <c r="R40" s="33">
        <v>1.32</v>
      </c>
      <c r="S40" s="32">
        <f t="shared" si="26"/>
        <v>40</v>
      </c>
      <c r="T40" s="34">
        <v>81.3</v>
      </c>
      <c r="U40" s="32">
        <f t="shared" si="15"/>
        <v>2439</v>
      </c>
      <c r="V40" s="32">
        <f t="shared" si="16"/>
        <v>3200</v>
      </c>
      <c r="W40" s="32">
        <f t="shared" si="17"/>
        <v>761</v>
      </c>
      <c r="X40" s="24"/>
      <c r="Y40" s="91">
        <f t="shared" si="27"/>
        <v>18</v>
      </c>
      <c r="Z40" s="53">
        <f t="shared" si="18"/>
        <v>12</v>
      </c>
      <c r="AA40" s="53">
        <f t="shared" si="28"/>
        <v>975.60000000000014</v>
      </c>
      <c r="AB40" s="53">
        <f t="shared" si="29"/>
        <v>23.759999999999998</v>
      </c>
      <c r="AC40" s="53">
        <f t="shared" si="19"/>
        <v>16.240000000000002</v>
      </c>
      <c r="AD40" s="53">
        <f t="shared" si="30"/>
        <v>473.04000000000019</v>
      </c>
      <c r="AE40" s="33"/>
      <c r="AF40" s="80">
        <f t="shared" si="20"/>
        <v>0</v>
      </c>
      <c r="AG40" s="80">
        <f t="shared" si="21"/>
        <v>0</v>
      </c>
      <c r="AH40" s="32">
        <f t="shared" si="22"/>
        <v>0</v>
      </c>
      <c r="AI40" s="33">
        <f>6+6</f>
        <v>12</v>
      </c>
      <c r="AJ40" s="80">
        <f t="shared" si="23"/>
        <v>975.59999999999991</v>
      </c>
      <c r="AK40" s="80">
        <f t="shared" si="7"/>
        <v>15.84</v>
      </c>
      <c r="AL40" s="32">
        <f t="shared" si="24"/>
        <v>315.36000000000013</v>
      </c>
      <c r="AM40" s="101">
        <v>6</v>
      </c>
      <c r="AN40" s="80">
        <f t="shared" si="8"/>
        <v>487.79999999999995</v>
      </c>
      <c r="AO40" s="80">
        <f t="shared" si="25"/>
        <v>1.32</v>
      </c>
      <c r="AP40" s="80">
        <f t="shared" si="31"/>
        <v>7.92</v>
      </c>
      <c r="AQ40" s="81">
        <f t="shared" si="32"/>
        <v>157.68000000000006</v>
      </c>
      <c r="AR40" s="90"/>
      <c r="AS40" s="89"/>
      <c r="AT40" s="89"/>
      <c r="AU40" s="89"/>
    </row>
    <row r="41" spans="1:47" x14ac:dyDescent="0.2">
      <c r="A41" s="23">
        <v>53</v>
      </c>
      <c r="B41" s="24" t="s">
        <v>151</v>
      </c>
      <c r="C41" s="25" t="s">
        <v>152</v>
      </c>
      <c r="D41" s="24" t="s">
        <v>153</v>
      </c>
      <c r="E41" s="26" t="s">
        <v>154</v>
      </c>
      <c r="F41" s="26" t="s">
        <v>34</v>
      </c>
      <c r="G41" s="62">
        <v>20</v>
      </c>
      <c r="H41" s="27">
        <v>20</v>
      </c>
      <c r="I41" s="28">
        <v>0.18</v>
      </c>
      <c r="J41" s="29">
        <v>9807</v>
      </c>
      <c r="K41" s="30">
        <f t="shared" si="0"/>
        <v>1765.26</v>
      </c>
      <c r="L41" s="31">
        <f t="shared" si="1"/>
        <v>8041.74</v>
      </c>
      <c r="M41" s="31">
        <f t="shared" si="11"/>
        <v>8311.02</v>
      </c>
      <c r="N41" s="31">
        <v>7661.72</v>
      </c>
      <c r="O41" s="32">
        <f t="shared" si="12"/>
        <v>1379.11</v>
      </c>
      <c r="P41" s="32">
        <f t="shared" si="13"/>
        <v>6282.6100000000006</v>
      </c>
      <c r="Q41" s="32">
        <f t="shared" si="2"/>
        <v>125652.20000000001</v>
      </c>
      <c r="R41" s="33">
        <v>107.5</v>
      </c>
      <c r="S41" s="32">
        <f t="shared" si="26"/>
        <v>2150</v>
      </c>
      <c r="T41" s="34">
        <v>7043.59</v>
      </c>
      <c r="U41" s="32">
        <f t="shared" si="15"/>
        <v>140871.79999999999</v>
      </c>
      <c r="V41" s="32">
        <f t="shared" si="16"/>
        <v>172000</v>
      </c>
      <c r="W41" s="32">
        <f t="shared" si="17"/>
        <v>31128.200000000012</v>
      </c>
      <c r="X41" s="24"/>
      <c r="Y41" s="91">
        <f t="shared" si="27"/>
        <v>12</v>
      </c>
      <c r="Z41" s="53">
        <f t="shared" si="18"/>
        <v>8</v>
      </c>
      <c r="AA41" s="53">
        <f t="shared" si="28"/>
        <v>56348.719999999987</v>
      </c>
      <c r="AB41" s="53">
        <f t="shared" si="29"/>
        <v>1290</v>
      </c>
      <c r="AC41" s="53">
        <f t="shared" si="19"/>
        <v>860</v>
      </c>
      <c r="AD41" s="53">
        <f t="shared" si="30"/>
        <v>20611.919999999998</v>
      </c>
      <c r="AE41" s="33"/>
      <c r="AF41" s="80">
        <f t="shared" si="20"/>
        <v>0</v>
      </c>
      <c r="AG41" s="80">
        <f t="shared" si="21"/>
        <v>0</v>
      </c>
      <c r="AH41" s="32">
        <f t="shared" si="22"/>
        <v>0</v>
      </c>
      <c r="AI41" s="33">
        <v>8</v>
      </c>
      <c r="AJ41" s="80">
        <f t="shared" si="23"/>
        <v>56348.72</v>
      </c>
      <c r="AK41" s="80">
        <f t="shared" si="7"/>
        <v>860</v>
      </c>
      <c r="AL41" s="32">
        <f t="shared" si="24"/>
        <v>13741.279999999999</v>
      </c>
      <c r="AM41" s="101">
        <v>4</v>
      </c>
      <c r="AN41" s="80">
        <f t="shared" si="8"/>
        <v>28174.36</v>
      </c>
      <c r="AO41" s="80">
        <f t="shared" si="25"/>
        <v>107.5</v>
      </c>
      <c r="AP41" s="80">
        <f t="shared" si="31"/>
        <v>430</v>
      </c>
      <c r="AQ41" s="81">
        <f t="shared" si="32"/>
        <v>6870.6399999999994</v>
      </c>
      <c r="AR41" s="90"/>
      <c r="AS41" s="89"/>
      <c r="AT41" s="89"/>
      <c r="AU41" s="89"/>
    </row>
    <row r="42" spans="1:47" ht="13.5" customHeight="1" x14ac:dyDescent="0.2">
      <c r="A42" s="23">
        <v>54</v>
      </c>
      <c r="B42" s="24" t="s">
        <v>151</v>
      </c>
      <c r="C42" s="25" t="s">
        <v>155</v>
      </c>
      <c r="D42" s="24" t="s">
        <v>156</v>
      </c>
      <c r="E42" s="26" t="s">
        <v>157</v>
      </c>
      <c r="F42" s="26" t="s">
        <v>34</v>
      </c>
      <c r="G42" s="62">
        <v>20</v>
      </c>
      <c r="H42" s="27">
        <v>20</v>
      </c>
      <c r="I42" s="28">
        <v>0.18</v>
      </c>
      <c r="J42" s="29">
        <v>9807</v>
      </c>
      <c r="K42" s="30">
        <f t="shared" si="0"/>
        <v>1765.26</v>
      </c>
      <c r="L42" s="31">
        <f t="shared" si="1"/>
        <v>8041.74</v>
      </c>
      <c r="M42" s="31">
        <f t="shared" si="11"/>
        <v>8311.02</v>
      </c>
      <c r="N42" s="31">
        <v>7661.72</v>
      </c>
      <c r="O42" s="32">
        <f t="shared" si="12"/>
        <v>1379.11</v>
      </c>
      <c r="P42" s="32">
        <f t="shared" si="13"/>
        <v>6282.6100000000006</v>
      </c>
      <c r="Q42" s="32">
        <f t="shared" si="2"/>
        <v>125652.20000000001</v>
      </c>
      <c r="R42" s="33">
        <v>107.5</v>
      </c>
      <c r="S42" s="32">
        <f t="shared" si="26"/>
        <v>2150</v>
      </c>
      <c r="T42" s="34">
        <v>7043.59</v>
      </c>
      <c r="U42" s="32">
        <f t="shared" si="15"/>
        <v>140871.79999999999</v>
      </c>
      <c r="V42" s="32">
        <f t="shared" si="16"/>
        <v>172000</v>
      </c>
      <c r="W42" s="32">
        <f t="shared" si="17"/>
        <v>31128.200000000012</v>
      </c>
      <c r="X42" s="24"/>
      <c r="Y42" s="91">
        <f t="shared" si="27"/>
        <v>12</v>
      </c>
      <c r="Z42" s="53">
        <f t="shared" si="18"/>
        <v>8</v>
      </c>
      <c r="AA42" s="53">
        <f t="shared" si="28"/>
        <v>56348.719999999987</v>
      </c>
      <c r="AB42" s="53">
        <f t="shared" si="29"/>
        <v>1290</v>
      </c>
      <c r="AC42" s="53">
        <f t="shared" si="19"/>
        <v>860</v>
      </c>
      <c r="AD42" s="53">
        <f t="shared" si="30"/>
        <v>20611.919999999998</v>
      </c>
      <c r="AE42" s="33"/>
      <c r="AF42" s="80">
        <f t="shared" si="20"/>
        <v>0</v>
      </c>
      <c r="AG42" s="80">
        <f t="shared" si="21"/>
        <v>0</v>
      </c>
      <c r="AH42" s="32">
        <f t="shared" si="22"/>
        <v>0</v>
      </c>
      <c r="AI42" s="33">
        <v>8</v>
      </c>
      <c r="AJ42" s="80">
        <f t="shared" si="23"/>
        <v>56348.72</v>
      </c>
      <c r="AK42" s="80">
        <f t="shared" si="7"/>
        <v>860</v>
      </c>
      <c r="AL42" s="32">
        <f t="shared" si="24"/>
        <v>13741.279999999999</v>
      </c>
      <c r="AM42" s="101">
        <v>4</v>
      </c>
      <c r="AN42" s="80">
        <f t="shared" si="8"/>
        <v>28174.36</v>
      </c>
      <c r="AO42" s="80">
        <f t="shared" si="25"/>
        <v>107.5</v>
      </c>
      <c r="AP42" s="80">
        <f t="shared" si="31"/>
        <v>430</v>
      </c>
      <c r="AQ42" s="81">
        <f t="shared" si="32"/>
        <v>6870.6399999999994</v>
      </c>
      <c r="AR42" s="90"/>
      <c r="AS42" s="89"/>
      <c r="AT42" s="89"/>
      <c r="AU42" s="89"/>
    </row>
    <row r="43" spans="1:47" x14ac:dyDescent="0.2">
      <c r="A43" s="23">
        <v>56</v>
      </c>
      <c r="B43" s="24" t="s">
        <v>151</v>
      </c>
      <c r="C43" s="25" t="s">
        <v>158</v>
      </c>
      <c r="D43" s="24" t="s">
        <v>159</v>
      </c>
      <c r="E43" s="26" t="s">
        <v>154</v>
      </c>
      <c r="F43" s="26" t="s">
        <v>34</v>
      </c>
      <c r="G43" s="62">
        <v>50</v>
      </c>
      <c r="H43" s="27">
        <v>50</v>
      </c>
      <c r="I43" s="28">
        <v>0.18</v>
      </c>
      <c r="J43" s="29">
        <v>795</v>
      </c>
      <c r="K43" s="30">
        <f t="shared" si="0"/>
        <v>143.1</v>
      </c>
      <c r="L43" s="31">
        <f t="shared" si="1"/>
        <v>651.9</v>
      </c>
      <c r="M43" s="31">
        <f t="shared" si="11"/>
        <v>673.73</v>
      </c>
      <c r="N43" s="31">
        <v>673.73</v>
      </c>
      <c r="O43" s="32">
        <f t="shared" si="12"/>
        <v>121.28</v>
      </c>
      <c r="P43" s="32">
        <f t="shared" si="13"/>
        <v>552.45000000000005</v>
      </c>
      <c r="Q43" s="32">
        <f t="shared" si="2"/>
        <v>27622.500000000004</v>
      </c>
      <c r="R43" s="33">
        <v>8.64</v>
      </c>
      <c r="S43" s="32">
        <f t="shared" si="26"/>
        <v>432</v>
      </c>
      <c r="T43" s="34">
        <v>570.99</v>
      </c>
      <c r="U43" s="32">
        <f t="shared" si="15"/>
        <v>28549.5</v>
      </c>
      <c r="V43" s="32">
        <f t="shared" si="16"/>
        <v>34560</v>
      </c>
      <c r="W43" s="32">
        <f t="shared" si="17"/>
        <v>6010.5</v>
      </c>
      <c r="X43" s="24"/>
      <c r="Y43" s="91">
        <f t="shared" si="27"/>
        <v>29</v>
      </c>
      <c r="Z43" s="53">
        <f t="shared" si="18"/>
        <v>21</v>
      </c>
      <c r="AA43" s="53">
        <f t="shared" si="28"/>
        <v>11990.790000000003</v>
      </c>
      <c r="AB43" s="53">
        <f t="shared" si="29"/>
        <v>250.56000000000003</v>
      </c>
      <c r="AC43" s="53">
        <f t="shared" si="19"/>
        <v>181.43999999999997</v>
      </c>
      <c r="AD43" s="53">
        <f t="shared" si="30"/>
        <v>3861.9300000000039</v>
      </c>
      <c r="AE43" s="33"/>
      <c r="AF43" s="80">
        <f t="shared" si="20"/>
        <v>0</v>
      </c>
      <c r="AG43" s="80">
        <f t="shared" si="21"/>
        <v>0</v>
      </c>
      <c r="AH43" s="32">
        <f t="shared" si="22"/>
        <v>0</v>
      </c>
      <c r="AI43" s="33">
        <f>9+10</f>
        <v>19</v>
      </c>
      <c r="AJ43" s="80">
        <f t="shared" si="23"/>
        <v>10848.81</v>
      </c>
      <c r="AK43" s="80">
        <f t="shared" si="7"/>
        <v>164.16000000000003</v>
      </c>
      <c r="AL43" s="32">
        <f t="shared" si="24"/>
        <v>2530.2300000000032</v>
      </c>
      <c r="AM43" s="101">
        <v>10</v>
      </c>
      <c r="AN43" s="80">
        <f t="shared" si="8"/>
        <v>5709.9</v>
      </c>
      <c r="AO43" s="80">
        <f t="shared" si="25"/>
        <v>8.64</v>
      </c>
      <c r="AP43" s="80">
        <f t="shared" si="31"/>
        <v>86.4</v>
      </c>
      <c r="AQ43" s="81">
        <f t="shared" si="32"/>
        <v>1331.7000000000007</v>
      </c>
      <c r="AR43" s="90"/>
      <c r="AS43" s="89"/>
      <c r="AT43" s="89"/>
      <c r="AU43" s="89"/>
    </row>
    <row r="44" spans="1:47" x14ac:dyDescent="0.2">
      <c r="A44" s="23">
        <v>58</v>
      </c>
      <c r="B44" s="24" t="s">
        <v>151</v>
      </c>
      <c r="C44" s="25" t="s">
        <v>162</v>
      </c>
      <c r="D44" s="24" t="s">
        <v>163</v>
      </c>
      <c r="E44" s="26" t="s">
        <v>154</v>
      </c>
      <c r="F44" s="26" t="s">
        <v>34</v>
      </c>
      <c r="G44" s="62">
        <v>20</v>
      </c>
      <c r="H44" s="27">
        <v>20</v>
      </c>
      <c r="I44" s="28">
        <v>0.18</v>
      </c>
      <c r="J44" s="29">
        <v>1336</v>
      </c>
      <c r="K44" s="30">
        <f t="shared" si="0"/>
        <v>240.48</v>
      </c>
      <c r="L44" s="31">
        <f t="shared" si="1"/>
        <v>1095.52</v>
      </c>
      <c r="M44" s="31">
        <f t="shared" si="11"/>
        <v>1132.21</v>
      </c>
      <c r="N44" s="31">
        <v>1132.2</v>
      </c>
      <c r="O44" s="32">
        <f t="shared" si="12"/>
        <v>203.79999999999998</v>
      </c>
      <c r="P44" s="32">
        <f t="shared" si="13"/>
        <v>928.40000000000009</v>
      </c>
      <c r="Q44" s="32">
        <f t="shared" si="2"/>
        <v>18568</v>
      </c>
      <c r="R44" s="33">
        <v>14.51</v>
      </c>
      <c r="S44" s="32">
        <f>ROUND(R44*H44,0)</f>
        <v>290</v>
      </c>
      <c r="T44" s="34">
        <v>959.54</v>
      </c>
      <c r="U44" s="32">
        <f t="shared" si="15"/>
        <v>19190.8</v>
      </c>
      <c r="V44" s="32">
        <f t="shared" si="16"/>
        <v>23200</v>
      </c>
      <c r="W44" s="32">
        <f t="shared" si="17"/>
        <v>4009.2000000000007</v>
      </c>
      <c r="X44" s="24"/>
      <c r="Y44" s="91">
        <f t="shared" si="27"/>
        <v>8</v>
      </c>
      <c r="Z44" s="53">
        <f t="shared" si="18"/>
        <v>12</v>
      </c>
      <c r="AA44" s="53">
        <f t="shared" si="28"/>
        <v>11514.48</v>
      </c>
      <c r="AB44" s="53">
        <f t="shared" si="29"/>
        <v>116.08</v>
      </c>
      <c r="AC44" s="53">
        <f t="shared" si="19"/>
        <v>173.92000000000002</v>
      </c>
      <c r="AD44" s="53">
        <f t="shared" si="30"/>
        <v>1784.2000000000007</v>
      </c>
      <c r="AE44" s="33"/>
      <c r="AF44" s="80">
        <f t="shared" si="20"/>
        <v>0</v>
      </c>
      <c r="AG44" s="80">
        <f t="shared" si="21"/>
        <v>0</v>
      </c>
      <c r="AH44" s="32">
        <f t="shared" si="22"/>
        <v>0</v>
      </c>
      <c r="AI44" s="33">
        <f>4</f>
        <v>4</v>
      </c>
      <c r="AJ44" s="80">
        <f t="shared" si="23"/>
        <v>3838.16</v>
      </c>
      <c r="AK44" s="80">
        <f t="shared" si="7"/>
        <v>58.04</v>
      </c>
      <c r="AL44" s="32">
        <f t="shared" si="24"/>
        <v>892.10000000000036</v>
      </c>
      <c r="AM44" s="101">
        <v>4</v>
      </c>
      <c r="AN44" s="80">
        <f t="shared" si="8"/>
        <v>3838.16</v>
      </c>
      <c r="AO44" s="80">
        <f t="shared" si="25"/>
        <v>14.51</v>
      </c>
      <c r="AP44" s="80">
        <f t="shared" si="31"/>
        <v>58.04</v>
      </c>
      <c r="AQ44" s="81">
        <f t="shared" si="32"/>
        <v>892.10000000000036</v>
      </c>
      <c r="AR44" s="90"/>
      <c r="AS44" s="89"/>
      <c r="AT44" s="89"/>
      <c r="AU44" s="89"/>
    </row>
    <row r="45" spans="1:47" x14ac:dyDescent="0.2">
      <c r="A45" s="23">
        <v>59</v>
      </c>
      <c r="B45" s="24" t="s">
        <v>164</v>
      </c>
      <c r="C45" s="25" t="s">
        <v>165</v>
      </c>
      <c r="D45" s="24" t="s">
        <v>166</v>
      </c>
      <c r="E45" s="26" t="s">
        <v>127</v>
      </c>
      <c r="F45" s="26" t="s">
        <v>34</v>
      </c>
      <c r="G45" s="62">
        <v>20</v>
      </c>
      <c r="H45" s="27">
        <v>20</v>
      </c>
      <c r="I45" s="28">
        <v>0.28000000000000003</v>
      </c>
      <c r="J45" s="29">
        <v>2830</v>
      </c>
      <c r="K45" s="30">
        <f t="shared" si="0"/>
        <v>792.40000000000009</v>
      </c>
      <c r="L45" s="31">
        <f t="shared" si="1"/>
        <v>2037.6</v>
      </c>
      <c r="M45" s="31">
        <f t="shared" si="11"/>
        <v>2210.94</v>
      </c>
      <c r="N45" s="31">
        <v>2210.94</v>
      </c>
      <c r="O45" s="32">
        <f t="shared" si="12"/>
        <v>397.96999999999997</v>
      </c>
      <c r="P45" s="32">
        <f t="shared" si="13"/>
        <v>1812.97</v>
      </c>
      <c r="Q45" s="32">
        <f t="shared" si="2"/>
        <v>36259.4</v>
      </c>
      <c r="R45" s="33">
        <v>30.46</v>
      </c>
      <c r="S45" s="32">
        <f>ROUND(R45*H45,0)</f>
        <v>609</v>
      </c>
      <c r="T45" s="34">
        <v>1901.41</v>
      </c>
      <c r="U45" s="32">
        <f t="shared" si="15"/>
        <v>38028.200000000004</v>
      </c>
      <c r="V45" s="32">
        <f t="shared" si="16"/>
        <v>48720</v>
      </c>
      <c r="W45" s="32">
        <f t="shared" si="17"/>
        <v>10691.799999999996</v>
      </c>
      <c r="X45" s="24"/>
      <c r="Y45" s="91">
        <f t="shared" si="27"/>
        <v>12</v>
      </c>
      <c r="Z45" s="53">
        <f t="shared" si="18"/>
        <v>8</v>
      </c>
      <c r="AA45" s="53">
        <f t="shared" si="28"/>
        <v>15211.280000000006</v>
      </c>
      <c r="AB45" s="53">
        <f t="shared" si="29"/>
        <v>365.52</v>
      </c>
      <c r="AC45" s="53">
        <f t="shared" si="19"/>
        <v>243.48000000000002</v>
      </c>
      <c r="AD45" s="53">
        <f t="shared" si="30"/>
        <v>6972.9600000000019</v>
      </c>
      <c r="AE45" s="33"/>
      <c r="AF45" s="80">
        <f t="shared" si="20"/>
        <v>0</v>
      </c>
      <c r="AG45" s="80">
        <f t="shared" si="21"/>
        <v>0</v>
      </c>
      <c r="AH45" s="32">
        <f t="shared" si="22"/>
        <v>0</v>
      </c>
      <c r="AI45" s="33">
        <v>8</v>
      </c>
      <c r="AJ45" s="80">
        <f t="shared" si="23"/>
        <v>15211.28</v>
      </c>
      <c r="AK45" s="80">
        <f t="shared" si="7"/>
        <v>243.68</v>
      </c>
      <c r="AL45" s="32">
        <f t="shared" si="24"/>
        <v>4648.6400000000012</v>
      </c>
      <c r="AM45" s="101">
        <f>1+1+1+1</f>
        <v>4</v>
      </c>
      <c r="AN45" s="80">
        <f t="shared" si="8"/>
        <v>7605.64</v>
      </c>
      <c r="AO45" s="80">
        <f t="shared" si="25"/>
        <v>30.46</v>
      </c>
      <c r="AP45" s="80">
        <f t="shared" si="31"/>
        <v>121.84</v>
      </c>
      <c r="AQ45" s="81">
        <f t="shared" si="32"/>
        <v>2324.3200000000006</v>
      </c>
      <c r="AR45" s="90"/>
      <c r="AS45" s="89"/>
      <c r="AT45" s="89"/>
      <c r="AU45" s="89"/>
    </row>
    <row r="46" spans="1:47" ht="27" x14ac:dyDescent="0.2">
      <c r="A46" s="23">
        <v>60</v>
      </c>
      <c r="B46" s="24" t="s">
        <v>164</v>
      </c>
      <c r="C46" s="25" t="s">
        <v>251</v>
      </c>
      <c r="D46" s="24" t="s">
        <v>252</v>
      </c>
      <c r="E46" s="26" t="s">
        <v>33</v>
      </c>
      <c r="F46" s="26" t="s">
        <v>34</v>
      </c>
      <c r="G46" s="62">
        <v>30</v>
      </c>
      <c r="H46" s="27">
        <v>30</v>
      </c>
      <c r="I46" s="28">
        <v>0.18</v>
      </c>
      <c r="J46" s="29">
        <v>1004</v>
      </c>
      <c r="K46" s="30">
        <f t="shared" si="0"/>
        <v>180.72</v>
      </c>
      <c r="L46" s="31">
        <f t="shared" si="1"/>
        <v>823.28</v>
      </c>
      <c r="M46" s="31">
        <f t="shared" si="11"/>
        <v>850.85</v>
      </c>
      <c r="N46" s="31">
        <f>M46</f>
        <v>850.85</v>
      </c>
      <c r="O46" s="32">
        <f t="shared" si="12"/>
        <v>153.16</v>
      </c>
      <c r="P46" s="32">
        <f t="shared" si="13"/>
        <v>697.69</v>
      </c>
      <c r="Q46" s="32">
        <f t="shared" si="2"/>
        <v>20930.7</v>
      </c>
      <c r="R46" s="33">
        <v>20.149999999999999</v>
      </c>
      <c r="S46" s="32">
        <f>ROUNDDOWN(R46*H46,0)</f>
        <v>604</v>
      </c>
      <c r="T46" s="34">
        <v>1071.5899999999999</v>
      </c>
      <c r="U46" s="32">
        <f t="shared" si="15"/>
        <v>32147.699999999997</v>
      </c>
      <c r="V46" s="32">
        <f t="shared" si="16"/>
        <v>48320</v>
      </c>
      <c r="W46" s="32">
        <f t="shared" si="17"/>
        <v>16172.300000000003</v>
      </c>
      <c r="X46" s="24"/>
      <c r="Y46" s="91">
        <f t="shared" si="27"/>
        <v>10</v>
      </c>
      <c r="Z46" s="53">
        <f t="shared" si="18"/>
        <v>20</v>
      </c>
      <c r="AA46" s="53">
        <f t="shared" si="28"/>
        <v>21431.799999999996</v>
      </c>
      <c r="AB46" s="53">
        <f t="shared" si="29"/>
        <v>201.5</v>
      </c>
      <c r="AC46" s="53">
        <f t="shared" si="19"/>
        <v>402.5</v>
      </c>
      <c r="AD46" s="53">
        <f t="shared" si="30"/>
        <v>5706.35</v>
      </c>
      <c r="AE46" s="33"/>
      <c r="AF46" s="80">
        <f t="shared" si="20"/>
        <v>0</v>
      </c>
      <c r="AG46" s="80">
        <f t="shared" si="21"/>
        <v>0</v>
      </c>
      <c r="AH46" s="32">
        <f t="shared" si="22"/>
        <v>0</v>
      </c>
      <c r="AI46" s="33">
        <v>0</v>
      </c>
      <c r="AJ46" s="80">
        <f t="shared" si="23"/>
        <v>0</v>
      </c>
      <c r="AK46" s="80">
        <f t="shared" si="7"/>
        <v>0</v>
      </c>
      <c r="AL46" s="32">
        <f t="shared" si="24"/>
        <v>0</v>
      </c>
      <c r="AM46" s="101">
        <v>10</v>
      </c>
      <c r="AN46" s="80">
        <f t="shared" si="8"/>
        <v>10715.9</v>
      </c>
      <c r="AO46" s="80">
        <f t="shared" si="25"/>
        <v>20.149999999999999</v>
      </c>
      <c r="AP46" s="80">
        <f t="shared" si="31"/>
        <v>201.5</v>
      </c>
      <c r="AQ46" s="81">
        <f t="shared" si="32"/>
        <v>5706.35</v>
      </c>
      <c r="AR46" s="90"/>
      <c r="AS46" s="89"/>
      <c r="AT46" s="89"/>
      <c r="AU46" s="89"/>
    </row>
    <row r="47" spans="1:47" x14ac:dyDescent="0.2">
      <c r="A47" s="23">
        <v>63</v>
      </c>
      <c r="B47" s="24" t="s">
        <v>171</v>
      </c>
      <c r="C47" s="40" t="s">
        <v>172</v>
      </c>
      <c r="D47" s="24" t="s">
        <v>173</v>
      </c>
      <c r="E47" s="41" t="s">
        <v>248</v>
      </c>
      <c r="F47" s="42" t="s">
        <v>175</v>
      </c>
      <c r="G47" s="63">
        <v>100</v>
      </c>
      <c r="H47" s="43">
        <v>100</v>
      </c>
      <c r="I47" s="44" t="s">
        <v>176</v>
      </c>
      <c r="J47" s="45">
        <v>1734</v>
      </c>
      <c r="K47" s="30">
        <f t="shared" si="0"/>
        <v>312.12</v>
      </c>
      <c r="L47" s="31">
        <f t="shared" si="1"/>
        <v>1421.88</v>
      </c>
      <c r="M47" s="31">
        <f t="shared" si="11"/>
        <v>1469.5</v>
      </c>
      <c r="N47" s="31">
        <v>1469.49</v>
      </c>
      <c r="O47" s="32">
        <f t="shared" si="12"/>
        <v>264.51</v>
      </c>
      <c r="P47" s="32">
        <f t="shared" si="13"/>
        <v>1204.98</v>
      </c>
      <c r="Q47" s="32">
        <f t="shared" si="2"/>
        <v>120498</v>
      </c>
      <c r="R47" s="33">
        <v>22.18</v>
      </c>
      <c r="S47" s="32">
        <f t="shared" si="26"/>
        <v>2218</v>
      </c>
      <c r="T47" s="34">
        <v>1245.3900000000001</v>
      </c>
      <c r="U47" s="32">
        <f t="shared" si="15"/>
        <v>124539.00000000001</v>
      </c>
      <c r="V47" s="32">
        <f t="shared" si="16"/>
        <v>177440</v>
      </c>
      <c r="W47" s="32">
        <f t="shared" si="17"/>
        <v>52900.999999999985</v>
      </c>
      <c r="X47" s="24"/>
      <c r="Y47" s="91">
        <f t="shared" si="27"/>
        <v>58</v>
      </c>
      <c r="Z47" s="53">
        <f t="shared" si="18"/>
        <v>42</v>
      </c>
      <c r="AA47" s="53">
        <f t="shared" si="28"/>
        <v>52306.380000000005</v>
      </c>
      <c r="AB47" s="53">
        <f t="shared" si="29"/>
        <v>1286.44</v>
      </c>
      <c r="AC47" s="53">
        <f t="shared" si="19"/>
        <v>931.56</v>
      </c>
      <c r="AD47" s="53">
        <f t="shared" si="30"/>
        <v>32612.239999999998</v>
      </c>
      <c r="AE47" s="33"/>
      <c r="AF47" s="80">
        <f t="shared" si="20"/>
        <v>0</v>
      </c>
      <c r="AG47" s="80">
        <f t="shared" si="21"/>
        <v>0</v>
      </c>
      <c r="AH47" s="32">
        <f t="shared" si="22"/>
        <v>0</v>
      </c>
      <c r="AI47" s="33">
        <f>20+20</f>
        <v>40</v>
      </c>
      <c r="AJ47" s="80">
        <f t="shared" si="23"/>
        <v>49815.600000000006</v>
      </c>
      <c r="AK47" s="80">
        <f t="shared" si="7"/>
        <v>887.2</v>
      </c>
      <c r="AL47" s="32">
        <f t="shared" si="24"/>
        <v>22491.199999999997</v>
      </c>
      <c r="AM47" s="101">
        <f>1+17</f>
        <v>18</v>
      </c>
      <c r="AN47" s="80">
        <f t="shared" si="8"/>
        <v>22417.02</v>
      </c>
      <c r="AO47" s="80">
        <f t="shared" si="25"/>
        <v>22.18</v>
      </c>
      <c r="AP47" s="80">
        <f t="shared" si="31"/>
        <v>399.24</v>
      </c>
      <c r="AQ47" s="81">
        <f t="shared" si="32"/>
        <v>10121.040000000001</v>
      </c>
      <c r="AR47" s="90"/>
      <c r="AS47" s="89"/>
      <c r="AT47" s="89"/>
      <c r="AU47" s="89"/>
    </row>
    <row r="48" spans="1:47" x14ac:dyDescent="0.2">
      <c r="A48" s="23">
        <v>67</v>
      </c>
      <c r="B48" s="24" t="s">
        <v>171</v>
      </c>
      <c r="C48" s="40" t="s">
        <v>177</v>
      </c>
      <c r="D48" s="24" t="s">
        <v>178</v>
      </c>
      <c r="E48" s="42" t="s">
        <v>33</v>
      </c>
      <c r="F48" s="42" t="s">
        <v>175</v>
      </c>
      <c r="G48" s="63">
        <v>100</v>
      </c>
      <c r="H48" s="43">
        <v>100</v>
      </c>
      <c r="I48" s="44" t="s">
        <v>179</v>
      </c>
      <c r="J48" s="45">
        <v>1202</v>
      </c>
      <c r="K48" s="30">
        <f t="shared" si="0"/>
        <v>336.56000000000006</v>
      </c>
      <c r="L48" s="31">
        <f t="shared" si="1"/>
        <v>865.43999999999994</v>
      </c>
      <c r="M48" s="31">
        <f t="shared" si="11"/>
        <v>939.06999999999994</v>
      </c>
      <c r="N48" s="31">
        <v>939.06</v>
      </c>
      <c r="O48" s="32">
        <f t="shared" si="12"/>
        <v>169.04</v>
      </c>
      <c r="P48" s="32">
        <f t="shared" si="13"/>
        <v>770.02</v>
      </c>
      <c r="Q48" s="32">
        <f t="shared" si="2"/>
        <v>77002</v>
      </c>
      <c r="R48" s="33">
        <v>15.38</v>
      </c>
      <c r="S48" s="32">
        <f t="shared" si="26"/>
        <v>1538</v>
      </c>
      <c r="T48" s="34">
        <v>807.59</v>
      </c>
      <c r="U48" s="32">
        <f t="shared" si="15"/>
        <v>80759</v>
      </c>
      <c r="V48" s="32">
        <f t="shared" si="16"/>
        <v>123040</v>
      </c>
      <c r="W48" s="32">
        <f t="shared" si="17"/>
        <v>42281</v>
      </c>
      <c r="X48" s="24"/>
      <c r="Y48" s="91">
        <f t="shared" si="27"/>
        <v>74</v>
      </c>
      <c r="Z48" s="53">
        <f t="shared" si="18"/>
        <v>26</v>
      </c>
      <c r="AA48" s="53">
        <f t="shared" si="28"/>
        <v>20997.340000000004</v>
      </c>
      <c r="AB48" s="53">
        <f t="shared" si="29"/>
        <v>1138.1200000000001</v>
      </c>
      <c r="AC48" s="53">
        <f t="shared" si="19"/>
        <v>399.87999999999988</v>
      </c>
      <c r="AD48" s="53">
        <f t="shared" si="30"/>
        <v>32995.12000000001</v>
      </c>
      <c r="AE48" s="33">
        <v>30</v>
      </c>
      <c r="AF48" s="80">
        <f t="shared" si="20"/>
        <v>24227.7</v>
      </c>
      <c r="AG48" s="80">
        <f t="shared" si="21"/>
        <v>461.40000000000003</v>
      </c>
      <c r="AH48" s="32">
        <f t="shared" si="22"/>
        <v>13376.400000000005</v>
      </c>
      <c r="AI48" s="33">
        <f>30</f>
        <v>30</v>
      </c>
      <c r="AJ48" s="80">
        <f t="shared" si="23"/>
        <v>24227.7</v>
      </c>
      <c r="AK48" s="80">
        <f t="shared" si="7"/>
        <v>461.40000000000003</v>
      </c>
      <c r="AL48" s="32">
        <f t="shared" si="24"/>
        <v>13376.400000000005</v>
      </c>
      <c r="AM48" s="101">
        <v>14</v>
      </c>
      <c r="AN48" s="80">
        <f t="shared" si="8"/>
        <v>11306.26</v>
      </c>
      <c r="AO48" s="80">
        <f t="shared" si="25"/>
        <v>15.38</v>
      </c>
      <c r="AP48" s="80">
        <f t="shared" si="31"/>
        <v>215.32000000000002</v>
      </c>
      <c r="AQ48" s="81">
        <f t="shared" si="32"/>
        <v>6242.3200000000015</v>
      </c>
      <c r="AR48" s="90"/>
      <c r="AS48" s="89"/>
      <c r="AT48" s="89"/>
      <c r="AU48" s="89"/>
    </row>
    <row r="49" spans="1:47" x14ac:dyDescent="0.2">
      <c r="A49" s="23">
        <v>68</v>
      </c>
      <c r="B49" s="24" t="s">
        <v>171</v>
      </c>
      <c r="C49" s="40" t="s">
        <v>180</v>
      </c>
      <c r="D49" s="24" t="s">
        <v>181</v>
      </c>
      <c r="E49" s="42" t="s">
        <v>33</v>
      </c>
      <c r="F49" s="42" t="s">
        <v>175</v>
      </c>
      <c r="G49" s="63">
        <v>50</v>
      </c>
      <c r="H49" s="43">
        <v>50</v>
      </c>
      <c r="I49" s="44" t="s">
        <v>179</v>
      </c>
      <c r="J49" s="45">
        <v>1184</v>
      </c>
      <c r="K49" s="30">
        <f t="shared" si="0"/>
        <v>331.52000000000004</v>
      </c>
      <c r="L49" s="31">
        <f t="shared" si="1"/>
        <v>852.48</v>
      </c>
      <c r="M49" s="31">
        <f t="shared" si="11"/>
        <v>925</v>
      </c>
      <c r="N49" s="31">
        <v>925</v>
      </c>
      <c r="O49" s="32">
        <f t="shared" si="12"/>
        <v>166.5</v>
      </c>
      <c r="P49" s="32">
        <f t="shared" si="13"/>
        <v>758.5</v>
      </c>
      <c r="Q49" s="32">
        <f t="shared" si="2"/>
        <v>37925</v>
      </c>
      <c r="R49" s="33">
        <v>15.15</v>
      </c>
      <c r="S49" s="32">
        <f t="shared" si="26"/>
        <v>758</v>
      </c>
      <c r="T49" s="34">
        <v>795.5</v>
      </c>
      <c r="U49" s="32">
        <f t="shared" si="15"/>
        <v>39775</v>
      </c>
      <c r="V49" s="32">
        <f t="shared" si="16"/>
        <v>60640</v>
      </c>
      <c r="W49" s="32">
        <f t="shared" si="17"/>
        <v>20865</v>
      </c>
      <c r="X49" s="24"/>
      <c r="Y49" s="91">
        <f t="shared" si="27"/>
        <v>30</v>
      </c>
      <c r="Z49" s="53">
        <f t="shared" si="18"/>
        <v>20</v>
      </c>
      <c r="AA49" s="53">
        <f t="shared" si="28"/>
        <v>15910</v>
      </c>
      <c r="AB49" s="53">
        <f t="shared" si="29"/>
        <v>454.5</v>
      </c>
      <c r="AC49" s="53">
        <f t="shared" si="19"/>
        <v>303.5</v>
      </c>
      <c r="AD49" s="53">
        <f t="shared" si="30"/>
        <v>13176.750000000002</v>
      </c>
      <c r="AE49" s="33"/>
      <c r="AF49" s="80">
        <f t="shared" si="20"/>
        <v>0</v>
      </c>
      <c r="AG49" s="80">
        <f t="shared" si="21"/>
        <v>0</v>
      </c>
      <c r="AH49" s="32">
        <f t="shared" si="22"/>
        <v>0</v>
      </c>
      <c r="AI49" s="33">
        <v>8</v>
      </c>
      <c r="AJ49" s="80">
        <f t="shared" si="23"/>
        <v>6364</v>
      </c>
      <c r="AK49" s="80">
        <f t="shared" si="7"/>
        <v>121.2</v>
      </c>
      <c r="AL49" s="32">
        <f t="shared" si="24"/>
        <v>3513.8000000000011</v>
      </c>
      <c r="AM49" s="101">
        <v>22</v>
      </c>
      <c r="AN49" s="80">
        <f t="shared" si="8"/>
        <v>17501</v>
      </c>
      <c r="AO49" s="80">
        <f t="shared" si="25"/>
        <v>15.15</v>
      </c>
      <c r="AP49" s="80">
        <f t="shared" si="31"/>
        <v>333.3</v>
      </c>
      <c r="AQ49" s="81">
        <f t="shared" si="32"/>
        <v>9662.9500000000007</v>
      </c>
      <c r="AR49" s="90"/>
      <c r="AS49" s="89"/>
      <c r="AT49" s="89"/>
      <c r="AU49" s="89"/>
    </row>
    <row r="50" spans="1:47" x14ac:dyDescent="0.2">
      <c r="A50" s="23">
        <v>71</v>
      </c>
      <c r="B50" s="24" t="s">
        <v>185</v>
      </c>
      <c r="C50" s="35" t="s">
        <v>186</v>
      </c>
      <c r="D50" s="24" t="s">
        <v>187</v>
      </c>
      <c r="E50" s="42" t="s">
        <v>188</v>
      </c>
      <c r="F50" s="42" t="s">
        <v>175</v>
      </c>
      <c r="G50" s="63">
        <v>100</v>
      </c>
      <c r="H50" s="43">
        <v>100</v>
      </c>
      <c r="I50" s="44" t="s">
        <v>176</v>
      </c>
      <c r="J50" s="45">
        <v>2599</v>
      </c>
      <c r="K50" s="30">
        <f t="shared" si="0"/>
        <v>467.82</v>
      </c>
      <c r="L50" s="31">
        <f t="shared" si="1"/>
        <v>2131.1799999999998</v>
      </c>
      <c r="M50" s="31">
        <f t="shared" si="11"/>
        <v>2202.5500000000002</v>
      </c>
      <c r="N50" s="31">
        <v>2202.54</v>
      </c>
      <c r="O50" s="32">
        <f t="shared" si="12"/>
        <v>396.46</v>
      </c>
      <c r="P50" s="32">
        <f t="shared" si="13"/>
        <v>1806.08</v>
      </c>
      <c r="Q50" s="32">
        <f t="shared" si="2"/>
        <v>180608</v>
      </c>
      <c r="R50" s="33">
        <v>33.25</v>
      </c>
      <c r="S50" s="32">
        <f t="shared" si="26"/>
        <v>3325</v>
      </c>
      <c r="T50" s="34">
        <v>1866.65</v>
      </c>
      <c r="U50" s="32">
        <f t="shared" si="15"/>
        <v>186665</v>
      </c>
      <c r="V50" s="32">
        <f t="shared" si="16"/>
        <v>266000</v>
      </c>
      <c r="W50" s="32">
        <f t="shared" si="17"/>
        <v>79335</v>
      </c>
      <c r="X50" s="24"/>
      <c r="Y50" s="91">
        <f t="shared" si="27"/>
        <v>60</v>
      </c>
      <c r="Z50" s="53">
        <f t="shared" si="18"/>
        <v>40</v>
      </c>
      <c r="AA50" s="53">
        <f t="shared" si="28"/>
        <v>74666</v>
      </c>
      <c r="AB50" s="53">
        <f t="shared" si="29"/>
        <v>1995</v>
      </c>
      <c r="AC50" s="53">
        <f t="shared" si="19"/>
        <v>1330</v>
      </c>
      <c r="AD50" s="53">
        <f t="shared" si="30"/>
        <v>50593.5</v>
      </c>
      <c r="AE50" s="33"/>
      <c r="AF50" s="80">
        <f t="shared" si="20"/>
        <v>0</v>
      </c>
      <c r="AG50" s="80">
        <f t="shared" si="21"/>
        <v>0</v>
      </c>
      <c r="AH50" s="32">
        <f t="shared" si="22"/>
        <v>0</v>
      </c>
      <c r="AI50" s="33">
        <f>20+20</f>
        <v>40</v>
      </c>
      <c r="AJ50" s="80">
        <f t="shared" si="23"/>
        <v>74666</v>
      </c>
      <c r="AK50" s="80">
        <f t="shared" si="7"/>
        <v>1330</v>
      </c>
      <c r="AL50" s="32">
        <f t="shared" si="24"/>
        <v>33729</v>
      </c>
      <c r="AM50" s="101">
        <v>20</v>
      </c>
      <c r="AN50" s="80">
        <f t="shared" si="8"/>
        <v>37333</v>
      </c>
      <c r="AO50" s="80">
        <f t="shared" si="25"/>
        <v>33.25</v>
      </c>
      <c r="AP50" s="80">
        <f t="shared" si="31"/>
        <v>665</v>
      </c>
      <c r="AQ50" s="81">
        <f t="shared" si="32"/>
        <v>16864.5</v>
      </c>
      <c r="AR50" s="90"/>
      <c r="AS50" s="89"/>
      <c r="AT50" s="89"/>
      <c r="AU50" s="89"/>
    </row>
    <row r="51" spans="1:47" x14ac:dyDescent="0.2">
      <c r="A51" s="23">
        <v>72</v>
      </c>
      <c r="B51" s="24" t="s">
        <v>185</v>
      </c>
      <c r="C51" s="48" t="s">
        <v>189</v>
      </c>
      <c r="D51" s="24" t="s">
        <v>190</v>
      </c>
      <c r="E51" s="42" t="s">
        <v>191</v>
      </c>
      <c r="F51" s="42" t="s">
        <v>175</v>
      </c>
      <c r="G51" s="63">
        <v>20</v>
      </c>
      <c r="H51" s="43">
        <v>20</v>
      </c>
      <c r="I51" s="44" t="s">
        <v>176</v>
      </c>
      <c r="J51" s="45">
        <v>3469</v>
      </c>
      <c r="K51" s="30">
        <f t="shared" si="0"/>
        <v>624.41999999999996</v>
      </c>
      <c r="L51" s="31">
        <f t="shared" si="1"/>
        <v>2844.58</v>
      </c>
      <c r="M51" s="31">
        <f t="shared" si="11"/>
        <v>2939.84</v>
      </c>
      <c r="N51" s="31">
        <v>2939.83</v>
      </c>
      <c r="O51" s="32">
        <f t="shared" si="12"/>
        <v>529.16999999999996</v>
      </c>
      <c r="P51" s="32">
        <f t="shared" si="13"/>
        <v>2410.66</v>
      </c>
      <c r="Q51" s="32">
        <f t="shared" si="2"/>
        <v>48213.2</v>
      </c>
      <c r="R51" s="33">
        <v>44.37</v>
      </c>
      <c r="S51" s="32">
        <f>ROUND(R51*H51,0)</f>
        <v>887</v>
      </c>
      <c r="T51" s="34">
        <v>2491.5100000000002</v>
      </c>
      <c r="U51" s="32">
        <f t="shared" si="15"/>
        <v>49830.200000000004</v>
      </c>
      <c r="V51" s="32">
        <f t="shared" si="16"/>
        <v>70960</v>
      </c>
      <c r="W51" s="32">
        <f t="shared" si="17"/>
        <v>21129.799999999996</v>
      </c>
      <c r="X51" s="24"/>
      <c r="Y51" s="91">
        <f t="shared" si="27"/>
        <v>12</v>
      </c>
      <c r="Z51" s="53">
        <f t="shared" si="18"/>
        <v>8</v>
      </c>
      <c r="AA51" s="53">
        <f t="shared" si="28"/>
        <v>19932.080000000002</v>
      </c>
      <c r="AB51" s="53">
        <f t="shared" si="29"/>
        <v>532.43999999999994</v>
      </c>
      <c r="AC51" s="53">
        <f t="shared" si="19"/>
        <v>354.56000000000006</v>
      </c>
      <c r="AD51" s="53">
        <f t="shared" si="30"/>
        <v>13495.739999999994</v>
      </c>
      <c r="AE51" s="33"/>
      <c r="AF51" s="80">
        <f t="shared" si="20"/>
        <v>0</v>
      </c>
      <c r="AG51" s="80">
        <f t="shared" si="21"/>
        <v>0</v>
      </c>
      <c r="AH51" s="32">
        <f t="shared" si="22"/>
        <v>0</v>
      </c>
      <c r="AI51" s="33">
        <v>4</v>
      </c>
      <c r="AJ51" s="80">
        <f t="shared" si="23"/>
        <v>9966.0400000000009</v>
      </c>
      <c r="AK51" s="80">
        <f t="shared" si="7"/>
        <v>177.48</v>
      </c>
      <c r="AL51" s="32">
        <f t="shared" si="24"/>
        <v>4498.5799999999981</v>
      </c>
      <c r="AM51" s="101">
        <f>3+1+4</f>
        <v>8</v>
      </c>
      <c r="AN51" s="80">
        <f t="shared" si="8"/>
        <v>19932.080000000002</v>
      </c>
      <c r="AO51" s="80">
        <f t="shared" si="25"/>
        <v>44.37</v>
      </c>
      <c r="AP51" s="80">
        <f t="shared" si="31"/>
        <v>354.96</v>
      </c>
      <c r="AQ51" s="81">
        <f t="shared" si="32"/>
        <v>8997.1599999999962</v>
      </c>
      <c r="AR51" s="90"/>
      <c r="AS51" s="89"/>
      <c r="AT51" s="89"/>
      <c r="AU51" s="89"/>
    </row>
    <row r="52" spans="1:47" x14ac:dyDescent="0.2">
      <c r="A52" s="23">
        <v>73</v>
      </c>
      <c r="B52" s="24" t="s">
        <v>185</v>
      </c>
      <c r="C52" s="49" t="s">
        <v>192</v>
      </c>
      <c r="D52" s="24" t="s">
        <v>193</v>
      </c>
      <c r="E52" s="42" t="s">
        <v>247</v>
      </c>
      <c r="F52" s="42" t="s">
        <v>175</v>
      </c>
      <c r="G52" s="63">
        <v>100</v>
      </c>
      <c r="H52" s="43">
        <v>100</v>
      </c>
      <c r="I52" s="44" t="s">
        <v>176</v>
      </c>
      <c r="J52" s="45">
        <v>835</v>
      </c>
      <c r="K52" s="30">
        <f t="shared" si="0"/>
        <v>150.29999999999998</v>
      </c>
      <c r="L52" s="31">
        <f t="shared" si="1"/>
        <v>684.7</v>
      </c>
      <c r="M52" s="31">
        <f t="shared" si="11"/>
        <v>707.63</v>
      </c>
      <c r="N52" s="31">
        <v>707.63</v>
      </c>
      <c r="O52" s="32">
        <f t="shared" si="12"/>
        <v>127.38000000000001</v>
      </c>
      <c r="P52" s="32">
        <f t="shared" si="13"/>
        <v>580.25</v>
      </c>
      <c r="Q52" s="32">
        <f t="shared" si="2"/>
        <v>58025</v>
      </c>
      <c r="R52" s="33">
        <v>10.69</v>
      </c>
      <c r="S52" s="32">
        <f t="shared" si="26"/>
        <v>1069</v>
      </c>
      <c r="T52" s="34">
        <v>599.72</v>
      </c>
      <c r="U52" s="32">
        <f t="shared" si="15"/>
        <v>59972</v>
      </c>
      <c r="V52" s="32">
        <f t="shared" si="16"/>
        <v>85520</v>
      </c>
      <c r="W52" s="32">
        <f t="shared" si="17"/>
        <v>25548</v>
      </c>
      <c r="X52" s="24"/>
      <c r="Y52" s="91">
        <f t="shared" si="27"/>
        <v>60</v>
      </c>
      <c r="Z52" s="53">
        <f t="shared" si="18"/>
        <v>40</v>
      </c>
      <c r="AA52" s="53">
        <f t="shared" si="28"/>
        <v>23988.799999999996</v>
      </c>
      <c r="AB52" s="53">
        <f t="shared" si="29"/>
        <v>641.4</v>
      </c>
      <c r="AC52" s="53">
        <f t="shared" si="19"/>
        <v>427.6</v>
      </c>
      <c r="AD52" s="53">
        <f t="shared" si="30"/>
        <v>16290.899999999987</v>
      </c>
      <c r="AE52" s="33"/>
      <c r="AF52" s="80">
        <f t="shared" si="20"/>
        <v>0</v>
      </c>
      <c r="AG52" s="80">
        <f t="shared" si="21"/>
        <v>0</v>
      </c>
      <c r="AH52" s="32">
        <f t="shared" si="22"/>
        <v>0</v>
      </c>
      <c r="AI52" s="33">
        <v>40</v>
      </c>
      <c r="AJ52" s="80">
        <f t="shared" si="23"/>
        <v>23988.800000000003</v>
      </c>
      <c r="AK52" s="80">
        <f t="shared" si="7"/>
        <v>427.59999999999997</v>
      </c>
      <c r="AL52" s="32">
        <f t="shared" si="24"/>
        <v>10860.599999999991</v>
      </c>
      <c r="AM52" s="101">
        <v>20</v>
      </c>
      <c r="AN52" s="80">
        <f t="shared" si="8"/>
        <v>11994.400000000001</v>
      </c>
      <c r="AO52" s="80">
        <f t="shared" si="25"/>
        <v>10.69</v>
      </c>
      <c r="AP52" s="80">
        <f t="shared" si="31"/>
        <v>213.79999999999998</v>
      </c>
      <c r="AQ52" s="81">
        <f t="shared" si="32"/>
        <v>5430.2999999999956</v>
      </c>
      <c r="AR52" s="90"/>
      <c r="AS52" s="89"/>
      <c r="AT52" s="89"/>
      <c r="AU52" s="89"/>
    </row>
    <row r="53" spans="1:47" ht="27" x14ac:dyDescent="0.2">
      <c r="A53" s="23">
        <v>76</v>
      </c>
      <c r="B53" s="24" t="s">
        <v>194</v>
      </c>
      <c r="C53" s="35" t="s">
        <v>195</v>
      </c>
      <c r="D53" s="24" t="s">
        <v>196</v>
      </c>
      <c r="E53" s="42" t="s">
        <v>130</v>
      </c>
      <c r="F53" s="42" t="s">
        <v>175</v>
      </c>
      <c r="G53" s="63">
        <v>50</v>
      </c>
      <c r="H53" s="43">
        <v>50</v>
      </c>
      <c r="I53" s="44" t="s">
        <v>179</v>
      </c>
      <c r="J53" s="34">
        <v>2977</v>
      </c>
      <c r="K53" s="30">
        <f t="shared" si="0"/>
        <v>833.56000000000006</v>
      </c>
      <c r="L53" s="31">
        <f t="shared" si="1"/>
        <v>2143.44</v>
      </c>
      <c r="M53" s="31">
        <f t="shared" si="11"/>
        <v>2325.7900000000004</v>
      </c>
      <c r="N53" s="31">
        <v>2325.7800000000002</v>
      </c>
      <c r="O53" s="32">
        <f t="shared" si="12"/>
        <v>418.65</v>
      </c>
      <c r="P53" s="32">
        <f t="shared" si="13"/>
        <v>1907.13</v>
      </c>
      <c r="Q53" s="32">
        <f t="shared" si="2"/>
        <v>95356.5</v>
      </c>
      <c r="R53" s="33">
        <v>38.08</v>
      </c>
      <c r="S53" s="32">
        <f t="shared" si="26"/>
        <v>1904</v>
      </c>
      <c r="T53" s="34">
        <v>2000.17</v>
      </c>
      <c r="U53" s="32">
        <f t="shared" si="15"/>
        <v>100008.5</v>
      </c>
      <c r="V53" s="32">
        <f t="shared" si="16"/>
        <v>152320</v>
      </c>
      <c r="W53" s="32">
        <f t="shared" si="17"/>
        <v>52311.5</v>
      </c>
      <c r="X53" s="24"/>
      <c r="Y53" s="91">
        <f t="shared" si="27"/>
        <v>30</v>
      </c>
      <c r="Z53" s="53">
        <f t="shared" si="18"/>
        <v>20</v>
      </c>
      <c r="AA53" s="53">
        <f t="shared" si="28"/>
        <v>40003.399999999994</v>
      </c>
      <c r="AB53" s="53">
        <f t="shared" si="29"/>
        <v>1142.3999999999999</v>
      </c>
      <c r="AC53" s="53">
        <f t="shared" si="19"/>
        <v>761.60000000000014</v>
      </c>
      <c r="AD53" s="53">
        <f t="shared" si="30"/>
        <v>33100.499999999985</v>
      </c>
      <c r="AE53" s="33"/>
      <c r="AF53" s="80">
        <f t="shared" si="20"/>
        <v>0</v>
      </c>
      <c r="AG53" s="80">
        <f t="shared" si="21"/>
        <v>0</v>
      </c>
      <c r="AH53" s="32">
        <f t="shared" si="22"/>
        <v>0</v>
      </c>
      <c r="AI53" s="33">
        <v>20</v>
      </c>
      <c r="AJ53" s="80">
        <f t="shared" si="23"/>
        <v>40003.4</v>
      </c>
      <c r="AK53" s="80">
        <f t="shared" si="7"/>
        <v>761.59999999999991</v>
      </c>
      <c r="AL53" s="32">
        <f t="shared" si="24"/>
        <v>22066.999999999993</v>
      </c>
      <c r="AM53" s="101">
        <v>10</v>
      </c>
      <c r="AN53" s="80">
        <f t="shared" si="8"/>
        <v>20001.7</v>
      </c>
      <c r="AO53" s="80">
        <f t="shared" si="25"/>
        <v>38.08</v>
      </c>
      <c r="AP53" s="80">
        <f t="shared" si="31"/>
        <v>380.79999999999995</v>
      </c>
      <c r="AQ53" s="81">
        <f t="shared" si="32"/>
        <v>11033.499999999996</v>
      </c>
      <c r="AR53" s="90"/>
      <c r="AS53" s="89"/>
      <c r="AT53" s="89"/>
      <c r="AU53" s="89"/>
    </row>
    <row r="54" spans="1:47" ht="27" x14ac:dyDescent="0.2">
      <c r="A54" s="23">
        <v>79</v>
      </c>
      <c r="B54" s="24" t="s">
        <v>197</v>
      </c>
      <c r="C54" s="50" t="s">
        <v>202</v>
      </c>
      <c r="D54" s="24" t="s">
        <v>203</v>
      </c>
      <c r="E54" s="42" t="s">
        <v>138</v>
      </c>
      <c r="F54" s="42" t="s">
        <v>175</v>
      </c>
      <c r="G54" s="63">
        <v>20</v>
      </c>
      <c r="H54" s="43">
        <v>20</v>
      </c>
      <c r="I54" s="44" t="s">
        <v>179</v>
      </c>
      <c r="J54" s="34">
        <v>3813</v>
      </c>
      <c r="K54" s="30">
        <f t="shared" si="0"/>
        <v>1067.6400000000001</v>
      </c>
      <c r="L54" s="31">
        <f t="shared" si="1"/>
        <v>2745.3599999999997</v>
      </c>
      <c r="M54" s="31">
        <f t="shared" si="11"/>
        <v>2978.9100000000003</v>
      </c>
      <c r="N54" s="31">
        <v>2978.91</v>
      </c>
      <c r="O54" s="32">
        <f t="shared" si="12"/>
        <v>536.21</v>
      </c>
      <c r="P54" s="32">
        <f t="shared" si="13"/>
        <v>2442.6999999999998</v>
      </c>
      <c r="Q54" s="32">
        <f t="shared" si="2"/>
        <v>48854</v>
      </c>
      <c r="R54" s="33">
        <v>48.77</v>
      </c>
      <c r="S54" s="32">
        <f>ROUND(R54*H54,0)</f>
        <v>975</v>
      </c>
      <c r="T54" s="34">
        <v>2561.86</v>
      </c>
      <c r="U54" s="32">
        <f t="shared" si="15"/>
        <v>51237.200000000004</v>
      </c>
      <c r="V54" s="32">
        <f t="shared" si="16"/>
        <v>78000</v>
      </c>
      <c r="W54" s="32">
        <f t="shared" si="17"/>
        <v>26762.799999999996</v>
      </c>
      <c r="X54" s="24"/>
      <c r="Y54" s="91">
        <f t="shared" si="27"/>
        <v>20</v>
      </c>
      <c r="Z54" s="53">
        <f t="shared" si="18"/>
        <v>0</v>
      </c>
      <c r="AA54" s="53">
        <f t="shared" si="28"/>
        <v>9.0949470177292824E-13</v>
      </c>
      <c r="AB54" s="53">
        <f t="shared" si="29"/>
        <v>975.40000000000009</v>
      </c>
      <c r="AC54" s="53">
        <f t="shared" si="19"/>
        <v>-0.40000000000009095</v>
      </c>
      <c r="AD54" s="53">
        <f t="shared" si="30"/>
        <v>28257.9</v>
      </c>
      <c r="AE54" s="33">
        <v>10</v>
      </c>
      <c r="AF54" s="80">
        <f t="shared" si="20"/>
        <v>25618.600000000002</v>
      </c>
      <c r="AG54" s="80">
        <f t="shared" si="21"/>
        <v>487.70000000000005</v>
      </c>
      <c r="AH54" s="32">
        <f t="shared" si="22"/>
        <v>14128.95</v>
      </c>
      <c r="AI54" s="33">
        <f>8</f>
        <v>8</v>
      </c>
      <c r="AJ54" s="80">
        <f t="shared" si="23"/>
        <v>20494.88</v>
      </c>
      <c r="AK54" s="80">
        <f t="shared" si="7"/>
        <v>390.16</v>
      </c>
      <c r="AL54" s="32">
        <f t="shared" si="24"/>
        <v>11303.16</v>
      </c>
      <c r="AM54" s="101">
        <v>2</v>
      </c>
      <c r="AN54" s="80">
        <f t="shared" si="8"/>
        <v>5123.72</v>
      </c>
      <c r="AO54" s="80">
        <f t="shared" si="25"/>
        <v>48.77</v>
      </c>
      <c r="AP54" s="99">
        <f t="shared" si="31"/>
        <v>97.54</v>
      </c>
      <c r="AQ54" s="81">
        <f t="shared" si="32"/>
        <v>2825.79</v>
      </c>
      <c r="AR54" s="90"/>
      <c r="AS54" s="89"/>
      <c r="AT54" s="89"/>
      <c r="AU54" s="89"/>
    </row>
    <row r="55" spans="1:47" ht="27" x14ac:dyDescent="0.2">
      <c r="A55" s="23">
        <v>80</v>
      </c>
      <c r="B55" s="24" t="s">
        <v>197</v>
      </c>
      <c r="C55" s="50" t="s">
        <v>204</v>
      </c>
      <c r="D55" s="24" t="s">
        <v>205</v>
      </c>
      <c r="E55" s="51" t="s">
        <v>33</v>
      </c>
      <c r="F55" s="42" t="s">
        <v>175</v>
      </c>
      <c r="G55" s="63">
        <v>20</v>
      </c>
      <c r="H55" s="43">
        <v>20</v>
      </c>
      <c r="I55" s="44" t="s">
        <v>179</v>
      </c>
      <c r="J55" s="34">
        <v>3813</v>
      </c>
      <c r="K55" s="30">
        <f t="shared" si="0"/>
        <v>1067.6400000000001</v>
      </c>
      <c r="L55" s="31">
        <f t="shared" si="1"/>
        <v>2745.3599999999997</v>
      </c>
      <c r="M55" s="31">
        <f t="shared" si="11"/>
        <v>2978.9100000000003</v>
      </c>
      <c r="N55" s="31">
        <v>225.78</v>
      </c>
      <c r="O55" s="32">
        <f t="shared" si="12"/>
        <v>40.65</v>
      </c>
      <c r="P55" s="32">
        <f t="shared" si="13"/>
        <v>185.13</v>
      </c>
      <c r="Q55" s="32">
        <f t="shared" si="2"/>
        <v>3702.6</v>
      </c>
      <c r="R55" s="33">
        <v>3.7</v>
      </c>
      <c r="S55" s="32">
        <f t="shared" si="26"/>
        <v>74</v>
      </c>
      <c r="T55" s="34">
        <v>207.57</v>
      </c>
      <c r="U55" s="32">
        <f t="shared" si="15"/>
        <v>4151.3999999999996</v>
      </c>
      <c r="V55" s="32">
        <f t="shared" si="16"/>
        <v>5920</v>
      </c>
      <c r="W55" s="32">
        <f t="shared" si="17"/>
        <v>1768.6000000000004</v>
      </c>
      <c r="X55" s="24"/>
      <c r="Y55" s="91">
        <f t="shared" si="27"/>
        <v>12</v>
      </c>
      <c r="Z55" s="53">
        <f t="shared" si="18"/>
        <v>8</v>
      </c>
      <c r="AA55" s="53">
        <f t="shared" si="28"/>
        <v>1660.5599999999997</v>
      </c>
      <c r="AB55" s="53">
        <f t="shared" si="29"/>
        <v>44.400000000000006</v>
      </c>
      <c r="AC55" s="53">
        <f t="shared" si="19"/>
        <v>29.599999999999994</v>
      </c>
      <c r="AD55" s="53">
        <f t="shared" si="30"/>
        <v>1127.7600000000002</v>
      </c>
      <c r="AE55" s="33"/>
      <c r="AF55" s="80">
        <f t="shared" si="20"/>
        <v>0</v>
      </c>
      <c r="AG55" s="80">
        <f t="shared" si="21"/>
        <v>0</v>
      </c>
      <c r="AH55" s="32">
        <f t="shared" si="22"/>
        <v>0</v>
      </c>
      <c r="AI55" s="33">
        <f>4+4</f>
        <v>8</v>
      </c>
      <c r="AJ55" s="80">
        <f t="shared" si="23"/>
        <v>1660.56</v>
      </c>
      <c r="AK55" s="80">
        <f t="shared" si="7"/>
        <v>29.6</v>
      </c>
      <c r="AL55" s="32">
        <f t="shared" si="24"/>
        <v>751.84000000000015</v>
      </c>
      <c r="AM55" s="101">
        <v>4</v>
      </c>
      <c r="AN55" s="80">
        <f t="shared" si="8"/>
        <v>830.28</v>
      </c>
      <c r="AO55" s="80">
        <f t="shared" si="25"/>
        <v>3.7</v>
      </c>
      <c r="AP55" s="80">
        <f t="shared" si="31"/>
        <v>14.8</v>
      </c>
      <c r="AQ55" s="81">
        <f t="shared" si="32"/>
        <v>375.92000000000007</v>
      </c>
      <c r="AR55" s="90"/>
      <c r="AS55" s="89"/>
      <c r="AT55" s="89"/>
      <c r="AU55" s="89"/>
    </row>
    <row r="56" spans="1:47" ht="27" x14ac:dyDescent="0.2">
      <c r="A56" s="23">
        <v>81</v>
      </c>
      <c r="B56" s="24" t="s">
        <v>197</v>
      </c>
      <c r="C56" s="50" t="s">
        <v>206</v>
      </c>
      <c r="D56" s="24" t="s">
        <v>207</v>
      </c>
      <c r="E56" s="42" t="s">
        <v>138</v>
      </c>
      <c r="F56" s="42" t="s">
        <v>175</v>
      </c>
      <c r="G56" s="63">
        <v>20</v>
      </c>
      <c r="H56" s="43">
        <v>20</v>
      </c>
      <c r="I56" s="44" t="s">
        <v>179</v>
      </c>
      <c r="J56" s="34">
        <v>324</v>
      </c>
      <c r="K56" s="30">
        <f t="shared" ref="K56:K60" si="33">J56*I56</f>
        <v>90.720000000000013</v>
      </c>
      <c r="L56" s="31">
        <f t="shared" ref="L56:L60" si="34">J56-K56</f>
        <v>233.27999999999997</v>
      </c>
      <c r="M56" s="31">
        <f t="shared" si="11"/>
        <v>253.13</v>
      </c>
      <c r="N56" s="31">
        <v>2978.91</v>
      </c>
      <c r="O56" s="32">
        <f t="shared" si="12"/>
        <v>536.21</v>
      </c>
      <c r="P56" s="32">
        <f t="shared" si="13"/>
        <v>2442.6999999999998</v>
      </c>
      <c r="Q56" s="32">
        <f t="shared" ref="Q56:Q60" si="35">P56*H56</f>
        <v>48854</v>
      </c>
      <c r="R56" s="33">
        <v>48.77</v>
      </c>
      <c r="S56" s="32">
        <f>ROUND(R56*H56,0)</f>
        <v>975</v>
      </c>
      <c r="T56" s="34">
        <v>2561.86</v>
      </c>
      <c r="U56" s="32">
        <f t="shared" si="15"/>
        <v>51237.200000000004</v>
      </c>
      <c r="V56" s="32">
        <f t="shared" si="16"/>
        <v>78000</v>
      </c>
      <c r="W56" s="32">
        <f t="shared" si="17"/>
        <v>26762.799999999996</v>
      </c>
      <c r="X56" s="24"/>
      <c r="Y56" s="91">
        <f t="shared" si="27"/>
        <v>12</v>
      </c>
      <c r="Z56" s="53">
        <f t="shared" si="18"/>
        <v>8</v>
      </c>
      <c r="AA56" s="53">
        <f t="shared" si="28"/>
        <v>20494.880000000005</v>
      </c>
      <c r="AB56" s="53">
        <f t="shared" si="29"/>
        <v>585.24</v>
      </c>
      <c r="AC56" s="53">
        <f t="shared" si="19"/>
        <v>389.76</v>
      </c>
      <c r="AD56" s="53">
        <f t="shared" si="30"/>
        <v>16954.739999999998</v>
      </c>
      <c r="AE56" s="33"/>
      <c r="AF56" s="80">
        <f t="shared" si="20"/>
        <v>0</v>
      </c>
      <c r="AG56" s="80">
        <f t="shared" si="21"/>
        <v>0</v>
      </c>
      <c r="AH56" s="32">
        <f t="shared" si="22"/>
        <v>0</v>
      </c>
      <c r="AI56" s="33">
        <v>8</v>
      </c>
      <c r="AJ56" s="80">
        <f t="shared" si="23"/>
        <v>20494.88</v>
      </c>
      <c r="AK56" s="80">
        <f t="shared" ref="AK56:AK60" si="36">AI56*$R56</f>
        <v>390.16</v>
      </c>
      <c r="AL56" s="32">
        <f t="shared" si="24"/>
        <v>11303.16</v>
      </c>
      <c r="AM56" s="101">
        <v>4</v>
      </c>
      <c r="AN56" s="80">
        <f t="shared" ref="AN56:AN60" si="37">$T56*AM56</f>
        <v>10247.44</v>
      </c>
      <c r="AO56" s="80">
        <f t="shared" si="25"/>
        <v>48.77</v>
      </c>
      <c r="AP56" s="80">
        <f t="shared" si="31"/>
        <v>195.08</v>
      </c>
      <c r="AQ56" s="81">
        <f t="shared" si="32"/>
        <v>5651.58</v>
      </c>
      <c r="AR56" s="90"/>
      <c r="AS56" s="89"/>
      <c r="AT56" s="89"/>
      <c r="AU56" s="89"/>
    </row>
    <row r="57" spans="1:47" ht="27" x14ac:dyDescent="0.2">
      <c r="A57" s="23">
        <v>82</v>
      </c>
      <c r="B57" s="24" t="s">
        <v>197</v>
      </c>
      <c r="C57" s="50" t="s">
        <v>208</v>
      </c>
      <c r="D57" s="24" t="s">
        <v>209</v>
      </c>
      <c r="E57" s="51" t="s">
        <v>138</v>
      </c>
      <c r="F57" s="42" t="s">
        <v>175</v>
      </c>
      <c r="G57" s="63">
        <v>20</v>
      </c>
      <c r="H57" s="43">
        <v>20</v>
      </c>
      <c r="I57" s="44" t="s">
        <v>179</v>
      </c>
      <c r="J57" s="34">
        <v>289</v>
      </c>
      <c r="K57" s="30">
        <f t="shared" si="33"/>
        <v>80.92</v>
      </c>
      <c r="L57" s="31">
        <f t="shared" si="34"/>
        <v>208.07999999999998</v>
      </c>
      <c r="M57" s="31">
        <f t="shared" ref="M57:M60" si="38">ROUNDUP(J57/(1+I57),2)</f>
        <v>225.79</v>
      </c>
      <c r="N57" s="31">
        <v>983.59</v>
      </c>
      <c r="O57" s="32">
        <f t="shared" ref="O57:O60" si="39">ROUNDUP(0.18*N57,2)</f>
        <v>177.04999999999998</v>
      </c>
      <c r="P57" s="32">
        <f t="shared" ref="P57:P60" si="40">N57-O57</f>
        <v>806.54000000000008</v>
      </c>
      <c r="Q57" s="32">
        <f t="shared" si="35"/>
        <v>16130.800000000001</v>
      </c>
      <c r="R57" s="33">
        <v>16.11</v>
      </c>
      <c r="S57" s="32">
        <f>ROUND(R57*H57,0)</f>
        <v>322</v>
      </c>
      <c r="T57" s="34">
        <v>845.89</v>
      </c>
      <c r="U57" s="32">
        <f t="shared" ref="U57:U60" si="41">T57*H57</f>
        <v>16917.8</v>
      </c>
      <c r="V57" s="32">
        <f t="shared" ref="V57:V60" si="42">80*S57</f>
        <v>25760</v>
      </c>
      <c r="W57" s="32">
        <f t="shared" ref="W57:W60" si="43">V57-U57</f>
        <v>8842.2000000000007</v>
      </c>
      <c r="X57" s="24"/>
      <c r="Y57" s="91">
        <f t="shared" si="27"/>
        <v>12</v>
      </c>
      <c r="Z57" s="53">
        <f t="shared" ref="Z57:Z60" si="44">H57-Y57</f>
        <v>8</v>
      </c>
      <c r="AA57" s="53">
        <f t="shared" si="28"/>
        <v>6767.1200000000008</v>
      </c>
      <c r="AB57" s="53">
        <f t="shared" si="29"/>
        <v>193.32</v>
      </c>
      <c r="AC57" s="53">
        <f t="shared" ref="AC57:AC60" si="45">S57-AB57</f>
        <v>128.68</v>
      </c>
      <c r="AD57" s="53">
        <f t="shared" si="30"/>
        <v>5604.9</v>
      </c>
      <c r="AE57" s="33"/>
      <c r="AF57" s="80">
        <f t="shared" ref="AF57:AF60" si="46">$T57*AE57</f>
        <v>0</v>
      </c>
      <c r="AG57" s="80">
        <f t="shared" ref="AG57:AG60" si="47">AE57*$R57</f>
        <v>0</v>
      </c>
      <c r="AH57" s="32">
        <f t="shared" ref="AH57:AH66" si="48">(81.5*AG57)-AF57</f>
        <v>0</v>
      </c>
      <c r="AI57" s="33">
        <f>4+4</f>
        <v>8</v>
      </c>
      <c r="AJ57" s="80">
        <f t="shared" ref="AJ57:AJ60" si="49">$T57*AI57</f>
        <v>6767.12</v>
      </c>
      <c r="AK57" s="80">
        <f t="shared" si="36"/>
        <v>128.88</v>
      </c>
      <c r="AL57" s="32">
        <f t="shared" ref="AL57:AL60" si="50">(81.5*AK57)-AJ57</f>
        <v>3736.5999999999995</v>
      </c>
      <c r="AM57" s="101">
        <v>4</v>
      </c>
      <c r="AN57" s="80">
        <f t="shared" si="37"/>
        <v>3383.56</v>
      </c>
      <c r="AO57" s="80">
        <f t="shared" si="25"/>
        <v>16.11</v>
      </c>
      <c r="AP57" s="80">
        <f t="shared" si="31"/>
        <v>64.44</v>
      </c>
      <c r="AQ57" s="81">
        <f t="shared" si="32"/>
        <v>1868.2999999999997</v>
      </c>
      <c r="AR57" s="90"/>
      <c r="AS57" s="89"/>
      <c r="AT57" s="89"/>
      <c r="AU57" s="89"/>
    </row>
    <row r="58" spans="1:47" ht="27" x14ac:dyDescent="0.2">
      <c r="A58" s="23">
        <v>83</v>
      </c>
      <c r="B58" s="24" t="s">
        <v>197</v>
      </c>
      <c r="C58" s="50" t="s">
        <v>210</v>
      </c>
      <c r="D58" s="24" t="s">
        <v>211</v>
      </c>
      <c r="E58" s="42" t="s">
        <v>138</v>
      </c>
      <c r="F58" s="42" t="s">
        <v>175</v>
      </c>
      <c r="G58" s="63">
        <v>20</v>
      </c>
      <c r="H58" s="43">
        <v>20</v>
      </c>
      <c r="I58" s="44" t="s">
        <v>179</v>
      </c>
      <c r="J58" s="34">
        <v>1259</v>
      </c>
      <c r="K58" s="30">
        <f t="shared" si="33"/>
        <v>352.52000000000004</v>
      </c>
      <c r="L58" s="31">
        <f t="shared" si="34"/>
        <v>906.48</v>
      </c>
      <c r="M58" s="31">
        <f t="shared" si="38"/>
        <v>983.6</v>
      </c>
      <c r="N58" s="31">
        <v>253.13</v>
      </c>
      <c r="O58" s="32">
        <f t="shared" si="39"/>
        <v>45.57</v>
      </c>
      <c r="P58" s="32">
        <f t="shared" si="40"/>
        <v>207.56</v>
      </c>
      <c r="Q58" s="32">
        <f t="shared" si="35"/>
        <v>4151.2</v>
      </c>
      <c r="R58" s="33">
        <v>4.1500000000000004</v>
      </c>
      <c r="S58" s="32">
        <f t="shared" si="26"/>
        <v>83</v>
      </c>
      <c r="T58" s="34">
        <v>217.69</v>
      </c>
      <c r="U58" s="32">
        <f t="shared" si="41"/>
        <v>4353.8</v>
      </c>
      <c r="V58" s="32">
        <f t="shared" si="42"/>
        <v>6640</v>
      </c>
      <c r="W58" s="32">
        <f t="shared" si="43"/>
        <v>2286.1999999999998</v>
      </c>
      <c r="X58" s="24"/>
      <c r="Y58" s="91">
        <f t="shared" si="27"/>
        <v>12</v>
      </c>
      <c r="Z58" s="53">
        <f t="shared" si="44"/>
        <v>8</v>
      </c>
      <c r="AA58" s="53">
        <f t="shared" si="28"/>
        <v>1741.5200000000002</v>
      </c>
      <c r="AB58" s="53">
        <f t="shared" si="29"/>
        <v>49.800000000000004</v>
      </c>
      <c r="AC58" s="53">
        <f t="shared" si="45"/>
        <v>33.199999999999996</v>
      </c>
      <c r="AD58" s="53">
        <f t="shared" si="30"/>
        <v>1446.4200000000003</v>
      </c>
      <c r="AE58" s="33"/>
      <c r="AF58" s="80">
        <f t="shared" si="46"/>
        <v>0</v>
      </c>
      <c r="AG58" s="80">
        <f t="shared" si="47"/>
        <v>0</v>
      </c>
      <c r="AH58" s="32">
        <f t="shared" si="48"/>
        <v>0</v>
      </c>
      <c r="AI58" s="33">
        <f>4+4</f>
        <v>8</v>
      </c>
      <c r="AJ58" s="80">
        <f t="shared" si="49"/>
        <v>1741.52</v>
      </c>
      <c r="AK58" s="80">
        <f t="shared" si="36"/>
        <v>33.200000000000003</v>
      </c>
      <c r="AL58" s="32">
        <f t="shared" si="50"/>
        <v>964.2800000000002</v>
      </c>
      <c r="AM58" s="101">
        <v>4</v>
      </c>
      <c r="AN58" s="80">
        <f t="shared" si="37"/>
        <v>870.76</v>
      </c>
      <c r="AO58" s="80">
        <f t="shared" si="25"/>
        <v>4.1500000000000004</v>
      </c>
      <c r="AP58" s="80">
        <f t="shared" si="31"/>
        <v>16.600000000000001</v>
      </c>
      <c r="AQ58" s="81">
        <f t="shared" si="32"/>
        <v>482.1400000000001</v>
      </c>
      <c r="AR58" s="90"/>
      <c r="AS58" s="89"/>
      <c r="AT58" s="89"/>
      <c r="AU58" s="89"/>
    </row>
    <row r="59" spans="1:47" x14ac:dyDescent="0.2">
      <c r="A59" s="23">
        <v>84</v>
      </c>
      <c r="B59" s="24" t="s">
        <v>212</v>
      </c>
      <c r="C59" s="49" t="s">
        <v>213</v>
      </c>
      <c r="D59" s="24" t="s">
        <v>214</v>
      </c>
      <c r="E59" s="42" t="s">
        <v>119</v>
      </c>
      <c r="F59" s="42" t="s">
        <v>175</v>
      </c>
      <c r="G59" s="63">
        <v>50</v>
      </c>
      <c r="H59" s="43">
        <v>50</v>
      </c>
      <c r="I59" s="44" t="s">
        <v>176</v>
      </c>
      <c r="J59" s="34">
        <v>63</v>
      </c>
      <c r="K59" s="30">
        <f t="shared" si="33"/>
        <v>11.34</v>
      </c>
      <c r="L59" s="31">
        <f t="shared" si="34"/>
        <v>51.66</v>
      </c>
      <c r="M59" s="31">
        <f t="shared" si="38"/>
        <v>53.39</v>
      </c>
      <c r="N59" s="31">
        <f>1334.75/25</f>
        <v>53.39</v>
      </c>
      <c r="O59" s="32">
        <f t="shared" si="39"/>
        <v>9.6199999999999992</v>
      </c>
      <c r="P59" s="32">
        <f t="shared" si="40"/>
        <v>43.77</v>
      </c>
      <c r="Q59" s="32">
        <f t="shared" si="35"/>
        <v>2188.5</v>
      </c>
      <c r="R59" s="33">
        <v>0.82</v>
      </c>
      <c r="S59" s="32">
        <f t="shared" si="26"/>
        <v>41</v>
      </c>
      <c r="T59" s="34">
        <v>42.329000000000001</v>
      </c>
      <c r="U59" s="32">
        <f t="shared" si="41"/>
        <v>2116.4499999999998</v>
      </c>
      <c r="V59" s="32">
        <f t="shared" si="42"/>
        <v>3280</v>
      </c>
      <c r="W59" s="32">
        <f t="shared" si="43"/>
        <v>1163.5500000000002</v>
      </c>
      <c r="X59" s="24"/>
      <c r="Y59" s="91">
        <f t="shared" si="27"/>
        <v>50</v>
      </c>
      <c r="Z59" s="53">
        <f t="shared" si="44"/>
        <v>0</v>
      </c>
      <c r="AA59" s="53">
        <f t="shared" si="28"/>
        <v>0</v>
      </c>
      <c r="AB59" s="53">
        <f t="shared" si="29"/>
        <v>41</v>
      </c>
      <c r="AC59" s="53">
        <f t="shared" si="45"/>
        <v>0</v>
      </c>
      <c r="AD59" s="53">
        <f t="shared" si="30"/>
        <v>1225.0500000000002</v>
      </c>
      <c r="AE59" s="33"/>
      <c r="AF59" s="80">
        <f t="shared" si="46"/>
        <v>0</v>
      </c>
      <c r="AG59" s="80">
        <f t="shared" si="47"/>
        <v>0</v>
      </c>
      <c r="AH59" s="32">
        <f t="shared" si="48"/>
        <v>0</v>
      </c>
      <c r="AI59" s="33">
        <v>25</v>
      </c>
      <c r="AJ59" s="80">
        <f t="shared" si="49"/>
        <v>1058.2249999999999</v>
      </c>
      <c r="AK59" s="80">
        <f t="shared" si="36"/>
        <v>20.5</v>
      </c>
      <c r="AL59" s="32">
        <f t="shared" si="50"/>
        <v>612.52500000000009</v>
      </c>
      <c r="AM59" s="101">
        <v>25</v>
      </c>
      <c r="AN59" s="80">
        <f t="shared" si="37"/>
        <v>1058.2249999999999</v>
      </c>
      <c r="AO59" s="80">
        <f t="shared" si="25"/>
        <v>0.82</v>
      </c>
      <c r="AP59" s="80">
        <f t="shared" si="31"/>
        <v>20.5</v>
      </c>
      <c r="AQ59" s="81">
        <f t="shared" si="32"/>
        <v>612.52500000000009</v>
      </c>
      <c r="AR59" s="90"/>
      <c r="AS59" s="89"/>
      <c r="AT59" s="89"/>
      <c r="AU59" s="89"/>
    </row>
    <row r="60" spans="1:47" x14ac:dyDescent="0.2">
      <c r="A60" s="23">
        <v>85</v>
      </c>
      <c r="B60" s="24" t="s">
        <v>212</v>
      </c>
      <c r="C60" s="49" t="s">
        <v>215</v>
      </c>
      <c r="D60" s="24" t="s">
        <v>216</v>
      </c>
      <c r="E60" s="42" t="s">
        <v>217</v>
      </c>
      <c r="F60" s="42" t="s">
        <v>175</v>
      </c>
      <c r="G60" s="63">
        <v>50</v>
      </c>
      <c r="H60" s="43">
        <v>50</v>
      </c>
      <c r="I60" s="44" t="s">
        <v>176</v>
      </c>
      <c r="J60" s="34">
        <v>65</v>
      </c>
      <c r="K60" s="30">
        <f t="shared" si="33"/>
        <v>11.7</v>
      </c>
      <c r="L60" s="31">
        <f t="shared" si="34"/>
        <v>53.3</v>
      </c>
      <c r="M60" s="31">
        <f t="shared" si="38"/>
        <v>55.089999999999996</v>
      </c>
      <c r="N60" s="31">
        <f>1377.12/25</f>
        <v>55.084799999999994</v>
      </c>
      <c r="O60" s="32">
        <f t="shared" si="39"/>
        <v>9.92</v>
      </c>
      <c r="P60" s="32">
        <f t="shared" si="40"/>
        <v>45.164799999999993</v>
      </c>
      <c r="Q60" s="32">
        <f t="shared" si="35"/>
        <v>2258.2399999999998</v>
      </c>
      <c r="R60" s="33">
        <v>0.84</v>
      </c>
      <c r="S60" s="32">
        <f t="shared" si="26"/>
        <v>42</v>
      </c>
      <c r="T60" s="34">
        <v>43.6708</v>
      </c>
      <c r="U60" s="32">
        <f t="shared" si="41"/>
        <v>2183.54</v>
      </c>
      <c r="V60" s="32">
        <f t="shared" si="42"/>
        <v>3360</v>
      </c>
      <c r="W60" s="32">
        <f t="shared" si="43"/>
        <v>1176.46</v>
      </c>
      <c r="X60" s="24"/>
      <c r="Y60" s="91">
        <f t="shared" si="27"/>
        <v>50</v>
      </c>
      <c r="Z60" s="53">
        <f t="shared" si="44"/>
        <v>0</v>
      </c>
      <c r="AA60" s="53">
        <f t="shared" si="28"/>
        <v>0</v>
      </c>
      <c r="AB60" s="53">
        <f t="shared" si="29"/>
        <v>42</v>
      </c>
      <c r="AC60" s="53">
        <f t="shared" si="45"/>
        <v>0</v>
      </c>
      <c r="AD60" s="53">
        <f t="shared" si="30"/>
        <v>1239.46</v>
      </c>
      <c r="AE60" s="33"/>
      <c r="AF60" s="80">
        <f t="shared" si="46"/>
        <v>0</v>
      </c>
      <c r="AG60" s="80">
        <f t="shared" si="47"/>
        <v>0</v>
      </c>
      <c r="AH60" s="32">
        <f t="shared" si="48"/>
        <v>0</v>
      </c>
      <c r="AI60" s="33"/>
      <c r="AJ60" s="80">
        <f t="shared" si="49"/>
        <v>0</v>
      </c>
      <c r="AK60" s="80">
        <f t="shared" si="36"/>
        <v>0</v>
      </c>
      <c r="AL60" s="32">
        <f t="shared" si="50"/>
        <v>0</v>
      </c>
      <c r="AM60" s="101">
        <v>50</v>
      </c>
      <c r="AN60" s="80">
        <f t="shared" si="37"/>
        <v>2183.54</v>
      </c>
      <c r="AO60" s="80">
        <f t="shared" si="25"/>
        <v>0.84</v>
      </c>
      <c r="AP60" s="80">
        <f t="shared" si="31"/>
        <v>42</v>
      </c>
      <c r="AQ60" s="81">
        <f t="shared" si="32"/>
        <v>1239.46</v>
      </c>
      <c r="AR60" s="90"/>
      <c r="AS60" s="89"/>
      <c r="AT60" s="89"/>
      <c r="AU60" s="89"/>
    </row>
    <row r="61" spans="1:47" x14ac:dyDescent="0.2">
      <c r="A61" s="22"/>
      <c r="B61" s="22"/>
      <c r="C61" s="22"/>
      <c r="D61" s="22"/>
      <c r="E61" s="22"/>
      <c r="F61" s="22"/>
      <c r="G61" s="22"/>
      <c r="H61" s="76">
        <f>SUM(H4:H60)</f>
        <v>6027</v>
      </c>
      <c r="I61" s="11"/>
      <c r="J61" s="11"/>
      <c r="K61" s="17"/>
      <c r="L61" s="17"/>
      <c r="M61" s="17"/>
      <c r="N61" s="17"/>
      <c r="O61" s="22"/>
      <c r="P61" s="22"/>
      <c r="Q61" s="76" t="e">
        <f>SUM(Q4:Q60)+SUM(#REF!)</f>
        <v>#REF!</v>
      </c>
      <c r="R61" s="22"/>
      <c r="S61" s="19">
        <f>SUM(S4:S60)</f>
        <v>102935</v>
      </c>
      <c r="T61" s="76"/>
      <c r="U61" s="19">
        <f>SUM(U4:U60)</f>
        <v>6488583.5200000005</v>
      </c>
      <c r="V61" s="76" t="e">
        <f>ROUNDUP(SUM(#REF!),0)</f>
        <v>#REF!</v>
      </c>
      <c r="W61" s="19">
        <f>SUM(W4:W60)</f>
        <v>1746216.48</v>
      </c>
      <c r="X61" s="95" t="e">
        <f>ROUNDUP(SUM(#REF!),0)</f>
        <v>#REF!</v>
      </c>
      <c r="Y61" s="95"/>
      <c r="Z61" s="95"/>
      <c r="AA61" s="76">
        <f t="shared" si="28"/>
        <v>3851872.1850000001</v>
      </c>
      <c r="AB61" s="76">
        <f t="shared" si="29"/>
        <v>41698.28</v>
      </c>
      <c r="AC61" s="19">
        <f>SUM(AC4:AC60)</f>
        <v>27984.789999999997</v>
      </c>
      <c r="AD61" s="76">
        <f t="shared" si="30"/>
        <v>761698.48499999987</v>
      </c>
      <c r="AE61" s="76">
        <f>SUM(AE4:AE60)</f>
        <v>965</v>
      </c>
      <c r="AF61" s="96">
        <f>SUM(AF4:AF60)</f>
        <v>461694.55</v>
      </c>
      <c r="AG61" s="19">
        <f>SUM(AG4:AG60)</f>
        <v>7311.5499999999993</v>
      </c>
      <c r="AH61" s="97">
        <f t="shared" si="48"/>
        <v>134196.77499999997</v>
      </c>
      <c r="AI61" s="76">
        <f>SUM(AI4:AI60)</f>
        <v>1887</v>
      </c>
      <c r="AJ61" s="96">
        <f>SUM(AJ4:AJ60)</f>
        <v>2175016.7850000006</v>
      </c>
      <c r="AK61" s="86">
        <f>SUM(AK4:AK60)</f>
        <v>34386.730000000003</v>
      </c>
      <c r="AL61" s="55">
        <f>SUM(AL4:AL60)</f>
        <v>627501.71</v>
      </c>
      <c r="AN61" s="89"/>
      <c r="AO61" s="98">
        <f t="shared" si="25"/>
        <v>0</v>
      </c>
      <c r="AP61" s="89"/>
      <c r="AQ61" s="89"/>
      <c r="AR61" s="90"/>
      <c r="AS61" s="89"/>
      <c r="AT61" s="89"/>
      <c r="AU61" s="89"/>
    </row>
    <row r="62" spans="1:47" x14ac:dyDescent="0.2">
      <c r="H62" s="55"/>
      <c r="I62" s="57"/>
      <c r="J62" s="57"/>
      <c r="K62" s="65"/>
      <c r="L62" s="65"/>
      <c r="M62" s="65"/>
      <c r="N62" s="65"/>
      <c r="Q62" s="55" t="s">
        <v>224</v>
      </c>
      <c r="S62" s="60">
        <v>1711</v>
      </c>
      <c r="T62" s="55"/>
      <c r="U62" s="60"/>
      <c r="V62" s="55"/>
      <c r="W62" s="60"/>
      <c r="X62" s="58"/>
      <c r="Y62" s="58"/>
      <c r="Z62" s="58"/>
      <c r="AA62" s="53">
        <f t="shared" si="28"/>
        <v>0</v>
      </c>
      <c r="AB62" s="55"/>
      <c r="AC62" s="55"/>
      <c r="AD62" s="53">
        <f t="shared" si="30"/>
        <v>0</v>
      </c>
      <c r="AH62" s="81">
        <f t="shared" si="48"/>
        <v>0</v>
      </c>
      <c r="AI62" s="55"/>
      <c r="AK62" s="55"/>
      <c r="AL62" s="55"/>
      <c r="AO62" s="84">
        <f t="shared" si="25"/>
        <v>0</v>
      </c>
      <c r="AR62" s="55"/>
    </row>
    <row r="63" spans="1:47" x14ac:dyDescent="0.2">
      <c r="H63" s="56"/>
      <c r="I63" s="57"/>
      <c r="J63" s="57"/>
      <c r="K63" s="58"/>
      <c r="L63" s="58"/>
      <c r="M63" s="58"/>
      <c r="N63" s="58"/>
      <c r="P63" s="4" t="s">
        <v>218</v>
      </c>
      <c r="Q63" s="59" t="e">
        <f>ROUNDDOWN(Q61,0)</f>
        <v>#REF!</v>
      </c>
      <c r="S63" s="1">
        <v>113971</v>
      </c>
      <c r="T63" s="60"/>
      <c r="Z63" s="75">
        <f>SUM(Z4:Z62)</f>
        <v>1574</v>
      </c>
      <c r="AA63" s="55"/>
      <c r="AB63" s="55"/>
      <c r="AC63" s="55"/>
      <c r="AD63" s="53">
        <f t="shared" si="30"/>
        <v>138237.25545000017</v>
      </c>
      <c r="AF63" s="60">
        <f>1.001*AF61</f>
        <v>462156.24454999994</v>
      </c>
      <c r="AH63" s="81">
        <f t="shared" si="48"/>
        <v>-462156.24454999994</v>
      </c>
      <c r="AI63" s="55">
        <f>SUM(AI4:AI62)</f>
        <v>3774</v>
      </c>
      <c r="AM63" s="75">
        <f>SUM(AM4:AM62)</f>
        <v>1601</v>
      </c>
      <c r="AN63" s="75">
        <f>SUM(AN4:AN62)</f>
        <v>2109638.7949999999</v>
      </c>
      <c r="AO63" s="84">
        <f t="shared" si="25"/>
        <v>0</v>
      </c>
      <c r="AP63" s="100">
        <f>SUM(AP4:AP62)</f>
        <v>33251.930000000008</v>
      </c>
      <c r="AQ63" s="75">
        <f>SUM(AQ4:AQ62)</f>
        <v>600393.50000000012</v>
      </c>
      <c r="AR63" s="55"/>
    </row>
    <row r="64" spans="1:47" x14ac:dyDescent="0.2">
      <c r="S64" s="60"/>
      <c r="Z64" s="67">
        <f>Z63/H61</f>
        <v>0.26115812178529951</v>
      </c>
      <c r="AA64" s="55">
        <f t="shared" ref="AA64" si="51">U64-AF64-AJ64-AM64</f>
        <v>0</v>
      </c>
      <c r="AB64" s="55"/>
      <c r="AC64" s="78">
        <f>AC61/S61</f>
        <v>0.27186855782775537</v>
      </c>
      <c r="AD64" s="53">
        <f t="shared" si="30"/>
        <v>0</v>
      </c>
      <c r="AH64" s="81">
        <f t="shared" si="48"/>
        <v>0</v>
      </c>
      <c r="AO64" s="84">
        <f t="shared" si="25"/>
        <v>0</v>
      </c>
    </row>
    <row r="65" spans="27:41" x14ac:dyDescent="0.2">
      <c r="AA65" s="1" t="s">
        <v>234</v>
      </c>
      <c r="AD65" s="53">
        <f t="shared" si="30"/>
        <v>0</v>
      </c>
      <c r="AH65" s="81">
        <f t="shared" si="48"/>
        <v>0</v>
      </c>
      <c r="AJ65" s="60">
        <f>-0.4*AJ61</f>
        <v>-870006.71400000027</v>
      </c>
      <c r="AO65" s="84">
        <f t="shared" si="25"/>
        <v>0</v>
      </c>
    </row>
    <row r="66" spans="27:41" x14ac:dyDescent="0.2">
      <c r="AD66" s="53">
        <f t="shared" si="30"/>
        <v>0</v>
      </c>
      <c r="AH66" s="81">
        <f t="shared" si="48"/>
        <v>0</v>
      </c>
      <c r="AJ66" s="60">
        <f>0.1%*AJ61</f>
        <v>2175.0167850000007</v>
      </c>
      <c r="AO66" s="84">
        <f t="shared" si="25"/>
        <v>0</v>
      </c>
    </row>
    <row r="67" spans="27:41" x14ac:dyDescent="0.2">
      <c r="AA67" s="1" t="s">
        <v>235</v>
      </c>
      <c r="AJ67" s="60">
        <f>SUM(AJ61:AJ66)</f>
        <v>1307185.0877850004</v>
      </c>
    </row>
  </sheetData>
  <mergeCells count="7">
    <mergeCell ref="AR2:AU2"/>
    <mergeCell ref="H1:I1"/>
    <mergeCell ref="R1:T1"/>
    <mergeCell ref="O2:Q2"/>
    <mergeCell ref="AE2:AG2"/>
    <mergeCell ref="AI2:AL2"/>
    <mergeCell ref="AM2:AQ2"/>
  </mergeCells>
  <conditionalFormatting sqref="W4:W60 Z5:Z60 AC5:AC60 AA5:AA62 AB5:AB61 AD5:AD66">
    <cfRule type="cellIs" dxfId="1" priority="2" operator="lessThan">
      <formula>0</formula>
    </cfRule>
  </conditionalFormatting>
  <conditionalFormatting sqref="AA63:AC64 Z4:AD4 AB62:AC62">
    <cfRule type="cellIs" dxfId="0" priority="1" operator="lessThan">
      <formula>0</formula>
    </cfRule>
  </conditionalFormatting>
  <printOptions horizontalCentered="1"/>
  <pageMargins left="0.31496062992125984" right="0.31496062992125984" top="1.1417322834645669" bottom="0.74803149606299213" header="0.70866141732283472" footer="0.51181102362204722"/>
  <pageSetup paperSize="9" scale="99" orientation="portrait" r:id="rId1"/>
  <headerFooter>
    <oddHeader>&amp;LHaseeba Exports
Second shipment value of M2All&amp;R`</oddHeader>
    <oddFooter>&amp;R&amp;8&amp;P/&amp;N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0D6B-70FC-4F47-84F0-60DED897F6AF}">
  <dimension ref="A3:C18"/>
  <sheetViews>
    <sheetView workbookViewId="0">
      <selection activeCell="B19" sqref="B19"/>
    </sheetView>
  </sheetViews>
  <sheetFormatPr defaultRowHeight="12.75" x14ac:dyDescent="0.2"/>
  <cols>
    <col min="1" max="1" width="24.5" bestFit="1" customWidth="1"/>
    <col min="2" max="2" width="12.83203125" bestFit="1" customWidth="1"/>
    <col min="3" max="3" width="14.1640625" bestFit="1" customWidth="1"/>
  </cols>
  <sheetData>
    <row r="3" spans="1:3" x14ac:dyDescent="0.2">
      <c r="A3" s="110" t="s">
        <v>329</v>
      </c>
      <c r="B3" t="s">
        <v>333</v>
      </c>
      <c r="C3" t="s">
        <v>334</v>
      </c>
    </row>
    <row r="4" spans="1:3" x14ac:dyDescent="0.2">
      <c r="A4" s="111" t="s">
        <v>326</v>
      </c>
      <c r="B4">
        <v>48000</v>
      </c>
    </row>
    <row r="5" spans="1:3" x14ac:dyDescent="0.2">
      <c r="A5" s="111" t="s">
        <v>297</v>
      </c>
      <c r="B5">
        <v>200</v>
      </c>
    </row>
    <row r="6" spans="1:3" x14ac:dyDescent="0.2">
      <c r="A6" s="111" t="s">
        <v>278</v>
      </c>
      <c r="B6">
        <v>62722</v>
      </c>
    </row>
    <row r="7" spans="1:3" x14ac:dyDescent="0.2">
      <c r="A7" s="111" t="s">
        <v>280</v>
      </c>
      <c r="B7">
        <v>194760</v>
      </c>
    </row>
    <row r="8" spans="1:3" x14ac:dyDescent="0.2">
      <c r="A8" s="111" t="s">
        <v>0</v>
      </c>
      <c r="B8">
        <v>16497</v>
      </c>
    </row>
    <row r="9" spans="1:3" x14ac:dyDescent="0.2">
      <c r="A9" s="111" t="s">
        <v>288</v>
      </c>
      <c r="B9">
        <v>43036.13</v>
      </c>
    </row>
    <row r="10" spans="1:3" x14ac:dyDescent="0.2">
      <c r="A10" s="111" t="s">
        <v>322</v>
      </c>
      <c r="B10">
        <v>7000</v>
      </c>
    </row>
    <row r="11" spans="1:3" x14ac:dyDescent="0.2">
      <c r="A11" s="111" t="s">
        <v>279</v>
      </c>
      <c r="B11">
        <v>8723</v>
      </c>
    </row>
    <row r="12" spans="1:3" x14ac:dyDescent="0.2">
      <c r="A12" s="111" t="s">
        <v>281</v>
      </c>
      <c r="B12">
        <v>15000</v>
      </c>
    </row>
    <row r="13" spans="1:3" x14ac:dyDescent="0.2">
      <c r="A13" s="111" t="s">
        <v>287</v>
      </c>
      <c r="B13">
        <v>4917237.71</v>
      </c>
    </row>
    <row r="14" spans="1:3" x14ac:dyDescent="0.2">
      <c r="A14" s="111" t="s">
        <v>319</v>
      </c>
      <c r="B14">
        <v>9840</v>
      </c>
    </row>
    <row r="15" spans="1:3" x14ac:dyDescent="0.2">
      <c r="A15" s="111" t="s">
        <v>268</v>
      </c>
      <c r="C15">
        <v>6372866.6950000003</v>
      </c>
    </row>
    <row r="16" spans="1:3" x14ac:dyDescent="0.2">
      <c r="A16" s="111" t="s">
        <v>298</v>
      </c>
      <c r="B16">
        <v>14760</v>
      </c>
    </row>
    <row r="17" spans="1:3" x14ac:dyDescent="0.2">
      <c r="A17" s="111" t="s">
        <v>317</v>
      </c>
      <c r="B17">
        <v>10290</v>
      </c>
    </row>
    <row r="18" spans="1:3" x14ac:dyDescent="0.2">
      <c r="A18" s="111" t="s">
        <v>330</v>
      </c>
      <c r="B18">
        <v>5348065.84</v>
      </c>
      <c r="C18">
        <v>6372866.6950000003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612F-EA83-4CCC-8070-5333E03F5C78}">
  <dimension ref="A3:K24"/>
  <sheetViews>
    <sheetView workbookViewId="0">
      <selection activeCell="I16" sqref="I16"/>
    </sheetView>
  </sheetViews>
  <sheetFormatPr defaultRowHeight="12.75" x14ac:dyDescent="0.2"/>
  <cols>
    <col min="1" max="1" width="24.5" bestFit="1" customWidth="1"/>
    <col min="2" max="2" width="17.6640625" bestFit="1" customWidth="1"/>
    <col min="3" max="3" width="11" bestFit="1" customWidth="1"/>
    <col min="4" max="4" width="11.6640625" bestFit="1" customWidth="1"/>
    <col min="5" max="6" width="12.83203125" bestFit="1" customWidth="1"/>
    <col min="7" max="7" width="11.6640625" bestFit="1" customWidth="1"/>
    <col min="8" max="8" width="12.83203125" bestFit="1" customWidth="1"/>
    <col min="9" max="9" width="11.6640625" bestFit="1" customWidth="1"/>
    <col min="10" max="11" width="16.33203125" bestFit="1" customWidth="1"/>
  </cols>
  <sheetData>
    <row r="3" spans="1:11" x14ac:dyDescent="0.2">
      <c r="B3" s="110" t="s">
        <v>415</v>
      </c>
    </row>
    <row r="4" spans="1:11" x14ac:dyDescent="0.2">
      <c r="B4">
        <v>0</v>
      </c>
      <c r="D4">
        <v>1</v>
      </c>
      <c r="F4">
        <v>2</v>
      </c>
      <c r="H4">
        <v>3</v>
      </c>
      <c r="J4" t="s">
        <v>416</v>
      </c>
      <c r="K4" t="s">
        <v>417</v>
      </c>
    </row>
    <row r="5" spans="1:11" x14ac:dyDescent="0.2">
      <c r="A5" s="110" t="s">
        <v>329</v>
      </c>
      <c r="B5" t="s">
        <v>333</v>
      </c>
      <c r="C5" t="s">
        <v>334</v>
      </c>
      <c r="D5" t="s">
        <v>333</v>
      </c>
      <c r="E5" t="s">
        <v>334</v>
      </c>
      <c r="F5" t="s">
        <v>333</v>
      </c>
      <c r="G5" t="s">
        <v>334</v>
      </c>
      <c r="H5" t="s">
        <v>333</v>
      </c>
      <c r="I5" t="s">
        <v>334</v>
      </c>
    </row>
    <row r="6" spans="1:11" x14ac:dyDescent="0.2">
      <c r="A6" s="111" t="s">
        <v>326</v>
      </c>
      <c r="B6">
        <v>48000</v>
      </c>
      <c r="J6">
        <v>48000</v>
      </c>
    </row>
    <row r="7" spans="1:11" x14ac:dyDescent="0.2">
      <c r="A7" s="111" t="s">
        <v>297</v>
      </c>
      <c r="D7">
        <v>200</v>
      </c>
      <c r="F7">
        <v>1500</v>
      </c>
      <c r="H7">
        <v>1500</v>
      </c>
      <c r="J7">
        <v>3200</v>
      </c>
    </row>
    <row r="8" spans="1:11" x14ac:dyDescent="0.2">
      <c r="A8" s="111" t="s">
        <v>278</v>
      </c>
      <c r="D8">
        <v>55722</v>
      </c>
      <c r="F8">
        <v>3500</v>
      </c>
      <c r="H8">
        <v>3500</v>
      </c>
      <c r="J8">
        <v>62722</v>
      </c>
    </row>
    <row r="9" spans="1:11" x14ac:dyDescent="0.2">
      <c r="A9" s="111" t="s">
        <v>396</v>
      </c>
      <c r="H9">
        <v>3730</v>
      </c>
      <c r="J9">
        <v>3730</v>
      </c>
    </row>
    <row r="10" spans="1:11" x14ac:dyDescent="0.2">
      <c r="A10" s="111" t="s">
        <v>260</v>
      </c>
      <c r="D10">
        <v>21388</v>
      </c>
      <c r="F10">
        <v>63240</v>
      </c>
      <c r="J10">
        <v>84628</v>
      </c>
    </row>
    <row r="11" spans="1:11" x14ac:dyDescent="0.2">
      <c r="A11" s="111" t="s">
        <v>280</v>
      </c>
      <c r="H11">
        <v>55906.89</v>
      </c>
      <c r="J11">
        <v>55906.89</v>
      </c>
    </row>
    <row r="12" spans="1:11" x14ac:dyDescent="0.2">
      <c r="A12" s="111" t="s">
        <v>342</v>
      </c>
      <c r="D12">
        <v>16497</v>
      </c>
      <c r="F12">
        <v>28618</v>
      </c>
      <c r="H12">
        <v>25607.05</v>
      </c>
      <c r="J12">
        <v>70722.05</v>
      </c>
    </row>
    <row r="13" spans="1:11" x14ac:dyDescent="0.2">
      <c r="A13" s="111" t="s">
        <v>288</v>
      </c>
      <c r="D13">
        <v>13461.64</v>
      </c>
      <c r="F13">
        <v>14944.31</v>
      </c>
      <c r="H13">
        <v>14645.380000000001</v>
      </c>
      <c r="J13">
        <v>43051.33</v>
      </c>
    </row>
    <row r="14" spans="1:11" x14ac:dyDescent="0.2">
      <c r="A14" s="111" t="s">
        <v>322</v>
      </c>
      <c r="H14">
        <v>7000</v>
      </c>
      <c r="J14">
        <v>7000</v>
      </c>
    </row>
    <row r="15" spans="1:11" x14ac:dyDescent="0.2">
      <c r="A15" s="111" t="s">
        <v>279</v>
      </c>
      <c r="D15">
        <v>1180</v>
      </c>
      <c r="F15">
        <v>4144</v>
      </c>
      <c r="H15">
        <v>3399</v>
      </c>
      <c r="J15">
        <v>8723</v>
      </c>
    </row>
    <row r="16" spans="1:11" x14ac:dyDescent="0.2">
      <c r="A16" s="111" t="s">
        <v>281</v>
      </c>
      <c r="D16">
        <v>12000</v>
      </c>
      <c r="F16">
        <v>5000</v>
      </c>
      <c r="H16">
        <v>5000</v>
      </c>
      <c r="J16">
        <v>22000</v>
      </c>
    </row>
    <row r="17" spans="1:11" x14ac:dyDescent="0.2">
      <c r="A17" s="111" t="s">
        <v>287</v>
      </c>
      <c r="D17">
        <v>497620</v>
      </c>
      <c r="F17">
        <v>2328310.25</v>
      </c>
      <c r="H17">
        <v>2105894.41</v>
      </c>
      <c r="J17">
        <v>4931824.66</v>
      </c>
    </row>
    <row r="18" spans="1:11" x14ac:dyDescent="0.2">
      <c r="A18" s="111" t="s">
        <v>319</v>
      </c>
      <c r="H18">
        <v>9840</v>
      </c>
      <c r="J18">
        <v>9840</v>
      </c>
    </row>
    <row r="19" spans="1:11" x14ac:dyDescent="0.2">
      <c r="A19" s="111" t="s">
        <v>389</v>
      </c>
      <c r="B19">
        <v>8454</v>
      </c>
      <c r="J19">
        <v>8454</v>
      </c>
    </row>
    <row r="20" spans="1:11" x14ac:dyDescent="0.2">
      <c r="A20" s="111" t="s">
        <v>394</v>
      </c>
      <c r="H20">
        <v>39667</v>
      </c>
      <c r="J20">
        <v>39667</v>
      </c>
    </row>
    <row r="21" spans="1:11" x14ac:dyDescent="0.2">
      <c r="A21" s="111" t="s">
        <v>268</v>
      </c>
      <c r="E21">
        <v>651027.19500000007</v>
      </c>
      <c r="G21">
        <v>3025102.3000000003</v>
      </c>
      <c r="I21">
        <v>2696737.1999999997</v>
      </c>
      <c r="K21">
        <v>6372866.6950000003</v>
      </c>
    </row>
    <row r="22" spans="1:11" x14ac:dyDescent="0.2">
      <c r="A22" s="111" t="s">
        <v>298</v>
      </c>
      <c r="F22">
        <v>14760</v>
      </c>
      <c r="J22">
        <v>14760</v>
      </c>
    </row>
    <row r="23" spans="1:11" x14ac:dyDescent="0.2">
      <c r="A23" s="111" t="s">
        <v>317</v>
      </c>
      <c r="H23">
        <v>10290</v>
      </c>
      <c r="J23">
        <v>10290</v>
      </c>
    </row>
    <row r="24" spans="1:11" x14ac:dyDescent="0.2">
      <c r="A24" s="111" t="s">
        <v>330</v>
      </c>
      <c r="B24">
        <v>56454</v>
      </c>
      <c r="D24">
        <v>618068.64</v>
      </c>
      <c r="E24">
        <v>651027.19500000007</v>
      </c>
      <c r="F24">
        <v>2464016.56</v>
      </c>
      <c r="G24">
        <v>3025102.3000000003</v>
      </c>
      <c r="H24">
        <v>2285979.73</v>
      </c>
      <c r="I24">
        <v>2696737.1999999997</v>
      </c>
      <c r="J24">
        <v>5424518.9299999997</v>
      </c>
      <c r="K24">
        <v>6372866.6950000003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3E968-ECA4-4B0B-9C1F-4E797372F90C}">
  <dimension ref="A1:L79"/>
  <sheetViews>
    <sheetView topLeftCell="A46" workbookViewId="0">
      <selection activeCell="F63" sqref="F63"/>
    </sheetView>
  </sheetViews>
  <sheetFormatPr defaultRowHeight="12.75" x14ac:dyDescent="0.2"/>
  <cols>
    <col min="2" max="2" width="16.6640625" customWidth="1"/>
    <col min="3" max="3" width="14.6640625" customWidth="1"/>
    <col min="4" max="4" width="19.33203125" customWidth="1"/>
    <col min="5" max="5" width="18.6640625" customWidth="1"/>
    <col min="6" max="6" width="35.33203125" customWidth="1"/>
    <col min="7" max="7" width="7.83203125" customWidth="1"/>
    <col min="8" max="8" width="13" customWidth="1"/>
    <col min="9" max="10" width="12.6640625" bestFit="1" customWidth="1"/>
    <col min="11" max="11" width="12" customWidth="1"/>
  </cols>
  <sheetData>
    <row r="1" spans="1:11" x14ac:dyDescent="0.2">
      <c r="A1" t="s">
        <v>399</v>
      </c>
      <c r="B1" t="s">
        <v>263</v>
      </c>
      <c r="C1" t="s">
        <v>267</v>
      </c>
      <c r="D1" t="s">
        <v>264</v>
      </c>
      <c r="E1" t="s">
        <v>262</v>
      </c>
      <c r="F1" s="105" t="s">
        <v>261</v>
      </c>
      <c r="G1" s="107" t="s">
        <v>270</v>
      </c>
      <c r="H1" s="107" t="s">
        <v>271</v>
      </c>
      <c r="I1" s="122" t="s">
        <v>265</v>
      </c>
      <c r="J1" t="s">
        <v>266</v>
      </c>
      <c r="K1" s="107" t="s">
        <v>285</v>
      </c>
    </row>
    <row r="2" spans="1:11" x14ac:dyDescent="0.2">
      <c r="A2">
        <v>1</v>
      </c>
      <c r="B2" s="107" t="s">
        <v>283</v>
      </c>
      <c r="C2" s="106">
        <v>44974</v>
      </c>
      <c r="D2" s="107" t="s">
        <v>269</v>
      </c>
      <c r="E2" s="107" t="s">
        <v>268</v>
      </c>
      <c r="F2" t="s">
        <v>295</v>
      </c>
      <c r="G2" s="107" t="s">
        <v>272</v>
      </c>
      <c r="H2" s="107">
        <v>7949.05</v>
      </c>
      <c r="J2" s="122">
        <f>H2*K2</f>
        <v>651027.19500000007</v>
      </c>
      <c r="K2">
        <v>81.900000000000006</v>
      </c>
    </row>
    <row r="3" spans="1:11" x14ac:dyDescent="0.2">
      <c r="A3">
        <v>1</v>
      </c>
      <c r="B3" s="107" t="s">
        <v>274</v>
      </c>
      <c r="C3" s="108">
        <v>44991</v>
      </c>
      <c r="D3" s="107" t="s">
        <v>275</v>
      </c>
      <c r="E3" s="107" t="s">
        <v>278</v>
      </c>
      <c r="F3" s="107" t="s">
        <v>273</v>
      </c>
      <c r="G3" s="107" t="s">
        <v>276</v>
      </c>
      <c r="I3" s="107">
        <f>62186-I7</f>
        <v>55722</v>
      </c>
      <c r="J3" s="122"/>
    </row>
    <row r="4" spans="1:11" x14ac:dyDescent="0.2">
      <c r="A4">
        <v>1</v>
      </c>
      <c r="B4" s="107" t="s">
        <v>274</v>
      </c>
      <c r="C4" s="108">
        <v>44991</v>
      </c>
      <c r="D4" s="107" t="s">
        <v>275</v>
      </c>
      <c r="E4" s="107" t="s">
        <v>279</v>
      </c>
      <c r="F4" s="107" t="s">
        <v>273</v>
      </c>
      <c r="G4" s="107" t="s">
        <v>276</v>
      </c>
      <c r="I4">
        <v>1180</v>
      </c>
      <c r="J4" s="122"/>
    </row>
    <row r="5" spans="1:11" x14ac:dyDescent="0.2">
      <c r="A5">
        <v>1</v>
      </c>
      <c r="B5" s="107" t="s">
        <v>274</v>
      </c>
      <c r="C5" s="108">
        <v>44991</v>
      </c>
      <c r="D5" s="107" t="s">
        <v>275</v>
      </c>
      <c r="E5" s="107" t="s">
        <v>260</v>
      </c>
      <c r="F5" s="107" t="s">
        <v>273</v>
      </c>
      <c r="G5" s="107" t="s">
        <v>276</v>
      </c>
      <c r="I5">
        <f>84754-I4-I3-I8</f>
        <v>21388</v>
      </c>
      <c r="J5" s="122"/>
    </row>
    <row r="6" spans="1:11" x14ac:dyDescent="0.2">
      <c r="A6">
        <v>1</v>
      </c>
      <c r="B6" s="107" t="s">
        <v>277</v>
      </c>
      <c r="C6" s="108">
        <v>44991</v>
      </c>
      <c r="D6" s="107" t="s">
        <v>275</v>
      </c>
      <c r="E6" s="107" t="s">
        <v>342</v>
      </c>
      <c r="F6" s="107" t="s">
        <v>273</v>
      </c>
      <c r="G6" s="107" t="s">
        <v>276</v>
      </c>
      <c r="I6">
        <v>16497</v>
      </c>
      <c r="J6" s="122"/>
    </row>
    <row r="7" spans="1:11" x14ac:dyDescent="0.2">
      <c r="A7">
        <v>1</v>
      </c>
      <c r="B7" s="107" t="s">
        <v>277</v>
      </c>
      <c r="C7" s="108">
        <v>44991</v>
      </c>
      <c r="D7" s="107" t="s">
        <v>275</v>
      </c>
      <c r="E7" s="107" t="s">
        <v>288</v>
      </c>
      <c r="F7" s="107" t="s">
        <v>331</v>
      </c>
      <c r="G7" s="107" t="s">
        <v>276</v>
      </c>
      <c r="I7">
        <v>6464</v>
      </c>
      <c r="J7" s="122"/>
    </row>
    <row r="8" spans="1:11" x14ac:dyDescent="0.2">
      <c r="A8">
        <v>1</v>
      </c>
      <c r="B8" s="107" t="s">
        <v>277</v>
      </c>
      <c r="C8" s="108">
        <v>44991</v>
      </c>
      <c r="D8" s="107" t="s">
        <v>275</v>
      </c>
      <c r="E8" s="107" t="s">
        <v>288</v>
      </c>
      <c r="F8" s="107" t="s">
        <v>332</v>
      </c>
      <c r="G8" s="107" t="s">
        <v>276</v>
      </c>
      <c r="I8">
        <v>6464</v>
      </c>
      <c r="J8" s="122"/>
    </row>
    <row r="9" spans="1:11" x14ac:dyDescent="0.2">
      <c r="A9">
        <v>1</v>
      </c>
      <c r="B9" s="107" t="s">
        <v>321</v>
      </c>
      <c r="C9" s="108">
        <v>45016</v>
      </c>
      <c r="D9" s="107" t="s">
        <v>328</v>
      </c>
      <c r="E9" s="107" t="s">
        <v>281</v>
      </c>
      <c r="F9" s="107" t="s">
        <v>296</v>
      </c>
      <c r="G9" s="107" t="s">
        <v>276</v>
      </c>
      <c r="I9">
        <v>12000</v>
      </c>
      <c r="J9" s="122"/>
    </row>
    <row r="10" spans="1:11" x14ac:dyDescent="0.2">
      <c r="A10">
        <v>1</v>
      </c>
      <c r="B10" s="107" t="s">
        <v>311</v>
      </c>
      <c r="C10" s="108">
        <v>44979</v>
      </c>
      <c r="D10" s="107" t="s">
        <v>282</v>
      </c>
      <c r="E10" s="107" t="s">
        <v>297</v>
      </c>
      <c r="F10" s="107" t="s">
        <v>312</v>
      </c>
      <c r="G10" s="107" t="s">
        <v>276</v>
      </c>
      <c r="I10">
        <v>200</v>
      </c>
      <c r="J10" s="122"/>
    </row>
    <row r="11" spans="1:11" x14ac:dyDescent="0.2">
      <c r="A11">
        <v>1</v>
      </c>
      <c r="B11" s="107" t="s">
        <v>311</v>
      </c>
      <c r="C11" s="108">
        <v>44979</v>
      </c>
      <c r="D11" s="107" t="s">
        <v>282</v>
      </c>
      <c r="E11" s="107" t="s">
        <v>288</v>
      </c>
      <c r="F11" s="107" t="s">
        <v>313</v>
      </c>
      <c r="G11" s="107"/>
      <c r="I11">
        <v>36</v>
      </c>
      <c r="J11" s="122"/>
    </row>
    <row r="12" spans="1:11" x14ac:dyDescent="0.2">
      <c r="A12">
        <v>2</v>
      </c>
      <c r="B12" s="107" t="s">
        <v>284</v>
      </c>
      <c r="C12" s="108">
        <v>45003</v>
      </c>
      <c r="D12" s="107" t="s">
        <v>269</v>
      </c>
      <c r="E12" s="107" t="s">
        <v>268</v>
      </c>
      <c r="F12" s="107" t="s">
        <v>294</v>
      </c>
      <c r="G12" s="107" t="s">
        <v>272</v>
      </c>
      <c r="H12">
        <v>36914</v>
      </c>
      <c r="J12" s="122">
        <f>K12*H12</f>
        <v>3025102.3000000003</v>
      </c>
      <c r="K12">
        <v>81.95</v>
      </c>
    </row>
    <row r="13" spans="1:11" x14ac:dyDescent="0.2">
      <c r="A13">
        <v>2</v>
      </c>
      <c r="B13" s="107" t="s">
        <v>304</v>
      </c>
      <c r="C13" s="108">
        <v>45017</v>
      </c>
      <c r="D13" s="107" t="s">
        <v>286</v>
      </c>
      <c r="E13" s="107" t="s">
        <v>287</v>
      </c>
      <c r="F13" s="107" t="s">
        <v>293</v>
      </c>
      <c r="G13" s="107" t="s">
        <v>276</v>
      </c>
      <c r="I13" s="122">
        <v>2313723.2999999998</v>
      </c>
      <c r="J13" s="122"/>
    </row>
    <row r="14" spans="1:11" x14ac:dyDescent="0.2">
      <c r="A14">
        <v>2</v>
      </c>
      <c r="B14" s="107" t="s">
        <v>304</v>
      </c>
      <c r="C14" s="108">
        <v>45017</v>
      </c>
      <c r="D14" s="107" t="s">
        <v>286</v>
      </c>
      <c r="E14" s="107" t="s">
        <v>288</v>
      </c>
      <c r="F14" s="107" t="s">
        <v>291</v>
      </c>
      <c r="G14" s="107" t="s">
        <v>276</v>
      </c>
      <c r="I14" s="122">
        <f>1156.85+1156.86</f>
        <v>2313.71</v>
      </c>
      <c r="J14" s="122"/>
    </row>
    <row r="15" spans="1:11" x14ac:dyDescent="0.2">
      <c r="A15">
        <v>1</v>
      </c>
      <c r="B15" s="107" t="s">
        <v>289</v>
      </c>
      <c r="C15" s="108">
        <v>44974</v>
      </c>
      <c r="D15" s="107" t="s">
        <v>286</v>
      </c>
      <c r="E15" s="107" t="s">
        <v>287</v>
      </c>
      <c r="F15" s="107" t="s">
        <v>290</v>
      </c>
      <c r="G15" s="107" t="s">
        <v>276</v>
      </c>
      <c r="I15" s="122">
        <v>497620</v>
      </c>
      <c r="J15" s="122"/>
    </row>
    <row r="16" spans="1:11" x14ac:dyDescent="0.2">
      <c r="A16">
        <v>1</v>
      </c>
      <c r="B16" s="107" t="s">
        <v>289</v>
      </c>
      <c r="C16" s="108">
        <v>44974</v>
      </c>
      <c r="D16" s="107" t="s">
        <v>286</v>
      </c>
      <c r="E16" s="107" t="s">
        <v>288</v>
      </c>
      <c r="F16" s="107" t="s">
        <v>292</v>
      </c>
      <c r="G16" s="107" t="s">
        <v>276</v>
      </c>
      <c r="I16" s="122">
        <f>248.82+248.82</f>
        <v>497.64</v>
      </c>
      <c r="J16" s="122"/>
    </row>
    <row r="17" spans="1:12" x14ac:dyDescent="0.2">
      <c r="A17">
        <v>2</v>
      </c>
      <c r="B17" s="107" t="s">
        <v>301</v>
      </c>
      <c r="C17" s="108">
        <v>45034</v>
      </c>
      <c r="D17" s="107" t="s">
        <v>275</v>
      </c>
      <c r="E17" s="107" t="s">
        <v>297</v>
      </c>
      <c r="F17" s="107" t="s">
        <v>401</v>
      </c>
      <c r="I17">
        <v>1500</v>
      </c>
      <c r="J17" s="122"/>
    </row>
    <row r="18" spans="1:12" x14ac:dyDescent="0.2">
      <c r="A18">
        <v>2</v>
      </c>
      <c r="B18" s="107" t="s">
        <v>301</v>
      </c>
      <c r="C18" s="108">
        <v>45034</v>
      </c>
      <c r="D18" s="107" t="s">
        <v>275</v>
      </c>
      <c r="E18" s="107" t="s">
        <v>298</v>
      </c>
      <c r="F18" s="107" t="s">
        <v>400</v>
      </c>
      <c r="G18" s="107" t="s">
        <v>276</v>
      </c>
      <c r="I18">
        <v>14760</v>
      </c>
      <c r="J18" s="122"/>
    </row>
    <row r="19" spans="1:12" x14ac:dyDescent="0.2">
      <c r="A19">
        <v>2</v>
      </c>
      <c r="B19" s="107" t="s">
        <v>301</v>
      </c>
      <c r="C19" s="108">
        <v>45034</v>
      </c>
      <c r="D19" s="107" t="s">
        <v>275</v>
      </c>
      <c r="E19" s="107" t="s">
        <v>278</v>
      </c>
      <c r="F19" s="107" t="s">
        <v>402</v>
      </c>
      <c r="I19">
        <v>3500</v>
      </c>
      <c r="J19" s="122"/>
    </row>
    <row r="20" spans="1:12" x14ac:dyDescent="0.2">
      <c r="A20">
        <v>2</v>
      </c>
      <c r="B20" s="107" t="s">
        <v>301</v>
      </c>
      <c r="C20" s="108">
        <v>45034</v>
      </c>
      <c r="D20" s="107" t="s">
        <v>275</v>
      </c>
      <c r="E20" s="107" t="s">
        <v>279</v>
      </c>
      <c r="F20" s="107" t="s">
        <v>299</v>
      </c>
      <c r="G20" s="107" t="s">
        <v>276</v>
      </c>
      <c r="I20">
        <v>4144</v>
      </c>
      <c r="J20" s="122"/>
    </row>
    <row r="21" spans="1:12" x14ac:dyDescent="0.2">
      <c r="A21">
        <v>2</v>
      </c>
      <c r="B21" s="107" t="s">
        <v>301</v>
      </c>
      <c r="C21" s="108">
        <v>45034</v>
      </c>
      <c r="D21" s="107" t="s">
        <v>275</v>
      </c>
      <c r="E21" s="107" t="s">
        <v>342</v>
      </c>
      <c r="F21" t="s">
        <v>300</v>
      </c>
      <c r="I21">
        <f>52522-1500-4144-14760-3500</f>
        <v>28618</v>
      </c>
      <c r="J21" s="122"/>
    </row>
    <row r="22" spans="1:12" x14ac:dyDescent="0.2">
      <c r="A22">
        <v>2</v>
      </c>
      <c r="B22" s="107" t="s">
        <v>301</v>
      </c>
      <c r="C22" s="108">
        <v>45034</v>
      </c>
      <c r="D22" s="107" t="s">
        <v>275</v>
      </c>
      <c r="E22" s="107" t="s">
        <v>288</v>
      </c>
      <c r="F22" s="107" t="s">
        <v>305</v>
      </c>
      <c r="I22">
        <v>9454</v>
      </c>
      <c r="J22" s="122"/>
      <c r="L22">
        <f>SUM(I17:I22)</f>
        <v>61976</v>
      </c>
    </row>
    <row r="23" spans="1:12" x14ac:dyDescent="0.2">
      <c r="A23">
        <v>2</v>
      </c>
      <c r="B23" t="s">
        <v>302</v>
      </c>
      <c r="C23" s="108">
        <v>45034</v>
      </c>
      <c r="D23" s="107" t="s">
        <v>275</v>
      </c>
      <c r="E23" s="107" t="s">
        <v>260</v>
      </c>
      <c r="F23" t="s">
        <v>300</v>
      </c>
      <c r="I23">
        <v>63240</v>
      </c>
      <c r="J23" s="122"/>
    </row>
    <row r="24" spans="1:12" x14ac:dyDescent="0.2">
      <c r="A24">
        <v>2</v>
      </c>
      <c r="B24" t="s">
        <v>302</v>
      </c>
      <c r="C24" s="108">
        <v>45034</v>
      </c>
      <c r="D24" s="107" t="s">
        <v>275</v>
      </c>
      <c r="E24" s="107" t="s">
        <v>288</v>
      </c>
      <c r="F24" s="107" t="s">
        <v>305</v>
      </c>
      <c r="I24">
        <v>3162</v>
      </c>
      <c r="J24" s="122"/>
      <c r="L24">
        <f>SUM(I23:I24)</f>
        <v>66402</v>
      </c>
    </row>
    <row r="25" spans="1:12" x14ac:dyDescent="0.2">
      <c r="A25">
        <v>3</v>
      </c>
      <c r="B25" s="107" t="s">
        <v>303</v>
      </c>
      <c r="C25" s="108">
        <v>45030</v>
      </c>
      <c r="D25" s="107" t="s">
        <v>286</v>
      </c>
      <c r="E25" s="107" t="s">
        <v>287</v>
      </c>
      <c r="F25" s="107" t="s">
        <v>306</v>
      </c>
      <c r="G25" s="107" t="s">
        <v>276</v>
      </c>
      <c r="I25" s="122">
        <v>2105894.41</v>
      </c>
      <c r="J25" s="122"/>
    </row>
    <row r="26" spans="1:12" x14ac:dyDescent="0.2">
      <c r="A26">
        <v>3</v>
      </c>
      <c r="B26" s="107" t="s">
        <v>303</v>
      </c>
      <c r="C26" s="108">
        <v>45030</v>
      </c>
      <c r="D26" s="107" t="s">
        <v>286</v>
      </c>
      <c r="E26" s="107" t="s">
        <v>288</v>
      </c>
      <c r="F26" s="107" t="s">
        <v>307</v>
      </c>
      <c r="I26" s="122">
        <f>1052.89+1052.89</f>
        <v>2105.7800000000002</v>
      </c>
      <c r="J26" s="122"/>
    </row>
    <row r="27" spans="1:12" x14ac:dyDescent="0.2">
      <c r="A27">
        <v>3</v>
      </c>
      <c r="B27" s="107" t="s">
        <v>308</v>
      </c>
      <c r="C27" s="108">
        <v>45029</v>
      </c>
      <c r="D27" s="107" t="s">
        <v>269</v>
      </c>
      <c r="E27" s="107" t="s">
        <v>268</v>
      </c>
      <c r="F27" s="107" t="s">
        <v>309</v>
      </c>
      <c r="G27" s="107" t="s">
        <v>310</v>
      </c>
      <c r="H27">
        <v>33252</v>
      </c>
      <c r="J27" s="122">
        <f>K27*H27</f>
        <v>2696737.1999999997</v>
      </c>
      <c r="K27">
        <v>81.099999999999994</v>
      </c>
    </row>
    <row r="28" spans="1:12" x14ac:dyDescent="0.2">
      <c r="A28">
        <v>3</v>
      </c>
      <c r="B28" s="107" t="s">
        <v>335</v>
      </c>
      <c r="C28" s="108">
        <v>45051</v>
      </c>
      <c r="D28" s="107" t="s">
        <v>339</v>
      </c>
      <c r="E28" s="107" t="s">
        <v>280</v>
      </c>
      <c r="F28" s="107" t="s">
        <v>314</v>
      </c>
      <c r="G28" s="107" t="s">
        <v>276</v>
      </c>
      <c r="H28" s="107" t="s">
        <v>336</v>
      </c>
      <c r="I28">
        <v>55906.89</v>
      </c>
      <c r="J28" s="122"/>
    </row>
    <row r="29" spans="1:12" x14ac:dyDescent="0.2">
      <c r="A29">
        <v>3</v>
      </c>
      <c r="B29" s="107" t="s">
        <v>337</v>
      </c>
      <c r="C29" s="108">
        <v>45051</v>
      </c>
      <c r="D29" s="107" t="s">
        <v>339</v>
      </c>
      <c r="E29" s="107" t="s">
        <v>288</v>
      </c>
      <c r="F29" s="107" t="s">
        <v>340</v>
      </c>
      <c r="G29" s="107" t="s">
        <v>276</v>
      </c>
      <c r="I29">
        <v>2795.34</v>
      </c>
      <c r="J29" s="122"/>
    </row>
    <row r="30" spans="1:12" x14ac:dyDescent="0.2">
      <c r="A30">
        <v>3</v>
      </c>
      <c r="B30" s="107" t="s">
        <v>338</v>
      </c>
      <c r="C30" s="108">
        <v>45051</v>
      </c>
      <c r="D30" s="107" t="s">
        <v>339</v>
      </c>
      <c r="E30" s="107" t="s">
        <v>342</v>
      </c>
      <c r="F30" s="107" t="s">
        <v>341</v>
      </c>
      <c r="G30" s="107" t="s">
        <v>276</v>
      </c>
      <c r="I30">
        <v>25607.05</v>
      </c>
      <c r="J30" s="122"/>
    </row>
    <row r="31" spans="1:12" x14ac:dyDescent="0.2">
      <c r="A31">
        <v>3</v>
      </c>
      <c r="B31" s="107" t="s">
        <v>338</v>
      </c>
      <c r="C31" s="108">
        <v>45051</v>
      </c>
      <c r="D31" s="107" t="s">
        <v>339</v>
      </c>
      <c r="E31" s="107" t="s">
        <v>288</v>
      </c>
      <c r="F31" s="107" t="s">
        <v>343</v>
      </c>
      <c r="G31" s="107" t="s">
        <v>276</v>
      </c>
      <c r="I31">
        <v>4609.26</v>
      </c>
      <c r="J31" s="122"/>
    </row>
    <row r="32" spans="1:12" x14ac:dyDescent="0.2">
      <c r="A32">
        <v>3</v>
      </c>
      <c r="B32" s="107" t="s">
        <v>338</v>
      </c>
      <c r="C32" s="108">
        <v>45051</v>
      </c>
      <c r="D32" s="107" t="s">
        <v>339</v>
      </c>
      <c r="E32" s="107" t="s">
        <v>278</v>
      </c>
      <c r="F32" s="107" t="s">
        <v>315</v>
      </c>
      <c r="G32" s="107" t="s">
        <v>276</v>
      </c>
      <c r="I32">
        <v>3500</v>
      </c>
      <c r="J32" s="122"/>
    </row>
    <row r="33" spans="1:10" x14ac:dyDescent="0.2">
      <c r="A33">
        <v>3</v>
      </c>
      <c r="B33" s="107" t="s">
        <v>338</v>
      </c>
      <c r="C33" s="108">
        <v>45051</v>
      </c>
      <c r="D33" s="107" t="s">
        <v>339</v>
      </c>
      <c r="E33" s="107" t="s">
        <v>288</v>
      </c>
      <c r="F33" s="107" t="s">
        <v>403</v>
      </c>
      <c r="G33" s="107" t="s">
        <v>276</v>
      </c>
      <c r="I33">
        <v>630</v>
      </c>
      <c r="J33" s="122"/>
    </row>
    <row r="34" spans="1:10" x14ac:dyDescent="0.2">
      <c r="A34">
        <v>3</v>
      </c>
      <c r="B34" s="107" t="s">
        <v>338</v>
      </c>
      <c r="C34" s="108">
        <v>45051</v>
      </c>
      <c r="D34" s="107" t="s">
        <v>339</v>
      </c>
      <c r="E34" s="107" t="s">
        <v>297</v>
      </c>
      <c r="F34" s="107" t="s">
        <v>316</v>
      </c>
      <c r="G34" s="107" t="s">
        <v>276</v>
      </c>
      <c r="I34">
        <v>1500</v>
      </c>
      <c r="J34" s="122"/>
    </row>
    <row r="35" spans="1:10" x14ac:dyDescent="0.2">
      <c r="A35">
        <v>3</v>
      </c>
      <c r="B35" s="107" t="s">
        <v>338</v>
      </c>
      <c r="C35" s="108">
        <v>45051</v>
      </c>
      <c r="D35" s="107" t="s">
        <v>339</v>
      </c>
      <c r="E35" s="107" t="s">
        <v>288</v>
      </c>
      <c r="F35" s="107" t="s">
        <v>404</v>
      </c>
      <c r="G35" s="107" t="s">
        <v>276</v>
      </c>
      <c r="I35">
        <v>270</v>
      </c>
      <c r="J35" s="122"/>
    </row>
    <row r="36" spans="1:10" x14ac:dyDescent="0.2">
      <c r="A36">
        <v>3</v>
      </c>
      <c r="B36" s="107" t="s">
        <v>338</v>
      </c>
      <c r="C36" s="108">
        <v>45051</v>
      </c>
      <c r="D36" s="107" t="s">
        <v>339</v>
      </c>
      <c r="E36" s="107" t="s">
        <v>317</v>
      </c>
      <c r="F36" s="107" t="s">
        <v>405</v>
      </c>
      <c r="G36" s="107" t="s">
        <v>318</v>
      </c>
      <c r="I36">
        <v>9840</v>
      </c>
      <c r="J36" s="122"/>
    </row>
    <row r="37" spans="1:10" x14ac:dyDescent="0.2">
      <c r="A37">
        <v>3</v>
      </c>
      <c r="B37" s="107" t="s">
        <v>338</v>
      </c>
      <c r="C37" s="108">
        <v>45051</v>
      </c>
      <c r="D37" s="107" t="s">
        <v>339</v>
      </c>
      <c r="E37" s="107" t="s">
        <v>319</v>
      </c>
      <c r="F37" s="107" t="s">
        <v>406</v>
      </c>
      <c r="G37" s="107" t="s">
        <v>276</v>
      </c>
      <c r="I37">
        <v>9840</v>
      </c>
      <c r="J37" s="122"/>
    </row>
    <row r="38" spans="1:10" x14ac:dyDescent="0.2">
      <c r="A38">
        <v>3</v>
      </c>
      <c r="B38" s="107" t="s">
        <v>338</v>
      </c>
      <c r="C38" s="108">
        <v>45051</v>
      </c>
      <c r="D38" s="107" t="s">
        <v>339</v>
      </c>
      <c r="E38" s="107" t="s">
        <v>288</v>
      </c>
      <c r="F38" s="107" t="s">
        <v>407</v>
      </c>
      <c r="G38" s="107" t="s">
        <v>276</v>
      </c>
      <c r="I38">
        <f>1771+1771</f>
        <v>3542</v>
      </c>
      <c r="J38" s="122"/>
    </row>
    <row r="39" spans="1:10" x14ac:dyDescent="0.2">
      <c r="A39">
        <v>3</v>
      </c>
      <c r="B39" s="107" t="s">
        <v>338</v>
      </c>
      <c r="C39" s="108">
        <v>45051</v>
      </c>
      <c r="D39" s="107" t="s">
        <v>339</v>
      </c>
      <c r="E39" s="107" t="s">
        <v>317</v>
      </c>
      <c r="F39" s="107" t="s">
        <v>408</v>
      </c>
      <c r="G39" s="107" t="s">
        <v>276</v>
      </c>
      <c r="I39">
        <v>450</v>
      </c>
      <c r="J39" s="122"/>
    </row>
    <row r="40" spans="1:10" x14ac:dyDescent="0.2">
      <c r="A40">
        <v>3</v>
      </c>
      <c r="B40" s="107" t="s">
        <v>338</v>
      </c>
      <c r="C40" s="108">
        <v>45051</v>
      </c>
      <c r="D40" s="107" t="s">
        <v>339</v>
      </c>
      <c r="E40" s="107" t="s">
        <v>288</v>
      </c>
      <c r="F40" s="107" t="s">
        <v>409</v>
      </c>
      <c r="G40" s="107" t="s">
        <v>276</v>
      </c>
      <c r="I40">
        <v>81</v>
      </c>
      <c r="J40" s="122"/>
    </row>
    <row r="41" spans="1:10" x14ac:dyDescent="0.2">
      <c r="A41">
        <v>3</v>
      </c>
      <c r="B41" s="107" t="s">
        <v>338</v>
      </c>
      <c r="C41" s="108">
        <v>45051</v>
      </c>
      <c r="D41" s="107" t="s">
        <v>339</v>
      </c>
      <c r="E41" s="107" t="s">
        <v>279</v>
      </c>
      <c r="F41" s="107" t="s">
        <v>320</v>
      </c>
      <c r="G41" s="107" t="s">
        <v>276</v>
      </c>
      <c r="I41">
        <v>3399</v>
      </c>
      <c r="J41" s="122"/>
    </row>
    <row r="42" spans="1:10" x14ac:dyDescent="0.2">
      <c r="A42">
        <v>3</v>
      </c>
      <c r="B42" s="107" t="s">
        <v>338</v>
      </c>
      <c r="C42" s="108">
        <v>45051</v>
      </c>
      <c r="D42" s="107" t="s">
        <v>339</v>
      </c>
      <c r="E42" s="107" t="s">
        <v>288</v>
      </c>
      <c r="F42" s="107" t="s">
        <v>410</v>
      </c>
      <c r="G42" s="107" t="s">
        <v>276</v>
      </c>
      <c r="I42">
        <v>612</v>
      </c>
      <c r="J42" s="122"/>
    </row>
    <row r="43" spans="1:10" x14ac:dyDescent="0.2">
      <c r="A43">
        <v>3</v>
      </c>
      <c r="B43" t="s">
        <v>321</v>
      </c>
      <c r="C43" s="108">
        <v>44998</v>
      </c>
      <c r="D43" s="107" t="s">
        <v>323</v>
      </c>
      <c r="E43" s="107" t="s">
        <v>322</v>
      </c>
      <c r="F43" s="107" t="s">
        <v>324</v>
      </c>
      <c r="G43" s="107" t="s">
        <v>276</v>
      </c>
      <c r="I43">
        <v>7000</v>
      </c>
      <c r="J43" s="122"/>
    </row>
    <row r="44" spans="1:10" x14ac:dyDescent="0.2">
      <c r="A44">
        <v>0</v>
      </c>
      <c r="B44" s="107" t="s">
        <v>321</v>
      </c>
      <c r="C44" s="108">
        <v>45028</v>
      </c>
      <c r="D44" s="107" t="s">
        <v>325</v>
      </c>
      <c r="E44" s="107" t="s">
        <v>326</v>
      </c>
      <c r="F44" s="107" t="s">
        <v>327</v>
      </c>
      <c r="G44" s="107" t="s">
        <v>276</v>
      </c>
      <c r="I44">
        <v>48000</v>
      </c>
      <c r="J44" s="122"/>
    </row>
    <row r="45" spans="1:10" x14ac:dyDescent="0.2">
      <c r="A45">
        <v>2</v>
      </c>
      <c r="B45" s="107" t="s">
        <v>360</v>
      </c>
      <c r="C45" s="108">
        <v>45020</v>
      </c>
      <c r="D45" s="107" t="s">
        <v>286</v>
      </c>
      <c r="E45" s="107" t="s">
        <v>287</v>
      </c>
      <c r="F45" s="107" t="s">
        <v>380</v>
      </c>
      <c r="G45" s="107"/>
      <c r="I45" s="122">
        <v>14586.95</v>
      </c>
      <c r="J45" s="122"/>
    </row>
    <row r="46" spans="1:10" x14ac:dyDescent="0.2">
      <c r="A46">
        <v>2</v>
      </c>
      <c r="B46" s="107" t="s">
        <v>360</v>
      </c>
      <c r="C46" s="108">
        <v>45020</v>
      </c>
      <c r="D46" s="107" t="s">
        <v>286</v>
      </c>
      <c r="E46" s="107" t="s">
        <v>288</v>
      </c>
      <c r="F46" s="107" t="s">
        <v>381</v>
      </c>
      <c r="I46" s="122">
        <v>14.6</v>
      </c>
      <c r="J46" s="122"/>
    </row>
    <row r="47" spans="1:10" x14ac:dyDescent="0.2">
      <c r="A47">
        <v>4</v>
      </c>
      <c r="B47" s="107" t="s">
        <v>384</v>
      </c>
      <c r="C47" s="108">
        <v>45056</v>
      </c>
      <c r="D47" s="107" t="s">
        <v>286</v>
      </c>
      <c r="E47" s="107" t="s">
        <v>287</v>
      </c>
      <c r="F47" s="107" t="s">
        <v>383</v>
      </c>
      <c r="G47" s="107" t="s">
        <v>276</v>
      </c>
      <c r="I47" s="122">
        <v>2138214.6</v>
      </c>
      <c r="J47" s="122"/>
    </row>
    <row r="48" spans="1:10" x14ac:dyDescent="0.2">
      <c r="A48">
        <v>0</v>
      </c>
      <c r="B48" t="s">
        <v>389</v>
      </c>
      <c r="C48" s="108">
        <v>45059</v>
      </c>
      <c r="D48" s="107" t="s">
        <v>389</v>
      </c>
      <c r="E48" s="107" t="s">
        <v>389</v>
      </c>
      <c r="F48" s="107" t="s">
        <v>392</v>
      </c>
      <c r="G48" s="107" t="s">
        <v>276</v>
      </c>
      <c r="I48" s="124">
        <f>'[2]Expenses In Cash'!$I$22-I49</f>
        <v>2789</v>
      </c>
      <c r="J48" s="122"/>
    </row>
    <row r="49" spans="1:12" x14ac:dyDescent="0.2">
      <c r="A49">
        <v>0</v>
      </c>
      <c r="B49" s="107" t="s">
        <v>389</v>
      </c>
      <c r="C49" s="108">
        <v>45046</v>
      </c>
      <c r="D49" s="107" t="s">
        <v>389</v>
      </c>
      <c r="E49" s="107" t="s">
        <v>389</v>
      </c>
      <c r="F49" s="107" t="s">
        <v>391</v>
      </c>
      <c r="G49" s="107" t="s">
        <v>276</v>
      </c>
      <c r="I49" s="122">
        <f>ROUNDUP(8454*0.67,0)</f>
        <v>5665</v>
      </c>
      <c r="J49" s="122"/>
    </row>
    <row r="50" spans="1:12" x14ac:dyDescent="0.2">
      <c r="A50">
        <v>4</v>
      </c>
      <c r="B50" s="107" t="s">
        <v>385</v>
      </c>
      <c r="C50" s="108">
        <v>45057</v>
      </c>
      <c r="D50" s="107" t="s">
        <v>269</v>
      </c>
      <c r="E50" s="107" t="s">
        <v>268</v>
      </c>
      <c r="F50" s="107" t="s">
        <v>386</v>
      </c>
      <c r="G50" s="107" t="s">
        <v>272</v>
      </c>
      <c r="H50">
        <v>35406</v>
      </c>
      <c r="J50" s="122">
        <f>L50*H50</f>
        <v>2871426.5999999996</v>
      </c>
      <c r="L50">
        <v>81.099999999999994</v>
      </c>
    </row>
    <row r="51" spans="1:12" x14ac:dyDescent="0.2">
      <c r="A51">
        <v>4</v>
      </c>
      <c r="B51" s="107" t="s">
        <v>390</v>
      </c>
      <c r="C51" s="108">
        <v>45058</v>
      </c>
      <c r="D51" s="107" t="s">
        <v>339</v>
      </c>
      <c r="E51" s="107" t="s">
        <v>387</v>
      </c>
      <c r="F51" s="107" t="s">
        <v>388</v>
      </c>
      <c r="G51" s="107" t="s">
        <v>276</v>
      </c>
      <c r="I51" s="122">
        <v>125000</v>
      </c>
    </row>
    <row r="52" spans="1:12" x14ac:dyDescent="0.2">
      <c r="A52">
        <v>3</v>
      </c>
      <c r="B52" s="107" t="s">
        <v>393</v>
      </c>
      <c r="C52" s="106">
        <v>45046</v>
      </c>
      <c r="D52" s="107" t="s">
        <v>394</v>
      </c>
      <c r="E52" s="107" t="s">
        <v>394</v>
      </c>
      <c r="F52" s="107" t="s">
        <v>395</v>
      </c>
      <c r="G52" s="107" t="s">
        <v>276</v>
      </c>
      <c r="I52">
        <f>ROUNDUP(0.25*(45600+57200+55867),0)</f>
        <v>39667</v>
      </c>
    </row>
    <row r="53" spans="1:12" x14ac:dyDescent="0.2">
      <c r="A53">
        <v>4</v>
      </c>
      <c r="B53" s="107" t="s">
        <v>393</v>
      </c>
      <c r="C53" s="108">
        <v>45059</v>
      </c>
      <c r="D53" s="107" t="s">
        <v>394</v>
      </c>
      <c r="E53" s="107" t="s">
        <v>394</v>
      </c>
      <c r="F53" s="107" t="s">
        <v>397</v>
      </c>
      <c r="G53" s="107" t="s">
        <v>276</v>
      </c>
      <c r="I53">
        <f>ROUNDUP(0.25*55867,0)</f>
        <v>13967</v>
      </c>
    </row>
    <row r="54" spans="1:12" x14ac:dyDescent="0.2">
      <c r="A54">
        <v>3</v>
      </c>
      <c r="B54" s="107" t="s">
        <v>396</v>
      </c>
      <c r="C54" s="108">
        <v>45046</v>
      </c>
      <c r="D54" s="107" t="s">
        <v>396</v>
      </c>
      <c r="E54" s="107" t="s">
        <v>396</v>
      </c>
      <c r="F54" s="107" t="s">
        <v>398</v>
      </c>
      <c r="G54" s="107" t="s">
        <v>276</v>
      </c>
      <c r="I54">
        <f>ROUNDUP(0.25*(4350+5790+4780),2)</f>
        <v>3730</v>
      </c>
    </row>
    <row r="55" spans="1:12" x14ac:dyDescent="0.2">
      <c r="A55">
        <v>2</v>
      </c>
      <c r="B55" s="107" t="s">
        <v>321</v>
      </c>
      <c r="C55" s="108">
        <v>45059</v>
      </c>
      <c r="D55" s="107" t="s">
        <v>411</v>
      </c>
      <c r="E55" s="107" t="s">
        <v>281</v>
      </c>
      <c r="F55" s="107" t="s">
        <v>412</v>
      </c>
      <c r="G55" s="107" t="s">
        <v>276</v>
      </c>
      <c r="I55">
        <v>5000</v>
      </c>
    </row>
    <row r="56" spans="1:12" x14ac:dyDescent="0.2">
      <c r="A56">
        <v>3</v>
      </c>
      <c r="B56" s="107" t="s">
        <v>321</v>
      </c>
      <c r="C56" s="108">
        <v>45059</v>
      </c>
      <c r="D56" s="107" t="s">
        <v>411</v>
      </c>
      <c r="E56" s="107" t="s">
        <v>281</v>
      </c>
      <c r="F56" s="107" t="s">
        <v>414</v>
      </c>
      <c r="G56" s="107" t="s">
        <v>276</v>
      </c>
      <c r="I56">
        <v>5000</v>
      </c>
    </row>
    <row r="57" spans="1:12" x14ac:dyDescent="0.2">
      <c r="A57">
        <v>4</v>
      </c>
      <c r="B57" s="107" t="s">
        <v>321</v>
      </c>
      <c r="C57" s="108">
        <v>45059</v>
      </c>
      <c r="D57" s="107" t="s">
        <v>411</v>
      </c>
      <c r="E57" s="107" t="s">
        <v>281</v>
      </c>
      <c r="F57" s="107" t="s">
        <v>413</v>
      </c>
      <c r="G57" s="107" t="s">
        <v>276</v>
      </c>
      <c r="I57">
        <v>5000</v>
      </c>
    </row>
    <row r="58" spans="1:12" x14ac:dyDescent="0.2">
      <c r="A58">
        <v>3</v>
      </c>
      <c r="B58" s="107" t="s">
        <v>321</v>
      </c>
      <c r="C58" s="108">
        <v>45057</v>
      </c>
      <c r="D58" s="107" t="s">
        <v>418</v>
      </c>
      <c r="E58" s="107" t="s">
        <v>419</v>
      </c>
      <c r="F58" s="107" t="s">
        <v>421</v>
      </c>
      <c r="G58" s="107" t="s">
        <v>276</v>
      </c>
      <c r="J58">
        <v>50801</v>
      </c>
    </row>
    <row r="59" spans="1:12" x14ac:dyDescent="0.2">
      <c r="A59">
        <v>2</v>
      </c>
      <c r="B59" s="107" t="s">
        <v>321</v>
      </c>
      <c r="C59" s="108">
        <v>45042</v>
      </c>
      <c r="D59" s="107" t="s">
        <v>418</v>
      </c>
      <c r="E59" s="107" t="s">
        <v>419</v>
      </c>
      <c r="F59" s="107" t="s">
        <v>420</v>
      </c>
      <c r="G59" s="107" t="s">
        <v>276</v>
      </c>
      <c r="J59">
        <v>57313</v>
      </c>
    </row>
    <row r="60" spans="1:12" x14ac:dyDescent="0.2">
      <c r="C60" s="108"/>
    </row>
    <row r="61" spans="1:12" x14ac:dyDescent="0.2">
      <c r="C61" s="108"/>
      <c r="I61" s="109">
        <f>SUM(I2:I60)</f>
        <v>7706700.5299999993</v>
      </c>
      <c r="J61" s="109">
        <f t="shared" ref="J61" si="0">SUM(J2:J60)</f>
        <v>9352407.2949999999</v>
      </c>
      <c r="K61" s="109"/>
    </row>
    <row r="62" spans="1:12" x14ac:dyDescent="0.2">
      <c r="C62" s="108"/>
    </row>
    <row r="63" spans="1:12" x14ac:dyDescent="0.2">
      <c r="C63" s="108"/>
      <c r="H63" t="s">
        <v>28</v>
      </c>
      <c r="I63" s="123">
        <f>J61-I61</f>
        <v>1645706.7650000006</v>
      </c>
    </row>
    <row r="64" spans="1:12" x14ac:dyDescent="0.2">
      <c r="C64" s="108"/>
    </row>
    <row r="65" spans="3:3" x14ac:dyDescent="0.2">
      <c r="C65" s="108"/>
    </row>
    <row r="66" spans="3:3" x14ac:dyDescent="0.2">
      <c r="C66" s="108"/>
    </row>
    <row r="67" spans="3:3" x14ac:dyDescent="0.2">
      <c r="C67" s="108"/>
    </row>
    <row r="68" spans="3:3" x14ac:dyDescent="0.2">
      <c r="C68" s="108"/>
    </row>
    <row r="69" spans="3:3" x14ac:dyDescent="0.2">
      <c r="C69" s="108"/>
    </row>
    <row r="70" spans="3:3" x14ac:dyDescent="0.2">
      <c r="C70" s="108"/>
    </row>
    <row r="71" spans="3:3" x14ac:dyDescent="0.2">
      <c r="C71" s="108"/>
    </row>
    <row r="72" spans="3:3" x14ac:dyDescent="0.2">
      <c r="C72" s="108"/>
    </row>
    <row r="73" spans="3:3" x14ac:dyDescent="0.2">
      <c r="C73" s="108"/>
    </row>
    <row r="74" spans="3:3" x14ac:dyDescent="0.2">
      <c r="C74" s="108"/>
    </row>
    <row r="75" spans="3:3" x14ac:dyDescent="0.2">
      <c r="C75" s="108"/>
    </row>
    <row r="76" spans="3:3" x14ac:dyDescent="0.2">
      <c r="C76" s="108"/>
    </row>
    <row r="77" spans="3:3" x14ac:dyDescent="0.2">
      <c r="C77" s="108"/>
    </row>
    <row r="78" spans="3:3" x14ac:dyDescent="0.2">
      <c r="C78" s="108"/>
    </row>
    <row r="79" spans="3:3" x14ac:dyDescent="0.2">
      <c r="C79" s="108"/>
    </row>
  </sheetData>
  <autoFilter ref="A1:L57" xr:uid="{7EE3E968-ECA4-4B0B-9C1F-4E797372F90C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80B88-361B-4A28-BBD5-35B6AD0418D0}">
  <dimension ref="A1:I13"/>
  <sheetViews>
    <sheetView topLeftCell="C1" workbookViewId="0">
      <selection activeCell="E8" sqref="E8"/>
    </sheetView>
  </sheetViews>
  <sheetFormatPr defaultRowHeight="12.75" x14ac:dyDescent="0.2"/>
  <cols>
    <col min="1" max="1" width="14" style="114" hidden="1" customWidth="1"/>
    <col min="2" max="2" width="7" style="114" hidden="1" customWidth="1"/>
    <col min="3" max="3" width="19.83203125" style="114" bestFit="1" customWidth="1"/>
    <col min="4" max="4" width="14.5" style="114" customWidth="1"/>
    <col min="5" max="5" width="19.83203125" style="114" bestFit="1" customWidth="1"/>
    <col min="6" max="6" width="11.6640625" style="114" bestFit="1" customWidth="1"/>
    <col min="7" max="7" width="17.5" style="114" customWidth="1"/>
    <col min="8" max="8" width="36.83203125" style="114" customWidth="1"/>
    <col min="9" max="16384" width="9.33203125" style="114"/>
  </cols>
  <sheetData>
    <row r="1" spans="1:9" ht="51" x14ac:dyDescent="0.2">
      <c r="A1" s="112" t="s">
        <v>262</v>
      </c>
      <c r="B1" s="112" t="s">
        <v>344</v>
      </c>
      <c r="C1" s="112" t="s">
        <v>345</v>
      </c>
      <c r="D1" s="112" t="s">
        <v>346</v>
      </c>
      <c r="E1" s="112" t="s">
        <v>347</v>
      </c>
      <c r="F1" s="112" t="s">
        <v>348</v>
      </c>
      <c r="G1" s="112" t="s">
        <v>349</v>
      </c>
      <c r="H1" s="112" t="s">
        <v>350</v>
      </c>
      <c r="I1" s="113"/>
    </row>
    <row r="2" spans="1:9" ht="25.5" x14ac:dyDescent="0.2">
      <c r="A2" s="113" t="s">
        <v>351</v>
      </c>
      <c r="B2" s="113" t="s">
        <v>352</v>
      </c>
      <c r="C2" s="113" t="s">
        <v>353</v>
      </c>
      <c r="D2" s="115">
        <v>45043</v>
      </c>
      <c r="E2" s="113" t="s">
        <v>354</v>
      </c>
      <c r="F2" s="113" t="s">
        <v>355</v>
      </c>
      <c r="G2" s="116">
        <v>-1409968</v>
      </c>
      <c r="H2" s="113" t="s">
        <v>356</v>
      </c>
      <c r="I2" s="113"/>
    </row>
    <row r="3" spans="1:9" ht="25.5" x14ac:dyDescent="0.2">
      <c r="A3" s="113" t="s">
        <v>351</v>
      </c>
      <c r="B3" s="113" t="s">
        <v>352</v>
      </c>
      <c r="C3" s="113" t="s">
        <v>357</v>
      </c>
      <c r="D3" s="115">
        <v>45043</v>
      </c>
      <c r="E3" s="113" t="s">
        <v>358</v>
      </c>
      <c r="F3" s="113" t="s">
        <v>355</v>
      </c>
      <c r="G3" s="116">
        <v>-1264800</v>
      </c>
      <c r="H3" s="113" t="s">
        <v>359</v>
      </c>
      <c r="I3" s="113"/>
    </row>
    <row r="4" spans="1:9" ht="25.5" x14ac:dyDescent="0.2">
      <c r="A4" s="113" t="s">
        <v>351</v>
      </c>
      <c r="B4" s="113" t="s">
        <v>352</v>
      </c>
      <c r="C4" s="113" t="s">
        <v>360</v>
      </c>
      <c r="D4" s="115">
        <v>45038</v>
      </c>
      <c r="E4" s="113" t="s">
        <v>361</v>
      </c>
      <c r="F4" s="113" t="s">
        <v>362</v>
      </c>
      <c r="G4" s="116">
        <v>14601.55</v>
      </c>
      <c r="H4" s="113" t="s">
        <v>363</v>
      </c>
      <c r="I4" s="113"/>
    </row>
    <row r="5" spans="1:9" ht="25.5" x14ac:dyDescent="0.2">
      <c r="A5" s="113" t="s">
        <v>351</v>
      </c>
      <c r="B5" s="113" t="s">
        <v>352</v>
      </c>
      <c r="C5" s="113" t="s">
        <v>304</v>
      </c>
      <c r="D5" s="115">
        <v>45038</v>
      </c>
      <c r="E5" s="113" t="s">
        <v>364</v>
      </c>
      <c r="F5" s="113" t="s">
        <v>362</v>
      </c>
      <c r="G5" s="116">
        <v>2316037.1800000002</v>
      </c>
      <c r="H5" s="113" t="s">
        <v>363</v>
      </c>
      <c r="I5" s="113"/>
    </row>
    <row r="6" spans="1:9" ht="25.5" x14ac:dyDescent="0.2">
      <c r="A6" s="113" t="s">
        <v>351</v>
      </c>
      <c r="B6" s="113" t="s">
        <v>352</v>
      </c>
      <c r="C6" s="113" t="s">
        <v>303</v>
      </c>
      <c r="D6" s="115">
        <v>45038</v>
      </c>
      <c r="E6" s="113" t="s">
        <v>365</v>
      </c>
      <c r="F6" s="113" t="s">
        <v>362</v>
      </c>
      <c r="G6" s="116">
        <v>2108000.19</v>
      </c>
      <c r="H6" s="113" t="s">
        <v>363</v>
      </c>
      <c r="I6" s="113"/>
    </row>
    <row r="7" spans="1:9" ht="25.5" x14ac:dyDescent="0.2">
      <c r="A7" s="113" t="s">
        <v>351</v>
      </c>
      <c r="B7" s="113" t="s">
        <v>352</v>
      </c>
      <c r="C7" s="113" t="s">
        <v>366</v>
      </c>
      <c r="D7" s="115">
        <v>44985</v>
      </c>
      <c r="E7" s="113" t="s">
        <v>367</v>
      </c>
      <c r="F7" s="113" t="s">
        <v>362</v>
      </c>
      <c r="G7" s="116">
        <v>498117.64</v>
      </c>
      <c r="H7" s="113" t="s">
        <v>363</v>
      </c>
      <c r="I7" s="113"/>
    </row>
    <row r="8" spans="1:9" ht="25.5" x14ac:dyDescent="0.2">
      <c r="A8" s="113" t="s">
        <v>351</v>
      </c>
      <c r="B8" s="113" t="s">
        <v>363</v>
      </c>
      <c r="C8" s="113" t="s">
        <v>368</v>
      </c>
      <c r="D8" s="115">
        <v>44981</v>
      </c>
      <c r="E8" s="113" t="s">
        <v>369</v>
      </c>
      <c r="F8" s="113" t="s">
        <v>355</v>
      </c>
      <c r="G8" s="116">
        <v>-298871</v>
      </c>
      <c r="H8" s="113" t="s">
        <v>370</v>
      </c>
      <c r="I8" s="113"/>
    </row>
    <row r="9" spans="1:9" ht="25.5" x14ac:dyDescent="0.2">
      <c r="A9" s="113" t="s">
        <v>351</v>
      </c>
      <c r="B9" s="113" t="s">
        <v>363</v>
      </c>
      <c r="C9" s="113" t="s">
        <v>371</v>
      </c>
      <c r="D9" s="115">
        <v>44972</v>
      </c>
      <c r="E9" s="113" t="s">
        <v>372</v>
      </c>
      <c r="F9" s="113" t="s">
        <v>355</v>
      </c>
      <c r="G9" s="116">
        <v>-2711935.2</v>
      </c>
      <c r="H9" s="113" t="s">
        <v>373</v>
      </c>
      <c r="I9" s="113"/>
    </row>
    <row r="10" spans="1:9" ht="25.5" x14ac:dyDescent="0.2">
      <c r="A10" s="113" t="s">
        <v>351</v>
      </c>
      <c r="B10" s="113" t="s">
        <v>363</v>
      </c>
      <c r="C10" s="113" t="s">
        <v>374</v>
      </c>
      <c r="D10" s="115">
        <v>44972</v>
      </c>
      <c r="E10" s="113" t="s">
        <v>375</v>
      </c>
      <c r="F10" s="113" t="s">
        <v>376</v>
      </c>
      <c r="G10" s="116">
        <v>2711935.2</v>
      </c>
      <c r="H10" s="113" t="s">
        <v>377</v>
      </c>
      <c r="I10" s="113"/>
    </row>
    <row r="11" spans="1:9" ht="25.5" x14ac:dyDescent="0.2">
      <c r="A11" s="113" t="s">
        <v>351</v>
      </c>
      <c r="B11" s="113" t="s">
        <v>363</v>
      </c>
      <c r="C11" s="113" t="s">
        <v>378</v>
      </c>
      <c r="D11" s="115">
        <v>44970</v>
      </c>
      <c r="E11" s="113" t="s">
        <v>379</v>
      </c>
      <c r="F11" s="113" t="s">
        <v>355</v>
      </c>
      <c r="G11" s="116">
        <v>-2711935</v>
      </c>
      <c r="H11" s="113" t="s">
        <v>373</v>
      </c>
      <c r="I11" s="113"/>
    </row>
    <row r="12" spans="1:9" x14ac:dyDescent="0.2">
      <c r="A12" s="117" t="s">
        <v>363</v>
      </c>
      <c r="B12" s="117" t="s">
        <v>363</v>
      </c>
      <c r="C12" s="117" t="s">
        <v>363</v>
      </c>
      <c r="D12" s="118"/>
      <c r="E12" s="117" t="s">
        <v>363</v>
      </c>
      <c r="F12" s="117" t="s">
        <v>363</v>
      </c>
      <c r="G12" s="119">
        <v>-748817.44</v>
      </c>
      <c r="H12" s="117" t="s">
        <v>363</v>
      </c>
      <c r="I12" s="113"/>
    </row>
    <row r="13" spans="1:9" x14ac:dyDescent="0.2">
      <c r="G13" s="120"/>
    </row>
  </sheetData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Shipment one R</vt:lpstr>
      <vt:lpstr>Sheet2</vt:lpstr>
      <vt:lpstr>Sheet3</vt:lpstr>
      <vt:lpstr>Shipment2</vt:lpstr>
      <vt:lpstr>InvAuto-1003</vt:lpstr>
      <vt:lpstr>SOA Summary</vt:lpstr>
      <vt:lpstr>Sheet1</vt:lpstr>
      <vt:lpstr>SOA</vt:lpstr>
      <vt:lpstr>Mahindra Ledger</vt:lpstr>
      <vt:lpstr>'InvAuto-1003'!Print_Area</vt:lpstr>
      <vt:lpstr>'Shipment one R'!Print_Area</vt:lpstr>
      <vt:lpstr>Shipment2!Print_Area</vt:lpstr>
      <vt:lpstr>'InvAuto-1003'!Print_Titles</vt:lpstr>
      <vt:lpstr>'Shipment one R'!Print_Titles</vt:lpstr>
      <vt:lpstr>Shipment2!Print_Titles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PC7</dc:creator>
  <cp:lastModifiedBy>Munir Sheikh</cp:lastModifiedBy>
  <cp:lastPrinted>2023-05-09T14:16:11Z</cp:lastPrinted>
  <dcterms:created xsi:type="dcterms:W3CDTF">2023-02-28T08:14:35Z</dcterms:created>
  <dcterms:modified xsi:type="dcterms:W3CDTF">2023-05-25T13:22:06Z</dcterms:modified>
</cp:coreProperties>
</file>