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10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8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50b1f7c76e176/Documents/Haseeba Exports/JCB/"/>
    </mc:Choice>
  </mc:AlternateContent>
  <xr:revisionPtr revIDLastSave="1" documentId="14_{B6403898-EB9F-4A3B-BE20-CC81CA26E41A}" xr6:coauthVersionLast="47" xr6:coauthVersionMax="47" xr10:uidLastSave="{C1C325E7-6083-4092-AB86-BCC2FFDEA122}"/>
  <bookViews>
    <workbookView xWindow="-108" yWindow="-108" windowWidth="23256" windowHeight="12456" activeTab="4" xr2:uid="{EE69DB80-CEA7-478A-BA30-01BEEE44F9D4}"/>
  </bookViews>
  <sheets>
    <sheet name="JCBQuote1" sheetId="1" r:id="rId1"/>
    <sheet name="JCBQuote2" sheetId="2" r:id="rId2"/>
    <sheet name="Sheet1" sheetId="9" r:id="rId3"/>
    <sheet name="1006PL" sheetId="12" r:id="rId4"/>
    <sheet name="Internal Profitability" sheetId="10" r:id="rId5"/>
    <sheet name="Cash Flow" sheetId="11" r:id="rId6"/>
    <sheet name="Data" sheetId="3" r:id="rId7"/>
    <sheet name="PI to AlFahd" sheetId="4" r:id="rId8"/>
    <sheet name="PO on JCB" sheetId="5" r:id="rId9"/>
    <sheet name="Shipments" sheetId="7" r:id="rId10"/>
    <sheet name="jcb soa" sheetId="8" r:id="rId11"/>
  </sheets>
  <externalReferences>
    <externalReference r:id="rId12"/>
  </externalReferences>
  <definedNames>
    <definedName name="_xlnm._FilterDatabase" localSheetId="6" hidden="1">Data!$B$2:$Q$91</definedName>
    <definedName name="_xlnm._FilterDatabase" localSheetId="4" hidden="1">'Internal Profitability'!$A$3:$H$20</definedName>
    <definedName name="_xlnm._FilterDatabase" localSheetId="0" hidden="1">JCBQuote1!$A$16:$WUD$67</definedName>
    <definedName name="_xlnm._FilterDatabase" localSheetId="1" hidden="1">JCBQuote2!$B$16:$M$16</definedName>
    <definedName name="_xlnm._FilterDatabase" localSheetId="7" hidden="1">'PI to AlFahd'!$B$2:$N$37</definedName>
    <definedName name="_xlnm._FilterDatabase" localSheetId="8" hidden="1">'PO on JCB'!$B$2:$T$36</definedName>
    <definedName name="_xlnm._FilterDatabase" localSheetId="2" hidden="1">Sheet1!$F$5:$G$44</definedName>
    <definedName name="_xlnm._FilterDatabase" localSheetId="9" hidden="1">Shipments!$B$2:$P$34</definedName>
    <definedName name="_xlnm.Print_Area" localSheetId="0">JCBQuote1!$A$2:$M$70</definedName>
    <definedName name="_xlnm.Print_Area" localSheetId="1">JCBQuote2!$A$2:$M$77</definedName>
  </definedNames>
  <calcPr calcId="18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0" l="1"/>
  <c r="G37" i="10" s="1"/>
  <c r="G28" i="10"/>
  <c r="G27" i="10"/>
  <c r="F29" i="10" s="1"/>
  <c r="F26" i="10"/>
  <c r="G25" i="10"/>
  <c r="G7" i="10"/>
  <c r="N11" i="10" l="1"/>
  <c r="F13" i="10" s="1"/>
  <c r="M8" i="10"/>
  <c r="N6" i="10" s="1"/>
  <c r="F17" i="10" s="1"/>
  <c r="H8" i="10"/>
  <c r="F8" i="10" s="1"/>
  <c r="H15" i="10"/>
  <c r="F15" i="10" s="1"/>
  <c r="O20" i="12"/>
  <c r="N20" i="12"/>
  <c r="N7" i="10" l="1"/>
  <c r="N8" i="10" s="1"/>
  <c r="F12" i="10"/>
  <c r="F37" i="10" s="1"/>
  <c r="H3" i="11"/>
  <c r="H5" i="11" s="1"/>
  <c r="H7" i="11" s="1"/>
  <c r="H8" i="11" s="1"/>
  <c r="H9" i="11" s="1"/>
  <c r="H10" i="11" s="1"/>
  <c r="H11" i="11" s="1"/>
  <c r="G9" i="11"/>
  <c r="P43" i="5"/>
  <c r="O43" i="5"/>
  <c r="N44" i="5" l="1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" i="7"/>
  <c r="H37" i="10" l="1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" i="7"/>
  <c r="K39" i="7"/>
  <c r="G2" i="8"/>
  <c r="H5" i="8"/>
  <c r="H2" i="8" s="1"/>
  <c r="F39" i="10" l="1"/>
  <c r="C41" i="10"/>
  <c r="I2" i="8"/>
  <c r="J2" i="8" s="1"/>
  <c r="K5" i="8" s="1"/>
  <c r="G39" i="7"/>
  <c r="Q39" i="7" l="1"/>
  <c r="L100" i="3"/>
  <c r="L99" i="3"/>
  <c r="L98" i="3"/>
  <c r="S83" i="3"/>
  <c r="T83" i="3" s="1"/>
  <c r="N72" i="3"/>
  <c r="N38" i="3"/>
  <c r="N86" i="3"/>
  <c r="K72" i="3" l="1"/>
  <c r="L29" i="5"/>
  <c r="M29" i="5" s="1"/>
  <c r="P29" i="5"/>
  <c r="F13" i="5"/>
  <c r="F32" i="5"/>
  <c r="F31" i="5"/>
  <c r="F22" i="5"/>
  <c r="F20" i="5"/>
  <c r="F6" i="5"/>
  <c r="F3" i="5"/>
  <c r="G38" i="5"/>
  <c r="T36" i="5"/>
  <c r="O36" i="5"/>
  <c r="Q36" i="5" s="1"/>
  <c r="S36" i="5" s="1"/>
  <c r="L36" i="5"/>
  <c r="N36" i="5" s="1"/>
  <c r="I36" i="5"/>
  <c r="K36" i="5" s="1"/>
  <c r="T11" i="5"/>
  <c r="O11" i="5"/>
  <c r="Q11" i="5" s="1"/>
  <c r="S11" i="5" s="1"/>
  <c r="L11" i="5"/>
  <c r="N11" i="5" s="1"/>
  <c r="I11" i="5"/>
  <c r="K11" i="5" s="1"/>
  <c r="R15" i="5"/>
  <c r="O15" i="5"/>
  <c r="Q15" i="5" s="1"/>
  <c r="L15" i="5"/>
  <c r="N15" i="5" s="1"/>
  <c r="I15" i="5"/>
  <c r="K15" i="5" s="1"/>
  <c r="T14" i="5"/>
  <c r="O14" i="5"/>
  <c r="Q14" i="5" s="1"/>
  <c r="S14" i="5" s="1"/>
  <c r="L14" i="5"/>
  <c r="N14" i="5" s="1"/>
  <c r="I14" i="5"/>
  <c r="K14" i="5" s="1"/>
  <c r="T3" i="5"/>
  <c r="O3" i="5"/>
  <c r="Q3" i="5" s="1"/>
  <c r="S3" i="5" s="1"/>
  <c r="L3" i="5"/>
  <c r="N3" i="5" s="1"/>
  <c r="I3" i="5"/>
  <c r="K3" i="5" s="1"/>
  <c r="T6" i="5"/>
  <c r="O6" i="5"/>
  <c r="Q6" i="5" s="1"/>
  <c r="S6" i="5" s="1"/>
  <c r="L6" i="5"/>
  <c r="N6" i="5" s="1"/>
  <c r="I6" i="5"/>
  <c r="K6" i="5" s="1"/>
  <c r="T31" i="5"/>
  <c r="O31" i="5"/>
  <c r="Q31" i="5" s="1"/>
  <c r="S31" i="5" s="1"/>
  <c r="L31" i="5"/>
  <c r="N31" i="5" s="1"/>
  <c r="I31" i="5"/>
  <c r="K31" i="5" s="1"/>
  <c r="T13" i="5"/>
  <c r="O13" i="5"/>
  <c r="Q13" i="5" s="1"/>
  <c r="S13" i="5" s="1"/>
  <c r="L13" i="5"/>
  <c r="N13" i="5" s="1"/>
  <c r="I13" i="5"/>
  <c r="K13" i="5" s="1"/>
  <c r="T34" i="5"/>
  <c r="O34" i="5"/>
  <c r="Q34" i="5" s="1"/>
  <c r="S34" i="5" s="1"/>
  <c r="L34" i="5"/>
  <c r="N34" i="5" s="1"/>
  <c r="I34" i="5"/>
  <c r="K34" i="5" s="1"/>
  <c r="T26" i="5"/>
  <c r="O26" i="5"/>
  <c r="Q26" i="5" s="1"/>
  <c r="S26" i="5" s="1"/>
  <c r="L26" i="5"/>
  <c r="N26" i="5" s="1"/>
  <c r="I26" i="5"/>
  <c r="K26" i="5" s="1"/>
  <c r="T25" i="5"/>
  <c r="O25" i="5"/>
  <c r="Q25" i="5" s="1"/>
  <c r="S25" i="5" s="1"/>
  <c r="L25" i="5"/>
  <c r="N25" i="5" s="1"/>
  <c r="I25" i="5"/>
  <c r="K25" i="5" s="1"/>
  <c r="T7" i="5"/>
  <c r="O7" i="5"/>
  <c r="Q7" i="5" s="1"/>
  <c r="S7" i="5" s="1"/>
  <c r="L7" i="5"/>
  <c r="N7" i="5" s="1"/>
  <c r="I7" i="5"/>
  <c r="K7" i="5" s="1"/>
  <c r="R12" i="5"/>
  <c r="T12" i="5" s="1"/>
  <c r="O12" i="5"/>
  <c r="Q12" i="5" s="1"/>
  <c r="L12" i="5"/>
  <c r="N12" i="5" s="1"/>
  <c r="I12" i="5"/>
  <c r="K12" i="5" s="1"/>
  <c r="T32" i="5"/>
  <c r="O32" i="5"/>
  <c r="Q32" i="5" s="1"/>
  <c r="S32" i="5" s="1"/>
  <c r="L32" i="5"/>
  <c r="N32" i="5" s="1"/>
  <c r="I32" i="5"/>
  <c r="K32" i="5" s="1"/>
  <c r="T24" i="5"/>
  <c r="O24" i="5"/>
  <c r="Q24" i="5" s="1"/>
  <c r="S24" i="5" s="1"/>
  <c r="L24" i="5"/>
  <c r="N24" i="5" s="1"/>
  <c r="I24" i="5"/>
  <c r="K24" i="5" s="1"/>
  <c r="T22" i="5"/>
  <c r="O22" i="5"/>
  <c r="Q22" i="5" s="1"/>
  <c r="S22" i="5" s="1"/>
  <c r="L22" i="5"/>
  <c r="N22" i="5" s="1"/>
  <c r="I22" i="5"/>
  <c r="K22" i="5" s="1"/>
  <c r="T16" i="5"/>
  <c r="O16" i="5"/>
  <c r="Q16" i="5" s="1"/>
  <c r="S16" i="5" s="1"/>
  <c r="L16" i="5"/>
  <c r="N16" i="5" s="1"/>
  <c r="I16" i="5"/>
  <c r="K16" i="5" s="1"/>
  <c r="T33" i="5"/>
  <c r="O33" i="5"/>
  <c r="Q33" i="5" s="1"/>
  <c r="S33" i="5" s="1"/>
  <c r="L33" i="5"/>
  <c r="N33" i="5" s="1"/>
  <c r="I33" i="5"/>
  <c r="K33" i="5" s="1"/>
  <c r="T17" i="5"/>
  <c r="O17" i="5"/>
  <c r="Q17" i="5" s="1"/>
  <c r="S17" i="5" s="1"/>
  <c r="L17" i="5"/>
  <c r="N17" i="5" s="1"/>
  <c r="I17" i="5"/>
  <c r="K17" i="5" s="1"/>
  <c r="T18" i="5"/>
  <c r="O18" i="5"/>
  <c r="Q18" i="5" s="1"/>
  <c r="S18" i="5" s="1"/>
  <c r="L18" i="5"/>
  <c r="N18" i="5" s="1"/>
  <c r="I18" i="5"/>
  <c r="K18" i="5" s="1"/>
  <c r="T29" i="5"/>
  <c r="Q29" i="5"/>
  <c r="S29" i="5" s="1"/>
  <c r="N29" i="5"/>
  <c r="I29" i="5"/>
  <c r="K29" i="5" s="1"/>
  <c r="T19" i="5"/>
  <c r="O19" i="5"/>
  <c r="Q19" i="5" s="1"/>
  <c r="S19" i="5" s="1"/>
  <c r="L19" i="5"/>
  <c r="N19" i="5" s="1"/>
  <c r="I19" i="5"/>
  <c r="K19" i="5" s="1"/>
  <c r="T28" i="5"/>
  <c r="O28" i="5"/>
  <c r="Q28" i="5" s="1"/>
  <c r="S28" i="5" s="1"/>
  <c r="L28" i="5"/>
  <c r="N28" i="5" s="1"/>
  <c r="I28" i="5"/>
  <c r="K28" i="5" s="1"/>
  <c r="T8" i="5"/>
  <c r="O8" i="5"/>
  <c r="Q8" i="5" s="1"/>
  <c r="S8" i="5" s="1"/>
  <c r="L8" i="5"/>
  <c r="N8" i="5" s="1"/>
  <c r="I8" i="5"/>
  <c r="K8" i="5" s="1"/>
  <c r="T9" i="5"/>
  <c r="O9" i="5"/>
  <c r="Q9" i="5" s="1"/>
  <c r="S9" i="5" s="1"/>
  <c r="L9" i="5"/>
  <c r="N9" i="5" s="1"/>
  <c r="I9" i="5"/>
  <c r="K9" i="5" s="1"/>
  <c r="R5" i="5"/>
  <c r="O5" i="5"/>
  <c r="Q5" i="5" s="1"/>
  <c r="L5" i="5"/>
  <c r="N5" i="5" s="1"/>
  <c r="I5" i="5"/>
  <c r="K5" i="5" s="1"/>
  <c r="T10" i="5"/>
  <c r="O10" i="5"/>
  <c r="Q10" i="5" s="1"/>
  <c r="S10" i="5" s="1"/>
  <c r="L10" i="5"/>
  <c r="N10" i="5" s="1"/>
  <c r="I10" i="5"/>
  <c r="K10" i="5" s="1"/>
  <c r="T30" i="5"/>
  <c r="O30" i="5"/>
  <c r="Q30" i="5" s="1"/>
  <c r="S30" i="5" s="1"/>
  <c r="L30" i="5"/>
  <c r="N30" i="5" s="1"/>
  <c r="I30" i="5"/>
  <c r="K30" i="5" s="1"/>
  <c r="T23" i="5"/>
  <c r="O23" i="5"/>
  <c r="Q23" i="5" s="1"/>
  <c r="S23" i="5" s="1"/>
  <c r="L23" i="5"/>
  <c r="N23" i="5" s="1"/>
  <c r="I23" i="5"/>
  <c r="K23" i="5" s="1"/>
  <c r="T35" i="5"/>
  <c r="O35" i="5"/>
  <c r="Q35" i="5" s="1"/>
  <c r="S35" i="5" s="1"/>
  <c r="L35" i="5"/>
  <c r="N35" i="5" s="1"/>
  <c r="I35" i="5"/>
  <c r="K35" i="5" s="1"/>
  <c r="T27" i="5"/>
  <c r="O27" i="5"/>
  <c r="Q27" i="5" s="1"/>
  <c r="S27" i="5" s="1"/>
  <c r="L27" i="5"/>
  <c r="N27" i="5" s="1"/>
  <c r="I27" i="5"/>
  <c r="K27" i="5" s="1"/>
  <c r="R20" i="5"/>
  <c r="T20" i="5" s="1"/>
  <c r="O20" i="5"/>
  <c r="Q20" i="5" s="1"/>
  <c r="L20" i="5"/>
  <c r="N20" i="5" s="1"/>
  <c r="I20" i="5"/>
  <c r="K20" i="5" s="1"/>
  <c r="T21" i="5"/>
  <c r="O21" i="5"/>
  <c r="Q21" i="5" s="1"/>
  <c r="S21" i="5" s="1"/>
  <c r="L21" i="5"/>
  <c r="N21" i="5" s="1"/>
  <c r="I21" i="5"/>
  <c r="K21" i="5" s="1"/>
  <c r="R4" i="5"/>
  <c r="O4" i="5"/>
  <c r="Q4" i="5" s="1"/>
  <c r="L4" i="5"/>
  <c r="N4" i="5" s="1"/>
  <c r="I4" i="5"/>
  <c r="K4" i="5" s="1"/>
  <c r="U3" i="5" l="1"/>
  <c r="M26" i="5"/>
  <c r="M24" i="5"/>
  <c r="M28" i="5"/>
  <c r="M12" i="5"/>
  <c r="P5" i="5"/>
  <c r="P11" i="5"/>
  <c r="P20" i="5"/>
  <c r="M30" i="5"/>
  <c r="P8" i="5"/>
  <c r="P16" i="5"/>
  <c r="P35" i="5"/>
  <c r="M35" i="5"/>
  <c r="M33" i="5"/>
  <c r="M21" i="5"/>
  <c r="M20" i="5"/>
  <c r="M18" i="5"/>
  <c r="M16" i="5"/>
  <c r="M11" i="5"/>
  <c r="M8" i="5"/>
  <c r="M5" i="5"/>
  <c r="P3" i="5"/>
  <c r="P18" i="5"/>
  <c r="P21" i="5"/>
  <c r="M3" i="5"/>
  <c r="M32" i="5"/>
  <c r="M31" i="5"/>
  <c r="M27" i="5"/>
  <c r="M25" i="5"/>
  <c r="M15" i="5"/>
  <c r="P33" i="5"/>
  <c r="M36" i="5"/>
  <c r="M34" i="5"/>
  <c r="M23" i="5"/>
  <c r="M22" i="5"/>
  <c r="M19" i="5"/>
  <c r="M17" i="5"/>
  <c r="M14" i="5"/>
  <c r="M13" i="5"/>
  <c r="M10" i="5"/>
  <c r="M9" i="5"/>
  <c r="M7" i="5"/>
  <c r="M6" i="5"/>
  <c r="M4" i="5"/>
  <c r="P12" i="5"/>
  <c r="P24" i="5"/>
  <c r="P26" i="5"/>
  <c r="P28" i="5"/>
  <c r="P30" i="5"/>
  <c r="P4" i="5"/>
  <c r="P6" i="5"/>
  <c r="P7" i="5"/>
  <c r="P9" i="5"/>
  <c r="P10" i="5"/>
  <c r="P13" i="5"/>
  <c r="P14" i="5"/>
  <c r="P17" i="5"/>
  <c r="P19" i="5"/>
  <c r="P22" i="5"/>
  <c r="P23" i="5"/>
  <c r="P34" i="5"/>
  <c r="P36" i="5"/>
  <c r="P15" i="5"/>
  <c r="P25" i="5"/>
  <c r="P27" i="5"/>
  <c r="P31" i="5"/>
  <c r="P32" i="5"/>
  <c r="F38" i="5"/>
  <c r="U27" i="5"/>
  <c r="U11" i="5"/>
  <c r="U23" i="5"/>
  <c r="U7" i="5"/>
  <c r="U24" i="5"/>
  <c r="S12" i="5"/>
  <c r="U14" i="5"/>
  <c r="U30" i="5"/>
  <c r="U12" i="5"/>
  <c r="U17" i="5"/>
  <c r="U36" i="5"/>
  <c r="S5" i="5"/>
  <c r="U16" i="5"/>
  <c r="U31" i="5"/>
  <c r="U32" i="5"/>
  <c r="U33" i="5"/>
  <c r="U18" i="5"/>
  <c r="U20" i="5"/>
  <c r="U25" i="5"/>
  <c r="U26" i="5"/>
  <c r="U35" i="5"/>
  <c r="T5" i="5"/>
  <c r="U5" i="5" s="1"/>
  <c r="U9" i="5"/>
  <c r="U19" i="5"/>
  <c r="U21" i="5"/>
  <c r="U22" i="5"/>
  <c r="N38" i="5"/>
  <c r="K41" i="5" s="1"/>
  <c r="U6" i="5"/>
  <c r="U8" i="5"/>
  <c r="R38" i="5"/>
  <c r="K47" i="5" s="1"/>
  <c r="S20" i="5"/>
  <c r="T4" i="5"/>
  <c r="U4" i="5" s="1"/>
  <c r="U13" i="5"/>
  <c r="U10" i="5"/>
  <c r="S15" i="5"/>
  <c r="T15" i="5"/>
  <c r="U34" i="5" s="1"/>
  <c r="S4" i="5"/>
  <c r="U28" i="5"/>
  <c r="U29" i="5"/>
  <c r="F7" i="4"/>
  <c r="H7" i="4" s="1"/>
  <c r="J7" i="4" s="1"/>
  <c r="F28" i="4"/>
  <c r="F19" i="4"/>
  <c r="H19" i="4" s="1"/>
  <c r="J19" i="4" s="1"/>
  <c r="F23" i="4"/>
  <c r="H23" i="4" s="1"/>
  <c r="J23" i="4" s="1"/>
  <c r="F30" i="4"/>
  <c r="H30" i="4" s="1"/>
  <c r="J30" i="4" s="1"/>
  <c r="F9" i="4"/>
  <c r="H9" i="4" s="1"/>
  <c r="J9" i="4" s="1"/>
  <c r="F16" i="4"/>
  <c r="H16" i="4" s="1"/>
  <c r="J16" i="4" s="1"/>
  <c r="F14" i="4"/>
  <c r="H14" i="4" s="1"/>
  <c r="J14" i="4" s="1"/>
  <c r="F6" i="4"/>
  <c r="H6" i="4" s="1"/>
  <c r="J6" i="4" s="1"/>
  <c r="F27" i="4"/>
  <c r="H27" i="4" s="1"/>
  <c r="J27" i="4" s="1"/>
  <c r="F26" i="4"/>
  <c r="H26" i="4" s="1"/>
  <c r="J26" i="4" s="1"/>
  <c r="F22" i="4"/>
  <c r="H22" i="4" s="1"/>
  <c r="J22" i="4" s="1"/>
  <c r="F8" i="4"/>
  <c r="H8" i="4" s="1"/>
  <c r="J8" i="4" s="1"/>
  <c r="F21" i="4"/>
  <c r="F4" i="4"/>
  <c r="H4" i="4" s="1"/>
  <c r="J4" i="4" s="1"/>
  <c r="F5" i="4"/>
  <c r="H5" i="4" s="1"/>
  <c r="J5" i="4" s="1"/>
  <c r="F15" i="4"/>
  <c r="H15" i="4" s="1"/>
  <c r="J15" i="4" s="1"/>
  <c r="F17" i="4"/>
  <c r="H17" i="4" s="1"/>
  <c r="J17" i="4" s="1"/>
  <c r="F18" i="4"/>
  <c r="H18" i="4" s="1"/>
  <c r="J18" i="4" s="1"/>
  <c r="F20" i="4"/>
  <c r="H20" i="4" s="1"/>
  <c r="J20" i="4" s="1"/>
  <c r="F29" i="4"/>
  <c r="H29" i="4" s="1"/>
  <c r="J29" i="4" s="1"/>
  <c r="F10" i="4"/>
  <c r="H10" i="4" s="1"/>
  <c r="J10" i="4" s="1"/>
  <c r="F12" i="4"/>
  <c r="H12" i="4" s="1"/>
  <c r="J12" i="4" s="1"/>
  <c r="F13" i="4"/>
  <c r="H13" i="4" s="1"/>
  <c r="J13" i="4" s="1"/>
  <c r="F25" i="4"/>
  <c r="H25" i="4" s="1"/>
  <c r="J25" i="4" s="1"/>
  <c r="F33" i="4"/>
  <c r="H33" i="4" s="1"/>
  <c r="J33" i="4" s="1"/>
  <c r="F31" i="4"/>
  <c r="H31" i="4" s="1"/>
  <c r="J31" i="4" s="1"/>
  <c r="F11" i="4"/>
  <c r="H11" i="4" s="1"/>
  <c r="J11" i="4" s="1"/>
  <c r="F3" i="4"/>
  <c r="H3" i="4" s="1"/>
  <c r="J3" i="4" s="1"/>
  <c r="F32" i="4"/>
  <c r="H32" i="4" s="1"/>
  <c r="J32" i="4" s="1"/>
  <c r="K32" i="4"/>
  <c r="K3" i="4"/>
  <c r="K11" i="4"/>
  <c r="K31" i="4"/>
  <c r="K33" i="4"/>
  <c r="K25" i="4"/>
  <c r="K13" i="4"/>
  <c r="K12" i="4"/>
  <c r="K10" i="4"/>
  <c r="H36" i="4"/>
  <c r="J36" i="4" s="1"/>
  <c r="K36" i="4"/>
  <c r="L36" i="4" s="1"/>
  <c r="H24" i="4"/>
  <c r="J24" i="4" s="1"/>
  <c r="K24" i="4"/>
  <c r="L24" i="4" s="1"/>
  <c r="K29" i="4"/>
  <c r="H34" i="4"/>
  <c r="J34" i="4" s="1"/>
  <c r="K34" i="4"/>
  <c r="L34" i="4" s="1"/>
  <c r="H35" i="4"/>
  <c r="J35" i="4" s="1"/>
  <c r="K35" i="4"/>
  <c r="L35" i="4" s="1"/>
  <c r="K20" i="4"/>
  <c r="K18" i="4"/>
  <c r="K17" i="4"/>
  <c r="K15" i="4"/>
  <c r="K5" i="4"/>
  <c r="K4" i="4"/>
  <c r="H21" i="4"/>
  <c r="J21" i="4" s="1"/>
  <c r="K21" i="4"/>
  <c r="K8" i="4"/>
  <c r="K22" i="4"/>
  <c r="K26" i="4"/>
  <c r="K27" i="4"/>
  <c r="K6" i="4"/>
  <c r="K14" i="4"/>
  <c r="K9" i="4"/>
  <c r="K30" i="4"/>
  <c r="K23" i="4"/>
  <c r="K19" i="4"/>
  <c r="H28" i="4"/>
  <c r="J28" i="4" s="1"/>
  <c r="K28" i="4"/>
  <c r="L28" i="4" s="1"/>
  <c r="K7" i="4"/>
  <c r="H37" i="4"/>
  <c r="J37" i="4" s="1"/>
  <c r="K37" i="4"/>
  <c r="L37" i="4" s="1"/>
  <c r="M37" i="4"/>
  <c r="N37" i="4" s="1"/>
  <c r="M7" i="4"/>
  <c r="M28" i="4"/>
  <c r="N28" i="4" s="1"/>
  <c r="M19" i="4"/>
  <c r="M23" i="4"/>
  <c r="M30" i="4"/>
  <c r="M9" i="4"/>
  <c r="N9" i="4" s="1"/>
  <c r="M14" i="4"/>
  <c r="M6" i="4"/>
  <c r="M27" i="4"/>
  <c r="M26" i="4"/>
  <c r="M22" i="4"/>
  <c r="M8" i="4"/>
  <c r="M21" i="4"/>
  <c r="M4" i="4"/>
  <c r="M5" i="4"/>
  <c r="M15" i="4"/>
  <c r="M17" i="4"/>
  <c r="M18" i="4"/>
  <c r="M20" i="4"/>
  <c r="M35" i="4"/>
  <c r="N35" i="4" s="1"/>
  <c r="M34" i="4"/>
  <c r="N34" i="4" s="1"/>
  <c r="M29" i="4"/>
  <c r="M24" i="4"/>
  <c r="N24" i="4" s="1"/>
  <c r="M36" i="4"/>
  <c r="N36" i="4" s="1"/>
  <c r="M10" i="4"/>
  <c r="M12" i="4"/>
  <c r="M13" i="4"/>
  <c r="M25" i="4"/>
  <c r="M31" i="4"/>
  <c r="M33" i="4"/>
  <c r="M11" i="4"/>
  <c r="M3" i="4"/>
  <c r="M32" i="4"/>
  <c r="Q5" i="3"/>
  <c r="Q8" i="3"/>
  <c r="Q10" i="3"/>
  <c r="Q14" i="3"/>
  <c r="Q11" i="3"/>
  <c r="Q12" i="3"/>
  <c r="Q15" i="3"/>
  <c r="Q17" i="3"/>
  <c r="Q19" i="3"/>
  <c r="Q21" i="3"/>
  <c r="Q22" i="3"/>
  <c r="Q23" i="3"/>
  <c r="Q25" i="3"/>
  <c r="Q30" i="3"/>
  <c r="Q27" i="3"/>
  <c r="Q28" i="3"/>
  <c r="Q31" i="3"/>
  <c r="Q33" i="3"/>
  <c r="Q35" i="3"/>
  <c r="Q38" i="3"/>
  <c r="Q37" i="3"/>
  <c r="Q39" i="3"/>
  <c r="Q43" i="3"/>
  <c r="Q42" i="3"/>
  <c r="Q44" i="3"/>
  <c r="Q45" i="3"/>
  <c r="Q47" i="3"/>
  <c r="Q46" i="3"/>
  <c r="Q48" i="3"/>
  <c r="Q50" i="3"/>
  <c r="Q49" i="3"/>
  <c r="Q51" i="3"/>
  <c r="Q53" i="3"/>
  <c r="Q52" i="3"/>
  <c r="Q54" i="3"/>
  <c r="Q55" i="3"/>
  <c r="Q56" i="3"/>
  <c r="Q57" i="3"/>
  <c r="Q59" i="3"/>
  <c r="Q58" i="3"/>
  <c r="Q60" i="3"/>
  <c r="Q61" i="3"/>
  <c r="Q62" i="3"/>
  <c r="Q63" i="3"/>
  <c r="Q64" i="3"/>
  <c r="Q66" i="3"/>
  <c r="Q65" i="3"/>
  <c r="Q67" i="3"/>
  <c r="Q68" i="3"/>
  <c r="Q69" i="3"/>
  <c r="Q70" i="3"/>
  <c r="Q71" i="3"/>
  <c r="Q72" i="3"/>
  <c r="Q73" i="3"/>
  <c r="Q75" i="3"/>
  <c r="Q74" i="3"/>
  <c r="Q78" i="3"/>
  <c r="Q79" i="3"/>
  <c r="Q76" i="3"/>
  <c r="Q77" i="3"/>
  <c r="Q80" i="3"/>
  <c r="Q82" i="3"/>
  <c r="Q81" i="3"/>
  <c r="Q84" i="3"/>
  <c r="Q83" i="3"/>
  <c r="Q85" i="3"/>
  <c r="Q86" i="3"/>
  <c r="Q87" i="3"/>
  <c r="Q89" i="3"/>
  <c r="Q91" i="3"/>
  <c r="K78" i="3"/>
  <c r="K43" i="3"/>
  <c r="L43" i="3" s="1"/>
  <c r="K38" i="3"/>
  <c r="L38" i="3" s="1"/>
  <c r="F93" i="3"/>
  <c r="O26" i="3"/>
  <c r="Q26" i="3" s="1"/>
  <c r="O32" i="3"/>
  <c r="Q32" i="3" s="1"/>
  <c r="O41" i="3"/>
  <c r="Q41" i="3" s="1"/>
  <c r="O88" i="3"/>
  <c r="Q88" i="3" s="1"/>
  <c r="N8" i="3"/>
  <c r="P8" i="3" s="1"/>
  <c r="P38" i="3"/>
  <c r="N43" i="3"/>
  <c r="P43" i="3" s="1"/>
  <c r="P72" i="3"/>
  <c r="N78" i="3"/>
  <c r="P78" i="3" s="1"/>
  <c r="P86" i="3"/>
  <c r="M91" i="3"/>
  <c r="M89" i="3"/>
  <c r="M90" i="3"/>
  <c r="M87" i="3"/>
  <c r="M88" i="3"/>
  <c r="M85" i="3"/>
  <c r="M81" i="3"/>
  <c r="M82" i="3"/>
  <c r="S82" i="3" s="1"/>
  <c r="T82" i="3" s="1"/>
  <c r="M80" i="3"/>
  <c r="S80" i="3" s="1"/>
  <c r="M77" i="3"/>
  <c r="M76" i="3"/>
  <c r="M79" i="3"/>
  <c r="M74" i="3"/>
  <c r="M75" i="3"/>
  <c r="M73" i="3"/>
  <c r="S73" i="3" s="1"/>
  <c r="T73" i="3" s="1"/>
  <c r="M71" i="3"/>
  <c r="S71" i="3" s="1"/>
  <c r="T71" i="3" s="1"/>
  <c r="M70" i="3"/>
  <c r="M69" i="3"/>
  <c r="M68" i="3"/>
  <c r="M67" i="3"/>
  <c r="M65" i="3"/>
  <c r="M66" i="3"/>
  <c r="M64" i="3"/>
  <c r="M63" i="3"/>
  <c r="S63" i="3" s="1"/>
  <c r="T63" i="3" s="1"/>
  <c r="M62" i="3"/>
  <c r="M61" i="3"/>
  <c r="M60" i="3"/>
  <c r="M58" i="3"/>
  <c r="M59" i="3"/>
  <c r="S59" i="3" s="1"/>
  <c r="T59" i="3" s="1"/>
  <c r="M57" i="3"/>
  <c r="M56" i="3"/>
  <c r="S56" i="3" s="1"/>
  <c r="T56" i="3" s="1"/>
  <c r="M55" i="3"/>
  <c r="M54" i="3"/>
  <c r="S54" i="3" s="1"/>
  <c r="T54" i="3" s="1"/>
  <c r="M52" i="3"/>
  <c r="M53" i="3"/>
  <c r="M51" i="3"/>
  <c r="M49" i="3"/>
  <c r="M50" i="3"/>
  <c r="M48" i="3"/>
  <c r="M46" i="3"/>
  <c r="M47" i="3"/>
  <c r="M45" i="3"/>
  <c r="M44" i="3"/>
  <c r="M42" i="3"/>
  <c r="M41" i="3"/>
  <c r="M39" i="3"/>
  <c r="M40" i="3"/>
  <c r="M37" i="3"/>
  <c r="S37" i="3" s="1"/>
  <c r="M35" i="3"/>
  <c r="M36" i="3"/>
  <c r="M33" i="3"/>
  <c r="M34" i="3"/>
  <c r="M32" i="3"/>
  <c r="M31" i="3"/>
  <c r="M28" i="3"/>
  <c r="M27" i="3"/>
  <c r="M30" i="3"/>
  <c r="M29" i="3"/>
  <c r="M26" i="3"/>
  <c r="M25" i="3"/>
  <c r="M23" i="3"/>
  <c r="M24" i="3"/>
  <c r="M19" i="3"/>
  <c r="M20" i="3"/>
  <c r="S20" i="3" s="1"/>
  <c r="T20" i="3" s="1"/>
  <c r="M17" i="3"/>
  <c r="M18" i="3"/>
  <c r="M15" i="3"/>
  <c r="M16" i="3"/>
  <c r="M12" i="3"/>
  <c r="M11" i="3"/>
  <c r="M14" i="3"/>
  <c r="M13" i="3"/>
  <c r="S13" i="3" s="1"/>
  <c r="T13" i="3" s="1"/>
  <c r="M10" i="3"/>
  <c r="M9" i="3"/>
  <c r="M7" i="3"/>
  <c r="M5" i="3"/>
  <c r="M6" i="3"/>
  <c r="O6" i="3"/>
  <c r="Q6" i="3" s="1"/>
  <c r="O29" i="3"/>
  <c r="Q29" i="3" s="1"/>
  <c r="O18" i="3"/>
  <c r="Q18" i="3" s="1"/>
  <c r="O20" i="3"/>
  <c r="Q20" i="3" s="1"/>
  <c r="O24" i="3"/>
  <c r="Q24" i="3" s="1"/>
  <c r="O90" i="3"/>
  <c r="Q90" i="3" s="1"/>
  <c r="O16" i="3"/>
  <c r="Q16" i="3" s="1"/>
  <c r="O34" i="3"/>
  <c r="Q34" i="3" s="1"/>
  <c r="O36" i="3"/>
  <c r="Q36" i="3" s="1"/>
  <c r="O40" i="3"/>
  <c r="Q40" i="3" s="1"/>
  <c r="O9" i="3"/>
  <c r="Q9" i="3" s="1"/>
  <c r="O7" i="3"/>
  <c r="Q7" i="3" s="1"/>
  <c r="T80" i="3" l="1"/>
  <c r="H31" i="7"/>
  <c r="T37" i="3"/>
  <c r="H17" i="7"/>
  <c r="N13" i="3"/>
  <c r="S77" i="3"/>
  <c r="T77" i="3" s="1"/>
  <c r="S41" i="3"/>
  <c r="N34" i="3"/>
  <c r="P34" i="3" s="1"/>
  <c r="S8" i="3"/>
  <c r="T8" i="3" s="1"/>
  <c r="N42" i="3"/>
  <c r="S26" i="3"/>
  <c r="N51" i="3"/>
  <c r="P51" i="3" s="1"/>
  <c r="N63" i="3"/>
  <c r="P63" i="3" s="1"/>
  <c r="S47" i="3"/>
  <c r="T47" i="3" s="1"/>
  <c r="N79" i="3"/>
  <c r="P79" i="3" s="1"/>
  <c r="S88" i="3"/>
  <c r="T88" i="3" s="1"/>
  <c r="S3" i="3"/>
  <c r="T3" i="3" s="1"/>
  <c r="N7" i="3"/>
  <c r="P7" i="3" s="1"/>
  <c r="N14" i="3"/>
  <c r="P14" i="3" s="1"/>
  <c r="S85" i="3"/>
  <c r="N15" i="3"/>
  <c r="P15" i="3" s="1"/>
  <c r="S31" i="3"/>
  <c r="N19" i="3"/>
  <c r="P19" i="3" s="1"/>
  <c r="S16" i="3"/>
  <c r="T16" i="3" s="1"/>
  <c r="N26" i="3"/>
  <c r="S29" i="3"/>
  <c r="T29" i="3" s="1"/>
  <c r="N28" i="3"/>
  <c r="P28" i="3" s="1"/>
  <c r="S66" i="3"/>
  <c r="T66" i="3" s="1"/>
  <c r="S25" i="3"/>
  <c r="N33" i="3"/>
  <c r="P33" i="3" s="1"/>
  <c r="N40" i="3"/>
  <c r="S35" i="3"/>
  <c r="N44" i="3"/>
  <c r="S78" i="3"/>
  <c r="T78" i="3" s="1"/>
  <c r="N48" i="3"/>
  <c r="P48" i="3" s="1"/>
  <c r="S76" i="3"/>
  <c r="N53" i="3"/>
  <c r="S45" i="3"/>
  <c r="N56" i="3"/>
  <c r="S81" i="3"/>
  <c r="T81" i="3" s="1"/>
  <c r="N60" i="3"/>
  <c r="S32" i="3"/>
  <c r="S22" i="3"/>
  <c r="T22" i="3" s="1"/>
  <c r="N64" i="3"/>
  <c r="S9" i="3"/>
  <c r="N68" i="3"/>
  <c r="P68" i="3" s="1"/>
  <c r="S42" i="3"/>
  <c r="T42" i="3" s="1"/>
  <c r="N73" i="3"/>
  <c r="P73" i="3" s="1"/>
  <c r="N76" i="3"/>
  <c r="P76" i="3" s="1"/>
  <c r="S60" i="3"/>
  <c r="N81" i="3"/>
  <c r="S36" i="3"/>
  <c r="T36" i="3" s="1"/>
  <c r="N90" i="3"/>
  <c r="P90" i="3" s="1"/>
  <c r="S62" i="3"/>
  <c r="S53" i="3"/>
  <c r="T53" i="3" s="1"/>
  <c r="N16" i="3"/>
  <c r="P16" i="3" s="1"/>
  <c r="N25" i="3"/>
  <c r="P25" i="3" s="1"/>
  <c r="S89" i="3"/>
  <c r="S21" i="3"/>
  <c r="T21" i="3" s="1"/>
  <c r="N37" i="3"/>
  <c r="P37" i="3" s="1"/>
  <c r="N55" i="3"/>
  <c r="S11" i="3"/>
  <c r="N67" i="3"/>
  <c r="P67" i="3" s="1"/>
  <c r="S49" i="3"/>
  <c r="T49" i="3" s="1"/>
  <c r="S38" i="3"/>
  <c r="T38" i="3" s="1"/>
  <c r="N87" i="3"/>
  <c r="N18" i="3"/>
  <c r="P18" i="3" s="1"/>
  <c r="S69" i="3"/>
  <c r="T69" i="3" s="1"/>
  <c r="N24" i="3"/>
  <c r="P24" i="3" s="1"/>
  <c r="S65" i="3"/>
  <c r="T65" i="3" s="1"/>
  <c r="N29" i="3"/>
  <c r="P29" i="3" s="1"/>
  <c r="S74" i="3"/>
  <c r="N31" i="3"/>
  <c r="P31" i="3" s="1"/>
  <c r="S86" i="3"/>
  <c r="T86" i="3" s="1"/>
  <c r="N36" i="3"/>
  <c r="P36" i="3" s="1"/>
  <c r="S40" i="3"/>
  <c r="T40" i="3" s="1"/>
  <c r="N39" i="3"/>
  <c r="P39" i="3" s="1"/>
  <c r="S19" i="3"/>
  <c r="S5" i="3"/>
  <c r="N45" i="3"/>
  <c r="P45" i="3" s="1"/>
  <c r="N50" i="3"/>
  <c r="S55" i="3"/>
  <c r="S30" i="3"/>
  <c r="T30" i="3" s="1"/>
  <c r="N52" i="3"/>
  <c r="P52" i="3" s="1"/>
  <c r="N57" i="3"/>
  <c r="P57" i="3" s="1"/>
  <c r="S91" i="3"/>
  <c r="S46" i="3"/>
  <c r="T46" i="3" s="1"/>
  <c r="N61" i="3"/>
  <c r="P61" i="3" s="1"/>
  <c r="N66" i="3"/>
  <c r="P66" i="3" s="1"/>
  <c r="S43" i="3"/>
  <c r="T43" i="3" s="1"/>
  <c r="N69" i="3"/>
  <c r="P69" i="3" s="1"/>
  <c r="S79" i="3"/>
  <c r="T79" i="3" s="1"/>
  <c r="N75" i="3"/>
  <c r="S64" i="3"/>
  <c r="T64" i="3" s="1"/>
  <c r="N77" i="3"/>
  <c r="P77" i="3" s="1"/>
  <c r="S70" i="3"/>
  <c r="N85" i="3"/>
  <c r="S24" i="3"/>
  <c r="T24" i="3" s="1"/>
  <c r="S10" i="3"/>
  <c r="T10" i="3" s="1"/>
  <c r="N89" i="3"/>
  <c r="N5" i="3"/>
  <c r="P5" i="3" s="1"/>
  <c r="S67" i="3"/>
  <c r="T67" i="3" s="1"/>
  <c r="N20" i="3"/>
  <c r="S68" i="3"/>
  <c r="N27" i="3"/>
  <c r="P27" i="3" s="1"/>
  <c r="S57" i="3"/>
  <c r="T57" i="3" s="1"/>
  <c r="S6" i="3"/>
  <c r="T6" i="3" s="1"/>
  <c r="N46" i="3"/>
  <c r="N58" i="3"/>
  <c r="S27" i="3"/>
  <c r="N71" i="3"/>
  <c r="P71" i="3" s="1"/>
  <c r="S44" i="3"/>
  <c r="T44" i="3" s="1"/>
  <c r="S48" i="3"/>
  <c r="T48" i="3" s="1"/>
  <c r="N82" i="3"/>
  <c r="N9" i="3"/>
  <c r="P9" i="3" s="1"/>
  <c r="S15" i="3"/>
  <c r="N11" i="3"/>
  <c r="S61" i="3"/>
  <c r="T61" i="3" s="1"/>
  <c r="N6" i="3"/>
  <c r="P6" i="3" s="1"/>
  <c r="S75" i="3"/>
  <c r="T75" i="3" s="1"/>
  <c r="N10" i="3"/>
  <c r="S39" i="3"/>
  <c r="N12" i="3"/>
  <c r="P12" i="3" s="1"/>
  <c r="S72" i="3"/>
  <c r="N17" i="3"/>
  <c r="P17" i="3" s="1"/>
  <c r="S17" i="3"/>
  <c r="S14" i="3"/>
  <c r="T14" i="3" s="1"/>
  <c r="N23" i="3"/>
  <c r="P23" i="3" s="1"/>
  <c r="N30" i="3"/>
  <c r="P30" i="3" s="1"/>
  <c r="S84" i="3"/>
  <c r="T84" i="3" s="1"/>
  <c r="N32" i="3"/>
  <c r="S87" i="3"/>
  <c r="N35" i="3"/>
  <c r="S23" i="3"/>
  <c r="S7" i="3"/>
  <c r="N41" i="3"/>
  <c r="N47" i="3"/>
  <c r="P47" i="3" s="1"/>
  <c r="S58" i="3"/>
  <c r="S4" i="3"/>
  <c r="T4" i="3" s="1"/>
  <c r="N49" i="3"/>
  <c r="P49" i="3" s="1"/>
  <c r="N54" i="3"/>
  <c r="P54" i="3" s="1"/>
  <c r="S51" i="3"/>
  <c r="N59" i="3"/>
  <c r="S52" i="3"/>
  <c r="T52" i="3" s="1"/>
  <c r="N62" i="3"/>
  <c r="S33" i="3"/>
  <c r="S34" i="3"/>
  <c r="T34" i="3" s="1"/>
  <c r="N65" i="3"/>
  <c r="S18" i="3"/>
  <c r="T18" i="3" s="1"/>
  <c r="N70" i="3"/>
  <c r="P70" i="3" s="1"/>
  <c r="S12" i="3"/>
  <c r="T12" i="3" s="1"/>
  <c r="N74" i="3"/>
  <c r="P74" i="3" s="1"/>
  <c r="N80" i="3"/>
  <c r="P80" i="3" s="1"/>
  <c r="S28" i="3"/>
  <c r="T28" i="3" s="1"/>
  <c r="S50" i="3"/>
  <c r="T50" i="3" s="1"/>
  <c r="N88" i="3"/>
  <c r="N91" i="3"/>
  <c r="P91" i="3" s="1"/>
  <c r="S90" i="3"/>
  <c r="T90" i="3" s="1"/>
  <c r="Q38" i="5"/>
  <c r="Q39" i="5" s="1"/>
  <c r="P38" i="5"/>
  <c r="M38" i="5"/>
  <c r="U15" i="5"/>
  <c r="T38" i="5"/>
  <c r="K42" i="5"/>
  <c r="K46" i="5" s="1"/>
  <c r="K48" i="5" s="1"/>
  <c r="S38" i="5"/>
  <c r="L4" i="4"/>
  <c r="N30" i="4"/>
  <c r="N7" i="4"/>
  <c r="L7" i="4"/>
  <c r="L30" i="4"/>
  <c r="L6" i="4"/>
  <c r="N3" i="4"/>
  <c r="N29" i="4"/>
  <c r="N6" i="4"/>
  <c r="N21" i="4"/>
  <c r="N19" i="4"/>
  <c r="N11" i="4"/>
  <c r="L19" i="4"/>
  <c r="L21" i="4"/>
  <c r="N13" i="4"/>
  <c r="N5" i="4"/>
  <c r="N22" i="4"/>
  <c r="L14" i="4"/>
  <c r="N23" i="4"/>
  <c r="L5" i="4"/>
  <c r="L20" i="4"/>
  <c r="N20" i="4"/>
  <c r="N14" i="4"/>
  <c r="L23" i="4"/>
  <c r="N4" i="4"/>
  <c r="L9" i="4"/>
  <c r="L16" i="4"/>
  <c r="L18" i="4"/>
  <c r="L12" i="4"/>
  <c r="N31" i="4"/>
  <c r="N12" i="4"/>
  <c r="N18" i="4"/>
  <c r="N26" i="4"/>
  <c r="N27" i="4"/>
  <c r="N16" i="4"/>
  <c r="L27" i="4"/>
  <c r="L26" i="4"/>
  <c r="L8" i="4"/>
  <c r="N8" i="4"/>
  <c r="L22" i="4"/>
  <c r="L13" i="4"/>
  <c r="L25" i="4"/>
  <c r="N32" i="4"/>
  <c r="N25" i="4"/>
  <c r="N10" i="4"/>
  <c r="N17" i="4"/>
  <c r="N15" i="4"/>
  <c r="L29" i="4"/>
  <c r="L15" i="4"/>
  <c r="L17" i="4"/>
  <c r="L10" i="4"/>
  <c r="N33" i="4"/>
  <c r="F39" i="4"/>
  <c r="L33" i="4"/>
  <c r="L32" i="4"/>
  <c r="L11" i="4"/>
  <c r="L3" i="4"/>
  <c r="L31" i="4"/>
  <c r="J48" i="4"/>
  <c r="P20" i="3"/>
  <c r="P89" i="3"/>
  <c r="O13" i="3"/>
  <c r="P10" i="3"/>
  <c r="P88" i="3"/>
  <c r="P40" i="3"/>
  <c r="P11" i="3"/>
  <c r="P41" i="3"/>
  <c r="P87" i="3"/>
  <c r="P32" i="3"/>
  <c r="P26" i="3"/>
  <c r="P35" i="3"/>
  <c r="P85" i="3"/>
  <c r="P81" i="3"/>
  <c r="P82" i="3"/>
  <c r="P75" i="3"/>
  <c r="P65" i="3"/>
  <c r="P64" i="3"/>
  <c r="P62" i="3"/>
  <c r="P60" i="3"/>
  <c r="P58" i="3"/>
  <c r="P59" i="3"/>
  <c r="P56" i="3"/>
  <c r="P55" i="3"/>
  <c r="P53" i="3"/>
  <c r="P50" i="3"/>
  <c r="P46" i="3"/>
  <c r="P44" i="3"/>
  <c r="P42" i="3"/>
  <c r="T55" i="3" l="1"/>
  <c r="H22" i="7"/>
  <c r="T31" i="3"/>
  <c r="H35" i="7"/>
  <c r="T58" i="3"/>
  <c r="H23" i="7"/>
  <c r="T5" i="3"/>
  <c r="T93" i="3" s="1"/>
  <c r="H3" i="7"/>
  <c r="T19" i="3"/>
  <c r="H9" i="7"/>
  <c r="T62" i="3"/>
  <c r="H25" i="7"/>
  <c r="T32" i="3"/>
  <c r="H14" i="7"/>
  <c r="T7" i="3"/>
  <c r="H4" i="7"/>
  <c r="T72" i="3"/>
  <c r="H28" i="7"/>
  <c r="T25" i="3"/>
  <c r="H11" i="7"/>
  <c r="T15" i="3"/>
  <c r="H7" i="7"/>
  <c r="T35" i="3"/>
  <c r="H16" i="7"/>
  <c r="T17" i="3"/>
  <c r="H8" i="7"/>
  <c r="T23" i="3"/>
  <c r="H10" i="7"/>
  <c r="L17" i="7"/>
  <c r="N17" i="7"/>
  <c r="J17" i="7"/>
  <c r="R17" i="7"/>
  <c r="T26" i="3"/>
  <c r="H12" i="7"/>
  <c r="T85" i="3"/>
  <c r="H32" i="7"/>
  <c r="T41" i="3"/>
  <c r="H19" i="7"/>
  <c r="T39" i="3"/>
  <c r="H18" i="7"/>
  <c r="T27" i="3"/>
  <c r="H13" i="7"/>
  <c r="T51" i="3"/>
  <c r="H21" i="7"/>
  <c r="T68" i="3"/>
  <c r="H26" i="7"/>
  <c r="T9" i="3"/>
  <c r="H5" i="7"/>
  <c r="T33" i="3"/>
  <c r="H15" i="7"/>
  <c r="T87" i="3"/>
  <c r="H36" i="7"/>
  <c r="T91" i="3"/>
  <c r="H34" i="7"/>
  <c r="T11" i="3"/>
  <c r="H6" i="7"/>
  <c r="T60" i="3"/>
  <c r="H24" i="7"/>
  <c r="T45" i="3"/>
  <c r="H20" i="7"/>
  <c r="L31" i="7"/>
  <c r="N31" i="7"/>
  <c r="J31" i="7"/>
  <c r="R31" i="7"/>
  <c r="T74" i="3"/>
  <c r="H29" i="7"/>
  <c r="T76" i="3"/>
  <c r="H30" i="7"/>
  <c r="T89" i="3"/>
  <c r="H33" i="7"/>
  <c r="T70" i="3"/>
  <c r="H27" i="7"/>
  <c r="N93" i="3"/>
  <c r="U38" i="5"/>
  <c r="L39" i="4"/>
  <c r="J42" i="4" s="1"/>
  <c r="J43" i="4" s="1"/>
  <c r="N39" i="4"/>
  <c r="N40" i="4" s="1"/>
  <c r="P13" i="3"/>
  <c r="P93" i="3" s="1"/>
  <c r="Q13" i="3"/>
  <c r="O93" i="3"/>
  <c r="L5" i="7" l="1"/>
  <c r="N5" i="7"/>
  <c r="R5" i="7"/>
  <c r="J5" i="7"/>
  <c r="N28" i="7"/>
  <c r="L28" i="7"/>
  <c r="J28" i="7"/>
  <c r="R28" i="7"/>
  <c r="L23" i="7"/>
  <c r="N23" i="7"/>
  <c r="J23" i="7"/>
  <c r="R23" i="7"/>
  <c r="N20" i="7"/>
  <c r="L20" i="7"/>
  <c r="J20" i="7"/>
  <c r="R20" i="7"/>
  <c r="L33" i="7"/>
  <c r="N33" i="7"/>
  <c r="R33" i="7"/>
  <c r="J33" i="7"/>
  <c r="N12" i="7"/>
  <c r="L12" i="7"/>
  <c r="R12" i="7"/>
  <c r="J12" i="7"/>
  <c r="L21" i="7"/>
  <c r="N21" i="7"/>
  <c r="J21" i="7"/>
  <c r="R21" i="7"/>
  <c r="L10" i="7"/>
  <c r="N10" i="7"/>
  <c r="J10" i="7"/>
  <c r="R10" i="7"/>
  <c r="N32" i="7"/>
  <c r="L32" i="7"/>
  <c r="J32" i="7"/>
  <c r="R32" i="7"/>
  <c r="N30" i="7"/>
  <c r="L30" i="7"/>
  <c r="R30" i="7"/>
  <c r="J30" i="7"/>
  <c r="N29" i="7"/>
  <c r="L29" i="7"/>
  <c r="R29" i="7"/>
  <c r="J29" i="7"/>
  <c r="J35" i="7"/>
  <c r="N35" i="7"/>
  <c r="L35" i="7"/>
  <c r="R35" i="7"/>
  <c r="N25" i="7"/>
  <c r="L25" i="7"/>
  <c r="J25" i="7"/>
  <c r="R25" i="7"/>
  <c r="N24" i="7"/>
  <c r="L24" i="7"/>
  <c r="J24" i="7"/>
  <c r="R24" i="7"/>
  <c r="L7" i="7"/>
  <c r="N7" i="7"/>
  <c r="R7" i="7"/>
  <c r="J7" i="7"/>
  <c r="N6" i="7"/>
  <c r="L6" i="7"/>
  <c r="J6" i="7"/>
  <c r="R6" i="7"/>
  <c r="L3" i="7"/>
  <c r="J3" i="7"/>
  <c r="R3" i="7"/>
  <c r="N13" i="7"/>
  <c r="L13" i="7"/>
  <c r="J13" i="7"/>
  <c r="R13" i="7"/>
  <c r="J36" i="7"/>
  <c r="N36" i="7"/>
  <c r="R36" i="7"/>
  <c r="L36" i="7"/>
  <c r="N4" i="7"/>
  <c r="L4" i="7"/>
  <c r="R4" i="7"/>
  <c r="J4" i="7"/>
  <c r="L19" i="7"/>
  <c r="N19" i="7"/>
  <c r="J19" i="7"/>
  <c r="R19" i="7"/>
  <c r="N8" i="7"/>
  <c r="L8" i="7"/>
  <c r="J8" i="7"/>
  <c r="R8" i="7"/>
  <c r="L14" i="7"/>
  <c r="N14" i="7"/>
  <c r="J14" i="7"/>
  <c r="R14" i="7"/>
  <c r="L22" i="7"/>
  <c r="N22" i="7"/>
  <c r="J22" i="7"/>
  <c r="R22" i="7"/>
  <c r="L27" i="7"/>
  <c r="N27" i="7"/>
  <c r="J27" i="7"/>
  <c r="R27" i="7"/>
  <c r="N16" i="7"/>
  <c r="L16" i="7"/>
  <c r="R16" i="7"/>
  <c r="J16" i="7"/>
  <c r="N26" i="7"/>
  <c r="L26" i="7"/>
  <c r="R26" i="7"/>
  <c r="J26" i="7"/>
  <c r="N9" i="7"/>
  <c r="L9" i="7"/>
  <c r="R9" i="7"/>
  <c r="J9" i="7"/>
  <c r="L11" i="7"/>
  <c r="N11" i="7"/>
  <c r="J11" i="7"/>
  <c r="R11" i="7"/>
  <c r="L34" i="7"/>
  <c r="N34" i="7"/>
  <c r="R34" i="7"/>
  <c r="J34" i="7"/>
  <c r="L18" i="7"/>
  <c r="N18" i="7"/>
  <c r="R18" i="7"/>
  <c r="J18" i="7"/>
  <c r="L15" i="7"/>
  <c r="N15" i="7"/>
  <c r="J15" i="7"/>
  <c r="R15" i="7"/>
  <c r="J102" i="3"/>
  <c r="N94" i="3"/>
  <c r="T95" i="3"/>
  <c r="T96" i="3" s="1"/>
  <c r="L102" i="3"/>
  <c r="J47" i="4"/>
  <c r="J49" i="4" s="1"/>
  <c r="Q93" i="3"/>
  <c r="K91" i="3"/>
  <c r="L91" i="3" s="1"/>
  <c r="K89" i="3"/>
  <c r="L89" i="3" s="1"/>
  <c r="K90" i="3"/>
  <c r="L90" i="3" s="1"/>
  <c r="K87" i="3"/>
  <c r="L87" i="3" s="1"/>
  <c r="K88" i="3"/>
  <c r="L88" i="3" s="1"/>
  <c r="K86" i="3"/>
  <c r="L86" i="3" s="1"/>
  <c r="K85" i="3"/>
  <c r="L85" i="3" s="1"/>
  <c r="K81" i="3"/>
  <c r="L81" i="3" s="1"/>
  <c r="K82" i="3"/>
  <c r="L82" i="3" s="1"/>
  <c r="K80" i="3"/>
  <c r="L80" i="3" s="1"/>
  <c r="K77" i="3"/>
  <c r="L77" i="3" s="1"/>
  <c r="K76" i="3"/>
  <c r="L76" i="3" s="1"/>
  <c r="K79" i="3"/>
  <c r="L79" i="3" s="1"/>
  <c r="L78" i="3"/>
  <c r="K74" i="3"/>
  <c r="L74" i="3" s="1"/>
  <c r="K75" i="3"/>
  <c r="L75" i="3" s="1"/>
  <c r="K73" i="3"/>
  <c r="L73" i="3" s="1"/>
  <c r="L72" i="3"/>
  <c r="K71" i="3"/>
  <c r="L71" i="3" s="1"/>
  <c r="R71" i="3" s="1"/>
  <c r="K70" i="3"/>
  <c r="L70" i="3" s="1"/>
  <c r="R70" i="3" s="1"/>
  <c r="K69" i="3"/>
  <c r="L69" i="3" s="1"/>
  <c r="K68" i="3"/>
  <c r="L68" i="3" s="1"/>
  <c r="K67" i="3"/>
  <c r="L67" i="3" s="1"/>
  <c r="K65" i="3"/>
  <c r="L65" i="3" s="1"/>
  <c r="K66" i="3"/>
  <c r="L66" i="3" s="1"/>
  <c r="K64" i="3"/>
  <c r="L64" i="3" s="1"/>
  <c r="K63" i="3"/>
  <c r="L63" i="3" s="1"/>
  <c r="R63" i="3" s="1"/>
  <c r="K62" i="3"/>
  <c r="L62" i="3" s="1"/>
  <c r="R62" i="3" s="1"/>
  <c r="K61" i="3"/>
  <c r="L61" i="3" s="1"/>
  <c r="K60" i="3"/>
  <c r="L60" i="3" s="1"/>
  <c r="K58" i="3"/>
  <c r="L58" i="3" s="1"/>
  <c r="K59" i="3"/>
  <c r="L59" i="3" s="1"/>
  <c r="K57" i="3"/>
  <c r="L57" i="3" s="1"/>
  <c r="K56" i="3"/>
  <c r="L56" i="3" s="1"/>
  <c r="R56" i="3" s="1"/>
  <c r="K55" i="3"/>
  <c r="L55" i="3" s="1"/>
  <c r="K54" i="3"/>
  <c r="L54" i="3" s="1"/>
  <c r="K52" i="3"/>
  <c r="L52" i="3" s="1"/>
  <c r="K53" i="3"/>
  <c r="L53" i="3" s="1"/>
  <c r="K51" i="3"/>
  <c r="L51" i="3" s="1"/>
  <c r="K49" i="3"/>
  <c r="L49" i="3" s="1"/>
  <c r="K50" i="3"/>
  <c r="L50" i="3" s="1"/>
  <c r="R49" i="3" s="1"/>
  <c r="K48" i="3"/>
  <c r="L48" i="3" s="1"/>
  <c r="K46" i="3"/>
  <c r="L46" i="3" s="1"/>
  <c r="K47" i="3"/>
  <c r="L47" i="3" s="1"/>
  <c r="K45" i="3"/>
  <c r="L45" i="3" s="1"/>
  <c r="K44" i="3"/>
  <c r="L44" i="3" s="1"/>
  <c r="R44" i="3" s="1"/>
  <c r="K42" i="3"/>
  <c r="L42" i="3" s="1"/>
  <c r="K41" i="3"/>
  <c r="L41" i="3" s="1"/>
  <c r="K39" i="3"/>
  <c r="L39" i="3" s="1"/>
  <c r="K40" i="3"/>
  <c r="L40" i="3" s="1"/>
  <c r="K37" i="3"/>
  <c r="L37" i="3" s="1"/>
  <c r="K35" i="3"/>
  <c r="L35" i="3" s="1"/>
  <c r="K36" i="3"/>
  <c r="L36" i="3" s="1"/>
  <c r="K33" i="3"/>
  <c r="L33" i="3" s="1"/>
  <c r="K34" i="3"/>
  <c r="L34" i="3" s="1"/>
  <c r="K32" i="3"/>
  <c r="L32" i="3" s="1"/>
  <c r="K31" i="3"/>
  <c r="L31" i="3" s="1"/>
  <c r="K28" i="3"/>
  <c r="L28" i="3" s="1"/>
  <c r="K27" i="3"/>
  <c r="L27" i="3" s="1"/>
  <c r="K30" i="3"/>
  <c r="L30" i="3" s="1"/>
  <c r="K29" i="3"/>
  <c r="L29" i="3" s="1"/>
  <c r="R27" i="3" s="1"/>
  <c r="K26" i="3"/>
  <c r="L26" i="3" s="1"/>
  <c r="R26" i="3" s="1"/>
  <c r="K25" i="3"/>
  <c r="L25" i="3" s="1"/>
  <c r="K23" i="3"/>
  <c r="L23" i="3" s="1"/>
  <c r="K24" i="3"/>
  <c r="L24" i="3" s="1"/>
  <c r="R23" i="3" s="1"/>
  <c r="K22" i="3"/>
  <c r="L22" i="3" s="1"/>
  <c r="K21" i="3"/>
  <c r="L21" i="3" s="1"/>
  <c r="R21" i="3" s="1"/>
  <c r="K19" i="3"/>
  <c r="L19" i="3" s="1"/>
  <c r="K20" i="3"/>
  <c r="L20" i="3" s="1"/>
  <c r="R19" i="3" s="1"/>
  <c r="K17" i="3"/>
  <c r="L17" i="3" s="1"/>
  <c r="K18" i="3"/>
  <c r="L18" i="3" s="1"/>
  <c r="K15" i="3"/>
  <c r="L15" i="3" s="1"/>
  <c r="K16" i="3"/>
  <c r="L16" i="3" s="1"/>
  <c r="K12" i="3"/>
  <c r="L12" i="3" s="1"/>
  <c r="K11" i="3"/>
  <c r="L11" i="3" s="1"/>
  <c r="K14" i="3"/>
  <c r="L14" i="3" s="1"/>
  <c r="R12" i="3" s="1"/>
  <c r="K13" i="3"/>
  <c r="L13" i="3" s="1"/>
  <c r="R11" i="3" s="1"/>
  <c r="K10" i="3"/>
  <c r="L10" i="3" s="1"/>
  <c r="R10" i="3" s="1"/>
  <c r="K9" i="3"/>
  <c r="L9" i="3" s="1"/>
  <c r="K8" i="3"/>
  <c r="L8" i="3" s="1"/>
  <c r="R8" i="3" s="1"/>
  <c r="K7" i="3"/>
  <c r="L7" i="3" s="1"/>
  <c r="R7" i="3" s="1"/>
  <c r="K5" i="3"/>
  <c r="L5" i="3" s="1"/>
  <c r="R6" i="3" s="1"/>
  <c r="K6" i="3"/>
  <c r="L6" i="3" s="1"/>
  <c r="H57" i="3"/>
  <c r="H91" i="3"/>
  <c r="J91" i="3" s="1"/>
  <c r="H25" i="3"/>
  <c r="J25" i="3" s="1"/>
  <c r="H32" i="3"/>
  <c r="H31" i="3"/>
  <c r="H22" i="3"/>
  <c r="J22" i="3" s="1"/>
  <c r="H56" i="3"/>
  <c r="J56" i="3" s="1"/>
  <c r="H69" i="3"/>
  <c r="H44" i="3"/>
  <c r="H48" i="3"/>
  <c r="J48" i="3" s="1"/>
  <c r="H8" i="3"/>
  <c r="J8" i="3" s="1"/>
  <c r="H12" i="3"/>
  <c r="J12" i="3" s="1"/>
  <c r="H77" i="3"/>
  <c r="J77" i="3" s="1"/>
  <c r="H5" i="3"/>
  <c r="J5" i="3" s="1"/>
  <c r="H28" i="3"/>
  <c r="J28" i="3" s="1"/>
  <c r="H11" i="3"/>
  <c r="J11" i="3" s="1"/>
  <c r="H76" i="3"/>
  <c r="J76" i="3" s="1"/>
  <c r="H27" i="3"/>
  <c r="J27" i="3" s="1"/>
  <c r="H86" i="3"/>
  <c r="J86" i="3" s="1"/>
  <c r="H54" i="3"/>
  <c r="J54" i="3" s="1"/>
  <c r="H67" i="3"/>
  <c r="J67" i="3" s="1"/>
  <c r="H63" i="3"/>
  <c r="J63" i="3" s="1"/>
  <c r="H61" i="3"/>
  <c r="J61" i="3" s="1"/>
  <c r="H71" i="3"/>
  <c r="J71" i="3" s="1"/>
  <c r="H73" i="3"/>
  <c r="J73" i="3" s="1"/>
  <c r="H10" i="3"/>
  <c r="J10" i="3" s="1"/>
  <c r="H87" i="3"/>
  <c r="J87" i="3" s="1"/>
  <c r="H81" i="3"/>
  <c r="J81" i="3" s="1"/>
  <c r="H65" i="3"/>
  <c r="J65" i="3" s="1"/>
  <c r="H15" i="3"/>
  <c r="J15" i="3" s="1"/>
  <c r="H52" i="3"/>
  <c r="J52" i="3" s="1"/>
  <c r="H58" i="3"/>
  <c r="J58" i="3" s="1"/>
  <c r="H33" i="3"/>
  <c r="J33" i="3" s="1"/>
  <c r="H35" i="3"/>
  <c r="J35" i="3" s="1"/>
  <c r="H37" i="3"/>
  <c r="J37" i="3" s="1"/>
  <c r="H39" i="3"/>
  <c r="J39" i="3" s="1"/>
  <c r="H17" i="3"/>
  <c r="J17" i="3" s="1"/>
  <c r="H19" i="3"/>
  <c r="J19" i="3" s="1"/>
  <c r="H23" i="3"/>
  <c r="J23" i="3" s="1"/>
  <c r="H74" i="3"/>
  <c r="J74" i="3" s="1"/>
  <c r="H89" i="3"/>
  <c r="J89" i="3" s="1"/>
  <c r="H42" i="3"/>
  <c r="J42" i="3" s="1"/>
  <c r="H46" i="3"/>
  <c r="J46" i="3" s="1"/>
  <c r="H49" i="3"/>
  <c r="J49" i="3" s="1"/>
  <c r="H79" i="3"/>
  <c r="H14" i="3"/>
  <c r="H30" i="3"/>
  <c r="H78" i="3"/>
  <c r="H13" i="3"/>
  <c r="H6" i="3"/>
  <c r="H29" i="3"/>
  <c r="H18" i="3"/>
  <c r="H20" i="3"/>
  <c r="H24" i="3"/>
  <c r="H75" i="3"/>
  <c r="H90" i="3"/>
  <c r="H43" i="3"/>
  <c r="H47" i="3"/>
  <c r="H50" i="3"/>
  <c r="H16" i="3"/>
  <c r="H59" i="3"/>
  <c r="H88" i="3"/>
  <c r="H82" i="3"/>
  <c r="H53" i="3"/>
  <c r="H66" i="3"/>
  <c r="H34" i="3"/>
  <c r="H36" i="3"/>
  <c r="H38" i="3"/>
  <c r="H40" i="3"/>
  <c r="H62" i="3"/>
  <c r="H60" i="3"/>
  <c r="H26" i="3"/>
  <c r="H80" i="3"/>
  <c r="H51" i="3"/>
  <c r="H85" i="3"/>
  <c r="H64" i="3"/>
  <c r="H72" i="3"/>
  <c r="H70" i="3"/>
  <c r="H9" i="3"/>
  <c r="H21" i="3"/>
  <c r="H55" i="3"/>
  <c r="H68" i="3"/>
  <c r="H41" i="3"/>
  <c r="H45" i="3"/>
  <c r="H7" i="3"/>
  <c r="F63" i="2"/>
  <c r="F60" i="1"/>
  <c r="H47" i="1"/>
  <c r="H18" i="2"/>
  <c r="H19" i="2"/>
  <c r="J19" i="2" s="1"/>
  <c r="H20" i="2"/>
  <c r="H21" i="2"/>
  <c r="J21" i="2" s="1"/>
  <c r="H22" i="2"/>
  <c r="H23" i="2"/>
  <c r="J23" i="2" s="1"/>
  <c r="H24" i="2"/>
  <c r="H25" i="2"/>
  <c r="J25" i="2" s="1"/>
  <c r="H26" i="2"/>
  <c r="H27" i="2"/>
  <c r="J27" i="2" s="1"/>
  <c r="H28" i="2"/>
  <c r="H29" i="2"/>
  <c r="H30" i="2"/>
  <c r="H31" i="2"/>
  <c r="J31" i="2" s="1"/>
  <c r="H32" i="2"/>
  <c r="H33" i="2"/>
  <c r="J33" i="2" s="1"/>
  <c r="H34" i="2"/>
  <c r="H35" i="2"/>
  <c r="J35" i="2" s="1"/>
  <c r="H36" i="2"/>
  <c r="H37" i="2"/>
  <c r="H38" i="2"/>
  <c r="H39" i="2"/>
  <c r="J39" i="2" s="1"/>
  <c r="H40" i="2"/>
  <c r="H41" i="2"/>
  <c r="J41" i="2" s="1"/>
  <c r="H42" i="2"/>
  <c r="H44" i="2"/>
  <c r="H45" i="2"/>
  <c r="J45" i="2" s="1"/>
  <c r="H46" i="2"/>
  <c r="H48" i="2"/>
  <c r="J48" i="2" s="1"/>
  <c r="H49" i="2"/>
  <c r="H50" i="2"/>
  <c r="J50" i="2" s="1"/>
  <c r="H51" i="2"/>
  <c r="H52" i="2"/>
  <c r="H53" i="2"/>
  <c r="J53" i="2" s="1"/>
  <c r="H54" i="2"/>
  <c r="H55" i="2"/>
  <c r="J55" i="2" s="1"/>
  <c r="H56" i="2"/>
  <c r="H57" i="2"/>
  <c r="H58" i="2"/>
  <c r="H59" i="2"/>
  <c r="H60" i="2"/>
  <c r="H61" i="2"/>
  <c r="H62" i="2"/>
  <c r="H17" i="2"/>
  <c r="J37" i="2"/>
  <c r="J29" i="2"/>
  <c r="J58" i="2"/>
  <c r="J39" i="7" l="1"/>
  <c r="L39" i="7"/>
  <c r="O16" i="7" s="1"/>
  <c r="I16" i="7" s="1"/>
  <c r="P16" i="7" s="1"/>
  <c r="O10" i="7"/>
  <c r="I10" i="7" s="1"/>
  <c r="P10" i="7" s="1"/>
  <c r="O13" i="7"/>
  <c r="I13" i="7" s="1"/>
  <c r="P13" i="7" s="1"/>
  <c r="R39" i="7"/>
  <c r="N39" i="7"/>
  <c r="O12" i="7"/>
  <c r="I12" i="7" s="1"/>
  <c r="P12" i="7" s="1"/>
  <c r="O23" i="7"/>
  <c r="I23" i="7" s="1"/>
  <c r="P23" i="7" s="1"/>
  <c r="O6" i="7"/>
  <c r="I6" i="7" s="1"/>
  <c r="P6" i="7" s="1"/>
  <c r="O25" i="7"/>
  <c r="I25" i="7" s="1"/>
  <c r="P25" i="7" s="1"/>
  <c r="R33" i="3"/>
  <c r="O27" i="7"/>
  <c r="I27" i="7" s="1"/>
  <c r="P27" i="7" s="1"/>
  <c r="R24" i="3"/>
  <c r="R82" i="3"/>
  <c r="R13" i="3"/>
  <c r="R38" i="3"/>
  <c r="R37" i="3"/>
  <c r="R47" i="3"/>
  <c r="R59" i="3"/>
  <c r="R16" i="3"/>
  <c r="R36" i="3"/>
  <c r="R14" i="3"/>
  <c r="R18" i="3"/>
  <c r="R34" i="3"/>
  <c r="R46" i="3"/>
  <c r="R50" i="3"/>
  <c r="H63" i="2"/>
  <c r="M64" i="2" s="1"/>
  <c r="M65" i="2" s="1"/>
  <c r="R43" i="3"/>
  <c r="R30" i="3"/>
  <c r="R48" i="3"/>
  <c r="R52" i="3"/>
  <c r="R60" i="3"/>
  <c r="R64" i="3"/>
  <c r="R35" i="3"/>
  <c r="R45" i="3"/>
  <c r="R32" i="3"/>
  <c r="R54" i="3"/>
  <c r="R9" i="3"/>
  <c r="R17" i="3"/>
  <c r="R25" i="3"/>
  <c r="R20" i="3"/>
  <c r="R22" i="3"/>
  <c r="R83" i="3"/>
  <c r="R39" i="3"/>
  <c r="R68" i="3"/>
  <c r="R72" i="3"/>
  <c r="R76" i="3"/>
  <c r="R80" i="3"/>
  <c r="R86" i="3"/>
  <c r="R90" i="3"/>
  <c r="R15" i="3"/>
  <c r="R31" i="3"/>
  <c r="R40" i="3"/>
  <c r="R53" i="3"/>
  <c r="R57" i="3"/>
  <c r="R61" i="3"/>
  <c r="R65" i="3"/>
  <c r="R69" i="3"/>
  <c r="R73" i="3"/>
  <c r="R42" i="3"/>
  <c r="R77" i="3"/>
  <c r="R81" i="3"/>
  <c r="R87" i="3"/>
  <c r="R91" i="3"/>
  <c r="R28" i="3"/>
  <c r="R84" i="3"/>
  <c r="R41" i="3"/>
  <c r="R58" i="3"/>
  <c r="R66" i="3"/>
  <c r="R74" i="3"/>
  <c r="R78" i="3"/>
  <c r="R88" i="3"/>
  <c r="R29" i="3"/>
  <c r="R51" i="3"/>
  <c r="R55" i="3"/>
  <c r="R67" i="3"/>
  <c r="R75" i="3"/>
  <c r="R79" i="3"/>
  <c r="R85" i="3"/>
  <c r="R89" i="3"/>
  <c r="L93" i="3"/>
  <c r="R5" i="3"/>
  <c r="J69" i="3"/>
  <c r="J32" i="3"/>
  <c r="J44" i="3"/>
  <c r="J31" i="3"/>
  <c r="J57" i="3"/>
  <c r="J7" i="3"/>
  <c r="J45" i="3"/>
  <c r="J41" i="3"/>
  <c r="J68" i="3"/>
  <c r="J55" i="3"/>
  <c r="J21" i="3"/>
  <c r="J9" i="3"/>
  <c r="J70" i="3"/>
  <c r="J72" i="3"/>
  <c r="J64" i="3"/>
  <c r="J85" i="3"/>
  <c r="J51" i="3"/>
  <c r="J80" i="3"/>
  <c r="J26" i="3"/>
  <c r="J60" i="3"/>
  <c r="J62" i="3"/>
  <c r="J40" i="3"/>
  <c r="J38" i="3"/>
  <c r="J36" i="3"/>
  <c r="J34" i="3"/>
  <c r="J66" i="3"/>
  <c r="J53" i="3"/>
  <c r="J82" i="3"/>
  <c r="J88" i="3"/>
  <c r="J59" i="3"/>
  <c r="J16" i="3"/>
  <c r="J50" i="3"/>
  <c r="J47" i="3"/>
  <c r="J43" i="3"/>
  <c r="J90" i="3"/>
  <c r="J75" i="3"/>
  <c r="J24" i="3"/>
  <c r="J20" i="3"/>
  <c r="J18" i="3"/>
  <c r="J29" i="3"/>
  <c r="J6" i="3"/>
  <c r="J13" i="3"/>
  <c r="J78" i="3"/>
  <c r="J30" i="3"/>
  <c r="J14" i="3"/>
  <c r="J79" i="3"/>
  <c r="J47" i="1"/>
  <c r="L47" i="1" s="1"/>
  <c r="J56" i="2"/>
  <c r="J51" i="2"/>
  <c r="L51" i="2"/>
  <c r="J61" i="2"/>
  <c r="L61" i="2" s="1"/>
  <c r="J60" i="2"/>
  <c r="J62" i="2"/>
  <c r="L62" i="2" s="1"/>
  <c r="L60" i="2"/>
  <c r="L35" i="2"/>
  <c r="M35" i="2" s="1"/>
  <c r="L23" i="2"/>
  <c r="M23" i="2" s="1"/>
  <c r="L31" i="2"/>
  <c r="M31" i="2" s="1"/>
  <c r="L39" i="2"/>
  <c r="M39" i="2" s="1"/>
  <c r="L48" i="2"/>
  <c r="M48" i="2" s="1"/>
  <c r="L58" i="2"/>
  <c r="M58" i="2" s="1"/>
  <c r="L27" i="2"/>
  <c r="M27" i="2" s="1"/>
  <c r="L29" i="2"/>
  <c r="M29" i="2" s="1"/>
  <c r="L45" i="2"/>
  <c r="M45" i="2" s="1"/>
  <c r="L19" i="2"/>
  <c r="M19" i="2" s="1"/>
  <c r="L53" i="2"/>
  <c r="M53" i="2" s="1"/>
  <c r="L21" i="2"/>
  <c r="M21" i="2" s="1"/>
  <c r="L37" i="2"/>
  <c r="M37" i="2" s="1"/>
  <c r="L55" i="2"/>
  <c r="M55" i="2" s="1"/>
  <c r="L25" i="2"/>
  <c r="M25" i="2" s="1"/>
  <c r="L33" i="2"/>
  <c r="M33" i="2" s="1"/>
  <c r="L41" i="2"/>
  <c r="M41" i="2" s="1"/>
  <c r="L50" i="2"/>
  <c r="M50" i="2" s="1"/>
  <c r="J18" i="2"/>
  <c r="J22" i="2"/>
  <c r="L22" i="2" s="1"/>
  <c r="J26" i="2"/>
  <c r="L26" i="2" s="1"/>
  <c r="J30" i="2"/>
  <c r="J34" i="2"/>
  <c r="J38" i="2"/>
  <c r="L38" i="2" s="1"/>
  <c r="M38" i="2" s="1"/>
  <c r="J42" i="2"/>
  <c r="L42" i="2" s="1"/>
  <c r="J46" i="2"/>
  <c r="L46" i="2" s="1"/>
  <c r="M46" i="2" s="1"/>
  <c r="J52" i="2"/>
  <c r="L52" i="2" s="1"/>
  <c r="M52" i="2" s="1"/>
  <c r="J57" i="2"/>
  <c r="L57" i="2" s="1"/>
  <c r="M57" i="2" s="1"/>
  <c r="J59" i="2"/>
  <c r="L59" i="2" s="1"/>
  <c r="J20" i="2"/>
  <c r="L20" i="2" s="1"/>
  <c r="J24" i="2"/>
  <c r="L24" i="2" s="1"/>
  <c r="J28" i="2"/>
  <c r="L28" i="2" s="1"/>
  <c r="M28" i="2" s="1"/>
  <c r="J32" i="2"/>
  <c r="L32" i="2" s="1"/>
  <c r="J36" i="2"/>
  <c r="L36" i="2" s="1"/>
  <c r="M36" i="2" s="1"/>
  <c r="J40" i="2"/>
  <c r="L40" i="2" s="1"/>
  <c r="M40" i="2" s="1"/>
  <c r="J44" i="2"/>
  <c r="L44" i="2" s="1"/>
  <c r="M44" i="2" s="1"/>
  <c r="J49" i="2"/>
  <c r="J54" i="2"/>
  <c r="J17" i="2"/>
  <c r="O5" i="7" l="1"/>
  <c r="I5" i="7" s="1"/>
  <c r="P5" i="7" s="1"/>
  <c r="O33" i="7"/>
  <c r="I33" i="7" s="1"/>
  <c r="P33" i="7" s="1"/>
  <c r="O18" i="7"/>
  <c r="I18" i="7" s="1"/>
  <c r="P18" i="7" s="1"/>
  <c r="O28" i="7"/>
  <c r="I28" i="7" s="1"/>
  <c r="P28" i="7" s="1"/>
  <c r="O14" i="7"/>
  <c r="I14" i="7" s="1"/>
  <c r="P14" i="7" s="1"/>
  <c r="O21" i="7"/>
  <c r="I21" i="7" s="1"/>
  <c r="P21" i="7" s="1"/>
  <c r="O11" i="7"/>
  <c r="I11" i="7" s="1"/>
  <c r="P11" i="7" s="1"/>
  <c r="O4" i="7"/>
  <c r="I4" i="7" s="1"/>
  <c r="P4" i="7" s="1"/>
  <c r="O8" i="7"/>
  <c r="I8" i="7" s="1"/>
  <c r="P8" i="7" s="1"/>
  <c r="O15" i="7"/>
  <c r="I15" i="7" s="1"/>
  <c r="P15" i="7" s="1"/>
  <c r="O3" i="7"/>
  <c r="O17" i="7"/>
  <c r="I17" i="7" s="1"/>
  <c r="P17" i="7" s="1"/>
  <c r="O31" i="7"/>
  <c r="I31" i="7" s="1"/>
  <c r="P31" i="7" s="1"/>
  <c r="O9" i="7"/>
  <c r="I9" i="7" s="1"/>
  <c r="P9" i="7" s="1"/>
  <c r="O7" i="7"/>
  <c r="I7" i="7" s="1"/>
  <c r="P7" i="7" s="1"/>
  <c r="O24" i="7"/>
  <c r="I24" i="7" s="1"/>
  <c r="P24" i="7" s="1"/>
  <c r="O34" i="7"/>
  <c r="I34" i="7" s="1"/>
  <c r="P34" i="7" s="1"/>
  <c r="O19" i="7"/>
  <c r="I19" i="7" s="1"/>
  <c r="P19" i="7" s="1"/>
  <c r="O20" i="7"/>
  <c r="I20" i="7" s="1"/>
  <c r="P20" i="7" s="1"/>
  <c r="O26" i="7"/>
  <c r="I26" i="7" s="1"/>
  <c r="P26" i="7" s="1"/>
  <c r="O29" i="7"/>
  <c r="I29" i="7" s="1"/>
  <c r="P29" i="7" s="1"/>
  <c r="O30" i="7"/>
  <c r="I30" i="7" s="1"/>
  <c r="P30" i="7" s="1"/>
  <c r="O22" i="7"/>
  <c r="I22" i="7" s="1"/>
  <c r="P22" i="7" s="1"/>
  <c r="O32" i="7"/>
  <c r="I32" i="7" s="1"/>
  <c r="P32" i="7" s="1"/>
  <c r="J96" i="3"/>
  <c r="J63" i="2"/>
  <c r="R93" i="3"/>
  <c r="M47" i="1"/>
  <c r="M60" i="2"/>
  <c r="M61" i="2"/>
  <c r="L18" i="2"/>
  <c r="M66" i="2"/>
  <c r="L56" i="2"/>
  <c r="M56" i="2" s="1"/>
  <c r="M51" i="2"/>
  <c r="M62" i="2"/>
  <c r="M42" i="2"/>
  <c r="M32" i="2"/>
  <c r="L34" i="2"/>
  <c r="M34" i="2" s="1"/>
  <c r="M20" i="2"/>
  <c r="M26" i="2"/>
  <c r="L49" i="2"/>
  <c r="M49" i="2" s="1"/>
  <c r="L30" i="2"/>
  <c r="M30" i="2" s="1"/>
  <c r="M24" i="2"/>
  <c r="L17" i="2"/>
  <c r="L63" i="2" s="1"/>
  <c r="L54" i="2"/>
  <c r="M54" i="2" s="1"/>
  <c r="M22" i="2"/>
  <c r="M59" i="2"/>
  <c r="O39" i="7" l="1"/>
  <c r="I3" i="7"/>
  <c r="P3" i="7" s="1"/>
  <c r="P39" i="7" s="1"/>
  <c r="P42" i="7" s="1"/>
  <c r="P43" i="7" s="1"/>
  <c r="L96" i="3"/>
  <c r="J97" i="3"/>
  <c r="J101" i="3" s="1"/>
  <c r="M67" i="2"/>
  <c r="M69" i="2" s="1"/>
  <c r="M18" i="2"/>
  <c r="M17" i="2"/>
  <c r="M63" i="2" s="1"/>
  <c r="L97" i="3" l="1"/>
  <c r="O43" i="7"/>
  <c r="J103" i="3"/>
  <c r="L101" i="3"/>
  <c r="L103" i="3" s="1"/>
  <c r="H59" i="1"/>
  <c r="H58" i="1"/>
  <c r="H57" i="1"/>
  <c r="H55" i="1"/>
  <c r="H54" i="1"/>
  <c r="H53" i="1"/>
  <c r="H52" i="1"/>
  <c r="H50" i="1"/>
  <c r="H49" i="1"/>
  <c r="H48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J33" i="1" s="1"/>
  <c r="H32" i="1"/>
  <c r="H31" i="1"/>
  <c r="H30" i="1"/>
  <c r="H29" i="1"/>
  <c r="H28" i="1"/>
  <c r="H27" i="1"/>
  <c r="H26" i="1"/>
  <c r="H25" i="1"/>
  <c r="H24" i="1"/>
  <c r="H23" i="1"/>
  <c r="J23" i="1" s="1"/>
  <c r="H22" i="1"/>
  <c r="H21" i="1"/>
  <c r="H20" i="1"/>
  <c r="H19" i="1"/>
  <c r="H18" i="1"/>
  <c r="H17" i="1"/>
  <c r="H60" i="1" l="1"/>
  <c r="M61" i="1"/>
  <c r="M62" i="1" s="1"/>
  <c r="J17" i="1"/>
  <c r="J21" i="1"/>
  <c r="J25" i="1"/>
  <c r="L25" i="1" s="1"/>
  <c r="J27" i="1"/>
  <c r="J29" i="1"/>
  <c r="L29" i="1" s="1"/>
  <c r="J31" i="1"/>
  <c r="L31" i="1" s="1"/>
  <c r="M31" i="1" s="1"/>
  <c r="J35" i="1"/>
  <c r="L35" i="1" s="1"/>
  <c r="J37" i="1"/>
  <c r="J39" i="1"/>
  <c r="L39" i="1" s="1"/>
  <c r="J41" i="1"/>
  <c r="L41" i="1" s="1"/>
  <c r="M41" i="1" s="1"/>
  <c r="J45" i="1"/>
  <c r="J48" i="1"/>
  <c r="J50" i="1"/>
  <c r="L50" i="1" s="1"/>
  <c r="M50" i="1" s="1"/>
  <c r="J53" i="1"/>
  <c r="J55" i="1"/>
  <c r="L55" i="1" s="1"/>
  <c r="M55" i="1" s="1"/>
  <c r="J58" i="1"/>
  <c r="L58" i="1" s="1"/>
  <c r="L23" i="1"/>
  <c r="M23" i="1" s="1"/>
  <c r="J19" i="1"/>
  <c r="L33" i="1"/>
  <c r="M33" i="1" s="1"/>
  <c r="L48" i="1"/>
  <c r="M48" i="1" s="1"/>
  <c r="J18" i="1"/>
  <c r="J20" i="1"/>
  <c r="L20" i="1" s="1"/>
  <c r="J22" i="1"/>
  <c r="J24" i="1"/>
  <c r="J26" i="1"/>
  <c r="L26" i="1" s="1"/>
  <c r="J28" i="1"/>
  <c r="L28" i="1" s="1"/>
  <c r="J30" i="1"/>
  <c r="J32" i="1"/>
  <c r="J34" i="1"/>
  <c r="J36" i="1"/>
  <c r="L36" i="1" s="1"/>
  <c r="J38" i="1"/>
  <c r="J40" i="1"/>
  <c r="J42" i="1"/>
  <c r="J44" i="1"/>
  <c r="J46" i="1"/>
  <c r="L46" i="1" s="1"/>
  <c r="J49" i="1"/>
  <c r="L49" i="1" s="1"/>
  <c r="J52" i="1"/>
  <c r="J54" i="1"/>
  <c r="J57" i="1"/>
  <c r="J59" i="1"/>
  <c r="L59" i="1" s="1"/>
  <c r="J43" i="1"/>
  <c r="L43" i="1" s="1"/>
  <c r="L37" i="1"/>
  <c r="M37" i="1" s="1"/>
  <c r="J60" i="1" l="1"/>
  <c r="M63" i="1" s="1"/>
  <c r="L27" i="1"/>
  <c r="M27" i="1" s="1"/>
  <c r="M58" i="1"/>
  <c r="L21" i="1"/>
  <c r="M21" i="1" s="1"/>
  <c r="M29" i="1"/>
  <c r="L53" i="1"/>
  <c r="M53" i="1" s="1"/>
  <c r="L19" i="1"/>
  <c r="M19" i="1" s="1"/>
  <c r="M39" i="1"/>
  <c r="L42" i="1"/>
  <c r="M42" i="1" s="1"/>
  <c r="M36" i="1"/>
  <c r="M20" i="1"/>
  <c r="M25" i="1"/>
  <c r="L45" i="1"/>
  <c r="M45" i="1" s="1"/>
  <c r="L34" i="1"/>
  <c r="M34" i="1" s="1"/>
  <c r="M35" i="1"/>
  <c r="M49" i="1"/>
  <c r="L40" i="1"/>
  <c r="M40" i="1" s="1"/>
  <c r="L38" i="1"/>
  <c r="M38" i="1" s="1"/>
  <c r="L17" i="1"/>
  <c r="M26" i="1"/>
  <c r="M43" i="1"/>
  <c r="M59" i="1"/>
  <c r="M46" i="1"/>
  <c r="L32" i="1"/>
  <c r="M32" i="1" s="1"/>
  <c r="L30" i="1"/>
  <c r="M30" i="1" s="1"/>
  <c r="L57" i="1"/>
  <c r="M57" i="1" s="1"/>
  <c r="L54" i="1"/>
  <c r="M54" i="1" s="1"/>
  <c r="L52" i="1"/>
  <c r="M52" i="1" s="1"/>
  <c r="M28" i="1"/>
  <c r="L24" i="1"/>
  <c r="M24" i="1" s="1"/>
  <c r="L22" i="1"/>
  <c r="M22" i="1" s="1"/>
  <c r="L44" i="1"/>
  <c r="M44" i="1" s="1"/>
  <c r="L18" i="1"/>
  <c r="M18" i="1" s="1"/>
  <c r="M17" i="1" l="1"/>
  <c r="M60" i="1" s="1"/>
  <c r="L60" i="1"/>
  <c r="M64" i="1" s="1"/>
  <c r="M6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Munir Sheikh</author>
  </authors>
  <commentList>
    <comment ref="E18" authorId="0" shapeId="0" xr:uid="{6CBA86EC-2C5D-4217-B690-E9B212082613}">
      <text>
        <r>
          <rPr>
            <b/>
            <sz val="9"/>
            <color indexed="81"/>
            <rFont val="Tahoma"/>
            <family val="2"/>
          </rPr>
          <t>changed from 5603 94 00</t>
        </r>
      </text>
    </comment>
  </commentList>
</comments>
</file>

<file path=xl/sharedStrings.xml><?xml version="1.0" encoding="utf-8"?>
<sst xmlns="http://schemas.openxmlformats.org/spreadsheetml/2006/main" count="1389" uniqueCount="253">
  <si>
    <t>INDIMO TECH PRIVATE LIMITED.</t>
  </si>
  <si>
    <t>Plot no. A-72, MIDC Koperkhairane,</t>
  </si>
  <si>
    <t>Thane - Belapur Road,</t>
  </si>
  <si>
    <t>Navi Mumbai - 400705</t>
  </si>
  <si>
    <t>Tel : +912269236000 / 9892955668</t>
  </si>
  <si>
    <t>Mail id : sanjay.palkar@indimo.co.in.</t>
  </si>
  <si>
    <t>GST No.27AAGCI0470B1Z0</t>
  </si>
  <si>
    <t xml:space="preserve">Customer Name:- </t>
  </si>
  <si>
    <t>Haseeba Exports</t>
  </si>
  <si>
    <t>QT No. INDIMO/23-01/2021134819</t>
  </si>
  <si>
    <t>G12, ground floor</t>
  </si>
  <si>
    <t>QT Dated: 03-02-2023</t>
  </si>
  <si>
    <t>Kohinoor Mall,  kirol road</t>
  </si>
  <si>
    <t>Kurla (w)</t>
  </si>
  <si>
    <t>Mumbai 400070</t>
  </si>
  <si>
    <t>QUOTATION</t>
  </si>
  <si>
    <t>Sr No.</t>
  </si>
  <si>
    <t>Part no.</t>
  </si>
  <si>
    <t>Product Description</t>
  </si>
  <si>
    <t>HSN CODE</t>
  </si>
  <si>
    <t>Qty</t>
  </si>
  <si>
    <t>Per Unit</t>
  </si>
  <si>
    <t>Total Unit</t>
  </si>
  <si>
    <t>Disc %</t>
  </si>
  <si>
    <t>Disc Amt</t>
  </si>
  <si>
    <t>Tax Code</t>
  </si>
  <si>
    <t>Tax Value</t>
  </si>
  <si>
    <t>Total</t>
  </si>
  <si>
    <t>02/630935A</t>
  </si>
  <si>
    <t>OIL FILTER</t>
  </si>
  <si>
    <t>8421 23 00</t>
  </si>
  <si>
    <t>320/A7170</t>
  </si>
  <si>
    <t>FUEL FILTER</t>
  </si>
  <si>
    <t>8421 99 00</t>
  </si>
  <si>
    <t>320/A7120</t>
  </si>
  <si>
    <t>8421 29 00</t>
  </si>
  <si>
    <t>335/G4552</t>
  </si>
  <si>
    <t>HYD FILTER</t>
  </si>
  <si>
    <t>333/X2747</t>
  </si>
  <si>
    <t>4812 00 00</t>
  </si>
  <si>
    <t>32/917301</t>
  </si>
  <si>
    <t>AIR FILTER</t>
  </si>
  <si>
    <t>02/910140A</t>
  </si>
  <si>
    <t>336/E9730</t>
  </si>
  <si>
    <t>FUEL FILTER W/SP</t>
  </si>
  <si>
    <t>336/E9731</t>
  </si>
  <si>
    <t>335/G2061</t>
  </si>
  <si>
    <t>400/Z7746</t>
  </si>
  <si>
    <t>RETURN HYD. FILTER</t>
  </si>
  <si>
    <t>332/B7467</t>
  </si>
  <si>
    <t>400/R6073</t>
  </si>
  <si>
    <t>HAMMER HYD. FILTER</t>
  </si>
  <si>
    <t>32/925359</t>
  </si>
  <si>
    <t>334/Y2810</t>
  </si>
  <si>
    <t>AIR FILTER OUTER</t>
  </si>
  <si>
    <t>8421 31 00</t>
  </si>
  <si>
    <t>334/Y2811</t>
  </si>
  <si>
    <t>AIR FILTER INNER</t>
  </si>
  <si>
    <t>320/A4038</t>
  </si>
  <si>
    <t>320/07853</t>
  </si>
  <si>
    <t>CCV FUEL FILTER</t>
  </si>
  <si>
    <t>320/07483</t>
  </si>
  <si>
    <t>FUEL WATER SP FLITER</t>
  </si>
  <si>
    <t>320/07426</t>
  </si>
  <si>
    <t>HYD. FILTER</t>
  </si>
  <si>
    <t>400/Z7969</t>
  </si>
  <si>
    <t>334/R1768</t>
  </si>
  <si>
    <t>AIR FILTER ASSY</t>
  </si>
  <si>
    <t>30/926020</t>
  </si>
  <si>
    <t>AC. FILTER</t>
  </si>
  <si>
    <t>320/B4420</t>
  </si>
  <si>
    <t>581/18063</t>
  </si>
  <si>
    <t>TRAN. FILTER</t>
  </si>
  <si>
    <t>40/300893</t>
  </si>
  <si>
    <t>-</t>
  </si>
  <si>
    <t>32/920300</t>
  </si>
  <si>
    <t>32/915802</t>
  </si>
  <si>
    <t>4823 90 90</t>
  </si>
  <si>
    <t>32/915801</t>
  </si>
  <si>
    <t>5603 94 00</t>
  </si>
  <si>
    <t>02/600795</t>
  </si>
  <si>
    <t>32/925666</t>
  </si>
  <si>
    <t>02/601346</t>
  </si>
  <si>
    <t>2611/00281</t>
  </si>
  <si>
    <t>400/G5285</t>
  </si>
  <si>
    <t>400/V1479</t>
  </si>
  <si>
    <t>Basic Value</t>
  </si>
  <si>
    <t>Pack &amp; Forwarding  @ 2%</t>
  </si>
  <si>
    <t xml:space="preserve">Discount </t>
  </si>
  <si>
    <t>GST @ Value</t>
  </si>
  <si>
    <t>Roundoff</t>
  </si>
  <si>
    <t>Grand Total</t>
  </si>
  <si>
    <t>HYDRAULIC FILTER</t>
  </si>
  <si>
    <t>AIR FILTER OUT</t>
  </si>
  <si>
    <t>AIR FILTER IN</t>
  </si>
  <si>
    <t>AC FILTER</t>
  </si>
  <si>
    <t>HYDRAULIC RETURN FILTER</t>
  </si>
  <si>
    <t xml:space="preserve">AIR FILTER </t>
  </si>
  <si>
    <t>32/925682</t>
  </si>
  <si>
    <t>ELEMENT AIR PQ145</t>
  </si>
  <si>
    <t>32/925683</t>
  </si>
  <si>
    <t>SAFETY ELEMENT</t>
  </si>
  <si>
    <t>32/925346</t>
  </si>
  <si>
    <t>FILTER 12U PQ416</t>
  </si>
  <si>
    <t>581/R5206</t>
  </si>
  <si>
    <t>FILTER - TRANSMISSION 15</t>
  </si>
  <si>
    <t>FILTER ELEMENT - 10 MICRON</t>
  </si>
  <si>
    <t>QT No. INDIMO/23-01/2021134825</t>
  </si>
  <si>
    <t xml:space="preserve">Words : Twenty lakh Nineteen thousand five hundred thirty one only </t>
  </si>
  <si>
    <t xml:space="preserve">Words : Fourty one lakh nine thousand eight hundred fifty eight only </t>
  </si>
  <si>
    <t>Discounted Unit Price</t>
  </si>
  <si>
    <t>Total Price</t>
  </si>
  <si>
    <t>Unit Sale Price US$</t>
  </si>
  <si>
    <t>Total Sale Amount (US$)</t>
  </si>
  <si>
    <t>Total Sale amount as per PO</t>
  </si>
  <si>
    <t>Diff</t>
  </si>
  <si>
    <t>Exch rate</t>
  </si>
  <si>
    <t>Total Sale Price in INR</t>
  </si>
  <si>
    <t>Total Gross Profit in INR</t>
  </si>
  <si>
    <t>Profitability</t>
  </si>
  <si>
    <t>Cost of JCB</t>
  </si>
  <si>
    <t>0.01% GST</t>
  </si>
  <si>
    <t>Finance</t>
  </si>
  <si>
    <t>Freight</t>
  </si>
  <si>
    <t>Customs</t>
  </si>
  <si>
    <t>Sale</t>
  </si>
  <si>
    <t>Total cost</t>
  </si>
  <si>
    <t>Net Profit</t>
  </si>
  <si>
    <t>Quantity</t>
  </si>
  <si>
    <t>Total Cost Price-discounted</t>
  </si>
  <si>
    <t>Gross Profit</t>
  </si>
  <si>
    <t>diff</t>
  </si>
  <si>
    <t>SKU</t>
  </si>
  <si>
    <t>Qnty</t>
  </si>
  <si>
    <t>UOM</t>
  </si>
  <si>
    <t>No.</t>
  </si>
  <si>
    <t>Total Amount (US$)</t>
  </si>
  <si>
    <t>Marks &amp; Sr. No.</t>
  </si>
  <si>
    <t>Date</t>
  </si>
  <si>
    <t>Particulars</t>
  </si>
  <si>
    <t>Ref No</t>
  </si>
  <si>
    <t>DR</t>
  </si>
  <si>
    <t>CR</t>
  </si>
  <si>
    <t>REMARKS</t>
  </si>
  <si>
    <t>INDIMO/22-09/20211351</t>
  </si>
  <si>
    <t>Account</t>
  </si>
  <si>
    <t>cost of JCB Items - 1826 number</t>
  </si>
  <si>
    <t>GST on 1826 number f JCB items</t>
  </si>
  <si>
    <t>Chq No 892163 drawn on SBI</t>
  </si>
  <si>
    <t>Advance Payment</t>
  </si>
  <si>
    <t>Chq No 892170 drawn on SBI</t>
  </si>
  <si>
    <t>Indimo Tech Pvt Ltd</t>
  </si>
  <si>
    <t>Price reduction total</t>
  </si>
  <si>
    <t>unit Price Revised</t>
  </si>
  <si>
    <t>Total Amount</t>
  </si>
  <si>
    <t>5603 94 90</t>
  </si>
  <si>
    <t>First Shipment</t>
  </si>
  <si>
    <t>Inv Amount</t>
  </si>
  <si>
    <t>Original Qnty</t>
  </si>
  <si>
    <t>Row Labels</t>
  </si>
  <si>
    <t>Sum of Qty</t>
  </si>
  <si>
    <t>Original Qnty Total REVIED Value</t>
  </si>
  <si>
    <t>Unit REVISED Price (US$)</t>
  </si>
  <si>
    <t>Shipment 1</t>
  </si>
  <si>
    <t>Balance</t>
  </si>
  <si>
    <t>Value</t>
  </si>
  <si>
    <t>Shipment 2</t>
  </si>
  <si>
    <t>ADV RECD</t>
  </si>
  <si>
    <t>Materials</t>
  </si>
  <si>
    <t>finance cost</t>
  </si>
  <si>
    <t>Sales</t>
  </si>
  <si>
    <t>Sr. No.</t>
  </si>
  <si>
    <t>Remarks</t>
  </si>
  <si>
    <t>Materials - for Inv Auto-1005</t>
  </si>
  <si>
    <t>Materials - for Inv Auto-1006</t>
  </si>
  <si>
    <t>Freight - Inv Auto -1005</t>
  </si>
  <si>
    <t>Freight - Inv Auto -1006</t>
  </si>
  <si>
    <t>US$ 66,351</t>
  </si>
  <si>
    <t>US$ 7,921</t>
  </si>
  <si>
    <t>Jk bank  - Finance Charges - nov 23  - first shipment</t>
  </si>
  <si>
    <t>Credited in ICICI Bank</t>
  </si>
  <si>
    <t>Advance from AlFahd</t>
  </si>
  <si>
    <t>transferredd to SBI Haseeba</t>
  </si>
  <si>
    <t>ICICI signing authorities not available</t>
  </si>
  <si>
    <t>GST Collected by Bank</t>
  </si>
  <si>
    <t>GST on inward remittance</t>
  </si>
  <si>
    <t>GST on beneficiary validation</t>
  </si>
  <si>
    <t>Bank charges upto 15 Dec 23</t>
  </si>
  <si>
    <t>loan from JK Bank</t>
  </si>
  <si>
    <t>returned to jk bank</t>
  </si>
  <si>
    <t>ADVANCE TO JCB</t>
  </si>
  <si>
    <t>Interest on Rs. 1 lakh @ 10.50% p.a.</t>
  </si>
  <si>
    <t>chq no. 892177 drawn on SBI</t>
  </si>
  <si>
    <t>Inv No.230120408</t>
  </si>
  <si>
    <t>second and final shipment</t>
  </si>
  <si>
    <t>rtgs from icici to sbi</t>
  </si>
  <si>
    <t>round off</t>
  </si>
  <si>
    <t>second and final setlement of invoice 20211351</t>
  </si>
  <si>
    <t>GST ON inv nO. 230120408</t>
  </si>
  <si>
    <t>Unit Wt (Kg)</t>
  </si>
  <si>
    <t>Pack-age No</t>
  </si>
  <si>
    <t>No of Pack-ages</t>
  </si>
  <si>
    <t>Package Type</t>
  </si>
  <si>
    <t>dimensions (cms)</t>
  </si>
  <si>
    <t>Total Gross Wt (Kgs)</t>
  </si>
  <si>
    <t>Total Net Weight (Kgs)</t>
  </si>
  <si>
    <t>L</t>
  </si>
  <si>
    <t>W</t>
  </si>
  <si>
    <t>H</t>
  </si>
  <si>
    <t>Card-bord Carton</t>
  </si>
  <si>
    <t>TOTAL</t>
  </si>
  <si>
    <t>ICICI Bank</t>
  </si>
  <si>
    <t>Bank charges</t>
  </si>
  <si>
    <t>Bank Charges</t>
  </si>
  <si>
    <t>Final payment - USD 41,175.52</t>
  </si>
  <si>
    <t>GST</t>
  </si>
  <si>
    <t>GST on advance payment</t>
  </si>
  <si>
    <t xml:space="preserve">Penalty for invalid IEC </t>
  </si>
  <si>
    <t>Penalty</t>
  </si>
  <si>
    <t>Materials purchased from NBS International</t>
  </si>
  <si>
    <t>Gross wt</t>
  </si>
  <si>
    <t>auto 1007</t>
  </si>
  <si>
    <t>GST Refund</t>
  </si>
  <si>
    <t>cost of 50 Intercoolers</t>
  </si>
  <si>
    <t>Freight Bill - pro-rata for Mahindra</t>
  </si>
  <si>
    <t>auto 1006</t>
  </si>
  <si>
    <t>JCB</t>
  </si>
  <si>
    <t>Mahindra</t>
  </si>
  <si>
    <t>GST on transactions</t>
  </si>
  <si>
    <t>some charges</t>
  </si>
  <si>
    <t>Debit card charges</t>
  </si>
  <si>
    <t>Beneficiary verification</t>
  </si>
  <si>
    <t>GST on verification</t>
  </si>
  <si>
    <t>Total Bank charges</t>
  </si>
  <si>
    <t>Revenue - invoice Auto-1007</t>
  </si>
  <si>
    <t>Duty drawback</t>
  </si>
  <si>
    <t>Duty Drawback</t>
  </si>
  <si>
    <t>GST Refund consultancy</t>
  </si>
  <si>
    <t>JK Bank - Finnce charges - Dec 23 and Jan 24</t>
  </si>
  <si>
    <t>ICICI Bank - Finance Charges - Dec 23</t>
  </si>
  <si>
    <t>Duty Drawback - Auto 1005</t>
  </si>
  <si>
    <t>Duty Drawback - Auto 1006</t>
  </si>
  <si>
    <t>GST on final revenue</t>
  </si>
  <si>
    <t>duty drawback</t>
  </si>
  <si>
    <t>JCB Sales</t>
  </si>
  <si>
    <t>Mahindra Sales</t>
  </si>
  <si>
    <t>Cost of materials purchased to return</t>
  </si>
  <si>
    <t>GST REFUND</t>
  </si>
  <si>
    <t>ascertain this from statement of account available with Mr. Sgir</t>
  </si>
  <si>
    <t>credited to Haseeba SBI Account</t>
  </si>
  <si>
    <t>Provision for</t>
  </si>
  <si>
    <t>Revised Unit Price (US$)</t>
  </si>
  <si>
    <t>Total Revised Price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</si>
</sst>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[$-409]d\-mmm\-yy;@"/>
    <numFmt numFmtId="167" formatCode="_ * #,##0.000_ ;_ * \-#,##0.000_ ;_ * &quot;-&quot;??_ ;_ @_ "/>
  </numFmts>
  <fonts count="40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2"/>
      <color indexed="8"/>
      <name val="MS Sans Serif"/>
      <family val="2"/>
    </font>
    <font>
      <b/>
      <sz val="14"/>
      <color indexed="63"/>
      <name val="Trebuchet MS"/>
      <family val="2"/>
    </font>
    <font>
      <b/>
      <sz val="11"/>
      <color theme="0"/>
      <name val="MS Sans Serif"/>
      <family val="2"/>
    </font>
    <font>
      <sz val="9"/>
      <color indexed="63"/>
      <name val="Trebuchet MS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b/>
      <sz val="10"/>
      <name val="Arial"/>
      <family val="2"/>
    </font>
    <font>
      <u/>
      <sz val="12"/>
      <color theme="10"/>
      <name val="Trebuchet MS"/>
      <family val="2"/>
    </font>
    <font>
      <b/>
      <sz val="16"/>
      <name val="Arial"/>
      <family val="2"/>
    </font>
    <font>
      <b/>
      <sz val="2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0"/>
      <color indexed="8"/>
      <name val="MS Sans Serif"/>
      <family val="2"/>
    </font>
    <font>
      <b/>
      <sz val="10"/>
      <color indexed="8"/>
      <name val="Arial"/>
      <family val="2"/>
    </font>
    <font>
      <b/>
      <sz val="14"/>
      <color indexed="8"/>
      <name val="MS Sans Serif"/>
      <family val="2"/>
    </font>
    <font>
      <b/>
      <sz val="8"/>
      <color indexed="8"/>
      <name val="Arial"/>
      <family val="2"/>
    </font>
    <font>
      <sz val="9"/>
      <color indexed="8"/>
      <name val="Verdana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9"/>
      <color indexed="8"/>
      <name val="Verdana"/>
      <family val="2"/>
    </font>
    <font>
      <b/>
      <sz val="8"/>
      <name val="Arial"/>
      <family val="2"/>
    </font>
    <font>
      <b/>
      <i/>
      <sz val="11"/>
      <color indexed="23"/>
      <name val="Calibri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"/>
      <name val="Arial"/>
      <family val="2"/>
    </font>
    <font>
      <b/>
      <sz val="10"/>
      <color theme="1"/>
      <name val="Aptos Narrow"/>
      <family val="2"/>
    </font>
    <font>
      <b/>
      <sz val="10"/>
      <color rgb="FF000000"/>
      <name val="Aptos Narrow"/>
      <family val="2"/>
    </font>
    <font>
      <sz val="10"/>
      <color theme="1"/>
      <name val="Aptos Narrow"/>
      <family val="2"/>
    </font>
    <font>
      <sz val="10"/>
      <color rgb="FF000000"/>
      <name val="Aptos Narrow"/>
      <family val="2"/>
    </font>
    <font>
      <sz val="9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6">
    <xf numFmtId="0" fontId="0" fillId="0" borderId="0"/>
    <xf numFmtId="9" fontId="22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30" fillId="0" borderId="0" applyFont="0" applyFill="0" applyBorder="0" applyAlignment="0" applyProtection="0"/>
  </cellStyleXfs>
  <cellXfs count="231">
    <xf numFmtId="0" fontId="0" fillId="0" borderId="0" xfId="0"/>
    <xf numFmtId="0" fontId="2" fillId="0" borderId="0" xfId="4"/>
    <xf numFmtId="0" fontId="5" fillId="0" borderId="2" xfId="4" applyFont="1" applyBorder="1" applyAlignment="1">
      <alignment horizontal="left"/>
    </xf>
    <xf numFmtId="0" fontId="5" fillId="0" borderId="2" xfId="4" applyFont="1" applyBorder="1"/>
    <xf numFmtId="0" fontId="5" fillId="0" borderId="3" xfId="4" applyFont="1" applyBorder="1"/>
    <xf numFmtId="0" fontId="6" fillId="0" borderId="0" xfId="4" applyFont="1" applyAlignment="1">
      <alignment vertical="center"/>
    </xf>
    <xf numFmtId="0" fontId="5" fillId="0" borderId="0" xfId="4" applyFont="1" applyAlignment="1">
      <alignment horizontal="left"/>
    </xf>
    <xf numFmtId="0" fontId="5" fillId="0" borderId="0" xfId="4" applyFont="1"/>
    <xf numFmtId="0" fontId="5" fillId="0" borderId="5" xfId="4" applyFont="1" applyBorder="1"/>
    <xf numFmtId="0" fontId="8" fillId="0" borderId="4" xfId="3" applyFont="1" applyFill="1" applyBorder="1" applyAlignment="1" applyProtection="1">
      <alignment vertical="center"/>
    </xf>
    <xf numFmtId="0" fontId="9" fillId="2" borderId="4" xfId="4" applyFont="1" applyFill="1" applyBorder="1"/>
    <xf numFmtId="0" fontId="7" fillId="0" borderId="6" xfId="3" applyFill="1" applyBorder="1" applyAlignment="1" applyProtection="1">
      <alignment vertical="center"/>
    </xf>
    <xf numFmtId="0" fontId="10" fillId="0" borderId="7" xfId="3" applyFont="1" applyFill="1" applyBorder="1" applyAlignment="1" applyProtection="1">
      <alignment vertical="center"/>
    </xf>
    <xf numFmtId="0" fontId="5" fillId="0" borderId="7" xfId="4" applyFont="1" applyBorder="1" applyAlignment="1">
      <alignment horizontal="left"/>
    </xf>
    <xf numFmtId="0" fontId="5" fillId="0" borderId="7" xfId="4" applyFont="1" applyBorder="1"/>
    <xf numFmtId="0" fontId="5" fillId="0" borderId="8" xfId="4" applyFont="1" applyBorder="1"/>
    <xf numFmtId="0" fontId="9" fillId="2" borderId="1" xfId="4" applyFont="1" applyFill="1" applyBorder="1" applyAlignment="1">
      <alignment vertical="center"/>
    </xf>
    <xf numFmtId="0" fontId="9" fillId="2" borderId="2" xfId="4" applyFont="1" applyFill="1" applyBorder="1" applyAlignment="1">
      <alignment vertical="center"/>
    </xf>
    <xf numFmtId="0" fontId="11" fillId="2" borderId="2" xfId="4" applyFont="1" applyFill="1" applyBorder="1" applyAlignment="1">
      <alignment vertical="center"/>
    </xf>
    <xf numFmtId="0" fontId="12" fillId="2" borderId="2" xfId="4" applyFont="1" applyFill="1" applyBorder="1" applyAlignment="1">
      <alignment horizontal="left" vertical="center"/>
    </xf>
    <xf numFmtId="0" fontId="12" fillId="2" borderId="2" xfId="4" applyFont="1" applyFill="1" applyBorder="1" applyAlignment="1">
      <alignment vertical="center"/>
    </xf>
    <xf numFmtId="0" fontId="13" fillId="2" borderId="2" xfId="4" applyFont="1" applyFill="1" applyBorder="1" applyAlignment="1">
      <alignment vertical="center"/>
    </xf>
    <xf numFmtId="14" fontId="3" fillId="2" borderId="2" xfId="4" applyNumberFormat="1" applyFont="1" applyFill="1" applyBorder="1" applyAlignment="1">
      <alignment vertical="center"/>
    </xf>
    <xf numFmtId="14" fontId="3" fillId="2" borderId="3" xfId="4" applyNumberFormat="1" applyFont="1" applyFill="1" applyBorder="1" applyAlignment="1">
      <alignment vertical="center"/>
    </xf>
    <xf numFmtId="0" fontId="2" fillId="0" borderId="0" xfId="4" applyAlignment="1">
      <alignment vertical="center"/>
    </xf>
    <xf numFmtId="0" fontId="9" fillId="2" borderId="0" xfId="4" applyFont="1" applyFill="1"/>
    <xf numFmtId="0" fontId="14" fillId="2" borderId="0" xfId="4" applyFont="1" applyFill="1" applyAlignment="1">
      <alignment vertical="center"/>
    </xf>
    <xf numFmtId="0" fontId="9" fillId="2" borderId="0" xfId="4" applyFont="1" applyFill="1" applyAlignment="1">
      <alignment horizontal="left"/>
    </xf>
    <xf numFmtId="14" fontId="15" fillId="2" borderId="0" xfId="4" applyNumberFormat="1" applyFont="1" applyFill="1" applyAlignment="1">
      <alignment vertical="center"/>
    </xf>
    <xf numFmtId="14" fontId="3" fillId="2" borderId="0" xfId="4" applyNumberFormat="1" applyFont="1" applyFill="1"/>
    <xf numFmtId="14" fontId="3" fillId="2" borderId="5" xfId="4" applyNumberFormat="1" applyFont="1" applyFill="1" applyBorder="1"/>
    <xf numFmtId="0" fontId="16" fillId="2" borderId="0" xfId="4" applyFont="1" applyFill="1"/>
    <xf numFmtId="0" fontId="18" fillId="4" borderId="12" xfId="4" applyFont="1" applyFill="1" applyBorder="1" applyAlignment="1">
      <alignment horizontal="center" vertical="center" wrapText="1"/>
    </xf>
    <xf numFmtId="0" fontId="18" fillId="4" borderId="13" xfId="4" applyFont="1" applyFill="1" applyBorder="1" applyAlignment="1">
      <alignment horizontal="center" vertical="center" wrapText="1"/>
    </xf>
    <xf numFmtId="0" fontId="18" fillId="4" borderId="13" xfId="4" applyFont="1" applyFill="1" applyBorder="1" applyAlignment="1">
      <alignment horizontal="left" vertical="center"/>
    </xf>
    <xf numFmtId="0" fontId="18" fillId="4" borderId="14" xfId="4" applyFont="1" applyFill="1" applyBorder="1" applyAlignment="1">
      <alignment horizontal="center" vertical="center" wrapText="1"/>
    </xf>
    <xf numFmtId="0" fontId="19" fillId="0" borderId="15" xfId="4" applyFont="1" applyBorder="1" applyAlignment="1">
      <alignment horizontal="center" vertical="center" wrapText="1"/>
    </xf>
    <xf numFmtId="0" fontId="20" fillId="0" borderId="16" xfId="4" applyFont="1" applyBorder="1" applyAlignment="1">
      <alignment horizontal="center" vertical="center"/>
    </xf>
    <xf numFmtId="0" fontId="20" fillId="0" borderId="16" xfId="4" applyFont="1" applyBorder="1" applyAlignment="1">
      <alignment horizontal="left" vertical="center"/>
    </xf>
    <xf numFmtId="0" fontId="21" fillId="0" borderId="17" xfId="4" applyFont="1" applyBorder="1" applyAlignment="1">
      <alignment horizontal="center" vertical="top"/>
    </xf>
    <xf numFmtId="0" fontId="2" fillId="0" borderId="16" xfId="4" applyBorder="1" applyAlignment="1">
      <alignment horizontal="center" vertical="center"/>
    </xf>
    <xf numFmtId="2" fontId="2" fillId="0" borderId="17" xfId="4" applyNumberFormat="1" applyBorder="1" applyAlignment="1">
      <alignment horizontal="center" vertical="center"/>
    </xf>
    <xf numFmtId="9" fontId="2" fillId="0" borderId="17" xfId="4" applyNumberFormat="1" applyBorder="1" applyAlignment="1">
      <alignment horizontal="center" vertical="center"/>
    </xf>
    <xf numFmtId="9" fontId="23" fillId="0" borderId="17" xfId="1" applyFont="1" applyFill="1" applyBorder="1" applyAlignment="1" applyProtection="1">
      <alignment horizontal="center" vertical="center" wrapText="1"/>
    </xf>
    <xf numFmtId="1" fontId="2" fillId="0" borderId="18" xfId="4" applyNumberFormat="1" applyBorder="1" applyAlignment="1">
      <alignment horizontal="center" vertical="center" wrapText="1"/>
    </xf>
    <xf numFmtId="0" fontId="20" fillId="0" borderId="17" xfId="4" applyFont="1" applyBorder="1" applyAlignment="1">
      <alignment horizontal="center" vertical="center"/>
    </xf>
    <xf numFmtId="0" fontId="20" fillId="0" borderId="17" xfId="4" applyFont="1" applyBorder="1" applyAlignment="1">
      <alignment horizontal="left" vertical="center"/>
    </xf>
    <xf numFmtId="0" fontId="2" fillId="0" borderId="17" xfId="4" applyBorder="1" applyAlignment="1">
      <alignment horizontal="center" vertical="center"/>
    </xf>
    <xf numFmtId="0" fontId="20" fillId="0" borderId="17" xfId="4" applyFont="1" applyBorder="1" applyAlignment="1">
      <alignment horizontal="center" vertical="center" wrapText="1"/>
    </xf>
    <xf numFmtId="0" fontId="21" fillId="0" borderId="18" xfId="4" applyFont="1" applyBorder="1" applyAlignment="1">
      <alignment horizontal="center" vertical="top"/>
    </xf>
    <xf numFmtId="0" fontId="2" fillId="0" borderId="18" xfId="4" applyBorder="1" applyAlignment="1">
      <alignment horizontal="center" vertical="center"/>
    </xf>
    <xf numFmtId="0" fontId="24" fillId="0" borderId="19" xfId="4" applyFont="1" applyBorder="1" applyAlignment="1">
      <alignment horizontal="center" vertical="center" wrapText="1"/>
    </xf>
    <xf numFmtId="1" fontId="25" fillId="0" borderId="20" xfId="4" applyNumberFormat="1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/>
    </xf>
    <xf numFmtId="0" fontId="9" fillId="0" borderId="20" xfId="4" applyFont="1" applyBorder="1" applyAlignment="1">
      <alignment horizontal="left" vertical="center" wrapText="1"/>
    </xf>
    <xf numFmtId="2" fontId="9" fillId="0" borderId="20" xfId="4" applyNumberFormat="1" applyFont="1" applyBorder="1" applyAlignment="1">
      <alignment horizontal="center" vertical="center"/>
    </xf>
    <xf numFmtId="2" fontId="9" fillId="0" borderId="21" xfId="4" applyNumberFormat="1" applyFont="1" applyBorder="1" applyAlignment="1">
      <alignment horizontal="center" vertical="center"/>
    </xf>
    <xf numFmtId="2" fontId="27" fillId="0" borderId="16" xfId="4" applyNumberFormat="1" applyFont="1" applyBorder="1" applyAlignment="1">
      <alignment horizontal="center" vertical="center"/>
    </xf>
    <xf numFmtId="2" fontId="27" fillId="0" borderId="23" xfId="4" applyNumberFormat="1" applyFont="1" applyBorder="1" applyAlignment="1">
      <alignment horizontal="center" vertical="center" wrapText="1"/>
    </xf>
    <xf numFmtId="2" fontId="27" fillId="0" borderId="16" xfId="4" applyNumberFormat="1" applyFont="1" applyBorder="1" applyAlignment="1">
      <alignment horizontal="center" vertical="center" wrapText="1"/>
    </xf>
    <xf numFmtId="2" fontId="27" fillId="0" borderId="17" xfId="4" applyNumberFormat="1" applyFont="1" applyBorder="1" applyAlignment="1">
      <alignment horizontal="center" vertical="center"/>
    </xf>
    <xf numFmtId="2" fontId="27" fillId="0" borderId="18" xfId="4" applyNumberFormat="1" applyFont="1" applyBorder="1" applyAlignment="1">
      <alignment horizontal="center" vertical="center" wrapText="1"/>
    </xf>
    <xf numFmtId="2" fontId="28" fillId="0" borderId="17" xfId="4" applyNumberFormat="1" applyFont="1" applyBorder="1" applyAlignment="1">
      <alignment horizontal="center" vertical="center"/>
    </xf>
    <xf numFmtId="2" fontId="29" fillId="0" borderId="25" xfId="4" applyNumberFormat="1" applyFont="1" applyBorder="1" applyAlignment="1">
      <alignment horizontal="center" vertical="center"/>
    </xf>
    <xf numFmtId="2" fontId="29" fillId="5" borderId="26" xfId="4" applyNumberFormat="1" applyFont="1" applyFill="1" applyBorder="1" applyAlignment="1">
      <alignment horizontal="center" vertical="center" wrapText="1"/>
    </xf>
    <xf numFmtId="0" fontId="2" fillId="0" borderId="0" xfId="4" applyAlignment="1">
      <alignment horizontal="left"/>
    </xf>
    <xf numFmtId="0" fontId="21" fillId="0" borderId="17" xfId="0" applyFont="1" applyBorder="1" applyAlignment="1">
      <alignment horizontal="center" vertical="top" wrapText="1"/>
    </xf>
    <xf numFmtId="0" fontId="21" fillId="0" borderId="17" xfId="0" applyFont="1" applyBorder="1" applyAlignment="1">
      <alignment horizontal="left" vertical="top"/>
    </xf>
    <xf numFmtId="0" fontId="21" fillId="0" borderId="17" xfId="0" applyFont="1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24" fillId="0" borderId="30" xfId="4" applyFont="1" applyBorder="1" applyAlignment="1">
      <alignment horizontal="center" vertical="center" wrapText="1"/>
    </xf>
    <xf numFmtId="1" fontId="25" fillId="0" borderId="31" xfId="4" applyNumberFormat="1" applyFont="1" applyBorder="1" applyAlignment="1">
      <alignment horizontal="center" vertical="center"/>
    </xf>
    <xf numFmtId="0" fontId="9" fillId="0" borderId="31" xfId="4" applyFont="1" applyBorder="1" applyAlignment="1">
      <alignment horizontal="center" vertical="center"/>
    </xf>
    <xf numFmtId="0" fontId="9" fillId="0" borderId="31" xfId="4" applyFont="1" applyBorder="1" applyAlignment="1">
      <alignment horizontal="left" vertical="center" wrapText="1"/>
    </xf>
    <xf numFmtId="2" fontId="9" fillId="0" borderId="31" xfId="4" applyNumberFormat="1" applyFont="1" applyBorder="1" applyAlignment="1">
      <alignment horizontal="center" vertical="center"/>
    </xf>
    <xf numFmtId="0" fontId="18" fillId="4" borderId="17" xfId="4" applyFont="1" applyFill="1" applyBorder="1" applyAlignment="1">
      <alignment horizontal="center" vertical="center" wrapText="1"/>
    </xf>
    <xf numFmtId="0" fontId="18" fillId="4" borderId="17" xfId="4" applyFont="1" applyFill="1" applyBorder="1" applyAlignment="1">
      <alignment horizontal="left" vertical="center"/>
    </xf>
    <xf numFmtId="0" fontId="18" fillId="4" borderId="15" xfId="4" applyFont="1" applyFill="1" applyBorder="1" applyAlignment="1">
      <alignment horizontal="center" vertical="center" wrapText="1"/>
    </xf>
    <xf numFmtId="0" fontId="18" fillId="4" borderId="18" xfId="4" applyFont="1" applyFill="1" applyBorder="1" applyAlignment="1">
      <alignment horizontal="center" vertical="center" wrapText="1"/>
    </xf>
    <xf numFmtId="2" fontId="9" fillId="0" borderId="32" xfId="4" applyNumberFormat="1" applyFont="1" applyBorder="1" applyAlignment="1">
      <alignment horizontal="center" vertical="center"/>
    </xf>
    <xf numFmtId="0" fontId="18" fillId="4" borderId="33" xfId="4" applyFont="1" applyFill="1" applyBorder="1" applyAlignment="1">
      <alignment horizontal="center" vertical="center" wrapText="1"/>
    </xf>
    <xf numFmtId="0" fontId="20" fillId="6" borderId="17" xfId="4" applyFont="1" applyFill="1" applyBorder="1" applyAlignment="1">
      <alignment horizontal="center" vertical="center"/>
    </xf>
    <xf numFmtId="0" fontId="0" fillId="6" borderId="0" xfId="0" applyFill="1"/>
    <xf numFmtId="165" fontId="0" fillId="0" borderId="0" xfId="5" applyNumberFormat="1" applyFont="1"/>
    <xf numFmtId="165" fontId="0" fillId="0" borderId="0" xfId="0" applyNumberFormat="1"/>
    <xf numFmtId="165" fontId="30" fillId="0" borderId="0" xfId="5" applyNumberFormat="1" applyFont="1"/>
    <xf numFmtId="165" fontId="0" fillId="0" borderId="0" xfId="5" applyNumberFormat="1" applyFont="1" applyFill="1"/>
    <xf numFmtId="0" fontId="19" fillId="0" borderId="37" xfId="4" applyFont="1" applyBorder="1" applyAlignment="1">
      <alignment horizontal="center" vertical="top" wrapText="1"/>
    </xf>
    <xf numFmtId="0" fontId="20" fillId="0" borderId="38" xfId="4" applyFont="1" applyBorder="1" applyAlignment="1">
      <alignment horizontal="center" vertical="top"/>
    </xf>
    <xf numFmtId="0" fontId="20" fillId="0" borderId="38" xfId="4" applyFont="1" applyBorder="1" applyAlignment="1">
      <alignment horizontal="left" vertical="top"/>
    </xf>
    <xf numFmtId="0" fontId="21" fillId="0" borderId="38" xfId="4" applyFont="1" applyBorder="1" applyAlignment="1">
      <alignment horizontal="center" vertical="top"/>
    </xf>
    <xf numFmtId="0" fontId="2" fillId="0" borderId="38" xfId="4" applyBorder="1" applyAlignment="1">
      <alignment horizontal="center" vertical="top"/>
    </xf>
    <xf numFmtId="2" fontId="2" fillId="0" borderId="38" xfId="4" applyNumberFormat="1" applyBorder="1" applyAlignment="1">
      <alignment horizontal="center" vertical="top"/>
    </xf>
    <xf numFmtId="9" fontId="2" fillId="0" borderId="38" xfId="4" applyNumberFormat="1" applyBorder="1" applyAlignment="1">
      <alignment horizontal="center"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21" fillId="0" borderId="38" xfId="0" applyFont="1" applyBorder="1" applyAlignment="1">
      <alignment horizontal="center" vertical="top" wrapText="1"/>
    </xf>
    <xf numFmtId="0" fontId="21" fillId="0" borderId="38" xfId="0" applyFont="1" applyBorder="1" applyAlignment="1">
      <alignment horizontal="left" vertical="top"/>
    </xf>
    <xf numFmtId="0" fontId="21" fillId="0" borderId="38" xfId="0" applyFont="1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19" fillId="0" borderId="40" xfId="4" applyFont="1" applyBorder="1" applyAlignment="1">
      <alignment horizontal="center" vertical="top" wrapText="1"/>
    </xf>
    <xf numFmtId="0" fontId="0" fillId="0" borderId="41" xfId="0" applyBorder="1" applyAlignment="1">
      <alignment horizontal="center" vertical="top"/>
    </xf>
    <xf numFmtId="0" fontId="21" fillId="0" borderId="41" xfId="0" applyFont="1" applyBorder="1" applyAlignment="1">
      <alignment horizontal="left" vertical="top"/>
    </xf>
    <xf numFmtId="0" fontId="20" fillId="0" borderId="41" xfId="4" applyFont="1" applyBorder="1" applyAlignment="1">
      <alignment horizontal="center" vertical="top"/>
    </xf>
    <xf numFmtId="0" fontId="2" fillId="0" borderId="41" xfId="4" applyBorder="1" applyAlignment="1">
      <alignment horizontal="center" vertical="top"/>
    </xf>
    <xf numFmtId="2" fontId="2" fillId="0" borderId="41" xfId="4" applyNumberFormat="1" applyBorder="1" applyAlignment="1">
      <alignment horizontal="center" vertical="top"/>
    </xf>
    <xf numFmtId="9" fontId="2" fillId="0" borderId="41" xfId="4" applyNumberFormat="1" applyBorder="1" applyAlignment="1">
      <alignment horizontal="center"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18" fillId="0" borderId="34" xfId="4" applyFont="1" applyBorder="1" applyAlignment="1">
      <alignment horizontal="center" vertical="center" wrapText="1"/>
    </xf>
    <xf numFmtId="0" fontId="18" fillId="0" borderId="35" xfId="4" applyFont="1" applyBorder="1" applyAlignment="1">
      <alignment horizontal="center" vertical="center" wrapText="1"/>
    </xf>
    <xf numFmtId="0" fontId="18" fillId="0" borderId="35" xfId="4" applyFont="1" applyBorder="1" applyAlignment="1">
      <alignment horizontal="left" vertical="center"/>
    </xf>
    <xf numFmtId="0" fontId="18" fillId="0" borderId="36" xfId="4" applyFont="1" applyBorder="1" applyAlignment="1">
      <alignment horizontal="center" vertical="center" wrapText="1"/>
    </xf>
    <xf numFmtId="0" fontId="2" fillId="6" borderId="17" xfId="4" applyFill="1" applyBorder="1" applyAlignment="1">
      <alignment horizontal="center" vertical="center"/>
    </xf>
    <xf numFmtId="164" fontId="0" fillId="0" borderId="0" xfId="5" applyFont="1"/>
    <xf numFmtId="164" fontId="0" fillId="0" borderId="0" xfId="0" applyNumberFormat="1"/>
    <xf numFmtId="0" fontId="0" fillId="0" borderId="0" xfId="0" applyAlignment="1">
      <alignment horizontal="left" vertical="top"/>
    </xf>
    <xf numFmtId="0" fontId="0" fillId="0" borderId="38" xfId="0" applyBorder="1"/>
    <xf numFmtId="0" fontId="21" fillId="0" borderId="38" xfId="0" applyFont="1" applyBorder="1" applyAlignment="1">
      <alignment horizontal="left" vertical="top" wrapText="1"/>
    </xf>
    <xf numFmtId="0" fontId="0" fillId="0" borderId="38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1" xfId="0" applyBorder="1"/>
    <xf numFmtId="0" fontId="0" fillId="0" borderId="38" xfId="0" applyBorder="1" applyAlignment="1">
      <alignment horizontal="right" vertical="top" indent="1"/>
    </xf>
    <xf numFmtId="164" fontId="0" fillId="0" borderId="39" xfId="5" applyFont="1" applyBorder="1" applyAlignment="1">
      <alignment horizontal="right" vertical="top" indent="1"/>
    </xf>
    <xf numFmtId="0" fontId="0" fillId="0" borderId="37" xfId="0" applyBorder="1"/>
    <xf numFmtId="0" fontId="0" fillId="0" borderId="38" xfId="0" applyBorder="1" applyAlignment="1">
      <alignment horizontal="right" indent="1"/>
    </xf>
    <xf numFmtId="164" fontId="0" fillId="0" borderId="39" xfId="5" applyFont="1" applyBorder="1" applyAlignment="1">
      <alignment horizontal="right" indent="1"/>
    </xf>
    <xf numFmtId="0" fontId="0" fillId="0" borderId="40" xfId="0" applyBorder="1"/>
    <xf numFmtId="0" fontId="0" fillId="0" borderId="41" xfId="0" applyBorder="1" applyAlignment="1">
      <alignment horizontal="right" indent="1"/>
    </xf>
    <xf numFmtId="164" fontId="31" fillId="0" borderId="42" xfId="5" applyFont="1" applyBorder="1" applyAlignment="1">
      <alignment horizontal="right" indent="1"/>
    </xf>
    <xf numFmtId="0" fontId="0" fillId="0" borderId="43" xfId="0" applyBorder="1"/>
    <xf numFmtId="0" fontId="21" fillId="0" borderId="44" xfId="0" applyFont="1" applyBorder="1" applyAlignment="1">
      <alignment horizontal="center" vertical="top"/>
    </xf>
    <xf numFmtId="0" fontId="21" fillId="0" borderId="44" xfId="0" applyFont="1" applyBorder="1" applyAlignment="1">
      <alignment horizontal="left" vertical="top" wrapText="1"/>
    </xf>
    <xf numFmtId="0" fontId="21" fillId="0" borderId="44" xfId="0" applyFont="1" applyBorder="1" applyAlignment="1">
      <alignment horizontal="left" vertical="top"/>
    </xf>
    <xf numFmtId="0" fontId="0" fillId="0" borderId="44" xfId="0" applyBorder="1" applyAlignment="1">
      <alignment horizontal="right" vertical="top" indent="1"/>
    </xf>
    <xf numFmtId="164" fontId="0" fillId="0" borderId="45" xfId="5" applyFont="1" applyBorder="1" applyAlignment="1">
      <alignment horizontal="right" vertical="top" indent="1"/>
    </xf>
    <xf numFmtId="0" fontId="32" fillId="0" borderId="46" xfId="0" applyFont="1" applyBorder="1" applyAlignment="1">
      <alignment horizontal="center" vertical="center" wrapText="1"/>
    </xf>
    <xf numFmtId="0" fontId="18" fillId="0" borderId="47" xfId="4" applyFont="1" applyBorder="1" applyAlignment="1">
      <alignment horizontal="center" vertical="center" wrapText="1"/>
    </xf>
    <xf numFmtId="0" fontId="18" fillId="0" borderId="47" xfId="4" applyFont="1" applyBorder="1" applyAlignment="1">
      <alignment horizontal="left" vertical="center" wrapText="1"/>
    </xf>
    <xf numFmtId="0" fontId="18" fillId="0" borderId="47" xfId="4" applyFont="1" applyBorder="1" applyAlignment="1">
      <alignment horizontal="left" vertical="center"/>
    </xf>
    <xf numFmtId="0" fontId="31" fillId="0" borderId="47" xfId="0" applyFont="1" applyBorder="1" applyAlignment="1">
      <alignment horizontal="center" vertical="center" wrapText="1"/>
    </xf>
    <xf numFmtId="0" fontId="31" fillId="0" borderId="48" xfId="0" applyFont="1" applyBorder="1" applyAlignment="1">
      <alignment horizontal="center" vertical="center" wrapText="1"/>
    </xf>
    <xf numFmtId="14" fontId="0" fillId="0" borderId="0" xfId="0" applyNumberFormat="1"/>
    <xf numFmtId="166" fontId="0" fillId="0" borderId="0" xfId="0" applyNumberFormat="1"/>
    <xf numFmtId="40" fontId="0" fillId="0" borderId="0" xfId="0" applyNumberFormat="1"/>
    <xf numFmtId="43" fontId="0" fillId="0" borderId="0" xfId="0" applyNumberFormat="1"/>
    <xf numFmtId="0" fontId="31" fillId="0" borderId="49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165" fontId="31" fillId="0" borderId="42" xfId="5" applyNumberFormat="1" applyFont="1" applyBorder="1" applyAlignment="1">
      <alignment horizontal="right" indent="1"/>
    </xf>
    <xf numFmtId="0" fontId="21" fillId="0" borderId="16" xfId="0" applyFont="1" applyBorder="1" applyAlignment="1">
      <alignment horizontal="center" vertical="top" wrapText="1"/>
    </xf>
    <xf numFmtId="0" fontId="21" fillId="0" borderId="16" xfId="0" applyFont="1" applyBorder="1" applyAlignment="1">
      <alignment horizontal="left" vertical="top"/>
    </xf>
    <xf numFmtId="164" fontId="0" fillId="0" borderId="44" xfId="5" applyFont="1" applyBorder="1" applyAlignment="1">
      <alignment horizontal="right" vertical="top" indent="1"/>
    </xf>
    <xf numFmtId="0" fontId="34" fillId="0" borderId="47" xfId="4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31" fillId="7" borderId="50" xfId="0" applyFont="1" applyFill="1" applyBorder="1"/>
    <xf numFmtId="0" fontId="31" fillId="0" borderId="51" xfId="0" applyFont="1" applyBorder="1" applyAlignment="1">
      <alignment horizontal="center" vertical="center" wrapText="1"/>
    </xf>
    <xf numFmtId="164" fontId="0" fillId="0" borderId="52" xfId="5" applyFont="1" applyBorder="1" applyAlignment="1">
      <alignment horizontal="right" vertical="top" indent="1"/>
    </xf>
    <xf numFmtId="0" fontId="0" fillId="0" borderId="53" xfId="0" applyBorder="1" applyAlignment="1">
      <alignment horizontal="right" vertical="top" indent="1"/>
    </xf>
    <xf numFmtId="0" fontId="0" fillId="0" borderId="53" xfId="0" applyBorder="1" applyAlignment="1">
      <alignment horizontal="right" indent="1"/>
    </xf>
    <xf numFmtId="164" fontId="0" fillId="0" borderId="0" xfId="5" applyFont="1" applyBorder="1" applyAlignment="1">
      <alignment horizontal="right" vertical="top" indent="1"/>
    </xf>
    <xf numFmtId="164" fontId="0" fillId="0" borderId="0" xfId="5" applyFont="1" applyBorder="1" applyAlignment="1">
      <alignment horizontal="right" indent="1"/>
    </xf>
    <xf numFmtId="15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  <xf numFmtId="0" fontId="35" fillId="0" borderId="8" xfId="0" applyFont="1" applyBorder="1" applyAlignment="1">
      <alignment horizontal="center" vertical="center"/>
    </xf>
    <xf numFmtId="0" fontId="37" fillId="0" borderId="56" xfId="0" applyFont="1" applyBorder="1" applyAlignment="1">
      <alignment horizontal="center" vertical="center"/>
    </xf>
    <xf numFmtId="0" fontId="38" fillId="0" borderId="8" xfId="0" applyFont="1" applyBorder="1" applyAlignment="1">
      <alignment vertical="center"/>
    </xf>
    <xf numFmtId="0" fontId="38" fillId="0" borderId="8" xfId="0" applyFont="1" applyBorder="1" applyAlignment="1">
      <alignment horizontal="center" vertical="center"/>
    </xf>
    <xf numFmtId="0" fontId="37" fillId="0" borderId="8" xfId="0" applyFont="1" applyBorder="1" applyAlignment="1">
      <alignment horizontal="right" vertical="center" indent="1"/>
    </xf>
    <xf numFmtId="0" fontId="38" fillId="0" borderId="8" xfId="0" applyFont="1" applyBorder="1" applyAlignment="1">
      <alignment horizontal="right" vertical="center" indent="1"/>
    </xf>
    <xf numFmtId="0" fontId="37" fillId="0" borderId="57" xfId="0" applyFont="1" applyBorder="1" applyAlignment="1">
      <alignment horizontal="right" vertical="center" wrapText="1"/>
    </xf>
    <xf numFmtId="0" fontId="37" fillId="0" borderId="57" xfId="0" applyFont="1" applyBorder="1" applyAlignment="1">
      <alignment horizontal="center" vertical="center" wrapText="1"/>
    </xf>
    <xf numFmtId="0" fontId="39" fillId="0" borderId="57" xfId="0" applyFont="1" applyBorder="1" applyAlignment="1">
      <alignment vertical="center" wrapText="1"/>
    </xf>
    <xf numFmtId="0" fontId="38" fillId="0" borderId="57" xfId="0" applyFont="1" applyBorder="1" applyAlignment="1">
      <alignment vertical="center" wrapText="1"/>
    </xf>
    <xf numFmtId="0" fontId="37" fillId="0" borderId="58" xfId="0" applyFont="1" applyBorder="1" applyAlignment="1">
      <alignment horizontal="center" vertical="center"/>
    </xf>
    <xf numFmtId="0" fontId="38" fillId="0" borderId="59" xfId="0" applyFont="1" applyBorder="1" applyAlignment="1">
      <alignment horizontal="center" vertical="center"/>
    </xf>
    <xf numFmtId="0" fontId="37" fillId="0" borderId="59" xfId="0" applyFont="1" applyBorder="1" applyAlignment="1">
      <alignment horizontal="right" vertical="center" indent="1"/>
    </xf>
    <xf numFmtId="0" fontId="38" fillId="0" borderId="59" xfId="0" applyFont="1" applyBorder="1" applyAlignment="1">
      <alignment horizontal="right" vertical="center" indent="1"/>
    </xf>
    <xf numFmtId="0" fontId="37" fillId="0" borderId="8" xfId="0" applyFont="1" applyBorder="1" applyAlignment="1">
      <alignment horizontal="right" vertical="center"/>
    </xf>
    <xf numFmtId="0" fontId="37" fillId="0" borderId="57" xfId="0" applyFont="1" applyBorder="1" applyAlignment="1">
      <alignment horizontal="center" vertical="center"/>
    </xf>
    <xf numFmtId="0" fontId="39" fillId="0" borderId="57" xfId="0" applyFont="1" applyBorder="1" applyAlignment="1">
      <alignment horizontal="center" vertical="center" wrapText="1"/>
    </xf>
    <xf numFmtId="0" fontId="38" fillId="0" borderId="57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 wrapText="1"/>
    </xf>
    <xf numFmtId="0" fontId="37" fillId="0" borderId="0" xfId="0" applyFont="1" applyAlignment="1">
      <alignment vertical="center" wrapText="1"/>
    </xf>
    <xf numFmtId="0" fontId="36" fillId="0" borderId="8" xfId="0" applyFont="1" applyBorder="1" applyAlignment="1">
      <alignment horizontal="center" vertical="center"/>
    </xf>
    <xf numFmtId="0" fontId="35" fillId="0" borderId="8" xfId="0" applyFont="1" applyBorder="1" applyAlignment="1">
      <alignment horizontal="right" vertical="center" indent="1"/>
    </xf>
    <xf numFmtId="0" fontId="35" fillId="0" borderId="8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7" fontId="37" fillId="0" borderId="57" xfId="5" applyNumberFormat="1" applyFont="1" applyBorder="1" applyAlignment="1">
      <alignment horizontal="right" vertical="center" wrapText="1"/>
    </xf>
    <xf numFmtId="167" fontId="38" fillId="0" borderId="57" xfId="5" applyNumberFormat="1" applyFont="1" applyBorder="1" applyAlignment="1">
      <alignment horizontal="center" vertical="center" wrapText="1"/>
    </xf>
    <xf numFmtId="167" fontId="37" fillId="0" borderId="57" xfId="5" applyNumberFormat="1" applyFont="1" applyBorder="1" applyAlignment="1">
      <alignment horizontal="right" vertical="center" indent="1"/>
    </xf>
    <xf numFmtId="167" fontId="37" fillId="0" borderId="8" xfId="5" applyNumberFormat="1" applyFont="1" applyBorder="1" applyAlignment="1">
      <alignment horizontal="right" vertical="center" indent="1"/>
    </xf>
    <xf numFmtId="167" fontId="38" fillId="0" borderId="8" xfId="5" applyNumberFormat="1" applyFont="1" applyBorder="1" applyAlignment="1">
      <alignment horizontal="center" vertical="center" wrapText="1"/>
    </xf>
    <xf numFmtId="167" fontId="37" fillId="0" borderId="8" xfId="5" applyNumberFormat="1" applyFont="1" applyBorder="1" applyAlignment="1">
      <alignment horizontal="center" vertical="center" wrapText="1"/>
    </xf>
    <xf numFmtId="167" fontId="35" fillId="0" borderId="8" xfId="5" applyNumberFormat="1" applyFont="1" applyBorder="1" applyAlignment="1">
      <alignment horizontal="right" vertical="center" indent="1"/>
    </xf>
    <xf numFmtId="0" fontId="0" fillId="0" borderId="7" xfId="0" applyBorder="1"/>
    <xf numFmtId="0" fontId="31" fillId="0" borderId="0" xfId="0" applyFont="1"/>
    <xf numFmtId="0" fontId="17" fillId="3" borderId="9" xfId="4" applyFont="1" applyFill="1" applyBorder="1" applyAlignment="1">
      <alignment horizontal="center" vertical="center"/>
    </xf>
    <xf numFmtId="0" fontId="17" fillId="3" borderId="10" xfId="4" applyFont="1" applyFill="1" applyBorder="1" applyAlignment="1">
      <alignment horizontal="center" vertical="center"/>
    </xf>
    <xf numFmtId="0" fontId="17" fillId="3" borderId="11" xfId="4" applyFont="1" applyFill="1" applyBorder="1" applyAlignment="1">
      <alignment horizontal="center" vertical="center"/>
    </xf>
    <xf numFmtId="0" fontId="26" fillId="0" borderId="22" xfId="2" applyFont="1" applyFill="1" applyBorder="1" applyAlignment="1">
      <alignment horizontal="center" vertical="center" wrapText="1"/>
    </xf>
    <xf numFmtId="0" fontId="26" fillId="0" borderId="16" xfId="2" applyFont="1" applyFill="1" applyBorder="1" applyAlignment="1">
      <alignment horizontal="center" vertical="center" wrapText="1"/>
    </xf>
    <xf numFmtId="0" fontId="26" fillId="0" borderId="15" xfId="2" applyFont="1" applyFill="1" applyBorder="1" applyAlignment="1">
      <alignment horizontal="center" vertical="center" wrapText="1"/>
    </xf>
    <xf numFmtId="0" fontId="26" fillId="0" borderId="17" xfId="2" applyFont="1" applyFill="1" applyBorder="1" applyAlignment="1">
      <alignment horizontal="center" vertical="center" wrapText="1"/>
    </xf>
    <xf numFmtId="0" fontId="26" fillId="0" borderId="24" xfId="2" applyFont="1" applyFill="1" applyBorder="1" applyAlignment="1">
      <alignment horizontal="center" vertical="center" wrapText="1"/>
    </xf>
    <xf numFmtId="0" fontId="26" fillId="0" borderId="25" xfId="2" applyFont="1" applyFill="1" applyBorder="1" applyAlignment="1">
      <alignment horizontal="center" vertical="center" wrapText="1"/>
    </xf>
    <xf numFmtId="0" fontId="24" fillId="0" borderId="27" xfId="4" applyFont="1" applyBorder="1" applyAlignment="1">
      <alignment horizontal="left" vertical="center" wrapText="1"/>
    </xf>
    <xf numFmtId="0" fontId="24" fillId="0" borderId="28" xfId="4" applyFont="1" applyBorder="1" applyAlignment="1">
      <alignment horizontal="left" vertical="center" wrapText="1"/>
    </xf>
    <xf numFmtId="0" fontId="24" fillId="0" borderId="29" xfId="4" applyFont="1" applyBorder="1" applyAlignment="1">
      <alignment horizontal="left" vertical="center" wrapText="1"/>
    </xf>
    <xf numFmtId="0" fontId="4" fillId="0" borderId="1" xfId="4" applyFont="1" applyBorder="1" applyAlignment="1">
      <alignment vertical="center"/>
    </xf>
    <xf numFmtId="0" fontId="4" fillId="0" borderId="2" xfId="4" applyFont="1" applyBorder="1" applyAlignment="1">
      <alignment vertical="center"/>
    </xf>
    <xf numFmtId="0" fontId="6" fillId="0" borderId="4" xfId="4" applyFont="1" applyBorder="1" applyAlignment="1">
      <alignment vertical="center"/>
    </xf>
    <xf numFmtId="0" fontId="6" fillId="0" borderId="0" xfId="4" applyFont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5" fillId="0" borderId="27" xfId="0" applyFont="1" applyBorder="1" applyAlignment="1">
      <alignment horizontal="center" vertical="center"/>
    </xf>
    <xf numFmtId="0" fontId="35" fillId="0" borderId="28" xfId="0" applyFont="1" applyBorder="1" applyAlignment="1">
      <alignment horizontal="center" vertical="center"/>
    </xf>
    <xf numFmtId="0" fontId="35" fillId="0" borderId="29" xfId="0" applyFont="1" applyBorder="1" applyAlignment="1">
      <alignment horizontal="center" vertical="center"/>
    </xf>
    <xf numFmtId="0" fontId="36" fillId="0" borderId="55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36" fillId="0" borderId="27" xfId="0" applyFont="1" applyBorder="1" applyAlignment="1">
      <alignment horizontal="center" vertical="center" wrapText="1"/>
    </xf>
    <xf numFmtId="0" fontId="36" fillId="0" borderId="28" xfId="0" applyFont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 wrapText="1"/>
    </xf>
    <xf numFmtId="0" fontId="35" fillId="0" borderId="55" xfId="0" applyFont="1" applyBorder="1" applyAlignment="1">
      <alignment horizontal="center" vertical="center" wrapText="1"/>
    </xf>
    <xf numFmtId="0" fontId="35" fillId="0" borderId="56" xfId="0" applyFont="1" applyBorder="1" applyAlignment="1">
      <alignment horizontal="center" vertical="center" wrapText="1"/>
    </xf>
    <xf numFmtId="0" fontId="36" fillId="0" borderId="55" xfId="0" applyFont="1" applyBorder="1" applyAlignment="1">
      <alignment vertical="center" wrapText="1"/>
    </xf>
    <xf numFmtId="0" fontId="36" fillId="0" borderId="56" xfId="0" applyFont="1" applyBorder="1" applyAlignment="1">
      <alignment vertical="center" wrapText="1"/>
    </xf>
    <xf numFmtId="0" fontId="31" fillId="0" borderId="54" xfId="0" applyFont="1" applyBorder="1" applyAlignment="1">
      <alignment horizontal="center"/>
    </xf>
  </cellXfs>
  <cellStyles count="6">
    <cellStyle name="Comma" xfId="5" builtinId="3"/>
    <cellStyle name="Explanatory Text" xfId="2" builtinId="53"/>
    <cellStyle name="Hyperlink" xfId="3" builtinId="8"/>
    <cellStyle name="Normal" xfId="0" builtinId="0"/>
    <cellStyle name="Normal 2_FOC 30.04.2012" xfId="4" xr:uid="{CAC4924A-F04C-4F75-9F04-3FB0648A25CA}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26" Type="http://schemas.microsoft.com/office/2017/10/relationships/person" Target="persons/person5.xml"/><Relationship Id="rId3" Type="http://schemas.openxmlformats.org/officeDocument/2006/relationships/worksheet" Target="worksheets/sheet3.xml"/><Relationship Id="rId34" Type="http://schemas.microsoft.com/office/2017/10/relationships/person" Target="persons/person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5" Type="http://schemas.microsoft.com/office/2017/10/relationships/person" Target="persons/person3.xml"/><Relationship Id="rId33" Type="http://schemas.microsoft.com/office/2017/10/relationships/person" Target="persons/person9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9" Type="http://schemas.microsoft.com/office/2017/10/relationships/person" Target="persons/pers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4.xml"/><Relationship Id="rId32" Type="http://schemas.microsoft.com/office/2017/10/relationships/person" Target="persons/person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8" Type="http://schemas.microsoft.com/office/2017/10/relationships/person" Target="persons/person1.xml"/><Relationship Id="rId23" Type="http://schemas.microsoft.com/office/2017/10/relationships/person" Target="persons/person2.xml"/><Relationship Id="rId10" Type="http://schemas.openxmlformats.org/officeDocument/2006/relationships/worksheet" Target="worksheets/sheet10.xml"/><Relationship Id="rId31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7" Type="http://schemas.microsoft.com/office/2017/10/relationships/person" Target="persons/person.xml"/><Relationship Id="rId30" Type="http://schemas.microsoft.com/office/2017/10/relationships/person" Target="persons/person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CB%20Price%20calculations%20Revised%204Feb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OfferToClient24Feb"/>
    </sheetNames>
    <sheetDataSet>
      <sheetData sheetId="0"/>
      <sheetData sheetId="1"/>
      <sheetData sheetId="2">
        <row r="2">
          <cell r="C2" t="str">
            <v>Part no.</v>
          </cell>
          <cell r="D2" t="str">
            <v>Product Description</v>
          </cell>
          <cell r="E2" t="str">
            <v>HSN CODE</v>
          </cell>
          <cell r="F2" t="str">
            <v>Qty</v>
          </cell>
          <cell r="G2" t="str">
            <v>Per Unit</v>
          </cell>
          <cell r="H2" t="str">
            <v>Discounted Price</v>
          </cell>
          <cell r="I2" t="str">
            <v>Total Discounted Cost (INR)</v>
          </cell>
          <cell r="J2" t="str">
            <v>Cost/Unit for Ship+Pkg +Fin</v>
          </cell>
          <cell r="K2" t="str">
            <v>Total Ship + Pkg + Fin cost</v>
          </cell>
          <cell r="L2" t="str">
            <v>Unit Cost (Matl+ship) INR</v>
          </cell>
          <cell r="M2" t="str">
            <v>Total Cost (Material + Pkg + Ship)</v>
          </cell>
          <cell r="N2" t="str">
            <v>Unit Sale Price (US$)</v>
          </cell>
          <cell r="O2" t="str">
            <v>Total Sale Price (US$)</v>
          </cell>
          <cell r="P2" t="str">
            <v>Description as per client</v>
          </cell>
          <cell r="Q2" t="str">
            <v>Qnty Ordered by Client</v>
          </cell>
          <cell r="R2" t="str">
            <v>Unit Price Offered by Client</v>
          </cell>
          <cell r="S2" t="str">
            <v>Difference</v>
          </cell>
          <cell r="T2" t="str">
            <v>Total Amount</v>
          </cell>
        </row>
        <row r="3">
          <cell r="C3" t="str">
            <v>02/601346</v>
          </cell>
          <cell r="D3" t="str">
            <v>FUEL FILTER</v>
          </cell>
          <cell r="E3" t="str">
            <v>4812 00 00</v>
          </cell>
          <cell r="F3">
            <v>12</v>
          </cell>
          <cell r="G3">
            <v>1273</v>
          </cell>
          <cell r="H3">
            <v>1145.7</v>
          </cell>
          <cell r="I3">
            <v>13748.400000000001</v>
          </cell>
          <cell r="J3">
            <v>57.285000000000004</v>
          </cell>
          <cell r="K3">
            <v>687.42000000000007</v>
          </cell>
          <cell r="L3">
            <v>1202.9850000000001</v>
          </cell>
          <cell r="M3">
            <v>14435.820000000002</v>
          </cell>
          <cell r="N3">
            <v>18.32</v>
          </cell>
          <cell r="O3">
            <v>219.84</v>
          </cell>
          <cell r="P3" t="str">
            <v>FUEL FILTER</v>
          </cell>
          <cell r="Q3">
            <v>12</v>
          </cell>
          <cell r="R3">
            <v>18.32</v>
          </cell>
          <cell r="S3">
            <v>0</v>
          </cell>
          <cell r="T3">
            <v>219.84</v>
          </cell>
        </row>
        <row r="4">
          <cell r="C4" t="str">
            <v>02/601346</v>
          </cell>
          <cell r="D4" t="str">
            <v>FUEL FILTER</v>
          </cell>
          <cell r="E4" t="str">
            <v>4812 00 00</v>
          </cell>
          <cell r="F4">
            <v>4</v>
          </cell>
          <cell r="G4">
            <v>1273</v>
          </cell>
          <cell r="H4">
            <v>1145.7</v>
          </cell>
          <cell r="I4">
            <v>4582.8</v>
          </cell>
          <cell r="J4">
            <v>57.285000000000004</v>
          </cell>
          <cell r="K4">
            <v>229.14000000000001</v>
          </cell>
          <cell r="L4">
            <v>1202.9850000000001</v>
          </cell>
          <cell r="M4">
            <v>4811.9400000000005</v>
          </cell>
          <cell r="N4">
            <v>18.32</v>
          </cell>
          <cell r="O4">
            <v>73.28</v>
          </cell>
          <cell r="P4" t="str">
            <v>FUEL FILTER</v>
          </cell>
          <cell r="Q4">
            <v>4</v>
          </cell>
          <cell r="R4">
            <v>18.32</v>
          </cell>
          <cell r="S4">
            <v>0</v>
          </cell>
          <cell r="T4">
            <v>73.28</v>
          </cell>
        </row>
        <row r="5">
          <cell r="C5" t="str">
            <v>02/630935A</v>
          </cell>
          <cell r="D5" t="str">
            <v>OIL FILTER</v>
          </cell>
          <cell r="E5" t="str">
            <v>8421 23 00</v>
          </cell>
          <cell r="F5">
            <v>12</v>
          </cell>
          <cell r="G5">
            <v>457</v>
          </cell>
          <cell r="H5">
            <v>411.3</v>
          </cell>
          <cell r="I5">
            <v>4935.6000000000004</v>
          </cell>
          <cell r="J5">
            <v>20.565000000000001</v>
          </cell>
          <cell r="K5">
            <v>246.78000000000003</v>
          </cell>
          <cell r="L5">
            <v>431.86500000000001</v>
          </cell>
          <cell r="M5">
            <v>5182.38</v>
          </cell>
          <cell r="N5">
            <v>6.58</v>
          </cell>
          <cell r="O5">
            <v>78.959999999999994</v>
          </cell>
          <cell r="P5" t="str">
            <v>OIL FILTER</v>
          </cell>
          <cell r="Q5">
            <v>12</v>
          </cell>
          <cell r="R5">
            <v>6.58</v>
          </cell>
          <cell r="S5">
            <v>0</v>
          </cell>
          <cell r="T5">
            <v>78.959999999999994</v>
          </cell>
        </row>
        <row r="6">
          <cell r="C6" t="str">
            <v>02/630935A</v>
          </cell>
          <cell r="D6" t="str">
            <v>OIL FILTER</v>
          </cell>
          <cell r="E6" t="str">
            <v>8421 23 00</v>
          </cell>
          <cell r="F6">
            <v>4</v>
          </cell>
          <cell r="G6">
            <v>457</v>
          </cell>
          <cell r="H6">
            <v>411.3</v>
          </cell>
          <cell r="I6">
            <v>1645.2</v>
          </cell>
          <cell r="J6">
            <v>20.565000000000001</v>
          </cell>
          <cell r="K6">
            <v>82.26</v>
          </cell>
          <cell r="L6">
            <v>431.86500000000001</v>
          </cell>
          <cell r="M6">
            <v>1727.46</v>
          </cell>
          <cell r="N6">
            <v>6.58</v>
          </cell>
          <cell r="O6">
            <v>26.32</v>
          </cell>
          <cell r="P6" t="str">
            <v>OIL FILTER</v>
          </cell>
          <cell r="Q6">
            <v>4</v>
          </cell>
          <cell r="R6">
            <v>6.58</v>
          </cell>
          <cell r="S6">
            <v>0</v>
          </cell>
          <cell r="T6">
            <v>26.32</v>
          </cell>
        </row>
        <row r="7">
          <cell r="C7" t="str">
            <v>02/910140A</v>
          </cell>
          <cell r="D7" t="str">
            <v>OIL FILTER</v>
          </cell>
          <cell r="E7" t="str">
            <v>8421 23 00</v>
          </cell>
          <cell r="F7">
            <v>120</v>
          </cell>
          <cell r="G7">
            <v>388</v>
          </cell>
          <cell r="H7">
            <v>349.2</v>
          </cell>
          <cell r="I7">
            <v>41904</v>
          </cell>
          <cell r="J7">
            <v>17.46</v>
          </cell>
          <cell r="K7">
            <v>2095.2000000000003</v>
          </cell>
          <cell r="L7">
            <v>366.65999999999997</v>
          </cell>
          <cell r="M7">
            <v>43999.199999999997</v>
          </cell>
          <cell r="N7">
            <v>5.59</v>
          </cell>
          <cell r="O7">
            <v>670.8</v>
          </cell>
          <cell r="P7" t="str">
            <v>OIL FILTER</v>
          </cell>
          <cell r="Q7">
            <v>120</v>
          </cell>
          <cell r="R7">
            <v>5.59</v>
          </cell>
          <cell r="S7">
            <v>0</v>
          </cell>
          <cell r="T7">
            <v>670.8</v>
          </cell>
        </row>
        <row r="8">
          <cell r="C8" t="str">
            <v>02/910140A</v>
          </cell>
          <cell r="D8" t="str">
            <v>OIL FILTER</v>
          </cell>
          <cell r="E8" t="str">
            <v>8421 23 00</v>
          </cell>
          <cell r="F8">
            <v>40</v>
          </cell>
          <cell r="G8">
            <v>388</v>
          </cell>
          <cell r="H8">
            <v>349.2</v>
          </cell>
          <cell r="I8">
            <v>13968</v>
          </cell>
          <cell r="J8">
            <v>17.46</v>
          </cell>
          <cell r="K8">
            <v>698.40000000000009</v>
          </cell>
          <cell r="L8">
            <v>366.65999999999997</v>
          </cell>
          <cell r="M8">
            <v>14666.399999999998</v>
          </cell>
          <cell r="N8">
            <v>5.59</v>
          </cell>
          <cell r="O8">
            <v>223.6</v>
          </cell>
          <cell r="P8" t="str">
            <v>OIL FILTER</v>
          </cell>
          <cell r="Q8">
            <v>40</v>
          </cell>
          <cell r="R8">
            <v>5.59</v>
          </cell>
          <cell r="S8">
            <v>0</v>
          </cell>
          <cell r="T8">
            <v>223.6</v>
          </cell>
        </row>
        <row r="9">
          <cell r="C9" t="str">
            <v>2611/00281</v>
          </cell>
          <cell r="D9" t="str">
            <v>HYD FILTER</v>
          </cell>
          <cell r="E9" t="str">
            <v>8421 99 00</v>
          </cell>
          <cell r="F9">
            <v>12</v>
          </cell>
          <cell r="G9">
            <v>3505</v>
          </cell>
          <cell r="H9">
            <v>3154.5</v>
          </cell>
          <cell r="I9">
            <v>37854</v>
          </cell>
          <cell r="J9">
            <v>157.72500000000002</v>
          </cell>
          <cell r="K9">
            <v>1892.7000000000003</v>
          </cell>
          <cell r="L9">
            <v>3312.2249999999999</v>
          </cell>
          <cell r="M9">
            <v>39746.699999999997</v>
          </cell>
          <cell r="N9">
            <v>50.44</v>
          </cell>
          <cell r="O9">
            <v>605.28</v>
          </cell>
          <cell r="P9" t="str">
            <v>HYD FILTER</v>
          </cell>
          <cell r="Q9">
            <v>12</v>
          </cell>
          <cell r="R9">
            <v>50.44</v>
          </cell>
          <cell r="S9">
            <v>0</v>
          </cell>
          <cell r="T9">
            <v>605.28</v>
          </cell>
        </row>
        <row r="10">
          <cell r="C10" t="str">
            <v>2611/00281</v>
          </cell>
          <cell r="D10" t="str">
            <v>HYD FILTER</v>
          </cell>
          <cell r="E10" t="str">
            <v>8421 99 00</v>
          </cell>
          <cell r="F10">
            <v>60</v>
          </cell>
          <cell r="G10">
            <v>3505</v>
          </cell>
          <cell r="H10">
            <v>3154.5</v>
          </cell>
          <cell r="I10">
            <v>189270</v>
          </cell>
          <cell r="J10">
            <v>157.72500000000002</v>
          </cell>
          <cell r="K10">
            <v>9463.5000000000018</v>
          </cell>
          <cell r="L10">
            <v>3312.2249999999999</v>
          </cell>
          <cell r="M10">
            <v>198733.5</v>
          </cell>
          <cell r="N10">
            <v>50.44</v>
          </cell>
          <cell r="O10">
            <v>3026.4</v>
          </cell>
          <cell r="P10" t="str">
            <v>HYD FILTER</v>
          </cell>
          <cell r="Q10">
            <v>60</v>
          </cell>
          <cell r="R10">
            <v>50.44</v>
          </cell>
          <cell r="S10">
            <v>0</v>
          </cell>
          <cell r="T10">
            <v>3026.4</v>
          </cell>
        </row>
        <row r="11">
          <cell r="C11" t="str">
            <v>2611/00281</v>
          </cell>
          <cell r="D11" t="str">
            <v>HYDRAULIC FILTER</v>
          </cell>
          <cell r="E11" t="str">
            <v>4812 00 00</v>
          </cell>
          <cell r="F11">
            <v>20</v>
          </cell>
          <cell r="G11">
            <v>3505</v>
          </cell>
          <cell r="H11">
            <v>3154.5</v>
          </cell>
          <cell r="I11">
            <v>63090</v>
          </cell>
          <cell r="J11">
            <v>157.72500000000002</v>
          </cell>
          <cell r="K11">
            <v>3154.5000000000005</v>
          </cell>
          <cell r="L11">
            <v>3312.2249999999999</v>
          </cell>
          <cell r="M11">
            <v>66244.5</v>
          </cell>
          <cell r="N11">
            <v>50.44</v>
          </cell>
          <cell r="O11">
            <v>1008.8</v>
          </cell>
          <cell r="P11" t="str">
            <v>HYD FILTER</v>
          </cell>
          <cell r="Q11">
            <v>20</v>
          </cell>
          <cell r="R11">
            <v>50.44</v>
          </cell>
          <cell r="S11">
            <v>0</v>
          </cell>
          <cell r="T11">
            <v>1008.8</v>
          </cell>
        </row>
        <row r="12">
          <cell r="C12" t="str">
            <v>2611/00281</v>
          </cell>
          <cell r="D12" t="str">
            <v>HYDRAULIC FILTER</v>
          </cell>
          <cell r="E12" t="str">
            <v>4812 00 00</v>
          </cell>
          <cell r="F12">
            <v>4</v>
          </cell>
          <cell r="G12">
            <v>3505</v>
          </cell>
          <cell r="H12">
            <v>3154.5</v>
          </cell>
          <cell r="I12">
            <v>12618</v>
          </cell>
          <cell r="J12">
            <v>157.72500000000002</v>
          </cell>
          <cell r="K12">
            <v>630.90000000000009</v>
          </cell>
          <cell r="L12">
            <v>3312.2249999999999</v>
          </cell>
          <cell r="M12">
            <v>13248.9</v>
          </cell>
          <cell r="N12">
            <v>50.44</v>
          </cell>
          <cell r="O12">
            <v>201.76</v>
          </cell>
          <cell r="P12" t="str">
            <v>HYD FILTER</v>
          </cell>
          <cell r="Q12">
            <v>4</v>
          </cell>
          <cell r="R12">
            <v>50.44</v>
          </cell>
          <cell r="S12">
            <v>0</v>
          </cell>
          <cell r="T12">
            <v>201.76</v>
          </cell>
        </row>
        <row r="13">
          <cell r="C13" t="str">
            <v>30/926020</v>
          </cell>
          <cell r="D13" t="str">
            <v>A/C FILTER</v>
          </cell>
          <cell r="E13" t="str">
            <v>8421 99 00</v>
          </cell>
          <cell r="F13">
            <v>24</v>
          </cell>
          <cell r="G13">
            <v>1271</v>
          </cell>
          <cell r="H13">
            <v>1143.9000000000001</v>
          </cell>
          <cell r="I13">
            <v>27453.600000000002</v>
          </cell>
          <cell r="J13">
            <v>57.195000000000007</v>
          </cell>
          <cell r="K13">
            <v>1372.6800000000003</v>
          </cell>
          <cell r="L13">
            <v>1201.095</v>
          </cell>
          <cell r="M13">
            <v>28826.28</v>
          </cell>
          <cell r="N13">
            <v>18.290000000000003</v>
          </cell>
          <cell r="O13">
            <v>438.96</v>
          </cell>
          <cell r="P13" t="str">
            <v>AC. FILTER</v>
          </cell>
          <cell r="Q13">
            <v>24</v>
          </cell>
          <cell r="R13">
            <v>18.290000000000003</v>
          </cell>
          <cell r="S13">
            <v>0</v>
          </cell>
          <cell r="T13">
            <v>438.96</v>
          </cell>
        </row>
        <row r="14">
          <cell r="C14" t="str">
            <v>30/926020</v>
          </cell>
          <cell r="D14" t="str">
            <v>AC FILTER</v>
          </cell>
          <cell r="E14" t="str">
            <v>4812 00 00</v>
          </cell>
          <cell r="F14">
            <v>8</v>
          </cell>
          <cell r="G14">
            <v>1271</v>
          </cell>
          <cell r="H14">
            <v>1143.9000000000001</v>
          </cell>
          <cell r="I14">
            <v>9151.2000000000007</v>
          </cell>
          <cell r="J14">
            <v>57.195000000000007</v>
          </cell>
          <cell r="K14">
            <v>457.56000000000006</v>
          </cell>
          <cell r="L14">
            <v>1201.095</v>
          </cell>
          <cell r="M14">
            <v>9608.76</v>
          </cell>
          <cell r="N14">
            <v>18.290000000000003</v>
          </cell>
          <cell r="O14">
            <v>146.32</v>
          </cell>
          <cell r="P14" t="str">
            <v>AC. FILTER</v>
          </cell>
          <cell r="Q14">
            <v>8</v>
          </cell>
          <cell r="R14">
            <v>18.290000000000003</v>
          </cell>
          <cell r="S14">
            <v>0</v>
          </cell>
          <cell r="T14">
            <v>146.32</v>
          </cell>
        </row>
        <row r="15">
          <cell r="C15" t="str">
            <v>32/915801</v>
          </cell>
          <cell r="D15" t="str">
            <v>AIR FILTER INNER</v>
          </cell>
          <cell r="E15" t="str">
            <v>5603 94 00</v>
          </cell>
          <cell r="F15">
            <v>30</v>
          </cell>
          <cell r="G15">
            <v>1010</v>
          </cell>
          <cell r="H15">
            <v>909</v>
          </cell>
          <cell r="I15">
            <v>27270</v>
          </cell>
          <cell r="J15">
            <v>45.45</v>
          </cell>
          <cell r="K15">
            <v>1363.5</v>
          </cell>
          <cell r="L15">
            <v>954.45</v>
          </cell>
          <cell r="M15">
            <v>28633.5</v>
          </cell>
          <cell r="N15">
            <v>14.54</v>
          </cell>
          <cell r="O15">
            <v>436.2</v>
          </cell>
          <cell r="P15" t="str">
            <v>AIR FILTER INNER</v>
          </cell>
          <cell r="Q15">
            <v>30</v>
          </cell>
          <cell r="R15">
            <v>14.54</v>
          </cell>
          <cell r="S15">
            <v>0</v>
          </cell>
          <cell r="T15">
            <v>436.2</v>
          </cell>
        </row>
        <row r="16">
          <cell r="C16" t="str">
            <v>32/915801</v>
          </cell>
          <cell r="D16" t="str">
            <v>AIR FILTER IN</v>
          </cell>
          <cell r="E16" t="str">
            <v>5603 94 00</v>
          </cell>
          <cell r="F16">
            <v>10</v>
          </cell>
          <cell r="G16">
            <v>1010</v>
          </cell>
          <cell r="H16">
            <v>909</v>
          </cell>
          <cell r="I16">
            <v>9090</v>
          </cell>
          <cell r="J16">
            <v>45.45</v>
          </cell>
          <cell r="K16">
            <v>454.5</v>
          </cell>
          <cell r="L16">
            <v>954.45</v>
          </cell>
          <cell r="M16">
            <v>9544.5</v>
          </cell>
          <cell r="N16">
            <v>14.54</v>
          </cell>
          <cell r="O16">
            <v>145.4</v>
          </cell>
          <cell r="P16" t="str">
            <v>AIR FILTER INNER</v>
          </cell>
          <cell r="Q16">
            <v>10</v>
          </cell>
          <cell r="R16">
            <v>14.54</v>
          </cell>
          <cell r="S16">
            <v>0</v>
          </cell>
          <cell r="T16">
            <v>145.4</v>
          </cell>
        </row>
        <row r="17">
          <cell r="C17" t="str">
            <v>32/915802</v>
          </cell>
          <cell r="D17" t="str">
            <v>AIR FILTER OUTER</v>
          </cell>
          <cell r="E17" t="str">
            <v>4823 90 90</v>
          </cell>
          <cell r="F17">
            <v>30</v>
          </cell>
          <cell r="G17">
            <v>1488</v>
          </cell>
          <cell r="H17">
            <v>1339.2</v>
          </cell>
          <cell r="I17">
            <v>40176</v>
          </cell>
          <cell r="J17">
            <v>66.960000000000008</v>
          </cell>
          <cell r="K17">
            <v>2008.8000000000002</v>
          </cell>
          <cell r="L17">
            <v>1406.16</v>
          </cell>
          <cell r="M17">
            <v>42184.800000000003</v>
          </cell>
          <cell r="N17">
            <v>21.41</v>
          </cell>
          <cell r="O17">
            <v>642.29999999999995</v>
          </cell>
          <cell r="P17" t="str">
            <v>AIR FILTER OUTER</v>
          </cell>
          <cell r="Q17">
            <v>30</v>
          </cell>
          <cell r="R17">
            <v>21.41</v>
          </cell>
          <cell r="S17">
            <v>0</v>
          </cell>
          <cell r="T17">
            <v>642.29999999999995</v>
          </cell>
        </row>
        <row r="18">
          <cell r="C18" t="str">
            <v>32/915802</v>
          </cell>
          <cell r="D18" t="str">
            <v>AIR FILTER OUT</v>
          </cell>
          <cell r="E18" t="str">
            <v>4823 90 90</v>
          </cell>
          <cell r="F18">
            <v>10</v>
          </cell>
          <cell r="G18">
            <v>1488</v>
          </cell>
          <cell r="H18">
            <v>1339.2</v>
          </cell>
          <cell r="I18">
            <v>13392</v>
          </cell>
          <cell r="J18">
            <v>66.960000000000008</v>
          </cell>
          <cell r="K18">
            <v>669.60000000000014</v>
          </cell>
          <cell r="L18">
            <v>1406.16</v>
          </cell>
          <cell r="M18">
            <v>14061.6</v>
          </cell>
          <cell r="N18">
            <v>21.41</v>
          </cell>
          <cell r="O18">
            <v>214.1</v>
          </cell>
          <cell r="P18" t="str">
            <v>AIR FILTER OUTER</v>
          </cell>
          <cell r="Q18">
            <v>10</v>
          </cell>
          <cell r="R18">
            <v>21.41</v>
          </cell>
          <cell r="S18">
            <v>0</v>
          </cell>
          <cell r="T18">
            <v>214.1</v>
          </cell>
        </row>
        <row r="19">
          <cell r="C19" t="str">
            <v>32/920300</v>
          </cell>
          <cell r="D19" t="str">
            <v>HYDRAULIC FILTER</v>
          </cell>
          <cell r="E19" t="str">
            <v>8421 23 00</v>
          </cell>
          <cell r="F19">
            <v>60</v>
          </cell>
          <cell r="G19">
            <v>556</v>
          </cell>
          <cell r="H19">
            <v>500.4</v>
          </cell>
          <cell r="I19">
            <v>30024</v>
          </cell>
          <cell r="J19">
            <v>25.02</v>
          </cell>
          <cell r="K19">
            <v>1501.2</v>
          </cell>
          <cell r="L19">
            <v>525.41999999999996</v>
          </cell>
          <cell r="M19">
            <v>31525.199999999997</v>
          </cell>
          <cell r="N19">
            <v>8</v>
          </cell>
          <cell r="O19">
            <v>480</v>
          </cell>
          <cell r="P19" t="str">
            <v>HYD FILTER</v>
          </cell>
          <cell r="Q19">
            <v>60</v>
          </cell>
          <cell r="R19">
            <v>8</v>
          </cell>
          <cell r="S19">
            <v>0</v>
          </cell>
          <cell r="T19">
            <v>480</v>
          </cell>
        </row>
        <row r="20">
          <cell r="C20" t="str">
            <v>32/920300</v>
          </cell>
          <cell r="D20" t="str">
            <v>HYDRAULIC FILTER</v>
          </cell>
          <cell r="E20" t="str">
            <v>4812 00 00</v>
          </cell>
          <cell r="F20">
            <v>20</v>
          </cell>
          <cell r="G20">
            <v>556</v>
          </cell>
          <cell r="H20">
            <v>500.4</v>
          </cell>
          <cell r="I20">
            <v>10008</v>
          </cell>
          <cell r="J20">
            <v>25.02</v>
          </cell>
          <cell r="K20">
            <v>500.4</v>
          </cell>
          <cell r="L20">
            <v>525.41999999999996</v>
          </cell>
          <cell r="M20">
            <v>10508.4</v>
          </cell>
          <cell r="N20">
            <v>8</v>
          </cell>
          <cell r="O20">
            <v>160</v>
          </cell>
          <cell r="P20" t="str">
            <v>HYD FILTER</v>
          </cell>
          <cell r="Q20">
            <v>20</v>
          </cell>
          <cell r="R20">
            <v>8</v>
          </cell>
          <cell r="S20">
            <v>0</v>
          </cell>
          <cell r="T20">
            <v>160</v>
          </cell>
        </row>
        <row r="21">
          <cell r="C21" t="str">
            <v>32/925346</v>
          </cell>
          <cell r="D21" t="str">
            <v>FILTER 12U PQ416</v>
          </cell>
          <cell r="E21" t="str">
            <v>4812 00 00</v>
          </cell>
          <cell r="F21">
            <v>50</v>
          </cell>
          <cell r="G21">
            <v>3166</v>
          </cell>
          <cell r="H21">
            <v>2849.4</v>
          </cell>
          <cell r="I21">
            <v>142470</v>
          </cell>
          <cell r="J21">
            <v>142.47</v>
          </cell>
          <cell r="K21">
            <v>7123.5</v>
          </cell>
          <cell r="L21">
            <v>2991.87</v>
          </cell>
          <cell r="M21">
            <v>149593.5</v>
          </cell>
          <cell r="N21">
            <v>45.559999999999995</v>
          </cell>
          <cell r="O21">
            <v>2278</v>
          </cell>
          <cell r="P21" t="str">
            <v>FILTER 12U PQ416</v>
          </cell>
          <cell r="Q21">
            <v>50</v>
          </cell>
          <cell r="R21">
            <v>45.559999999999995</v>
          </cell>
          <cell r="S21">
            <v>0</v>
          </cell>
          <cell r="T21">
            <v>2278</v>
          </cell>
        </row>
        <row r="22">
          <cell r="C22" t="str">
            <v>32/925359</v>
          </cell>
          <cell r="D22" t="str">
            <v>HYD FILTER</v>
          </cell>
          <cell r="E22" t="str">
            <v>4812 00 00</v>
          </cell>
          <cell r="F22">
            <v>30</v>
          </cell>
          <cell r="G22">
            <v>3215</v>
          </cell>
          <cell r="H22">
            <v>2893.5</v>
          </cell>
          <cell r="I22">
            <v>86805</v>
          </cell>
          <cell r="J22">
            <v>144.67500000000001</v>
          </cell>
          <cell r="K22">
            <v>4340.25</v>
          </cell>
          <cell r="L22">
            <v>3038.1750000000002</v>
          </cell>
          <cell r="M22">
            <v>91145.25</v>
          </cell>
          <cell r="N22">
            <v>46.26</v>
          </cell>
          <cell r="O22">
            <v>1387.8</v>
          </cell>
          <cell r="P22" t="str">
            <v>HYD FILTER</v>
          </cell>
          <cell r="Q22">
            <v>30</v>
          </cell>
          <cell r="R22">
            <v>46.26</v>
          </cell>
          <cell r="S22">
            <v>0</v>
          </cell>
          <cell r="T22">
            <v>1387.8</v>
          </cell>
        </row>
        <row r="23">
          <cell r="C23" t="str">
            <v>32/925666</v>
          </cell>
          <cell r="D23" t="str">
            <v>FUEL FILTER</v>
          </cell>
          <cell r="E23" t="str">
            <v>8421 99 00</v>
          </cell>
          <cell r="F23">
            <v>12</v>
          </cell>
          <cell r="G23">
            <v>1678</v>
          </cell>
          <cell r="H23">
            <v>1510.2</v>
          </cell>
          <cell r="I23">
            <v>18122.400000000001</v>
          </cell>
          <cell r="J23">
            <v>75.510000000000005</v>
          </cell>
          <cell r="K23">
            <v>906.12000000000012</v>
          </cell>
          <cell r="L23">
            <v>1585.71</v>
          </cell>
          <cell r="M23">
            <v>19028.52</v>
          </cell>
          <cell r="N23">
            <v>24.150000000000002</v>
          </cell>
          <cell r="O23">
            <v>289.8</v>
          </cell>
          <cell r="P23" t="str">
            <v>FUEL FILTER</v>
          </cell>
          <cell r="Q23">
            <v>12</v>
          </cell>
          <cell r="R23">
            <v>24.150000000000002</v>
          </cell>
          <cell r="S23">
            <v>0</v>
          </cell>
          <cell r="T23">
            <v>289.8</v>
          </cell>
        </row>
        <row r="24">
          <cell r="C24" t="str">
            <v>32/925666</v>
          </cell>
          <cell r="D24" t="str">
            <v>FUEL FILTER</v>
          </cell>
          <cell r="E24" t="str">
            <v>8421 99 00</v>
          </cell>
          <cell r="F24">
            <v>60</v>
          </cell>
          <cell r="G24">
            <v>1678</v>
          </cell>
          <cell r="H24">
            <v>1510.2</v>
          </cell>
          <cell r="I24">
            <v>90612</v>
          </cell>
          <cell r="J24">
            <v>75.510000000000005</v>
          </cell>
          <cell r="K24">
            <v>4530.6000000000004</v>
          </cell>
          <cell r="L24">
            <v>1585.71</v>
          </cell>
          <cell r="M24">
            <v>95142.6</v>
          </cell>
          <cell r="N24">
            <v>24.150000000000002</v>
          </cell>
          <cell r="O24">
            <v>1449</v>
          </cell>
          <cell r="P24" t="str">
            <v>FUEL FILTER</v>
          </cell>
          <cell r="Q24">
            <v>60</v>
          </cell>
          <cell r="R24">
            <v>24.150000000000002</v>
          </cell>
          <cell r="S24">
            <v>0</v>
          </cell>
          <cell r="T24">
            <v>1449</v>
          </cell>
        </row>
        <row r="25">
          <cell r="C25" t="str">
            <v>32/925666</v>
          </cell>
          <cell r="D25" t="str">
            <v>FUEL FILTER</v>
          </cell>
          <cell r="E25" t="str">
            <v>4812 00 00</v>
          </cell>
          <cell r="F25">
            <v>20</v>
          </cell>
          <cell r="G25">
            <v>1678</v>
          </cell>
          <cell r="H25">
            <v>1510.2</v>
          </cell>
          <cell r="I25">
            <v>30204</v>
          </cell>
          <cell r="J25">
            <v>75.510000000000005</v>
          </cell>
          <cell r="K25">
            <v>1510.2</v>
          </cell>
          <cell r="L25">
            <v>1585.71</v>
          </cell>
          <cell r="M25">
            <v>31714.2</v>
          </cell>
          <cell r="N25">
            <v>24.150000000000002</v>
          </cell>
          <cell r="O25">
            <v>483</v>
          </cell>
          <cell r="P25" t="str">
            <v>FUEL FILTER</v>
          </cell>
          <cell r="Q25">
            <v>20</v>
          </cell>
          <cell r="R25">
            <v>24.150000000000002</v>
          </cell>
          <cell r="S25">
            <v>0</v>
          </cell>
          <cell r="T25">
            <v>483</v>
          </cell>
        </row>
        <row r="26">
          <cell r="C26" t="str">
            <v>32/925666</v>
          </cell>
          <cell r="D26" t="str">
            <v>FUEL FILTER</v>
          </cell>
          <cell r="E26" t="str">
            <v>4812 00 00</v>
          </cell>
          <cell r="F26">
            <v>4</v>
          </cell>
          <cell r="G26">
            <v>1678</v>
          </cell>
          <cell r="H26">
            <v>1510.2</v>
          </cell>
          <cell r="I26">
            <v>6040.8</v>
          </cell>
          <cell r="J26">
            <v>75.510000000000005</v>
          </cell>
          <cell r="K26">
            <v>302.04000000000002</v>
          </cell>
          <cell r="L26">
            <v>1585.71</v>
          </cell>
          <cell r="M26">
            <v>6342.84</v>
          </cell>
          <cell r="N26">
            <v>24.150000000000002</v>
          </cell>
          <cell r="O26">
            <v>96.6</v>
          </cell>
          <cell r="P26" t="str">
            <v>FUEL FILTER</v>
          </cell>
          <cell r="Q26">
            <v>4</v>
          </cell>
          <cell r="R26">
            <v>24.150000000000002</v>
          </cell>
          <cell r="S26">
            <v>0</v>
          </cell>
          <cell r="T26">
            <v>96.6</v>
          </cell>
        </row>
        <row r="27">
          <cell r="C27" t="str">
            <v>32/925682</v>
          </cell>
          <cell r="D27" t="str">
            <v>ELEMENT AIR PQ145</v>
          </cell>
          <cell r="E27" t="str">
            <v>4812 00 00</v>
          </cell>
          <cell r="F27">
            <v>100</v>
          </cell>
          <cell r="G27">
            <v>3005</v>
          </cell>
          <cell r="H27">
            <v>2704.5</v>
          </cell>
          <cell r="I27">
            <v>270450</v>
          </cell>
          <cell r="J27">
            <v>135.22499999999999</v>
          </cell>
          <cell r="K27">
            <v>13522.5</v>
          </cell>
          <cell r="L27">
            <v>2839.7249999999999</v>
          </cell>
          <cell r="M27">
            <v>283972.5</v>
          </cell>
          <cell r="N27">
            <v>43.239999999999995</v>
          </cell>
          <cell r="O27">
            <v>4324</v>
          </cell>
          <cell r="P27" t="str">
            <v>ELEMENT AIR PQ145</v>
          </cell>
          <cell r="Q27">
            <v>100</v>
          </cell>
          <cell r="R27">
            <v>43.239999999999995</v>
          </cell>
          <cell r="S27">
            <v>0</v>
          </cell>
          <cell r="T27">
            <v>4324</v>
          </cell>
        </row>
        <row r="28">
          <cell r="C28" t="str">
            <v>32/925683</v>
          </cell>
          <cell r="D28" t="str">
            <v>SAFETY ELEMENT</v>
          </cell>
          <cell r="E28" t="str">
            <v>4812 00 00</v>
          </cell>
          <cell r="F28">
            <v>100</v>
          </cell>
          <cell r="G28">
            <v>1689</v>
          </cell>
          <cell r="H28">
            <v>1520.1</v>
          </cell>
          <cell r="I28">
            <v>152010</v>
          </cell>
          <cell r="J28">
            <v>76.004999999999995</v>
          </cell>
          <cell r="K28">
            <v>7600.5</v>
          </cell>
          <cell r="L28">
            <v>1596.105</v>
          </cell>
          <cell r="M28">
            <v>159610.5</v>
          </cell>
          <cell r="N28">
            <v>24.310000000000002</v>
          </cell>
          <cell r="O28">
            <v>2431</v>
          </cell>
          <cell r="P28" t="str">
            <v>SAFETY ELEMENT</v>
          </cell>
          <cell r="Q28">
            <v>100</v>
          </cell>
          <cell r="R28">
            <v>24.310000000000002</v>
          </cell>
          <cell r="S28">
            <v>0</v>
          </cell>
          <cell r="T28">
            <v>2431</v>
          </cell>
        </row>
        <row r="29">
          <cell r="C29" t="str">
            <v>320/07426</v>
          </cell>
          <cell r="D29" t="str">
            <v>FUEL WATER SP FLITER</v>
          </cell>
          <cell r="E29" t="str">
            <v>8421 29 00</v>
          </cell>
          <cell r="F29">
            <v>12</v>
          </cell>
          <cell r="G29">
            <v>3761</v>
          </cell>
          <cell r="H29">
            <v>3384.9</v>
          </cell>
          <cell r="I29">
            <v>40618.800000000003</v>
          </cell>
          <cell r="J29">
            <v>169.245</v>
          </cell>
          <cell r="K29">
            <v>2030.94</v>
          </cell>
          <cell r="L29">
            <v>3554.145</v>
          </cell>
          <cell r="M29">
            <v>42649.74</v>
          </cell>
          <cell r="N29">
            <v>54.12</v>
          </cell>
          <cell r="O29">
            <v>649.44000000000005</v>
          </cell>
          <cell r="P29" t="str">
            <v>FUEL WATER SP FLITER</v>
          </cell>
          <cell r="Q29">
            <v>12</v>
          </cell>
          <cell r="R29">
            <v>54.12</v>
          </cell>
          <cell r="S29">
            <v>0</v>
          </cell>
          <cell r="T29">
            <v>649.44000000000005</v>
          </cell>
        </row>
        <row r="30">
          <cell r="C30" t="str">
            <v>320/07426</v>
          </cell>
          <cell r="D30" t="str">
            <v>FUEL FILTER</v>
          </cell>
          <cell r="E30" t="str">
            <v>8421 29 00</v>
          </cell>
          <cell r="F30">
            <v>4</v>
          </cell>
          <cell r="G30">
            <v>3761</v>
          </cell>
          <cell r="H30">
            <v>3384.9</v>
          </cell>
          <cell r="I30">
            <v>13539.6</v>
          </cell>
          <cell r="J30">
            <v>169.245</v>
          </cell>
          <cell r="K30">
            <v>676.98</v>
          </cell>
          <cell r="L30">
            <v>3554.145</v>
          </cell>
          <cell r="M30">
            <v>14216.58</v>
          </cell>
          <cell r="N30">
            <v>54.12</v>
          </cell>
          <cell r="O30">
            <v>216.48</v>
          </cell>
          <cell r="P30" t="str">
            <v>FUEL WATER SP FLITER</v>
          </cell>
          <cell r="Q30">
            <v>4</v>
          </cell>
          <cell r="R30">
            <v>54.12</v>
          </cell>
          <cell r="S30">
            <v>0</v>
          </cell>
          <cell r="T30">
            <v>216.48</v>
          </cell>
        </row>
        <row r="31">
          <cell r="C31" t="str">
            <v>320/07483</v>
          </cell>
          <cell r="D31" t="str">
            <v>FUEL WATER SP FLITER</v>
          </cell>
          <cell r="E31" t="str">
            <v>8421 99 00</v>
          </cell>
          <cell r="F31">
            <v>12</v>
          </cell>
          <cell r="G31">
            <v>4028</v>
          </cell>
          <cell r="H31">
            <v>3625.2</v>
          </cell>
          <cell r="I31">
            <v>43502.399999999994</v>
          </cell>
          <cell r="J31">
            <v>181.26</v>
          </cell>
          <cell r="K31">
            <v>2175.12</v>
          </cell>
          <cell r="L31">
            <v>3806.46</v>
          </cell>
          <cell r="M31">
            <v>45677.520000000004</v>
          </cell>
          <cell r="N31">
            <v>57.96</v>
          </cell>
          <cell r="O31">
            <v>695.52</v>
          </cell>
          <cell r="P31" t="str">
            <v>FUEL WATER SP FLITER</v>
          </cell>
          <cell r="Q31">
            <v>12</v>
          </cell>
          <cell r="R31">
            <v>57.96</v>
          </cell>
          <cell r="S31">
            <v>0</v>
          </cell>
          <cell r="T31">
            <v>695.52</v>
          </cell>
        </row>
        <row r="32">
          <cell r="C32" t="str">
            <v>320/07483</v>
          </cell>
          <cell r="D32" t="str">
            <v>FUEL FILTER</v>
          </cell>
          <cell r="E32" t="str">
            <v>8421 99 00</v>
          </cell>
          <cell r="F32">
            <v>4</v>
          </cell>
          <cell r="G32">
            <v>4028</v>
          </cell>
          <cell r="H32">
            <v>3625.2</v>
          </cell>
          <cell r="I32">
            <v>14500.8</v>
          </cell>
          <cell r="J32">
            <v>181.26</v>
          </cell>
          <cell r="K32">
            <v>725.04</v>
          </cell>
          <cell r="L32">
            <v>3806.46</v>
          </cell>
          <cell r="M32">
            <v>15225.84</v>
          </cell>
          <cell r="N32">
            <v>57.96</v>
          </cell>
          <cell r="O32">
            <v>231.84</v>
          </cell>
          <cell r="P32" t="str">
            <v>FUEL WATER SP FLITER</v>
          </cell>
          <cell r="Q32">
            <v>4</v>
          </cell>
          <cell r="R32">
            <v>57.96</v>
          </cell>
          <cell r="S32">
            <v>0</v>
          </cell>
          <cell r="T32">
            <v>231.84</v>
          </cell>
        </row>
        <row r="33">
          <cell r="C33" t="str">
            <v>320/07853</v>
          </cell>
          <cell r="D33" t="str">
            <v>CCV FUEL FILTER</v>
          </cell>
          <cell r="E33" t="str">
            <v>8421 99 00</v>
          </cell>
          <cell r="F33">
            <v>12</v>
          </cell>
          <cell r="G33">
            <v>4181</v>
          </cell>
          <cell r="H33">
            <v>3762.9</v>
          </cell>
          <cell r="I33">
            <v>45154.8</v>
          </cell>
          <cell r="J33">
            <v>188.14500000000001</v>
          </cell>
          <cell r="K33">
            <v>2257.7400000000002</v>
          </cell>
          <cell r="L33">
            <v>3951.0450000000001</v>
          </cell>
          <cell r="M33">
            <v>47412.54</v>
          </cell>
          <cell r="N33">
            <v>60.16</v>
          </cell>
          <cell r="O33">
            <v>721.92</v>
          </cell>
          <cell r="P33" t="str">
            <v>CCV FUEL FILTER</v>
          </cell>
          <cell r="Q33">
            <v>12</v>
          </cell>
          <cell r="R33">
            <v>60.16</v>
          </cell>
          <cell r="S33">
            <v>0</v>
          </cell>
          <cell r="T33">
            <v>721.92</v>
          </cell>
        </row>
        <row r="34">
          <cell r="C34" t="str">
            <v>320/07853</v>
          </cell>
          <cell r="D34" t="str">
            <v>FUEL FILTER</v>
          </cell>
          <cell r="E34" t="str">
            <v>4812 00 00</v>
          </cell>
          <cell r="F34">
            <v>4</v>
          </cell>
          <cell r="G34">
            <v>4181</v>
          </cell>
          <cell r="H34">
            <v>3762.9</v>
          </cell>
          <cell r="I34">
            <v>15051.6</v>
          </cell>
          <cell r="J34">
            <v>188.14500000000001</v>
          </cell>
          <cell r="K34">
            <v>752.58</v>
          </cell>
          <cell r="L34">
            <v>3951.0450000000001</v>
          </cell>
          <cell r="M34">
            <v>15804.18</v>
          </cell>
          <cell r="N34">
            <v>60.16</v>
          </cell>
          <cell r="O34">
            <v>240.64</v>
          </cell>
          <cell r="P34" t="str">
            <v>CCV FUEL FILTER</v>
          </cell>
          <cell r="Q34">
            <v>4</v>
          </cell>
          <cell r="R34">
            <v>60.16</v>
          </cell>
          <cell r="S34">
            <v>0</v>
          </cell>
          <cell r="T34">
            <v>240.64</v>
          </cell>
        </row>
        <row r="35">
          <cell r="C35" t="str">
            <v>320/A4038</v>
          </cell>
          <cell r="D35" t="str">
            <v>OIL FILTER</v>
          </cell>
          <cell r="E35" t="str">
            <v>8421 23 00</v>
          </cell>
          <cell r="F35">
            <v>24</v>
          </cell>
          <cell r="G35">
            <v>1364</v>
          </cell>
          <cell r="H35">
            <v>1227.5999999999999</v>
          </cell>
          <cell r="I35">
            <v>29462.399999999998</v>
          </cell>
          <cell r="J35">
            <v>61.379999999999995</v>
          </cell>
          <cell r="K35">
            <v>1473.12</v>
          </cell>
          <cell r="L35">
            <v>1288.98</v>
          </cell>
          <cell r="M35">
            <v>30935.52</v>
          </cell>
          <cell r="N35">
            <v>19.630000000000003</v>
          </cell>
          <cell r="O35">
            <v>471.12</v>
          </cell>
          <cell r="P35" t="str">
            <v>OIL FILTER</v>
          </cell>
          <cell r="Q35">
            <v>24</v>
          </cell>
          <cell r="R35">
            <v>19.630000000000003</v>
          </cell>
          <cell r="S35">
            <v>0</v>
          </cell>
          <cell r="T35">
            <v>471.12</v>
          </cell>
        </row>
        <row r="36">
          <cell r="C36" t="str">
            <v>320/A4038</v>
          </cell>
          <cell r="D36" t="str">
            <v>OIL FILTER</v>
          </cell>
          <cell r="E36" t="str">
            <v>4812 00 00</v>
          </cell>
          <cell r="F36">
            <v>8</v>
          </cell>
          <cell r="G36">
            <v>1364</v>
          </cell>
          <cell r="H36">
            <v>1227.5999999999999</v>
          </cell>
          <cell r="I36">
            <v>9820.7999999999993</v>
          </cell>
          <cell r="J36">
            <v>61.379999999999995</v>
          </cell>
          <cell r="K36">
            <v>491.03999999999996</v>
          </cell>
          <cell r="L36">
            <v>1288.98</v>
          </cell>
          <cell r="M36">
            <v>10311.84</v>
          </cell>
          <cell r="N36">
            <v>19.630000000000003</v>
          </cell>
          <cell r="O36">
            <v>157.04</v>
          </cell>
          <cell r="P36" t="str">
            <v>OIL FILTER</v>
          </cell>
          <cell r="Q36">
            <v>8</v>
          </cell>
          <cell r="R36">
            <v>19.630000000000003</v>
          </cell>
          <cell r="S36">
            <v>0</v>
          </cell>
          <cell r="T36">
            <v>157.04</v>
          </cell>
        </row>
        <row r="37">
          <cell r="C37" t="str">
            <v>320/A7120</v>
          </cell>
          <cell r="D37" t="str">
            <v>FUEL FILTER</v>
          </cell>
          <cell r="E37" t="str">
            <v>8421 29 00</v>
          </cell>
          <cell r="F37">
            <v>6</v>
          </cell>
          <cell r="G37">
            <v>4699</v>
          </cell>
          <cell r="H37">
            <v>4229.1000000000004</v>
          </cell>
          <cell r="I37">
            <v>25374.600000000002</v>
          </cell>
          <cell r="J37">
            <v>211.45500000000004</v>
          </cell>
          <cell r="K37">
            <v>1268.7300000000002</v>
          </cell>
          <cell r="L37">
            <v>4440.5550000000003</v>
          </cell>
          <cell r="M37">
            <v>26643.33</v>
          </cell>
          <cell r="N37">
            <v>52.18</v>
          </cell>
          <cell r="O37">
            <v>313.08</v>
          </cell>
          <cell r="P37" t="str">
            <v>FUEL FILTER</v>
          </cell>
          <cell r="Q37">
            <v>6</v>
          </cell>
          <cell r="R37">
            <v>52.18</v>
          </cell>
          <cell r="S37">
            <v>0</v>
          </cell>
          <cell r="T37">
            <v>313.08</v>
          </cell>
        </row>
        <row r="38">
          <cell r="C38" t="str">
            <v>320/A7120</v>
          </cell>
          <cell r="D38" t="str">
            <v>FUEL FILTER</v>
          </cell>
          <cell r="E38" t="str">
            <v>8421 29 00</v>
          </cell>
          <cell r="F38">
            <v>60</v>
          </cell>
          <cell r="G38">
            <v>4699</v>
          </cell>
          <cell r="H38">
            <v>4229.1000000000004</v>
          </cell>
          <cell r="I38">
            <v>253746.00000000003</v>
          </cell>
          <cell r="J38">
            <v>211.45500000000004</v>
          </cell>
          <cell r="K38">
            <v>12687.300000000003</v>
          </cell>
          <cell r="L38">
            <v>4440.5550000000003</v>
          </cell>
          <cell r="M38">
            <v>266433.30000000005</v>
          </cell>
          <cell r="N38">
            <v>52.18</v>
          </cell>
          <cell r="O38">
            <v>3130.8</v>
          </cell>
          <cell r="P38" t="str">
            <v>FUEL FILTER</v>
          </cell>
          <cell r="Q38">
            <v>60</v>
          </cell>
          <cell r="R38">
            <v>52.18</v>
          </cell>
          <cell r="S38">
            <v>0</v>
          </cell>
          <cell r="T38">
            <v>3130.8</v>
          </cell>
        </row>
        <row r="39">
          <cell r="C39" t="str">
            <v>320/A7120</v>
          </cell>
          <cell r="D39" t="str">
            <v>FUEL FILTER</v>
          </cell>
          <cell r="E39" t="str">
            <v>8421 29 00</v>
          </cell>
          <cell r="F39">
            <v>2</v>
          </cell>
          <cell r="G39">
            <v>4699</v>
          </cell>
          <cell r="H39">
            <v>4229.1000000000004</v>
          </cell>
          <cell r="I39">
            <v>8458.2000000000007</v>
          </cell>
          <cell r="J39">
            <v>211.45500000000004</v>
          </cell>
          <cell r="K39">
            <v>422.91000000000008</v>
          </cell>
          <cell r="L39">
            <v>4440.5550000000003</v>
          </cell>
          <cell r="M39">
            <v>8881.11</v>
          </cell>
          <cell r="N39">
            <v>52.18</v>
          </cell>
          <cell r="O39">
            <v>104.36</v>
          </cell>
          <cell r="P39" t="str">
            <v>FUEL FILTER</v>
          </cell>
          <cell r="Q39">
            <v>2</v>
          </cell>
          <cell r="R39">
            <v>52.18</v>
          </cell>
          <cell r="S39">
            <v>0</v>
          </cell>
          <cell r="T39">
            <v>104.36</v>
          </cell>
        </row>
        <row r="40">
          <cell r="C40" t="str">
            <v>320/A7170</v>
          </cell>
          <cell r="D40" t="str">
            <v>FUEL FILTER</v>
          </cell>
          <cell r="E40" t="str">
            <v>8421 99 00</v>
          </cell>
          <cell r="F40">
            <v>6</v>
          </cell>
          <cell r="G40">
            <v>2852</v>
          </cell>
          <cell r="H40">
            <v>2566.8000000000002</v>
          </cell>
          <cell r="I40">
            <v>15400.800000000001</v>
          </cell>
          <cell r="J40">
            <v>128.34</v>
          </cell>
          <cell r="K40">
            <v>770.04</v>
          </cell>
          <cell r="L40">
            <v>2695.1400000000003</v>
          </cell>
          <cell r="M40">
            <v>16170.840000000002</v>
          </cell>
          <cell r="N40">
            <v>41.04</v>
          </cell>
          <cell r="O40">
            <v>246.24</v>
          </cell>
          <cell r="P40" t="str">
            <v>FUEL FILTER</v>
          </cell>
          <cell r="Q40">
            <v>6</v>
          </cell>
          <cell r="R40">
            <v>41.04</v>
          </cell>
          <cell r="S40">
            <v>0</v>
          </cell>
          <cell r="T40">
            <v>246.24</v>
          </cell>
        </row>
        <row r="41">
          <cell r="C41" t="str">
            <v>320/A7170</v>
          </cell>
          <cell r="D41" t="str">
            <v>FUEL FILTER</v>
          </cell>
          <cell r="E41" t="str">
            <v>8421 99 00</v>
          </cell>
          <cell r="F41">
            <v>60</v>
          </cell>
          <cell r="G41">
            <v>2852</v>
          </cell>
          <cell r="H41">
            <v>2566.8000000000002</v>
          </cell>
          <cell r="I41">
            <v>154008</v>
          </cell>
          <cell r="J41">
            <v>128.34</v>
          </cell>
          <cell r="K41">
            <v>7700.4000000000005</v>
          </cell>
          <cell r="L41">
            <v>2695.1400000000003</v>
          </cell>
          <cell r="M41">
            <v>161708.40000000002</v>
          </cell>
          <cell r="N41">
            <v>41.04</v>
          </cell>
          <cell r="O41">
            <v>2462.4</v>
          </cell>
          <cell r="P41" t="str">
            <v>FUEL FILTER</v>
          </cell>
          <cell r="Q41">
            <v>60</v>
          </cell>
          <cell r="R41">
            <v>41.04</v>
          </cell>
          <cell r="S41">
            <v>0</v>
          </cell>
          <cell r="T41">
            <v>2462.4</v>
          </cell>
        </row>
        <row r="42">
          <cell r="C42" t="str">
            <v>320/A7170</v>
          </cell>
          <cell r="D42" t="str">
            <v>FUEL FILTER</v>
          </cell>
          <cell r="E42" t="str">
            <v>8421 99 00</v>
          </cell>
          <cell r="F42">
            <v>20</v>
          </cell>
          <cell r="G42">
            <v>2852</v>
          </cell>
          <cell r="H42">
            <v>2566.8000000000002</v>
          </cell>
          <cell r="I42">
            <v>51336</v>
          </cell>
          <cell r="J42">
            <v>128.34</v>
          </cell>
          <cell r="K42">
            <v>2566.8000000000002</v>
          </cell>
          <cell r="L42">
            <v>2695.1400000000003</v>
          </cell>
          <cell r="M42">
            <v>53902.8</v>
          </cell>
          <cell r="N42">
            <v>41.04</v>
          </cell>
          <cell r="O42">
            <v>820.8</v>
          </cell>
          <cell r="P42" t="str">
            <v>FUEL FILTER</v>
          </cell>
          <cell r="Q42">
            <v>20</v>
          </cell>
          <cell r="R42">
            <v>41.04</v>
          </cell>
          <cell r="S42">
            <v>0</v>
          </cell>
          <cell r="T42">
            <v>820.8</v>
          </cell>
        </row>
        <row r="43">
          <cell r="C43" t="str">
            <v>320/A7170</v>
          </cell>
          <cell r="D43" t="str">
            <v>FUEL FILTER</v>
          </cell>
          <cell r="E43" t="str">
            <v>8421 99 00</v>
          </cell>
          <cell r="F43">
            <v>2</v>
          </cell>
          <cell r="G43">
            <v>2852</v>
          </cell>
          <cell r="H43">
            <v>2566.8000000000002</v>
          </cell>
          <cell r="I43">
            <v>5133.6000000000004</v>
          </cell>
          <cell r="J43">
            <v>128.34</v>
          </cell>
          <cell r="K43">
            <v>256.68</v>
          </cell>
          <cell r="L43">
            <v>2695.1400000000003</v>
          </cell>
          <cell r="M43">
            <v>5390.2800000000007</v>
          </cell>
          <cell r="N43">
            <v>41.04</v>
          </cell>
          <cell r="O43">
            <v>82.08</v>
          </cell>
          <cell r="P43" t="str">
            <v>FUEL FILTER</v>
          </cell>
          <cell r="Q43">
            <v>2</v>
          </cell>
          <cell r="R43">
            <v>41.04</v>
          </cell>
          <cell r="S43">
            <v>0</v>
          </cell>
          <cell r="T43">
            <v>82.08</v>
          </cell>
        </row>
        <row r="44">
          <cell r="C44" t="str">
            <v>320/B4420</v>
          </cell>
          <cell r="D44" t="str">
            <v>OIL FILTER</v>
          </cell>
          <cell r="E44" t="str">
            <v>8421 99 00</v>
          </cell>
          <cell r="F44">
            <v>0</v>
          </cell>
          <cell r="G44">
            <v>1612</v>
          </cell>
          <cell r="H44">
            <v>1450.8</v>
          </cell>
          <cell r="I44">
            <v>0</v>
          </cell>
          <cell r="J44">
            <v>72.540000000000006</v>
          </cell>
          <cell r="K44">
            <v>0</v>
          </cell>
          <cell r="L44">
            <v>1523.34</v>
          </cell>
          <cell r="M44">
            <v>0</v>
          </cell>
          <cell r="N44">
            <v>23.200000000000003</v>
          </cell>
          <cell r="O44">
            <v>0</v>
          </cell>
          <cell r="Q44">
            <v>0</v>
          </cell>
          <cell r="T44">
            <v>0</v>
          </cell>
        </row>
        <row r="45">
          <cell r="C45" t="str">
            <v>320/B4420</v>
          </cell>
          <cell r="D45" t="str">
            <v>OIL FILTER</v>
          </cell>
          <cell r="E45" t="str">
            <v>8421 99 00</v>
          </cell>
          <cell r="F45">
            <v>0</v>
          </cell>
          <cell r="G45">
            <v>1612</v>
          </cell>
          <cell r="H45">
            <v>1450.8</v>
          </cell>
          <cell r="I45">
            <v>0</v>
          </cell>
          <cell r="J45">
            <v>72.540000000000006</v>
          </cell>
          <cell r="K45">
            <v>0</v>
          </cell>
          <cell r="L45">
            <v>1523.34</v>
          </cell>
          <cell r="M45">
            <v>0</v>
          </cell>
          <cell r="N45">
            <v>23.200000000000003</v>
          </cell>
          <cell r="O45">
            <v>0</v>
          </cell>
          <cell r="P45" t="e">
            <v>#N/A</v>
          </cell>
          <cell r="Q45">
            <v>0</v>
          </cell>
          <cell r="T45">
            <v>0</v>
          </cell>
        </row>
        <row r="46">
          <cell r="C46" t="str">
            <v>332/B7467</v>
          </cell>
          <cell r="D46" t="str">
            <v>HYD FILTER</v>
          </cell>
          <cell r="E46" t="str">
            <v>8421 99 00</v>
          </cell>
          <cell r="F46">
            <v>60</v>
          </cell>
          <cell r="G46">
            <v>1984</v>
          </cell>
          <cell r="H46">
            <v>1785.6</v>
          </cell>
          <cell r="I46">
            <v>107136</v>
          </cell>
          <cell r="J46">
            <v>89.28</v>
          </cell>
          <cell r="K46">
            <v>5356.8</v>
          </cell>
          <cell r="L46">
            <v>1874.8799999999999</v>
          </cell>
          <cell r="M46">
            <v>112492.79999999999</v>
          </cell>
          <cell r="N46">
            <v>23.92</v>
          </cell>
          <cell r="O46">
            <v>1435.2</v>
          </cell>
          <cell r="P46" t="str">
            <v>HYD FILTER</v>
          </cell>
          <cell r="Q46">
            <v>60</v>
          </cell>
          <cell r="R46">
            <v>23.92</v>
          </cell>
          <cell r="S46">
            <v>0</v>
          </cell>
          <cell r="T46">
            <v>1435.2</v>
          </cell>
        </row>
        <row r="47">
          <cell r="C47" t="str">
            <v>332/B7467</v>
          </cell>
          <cell r="D47" t="str">
            <v>HYD. FILTER</v>
          </cell>
          <cell r="E47" t="str">
            <v>8421 99 00</v>
          </cell>
          <cell r="F47">
            <v>12</v>
          </cell>
          <cell r="G47">
            <v>1984</v>
          </cell>
          <cell r="H47">
            <v>1785.6</v>
          </cell>
          <cell r="I47">
            <v>21427.199999999997</v>
          </cell>
          <cell r="J47">
            <v>89.28</v>
          </cell>
          <cell r="K47">
            <v>1071.3600000000001</v>
          </cell>
          <cell r="L47">
            <v>1874.8799999999999</v>
          </cell>
          <cell r="M47">
            <v>22498.559999999998</v>
          </cell>
          <cell r="N47">
            <v>23.92</v>
          </cell>
          <cell r="O47">
            <v>287.04000000000002</v>
          </cell>
          <cell r="P47" t="str">
            <v>HYD FILTER</v>
          </cell>
          <cell r="Q47">
            <v>12</v>
          </cell>
          <cell r="R47">
            <v>23.92</v>
          </cell>
          <cell r="S47">
            <v>0</v>
          </cell>
          <cell r="T47">
            <v>287.04000000000002</v>
          </cell>
        </row>
        <row r="48">
          <cell r="C48" t="str">
            <v>332/B7467</v>
          </cell>
          <cell r="D48" t="str">
            <v>HYDRAULIC FILTER</v>
          </cell>
          <cell r="E48" t="str">
            <v>4812 00 00</v>
          </cell>
          <cell r="F48">
            <v>4</v>
          </cell>
          <cell r="G48">
            <v>1984</v>
          </cell>
          <cell r="H48">
            <v>1785.6</v>
          </cell>
          <cell r="I48">
            <v>7142.4</v>
          </cell>
          <cell r="J48">
            <v>89.28</v>
          </cell>
          <cell r="K48">
            <v>357.12</v>
          </cell>
          <cell r="L48">
            <v>1874.8799999999999</v>
          </cell>
          <cell r="M48">
            <v>7499.5199999999995</v>
          </cell>
          <cell r="N48">
            <v>23.93</v>
          </cell>
          <cell r="O48">
            <v>95.72</v>
          </cell>
          <cell r="P48" t="str">
            <v>HYD FILTER</v>
          </cell>
          <cell r="Q48">
            <v>4</v>
          </cell>
          <cell r="R48">
            <v>23.92</v>
          </cell>
          <cell r="S48">
            <v>9.9999999999980105E-3</v>
          </cell>
          <cell r="T48">
            <v>95.68</v>
          </cell>
        </row>
        <row r="49">
          <cell r="C49" t="str">
            <v>332/B7467</v>
          </cell>
          <cell r="D49" t="str">
            <v>HYDRAULIC FILTER</v>
          </cell>
          <cell r="E49" t="str">
            <v>4812 00 00</v>
          </cell>
          <cell r="F49">
            <v>10</v>
          </cell>
          <cell r="G49">
            <v>1984</v>
          </cell>
          <cell r="H49">
            <v>1785.6</v>
          </cell>
          <cell r="I49">
            <v>17856</v>
          </cell>
          <cell r="J49">
            <v>89.28</v>
          </cell>
          <cell r="K49">
            <v>892.8</v>
          </cell>
          <cell r="L49">
            <v>1874.8799999999999</v>
          </cell>
          <cell r="M49">
            <v>18748.8</v>
          </cell>
          <cell r="N49">
            <v>28.55</v>
          </cell>
          <cell r="O49">
            <v>285.5</v>
          </cell>
          <cell r="P49" t="str">
            <v>HYD FILTER</v>
          </cell>
          <cell r="Q49">
            <v>10</v>
          </cell>
          <cell r="R49">
            <v>23.92</v>
          </cell>
          <cell r="S49">
            <v>4.629999999999999</v>
          </cell>
          <cell r="T49">
            <v>239.2</v>
          </cell>
        </row>
        <row r="50">
          <cell r="C50" t="str">
            <v>333/X2747</v>
          </cell>
          <cell r="D50" t="str">
            <v>HYD FILTER</v>
          </cell>
          <cell r="E50" t="str">
            <v>4812 00 00</v>
          </cell>
          <cell r="F50">
            <v>3</v>
          </cell>
          <cell r="G50">
            <v>4712</v>
          </cell>
          <cell r="H50">
            <v>4240.8</v>
          </cell>
          <cell r="I50">
            <v>12722.400000000001</v>
          </cell>
          <cell r="J50">
            <v>212.04000000000002</v>
          </cell>
          <cell r="K50">
            <v>636.12000000000012</v>
          </cell>
          <cell r="L50">
            <v>4452.84</v>
          </cell>
          <cell r="M50">
            <v>13358.52</v>
          </cell>
          <cell r="N50">
            <v>67.800000000000011</v>
          </cell>
          <cell r="O50">
            <v>203.4</v>
          </cell>
          <cell r="P50" t="str">
            <v>HYD FILTER</v>
          </cell>
          <cell r="Q50">
            <v>3</v>
          </cell>
          <cell r="R50">
            <v>67.800000000000011</v>
          </cell>
          <cell r="S50">
            <v>0</v>
          </cell>
          <cell r="T50">
            <v>203.4</v>
          </cell>
        </row>
        <row r="51">
          <cell r="C51" t="str">
            <v>333/X2747</v>
          </cell>
          <cell r="D51" t="str">
            <v>HYDRAULIC FILTER</v>
          </cell>
          <cell r="E51" t="str">
            <v>4812 00 00</v>
          </cell>
          <cell r="F51">
            <v>1</v>
          </cell>
          <cell r="G51">
            <v>4712</v>
          </cell>
          <cell r="H51">
            <v>4240.8</v>
          </cell>
          <cell r="I51">
            <v>4240.8</v>
          </cell>
          <cell r="J51">
            <v>212.04000000000002</v>
          </cell>
          <cell r="K51">
            <v>212.04000000000002</v>
          </cell>
          <cell r="L51">
            <v>4452.84</v>
          </cell>
          <cell r="M51">
            <v>4452.84</v>
          </cell>
          <cell r="N51">
            <v>67.800000000000011</v>
          </cell>
          <cell r="O51">
            <v>67.8</v>
          </cell>
          <cell r="P51" t="str">
            <v>HYD FILTER</v>
          </cell>
          <cell r="Q51">
            <v>1</v>
          </cell>
          <cell r="R51">
            <v>67.800000000000011</v>
          </cell>
          <cell r="S51">
            <v>0</v>
          </cell>
          <cell r="T51">
            <v>67.8</v>
          </cell>
        </row>
        <row r="52">
          <cell r="C52" t="str">
            <v>333/X2747</v>
          </cell>
          <cell r="D52" t="str">
            <v>FILTER ELEMENT - 10 MICRON</v>
          </cell>
          <cell r="E52" t="str">
            <v>4812 00 00</v>
          </cell>
          <cell r="F52">
            <v>20</v>
          </cell>
          <cell r="G52">
            <v>4712</v>
          </cell>
          <cell r="H52">
            <v>4240.8</v>
          </cell>
          <cell r="I52">
            <v>84816</v>
          </cell>
          <cell r="J52">
            <v>212.04000000000002</v>
          </cell>
          <cell r="K52">
            <v>4240.8</v>
          </cell>
          <cell r="L52">
            <v>4452.84</v>
          </cell>
          <cell r="M52">
            <v>89056.8</v>
          </cell>
          <cell r="N52">
            <v>67.800000000000011</v>
          </cell>
          <cell r="O52">
            <v>1356</v>
          </cell>
          <cell r="P52" t="str">
            <v>HYD FILTER</v>
          </cell>
          <cell r="Q52">
            <v>20</v>
          </cell>
          <cell r="R52">
            <v>67.800000000000011</v>
          </cell>
          <cell r="S52">
            <v>0</v>
          </cell>
          <cell r="T52">
            <v>1356</v>
          </cell>
        </row>
        <row r="53">
          <cell r="C53" t="str">
            <v>334/R1768</v>
          </cell>
          <cell r="D53" t="str">
            <v>AIR FILTER ASSY</v>
          </cell>
          <cell r="E53" t="str">
            <v>8421 99 00</v>
          </cell>
          <cell r="F53">
            <v>12</v>
          </cell>
          <cell r="G53">
            <v>12114</v>
          </cell>
          <cell r="H53">
            <v>10902.6</v>
          </cell>
          <cell r="I53">
            <v>130831.20000000001</v>
          </cell>
          <cell r="J53">
            <v>545.13</v>
          </cell>
          <cell r="K53">
            <v>6541.5599999999995</v>
          </cell>
          <cell r="L53">
            <v>11447.73</v>
          </cell>
          <cell r="M53">
            <v>137372.76</v>
          </cell>
          <cell r="N53">
            <v>174.29999999999998</v>
          </cell>
          <cell r="O53">
            <v>2091.6</v>
          </cell>
          <cell r="P53" t="str">
            <v>AIR FILTER ASSY</v>
          </cell>
          <cell r="Q53">
            <v>12</v>
          </cell>
          <cell r="R53">
            <v>174.29999999999998</v>
          </cell>
          <cell r="S53">
            <v>0</v>
          </cell>
          <cell r="T53">
            <v>2091.6</v>
          </cell>
        </row>
        <row r="54">
          <cell r="C54" t="str">
            <v>334/R1768</v>
          </cell>
          <cell r="D54" t="str">
            <v>AIR FILTER ASSY</v>
          </cell>
          <cell r="E54" t="str">
            <v>4812 00 00</v>
          </cell>
          <cell r="F54">
            <v>4</v>
          </cell>
          <cell r="G54">
            <v>12114</v>
          </cell>
          <cell r="H54">
            <v>10902.6</v>
          </cell>
          <cell r="I54">
            <v>43610.400000000001</v>
          </cell>
          <cell r="J54">
            <v>545.13</v>
          </cell>
          <cell r="K54">
            <v>2180.52</v>
          </cell>
          <cell r="L54">
            <v>11447.73</v>
          </cell>
          <cell r="M54">
            <v>45790.92</v>
          </cell>
          <cell r="N54">
            <v>174.29999999999998</v>
          </cell>
          <cell r="O54">
            <v>697.2</v>
          </cell>
          <cell r="P54" t="str">
            <v>AIR FILTER ASSY</v>
          </cell>
          <cell r="Q54">
            <v>4</v>
          </cell>
          <cell r="R54">
            <v>174.29999999999998</v>
          </cell>
          <cell r="S54">
            <v>0</v>
          </cell>
          <cell r="T54">
            <v>697.2</v>
          </cell>
        </row>
        <row r="55">
          <cell r="C55" t="str">
            <v>334/Y2810</v>
          </cell>
          <cell r="D55" t="str">
            <v>AIR FILTER OUTER</v>
          </cell>
          <cell r="E55" t="str">
            <v>8421 31 00</v>
          </cell>
          <cell r="F55">
            <v>60</v>
          </cell>
          <cell r="G55">
            <v>2951</v>
          </cell>
          <cell r="H55">
            <v>2655.9</v>
          </cell>
          <cell r="I55">
            <v>159354</v>
          </cell>
          <cell r="J55">
            <v>132.79500000000002</v>
          </cell>
          <cell r="K55">
            <v>7967.7000000000007</v>
          </cell>
          <cell r="L55">
            <v>2788.6950000000002</v>
          </cell>
          <cell r="M55">
            <v>167321.70000000001</v>
          </cell>
          <cell r="N55">
            <v>42.46</v>
          </cell>
          <cell r="O55">
            <v>2547.6</v>
          </cell>
          <cell r="P55" t="str">
            <v>AIR FILTER OUTER</v>
          </cell>
          <cell r="Q55">
            <v>60</v>
          </cell>
          <cell r="R55">
            <v>42.46</v>
          </cell>
          <cell r="S55">
            <v>0</v>
          </cell>
          <cell r="T55">
            <v>2547.6</v>
          </cell>
        </row>
        <row r="56">
          <cell r="C56" t="str">
            <v>334/Y2810</v>
          </cell>
          <cell r="D56" t="str">
            <v>AIR FILTER OUT</v>
          </cell>
          <cell r="E56" t="str">
            <v>8421 31 00</v>
          </cell>
          <cell r="F56">
            <v>20</v>
          </cell>
          <cell r="G56">
            <v>2951</v>
          </cell>
          <cell r="H56">
            <v>2655.9</v>
          </cell>
          <cell r="I56">
            <v>53118</v>
          </cell>
          <cell r="J56">
            <v>132.79500000000002</v>
          </cell>
          <cell r="K56">
            <v>2655.9000000000005</v>
          </cell>
          <cell r="L56">
            <v>2788.6950000000002</v>
          </cell>
          <cell r="M56">
            <v>55773.9</v>
          </cell>
          <cell r="N56">
            <v>42.46</v>
          </cell>
          <cell r="O56">
            <v>849.2</v>
          </cell>
          <cell r="P56" t="str">
            <v>AIR FILTER OUTER</v>
          </cell>
          <cell r="Q56">
            <v>20</v>
          </cell>
          <cell r="R56">
            <v>42.46</v>
          </cell>
          <cell r="S56">
            <v>0</v>
          </cell>
          <cell r="T56">
            <v>849.2</v>
          </cell>
        </row>
        <row r="57">
          <cell r="C57" t="str">
            <v>334/Y2811</v>
          </cell>
          <cell r="D57" t="str">
            <v>AIR FILTER INNER</v>
          </cell>
          <cell r="E57" t="str">
            <v>8421 31 00</v>
          </cell>
          <cell r="F57">
            <v>60</v>
          </cell>
          <cell r="G57">
            <v>1228</v>
          </cell>
          <cell r="H57">
            <v>1105.2</v>
          </cell>
          <cell r="I57">
            <v>66312</v>
          </cell>
          <cell r="J57">
            <v>55.260000000000005</v>
          </cell>
          <cell r="K57">
            <v>3315.6000000000004</v>
          </cell>
          <cell r="L57">
            <v>1160.46</v>
          </cell>
          <cell r="M57">
            <v>69627.600000000006</v>
          </cell>
          <cell r="N57">
            <v>17.670000000000002</v>
          </cell>
          <cell r="O57">
            <v>1060.2</v>
          </cell>
          <cell r="P57" t="str">
            <v>AIR FILTER INNER</v>
          </cell>
          <cell r="Q57">
            <v>60</v>
          </cell>
          <cell r="R57">
            <v>17.670000000000002</v>
          </cell>
          <cell r="S57">
            <v>0</v>
          </cell>
          <cell r="T57">
            <v>1060.2</v>
          </cell>
        </row>
        <row r="58">
          <cell r="C58" t="str">
            <v>334/Y2811</v>
          </cell>
          <cell r="D58" t="str">
            <v>AIR FILTER IN</v>
          </cell>
          <cell r="E58" t="str">
            <v>8421 31 00</v>
          </cell>
          <cell r="F58">
            <v>20</v>
          </cell>
          <cell r="G58">
            <v>1228</v>
          </cell>
          <cell r="H58">
            <v>1105.2</v>
          </cell>
          <cell r="I58">
            <v>22104</v>
          </cell>
          <cell r="J58">
            <v>55.260000000000005</v>
          </cell>
          <cell r="K58">
            <v>1105.2</v>
          </cell>
          <cell r="L58">
            <v>1160.46</v>
          </cell>
          <cell r="M58">
            <v>23209.200000000001</v>
          </cell>
          <cell r="N58">
            <v>17.670000000000002</v>
          </cell>
          <cell r="O58">
            <v>353.4</v>
          </cell>
          <cell r="P58" t="str">
            <v>AIR FILTER INNER</v>
          </cell>
          <cell r="Q58">
            <v>20</v>
          </cell>
          <cell r="R58">
            <v>17.670000000000002</v>
          </cell>
          <cell r="S58">
            <v>0</v>
          </cell>
          <cell r="T58">
            <v>353.4</v>
          </cell>
        </row>
        <row r="59">
          <cell r="C59" t="str">
            <v>335/G2061</v>
          </cell>
          <cell r="D59" t="str">
            <v>HYD FILTER</v>
          </cell>
          <cell r="E59" t="str">
            <v>8421 99 00</v>
          </cell>
          <cell r="F59">
            <v>0</v>
          </cell>
          <cell r="G59">
            <v>6887</v>
          </cell>
          <cell r="H59">
            <v>6198.3</v>
          </cell>
          <cell r="I59">
            <v>0</v>
          </cell>
          <cell r="J59">
            <v>309.91500000000002</v>
          </cell>
          <cell r="K59">
            <v>0</v>
          </cell>
          <cell r="L59">
            <v>6508.2150000000001</v>
          </cell>
          <cell r="M59">
            <v>0</v>
          </cell>
          <cell r="N59">
            <v>99.100000000000009</v>
          </cell>
          <cell r="O59">
            <v>0</v>
          </cell>
          <cell r="Q59">
            <v>0</v>
          </cell>
          <cell r="T59">
            <v>0</v>
          </cell>
        </row>
        <row r="60">
          <cell r="C60" t="str">
            <v>335/G2061</v>
          </cell>
          <cell r="D60" t="str">
            <v>HYDRAULIC FILTER</v>
          </cell>
          <cell r="E60" t="str">
            <v>4812 00 00</v>
          </cell>
          <cell r="F60">
            <v>0</v>
          </cell>
          <cell r="G60">
            <v>6887</v>
          </cell>
          <cell r="H60">
            <v>6198.3</v>
          </cell>
          <cell r="I60">
            <v>0</v>
          </cell>
          <cell r="J60">
            <v>309.91500000000002</v>
          </cell>
          <cell r="K60">
            <v>0</v>
          </cell>
          <cell r="L60">
            <v>6508.2150000000001</v>
          </cell>
          <cell r="M60">
            <v>0</v>
          </cell>
          <cell r="N60">
            <v>99.100000000000009</v>
          </cell>
          <cell r="O60">
            <v>0</v>
          </cell>
          <cell r="P60" t="e">
            <v>#N/A</v>
          </cell>
          <cell r="Q60">
            <v>0</v>
          </cell>
          <cell r="T60">
            <v>0</v>
          </cell>
        </row>
        <row r="61">
          <cell r="C61" t="str">
            <v>335/G2061</v>
          </cell>
          <cell r="D61" t="str">
            <v>HYDRAULIC FILTER</v>
          </cell>
          <cell r="E61" t="str">
            <v>4812 00 00</v>
          </cell>
          <cell r="F61">
            <v>0</v>
          </cell>
          <cell r="G61">
            <v>6887</v>
          </cell>
          <cell r="H61">
            <v>6198.3</v>
          </cell>
          <cell r="I61">
            <v>0</v>
          </cell>
          <cell r="J61">
            <v>309.91500000000002</v>
          </cell>
          <cell r="K61">
            <v>0</v>
          </cell>
          <cell r="L61">
            <v>6508.2150000000001</v>
          </cell>
          <cell r="M61">
            <v>0</v>
          </cell>
          <cell r="N61">
            <v>99.100000000000009</v>
          </cell>
          <cell r="O61">
            <v>0</v>
          </cell>
          <cell r="P61" t="e">
            <v>#N/A</v>
          </cell>
          <cell r="Q61">
            <v>0</v>
          </cell>
          <cell r="T61">
            <v>0</v>
          </cell>
        </row>
        <row r="62">
          <cell r="C62" t="str">
            <v>335/G4552</v>
          </cell>
          <cell r="D62" t="str">
            <v>HYD FILTER</v>
          </cell>
          <cell r="E62" t="str">
            <v>8421 99 00</v>
          </cell>
          <cell r="F62">
            <v>6</v>
          </cell>
          <cell r="G62">
            <v>3439</v>
          </cell>
          <cell r="H62">
            <v>3095.1</v>
          </cell>
          <cell r="I62">
            <v>18570.599999999999</v>
          </cell>
          <cell r="J62">
            <v>154.755</v>
          </cell>
          <cell r="K62">
            <v>928.53</v>
          </cell>
          <cell r="L62">
            <v>3249.855</v>
          </cell>
          <cell r="M62">
            <v>19499.13</v>
          </cell>
          <cell r="N62">
            <v>49.489999999999995</v>
          </cell>
          <cell r="O62">
            <v>296.94</v>
          </cell>
          <cell r="P62" t="str">
            <v>HYD FILTER</v>
          </cell>
          <cell r="Q62">
            <v>6</v>
          </cell>
          <cell r="R62">
            <v>49.489999999999995</v>
          </cell>
          <cell r="S62">
            <v>0</v>
          </cell>
          <cell r="T62">
            <v>296.94</v>
          </cell>
        </row>
        <row r="63">
          <cell r="C63" t="str">
            <v>335/G4552</v>
          </cell>
          <cell r="D63" t="str">
            <v>HYDRAULIC FILTER</v>
          </cell>
          <cell r="E63" t="str">
            <v>4812 00 00</v>
          </cell>
          <cell r="F63">
            <v>2</v>
          </cell>
          <cell r="G63">
            <v>3439</v>
          </cell>
          <cell r="H63">
            <v>3095.1</v>
          </cell>
          <cell r="I63">
            <v>6190.2</v>
          </cell>
          <cell r="J63">
            <v>154.755</v>
          </cell>
          <cell r="K63">
            <v>309.51</v>
          </cell>
          <cell r="L63">
            <v>3249.855</v>
          </cell>
          <cell r="M63">
            <v>6499.71</v>
          </cell>
          <cell r="N63">
            <v>49.489999999999995</v>
          </cell>
          <cell r="O63">
            <v>98.98</v>
          </cell>
          <cell r="P63" t="str">
            <v>HYD FILTER</v>
          </cell>
          <cell r="Q63">
            <v>2</v>
          </cell>
          <cell r="R63">
            <v>49.489999999999995</v>
          </cell>
          <cell r="S63">
            <v>0</v>
          </cell>
          <cell r="T63">
            <v>98.98</v>
          </cell>
        </row>
        <row r="64">
          <cell r="C64" t="str">
            <v>336/E9730</v>
          </cell>
          <cell r="D64" t="str">
            <v>FUEL FILTER W/SP</v>
          </cell>
          <cell r="E64" t="str">
            <v>8421 23 00</v>
          </cell>
          <cell r="F64">
            <v>60</v>
          </cell>
          <cell r="G64">
            <v>1545</v>
          </cell>
          <cell r="H64">
            <v>1390.5</v>
          </cell>
          <cell r="I64">
            <v>83430</v>
          </cell>
          <cell r="J64">
            <v>69.525000000000006</v>
          </cell>
          <cell r="K64">
            <v>4171.5</v>
          </cell>
          <cell r="L64">
            <v>1460.0250000000001</v>
          </cell>
          <cell r="M64">
            <v>87601.5</v>
          </cell>
          <cell r="N64">
            <v>22.23</v>
          </cell>
          <cell r="O64">
            <v>1333.8</v>
          </cell>
          <cell r="P64" t="str">
            <v>FUEL FILTER W/SP</v>
          </cell>
          <cell r="Q64">
            <v>60</v>
          </cell>
          <cell r="R64">
            <v>22.23</v>
          </cell>
          <cell r="S64">
            <v>0</v>
          </cell>
          <cell r="T64">
            <v>1333.8</v>
          </cell>
        </row>
        <row r="65">
          <cell r="C65" t="str">
            <v>336/E9730</v>
          </cell>
          <cell r="D65" t="str">
            <v>FUEL FILTER</v>
          </cell>
          <cell r="E65" t="str">
            <v>8421 23 00</v>
          </cell>
          <cell r="F65">
            <v>40</v>
          </cell>
          <cell r="G65">
            <v>1545</v>
          </cell>
          <cell r="H65">
            <v>1390.5</v>
          </cell>
          <cell r="I65">
            <v>55620</v>
          </cell>
          <cell r="J65">
            <v>69.525000000000006</v>
          </cell>
          <cell r="K65">
            <v>2781</v>
          </cell>
          <cell r="L65">
            <v>1460.0250000000001</v>
          </cell>
          <cell r="M65">
            <v>58401</v>
          </cell>
          <cell r="N65">
            <v>22.23</v>
          </cell>
          <cell r="O65">
            <v>889.2</v>
          </cell>
          <cell r="P65" t="str">
            <v>FUEL FILTER W/SP</v>
          </cell>
          <cell r="Q65">
            <v>40</v>
          </cell>
          <cell r="R65">
            <v>22.23</v>
          </cell>
          <cell r="S65">
            <v>0</v>
          </cell>
          <cell r="T65">
            <v>889.2</v>
          </cell>
        </row>
        <row r="66">
          <cell r="C66" t="str">
            <v>336/E9731</v>
          </cell>
          <cell r="D66" t="str">
            <v>FUEL FILTER</v>
          </cell>
          <cell r="E66" t="str">
            <v>8421 23 00</v>
          </cell>
          <cell r="F66">
            <v>60</v>
          </cell>
          <cell r="G66">
            <v>1398</v>
          </cell>
          <cell r="H66">
            <v>1258.2</v>
          </cell>
          <cell r="I66">
            <v>75492</v>
          </cell>
          <cell r="J66">
            <v>62.910000000000004</v>
          </cell>
          <cell r="K66">
            <v>3774.6000000000004</v>
          </cell>
          <cell r="L66">
            <v>1321.1100000000001</v>
          </cell>
          <cell r="M66">
            <v>79266.600000000006</v>
          </cell>
          <cell r="N66">
            <v>20.12</v>
          </cell>
          <cell r="O66">
            <v>1207.2</v>
          </cell>
          <cell r="P66" t="str">
            <v>FUEL FILTER</v>
          </cell>
          <cell r="Q66">
            <v>60</v>
          </cell>
          <cell r="R66">
            <v>20.12</v>
          </cell>
          <cell r="S66">
            <v>0</v>
          </cell>
          <cell r="T66">
            <v>1207.2</v>
          </cell>
        </row>
        <row r="67">
          <cell r="C67" t="str">
            <v>336/E9731</v>
          </cell>
          <cell r="D67" t="str">
            <v>FUEL FILTER</v>
          </cell>
          <cell r="E67" t="str">
            <v>8421 23 00</v>
          </cell>
          <cell r="F67">
            <v>40</v>
          </cell>
          <cell r="G67">
            <v>1398</v>
          </cell>
          <cell r="H67">
            <v>1258.2</v>
          </cell>
          <cell r="I67">
            <v>50328</v>
          </cell>
          <cell r="J67">
            <v>62.910000000000004</v>
          </cell>
          <cell r="K67">
            <v>2516.4</v>
          </cell>
          <cell r="L67">
            <v>1321.1100000000001</v>
          </cell>
          <cell r="M67">
            <v>52844.400000000009</v>
          </cell>
          <cell r="N67">
            <v>20.12</v>
          </cell>
          <cell r="O67">
            <v>804.8</v>
          </cell>
          <cell r="P67" t="str">
            <v>FUEL FILTER</v>
          </cell>
          <cell r="Q67">
            <v>40</v>
          </cell>
          <cell r="R67">
            <v>20.12</v>
          </cell>
          <cell r="S67">
            <v>0</v>
          </cell>
          <cell r="T67">
            <v>804.8</v>
          </cell>
        </row>
        <row r="68">
          <cell r="C68" t="str">
            <v>40/300893</v>
          </cell>
          <cell r="D68" t="str">
            <v>RETURN HYD. FILTER</v>
          </cell>
          <cell r="E68" t="str">
            <v>8421 23 00</v>
          </cell>
          <cell r="F68">
            <v>60</v>
          </cell>
          <cell r="G68">
            <v>788</v>
          </cell>
          <cell r="H68">
            <v>709.2</v>
          </cell>
          <cell r="I68">
            <v>42552</v>
          </cell>
          <cell r="J68">
            <v>35.46</v>
          </cell>
          <cell r="K68">
            <v>2127.6</v>
          </cell>
          <cell r="L68">
            <v>744.66000000000008</v>
          </cell>
          <cell r="M68">
            <v>44679.600000000006</v>
          </cell>
          <cell r="N68">
            <v>11.34</v>
          </cell>
          <cell r="O68">
            <v>680.4</v>
          </cell>
          <cell r="P68" t="str">
            <v>RETURN HYD. FILTER</v>
          </cell>
          <cell r="Q68">
            <v>60</v>
          </cell>
          <cell r="R68">
            <v>11.34</v>
          </cell>
          <cell r="S68">
            <v>0</v>
          </cell>
          <cell r="T68">
            <v>680.4</v>
          </cell>
        </row>
        <row r="69">
          <cell r="C69" t="str">
            <v>40/300893</v>
          </cell>
          <cell r="D69" t="str">
            <v>HYDRAULIC FILTER</v>
          </cell>
          <cell r="E69" t="str">
            <v>8421 23 00</v>
          </cell>
          <cell r="F69">
            <v>20</v>
          </cell>
          <cell r="G69">
            <v>788</v>
          </cell>
          <cell r="H69">
            <v>709.2</v>
          </cell>
          <cell r="I69">
            <v>14184</v>
          </cell>
          <cell r="J69">
            <v>35.46</v>
          </cell>
          <cell r="K69">
            <v>709.2</v>
          </cell>
          <cell r="L69">
            <v>744.66000000000008</v>
          </cell>
          <cell r="M69">
            <v>14893.2</v>
          </cell>
          <cell r="N69">
            <v>11.34</v>
          </cell>
          <cell r="O69">
            <v>226.8</v>
          </cell>
          <cell r="P69" t="str">
            <v>RETURN HYD. FILTER</v>
          </cell>
          <cell r="Q69">
            <v>20</v>
          </cell>
          <cell r="R69">
            <v>11.34</v>
          </cell>
          <cell r="S69">
            <v>0</v>
          </cell>
          <cell r="T69">
            <v>226.8</v>
          </cell>
        </row>
        <row r="70">
          <cell r="C70" t="str">
            <v>400/G5285</v>
          </cell>
          <cell r="D70" t="str">
            <v>AIR FILTER</v>
          </cell>
          <cell r="E70" t="str">
            <v>8421 99 00</v>
          </cell>
          <cell r="F70">
            <v>12</v>
          </cell>
          <cell r="G70">
            <v>1052</v>
          </cell>
          <cell r="H70">
            <v>946.8</v>
          </cell>
          <cell r="I70">
            <v>11361.599999999999</v>
          </cell>
          <cell r="J70">
            <v>47.34</v>
          </cell>
          <cell r="K70">
            <v>568.08000000000004</v>
          </cell>
          <cell r="L70">
            <v>994.14</v>
          </cell>
          <cell r="M70">
            <v>11929.68</v>
          </cell>
          <cell r="N70">
            <v>15.14</v>
          </cell>
          <cell r="O70">
            <v>181.68</v>
          </cell>
          <cell r="P70" t="str">
            <v>AIR FILTER</v>
          </cell>
          <cell r="Q70">
            <v>12</v>
          </cell>
          <cell r="R70">
            <v>15.14</v>
          </cell>
          <cell r="S70">
            <v>0</v>
          </cell>
          <cell r="T70">
            <v>181.68</v>
          </cell>
        </row>
        <row r="71">
          <cell r="C71" t="str">
            <v>400/G5285</v>
          </cell>
          <cell r="D71" t="str">
            <v>AIR FILTER</v>
          </cell>
          <cell r="E71" t="str">
            <v>8421 99 00</v>
          </cell>
          <cell r="F71">
            <v>60</v>
          </cell>
          <cell r="G71">
            <v>1052</v>
          </cell>
          <cell r="H71">
            <v>946.8</v>
          </cell>
          <cell r="I71">
            <v>56808</v>
          </cell>
          <cell r="J71">
            <v>47.34</v>
          </cell>
          <cell r="K71">
            <v>2840.4</v>
          </cell>
          <cell r="L71">
            <v>994.14</v>
          </cell>
          <cell r="M71">
            <v>59648.4</v>
          </cell>
          <cell r="N71">
            <v>15.14</v>
          </cell>
          <cell r="O71">
            <v>908.4</v>
          </cell>
          <cell r="P71" t="str">
            <v>AIR FILTER</v>
          </cell>
          <cell r="Q71">
            <v>60</v>
          </cell>
          <cell r="R71">
            <v>15.14</v>
          </cell>
          <cell r="S71">
            <v>0</v>
          </cell>
          <cell r="T71">
            <v>908.4</v>
          </cell>
        </row>
        <row r="72">
          <cell r="C72" t="str">
            <v>400/G5285</v>
          </cell>
          <cell r="D72" t="str">
            <v xml:space="preserve">AIR FILTER </v>
          </cell>
          <cell r="E72" t="str">
            <v>8421 99 00</v>
          </cell>
          <cell r="F72">
            <v>20</v>
          </cell>
          <cell r="G72">
            <v>1052</v>
          </cell>
          <cell r="H72">
            <v>946.8</v>
          </cell>
          <cell r="I72">
            <v>18936</v>
          </cell>
          <cell r="J72">
            <v>47.34</v>
          </cell>
          <cell r="K72">
            <v>946.80000000000007</v>
          </cell>
          <cell r="L72">
            <v>994.14</v>
          </cell>
          <cell r="M72">
            <v>19882.8</v>
          </cell>
          <cell r="N72">
            <v>15.14</v>
          </cell>
          <cell r="O72">
            <v>302.8</v>
          </cell>
          <cell r="P72" t="str">
            <v>AIR FILTER</v>
          </cell>
          <cell r="Q72">
            <v>20</v>
          </cell>
          <cell r="R72">
            <v>15.14</v>
          </cell>
          <cell r="S72">
            <v>0</v>
          </cell>
          <cell r="T72">
            <v>302.8</v>
          </cell>
        </row>
        <row r="73">
          <cell r="C73" t="str">
            <v>400/G5285</v>
          </cell>
          <cell r="D73" t="str">
            <v>AIR FILTER</v>
          </cell>
          <cell r="E73" t="str">
            <v>8421 99 00</v>
          </cell>
          <cell r="F73">
            <v>4</v>
          </cell>
          <cell r="G73">
            <v>1052</v>
          </cell>
          <cell r="H73">
            <v>946.8</v>
          </cell>
          <cell r="I73">
            <v>3787.2</v>
          </cell>
          <cell r="J73">
            <v>47.34</v>
          </cell>
          <cell r="K73">
            <v>189.36</v>
          </cell>
          <cell r="L73">
            <v>994.14</v>
          </cell>
          <cell r="M73">
            <v>3976.56</v>
          </cell>
          <cell r="N73">
            <v>15.14</v>
          </cell>
          <cell r="O73">
            <v>60.56</v>
          </cell>
          <cell r="P73" t="str">
            <v>AIR FILTER</v>
          </cell>
          <cell r="Q73">
            <v>4</v>
          </cell>
          <cell r="R73">
            <v>15.14</v>
          </cell>
          <cell r="S73">
            <v>0</v>
          </cell>
          <cell r="T73">
            <v>60.56</v>
          </cell>
        </row>
        <row r="74">
          <cell r="C74" t="str">
            <v>400/R6073</v>
          </cell>
          <cell r="D74" t="str">
            <v>HAMMER HYD. FILTER</v>
          </cell>
          <cell r="E74" t="str">
            <v>8421 99 00</v>
          </cell>
          <cell r="F74">
            <v>60</v>
          </cell>
          <cell r="G74">
            <v>7722</v>
          </cell>
          <cell r="H74">
            <v>6949.8</v>
          </cell>
          <cell r="I74">
            <v>416988</v>
          </cell>
          <cell r="J74">
            <v>347.49</v>
          </cell>
          <cell r="K74">
            <v>20849.400000000001</v>
          </cell>
          <cell r="L74">
            <v>7297.29</v>
          </cell>
          <cell r="M74">
            <v>437837.4</v>
          </cell>
          <cell r="N74">
            <v>111.11</v>
          </cell>
          <cell r="O74">
            <v>6666.6</v>
          </cell>
          <cell r="P74" t="str">
            <v>HAMMER HYD. FILTER</v>
          </cell>
          <cell r="Q74">
            <v>60</v>
          </cell>
          <cell r="R74">
            <v>111.11</v>
          </cell>
          <cell r="S74">
            <v>0</v>
          </cell>
          <cell r="T74">
            <v>6666.6</v>
          </cell>
        </row>
        <row r="75">
          <cell r="C75" t="str">
            <v>400/R6073</v>
          </cell>
          <cell r="D75" t="str">
            <v>HYD FILTER</v>
          </cell>
          <cell r="E75" t="str">
            <v>8421 99 00</v>
          </cell>
          <cell r="F75">
            <v>12</v>
          </cell>
          <cell r="G75">
            <v>7722</v>
          </cell>
          <cell r="H75">
            <v>6949.8</v>
          </cell>
          <cell r="I75">
            <v>83397.600000000006</v>
          </cell>
          <cell r="J75">
            <v>347.49</v>
          </cell>
          <cell r="K75">
            <v>4169.88</v>
          </cell>
          <cell r="L75">
            <v>7297.29</v>
          </cell>
          <cell r="M75">
            <v>87567.48</v>
          </cell>
          <cell r="N75">
            <v>111.11</v>
          </cell>
          <cell r="O75">
            <v>1333.32</v>
          </cell>
          <cell r="P75" t="str">
            <v>HAMMER HYD. FILTER</v>
          </cell>
          <cell r="Q75">
            <v>12</v>
          </cell>
          <cell r="R75">
            <v>111.11</v>
          </cell>
          <cell r="S75">
            <v>0</v>
          </cell>
          <cell r="T75">
            <v>1333.32</v>
          </cell>
        </row>
        <row r="76">
          <cell r="C76" t="str">
            <v>400/R6073</v>
          </cell>
          <cell r="D76" t="str">
            <v>HYDRAULIC FILTER</v>
          </cell>
          <cell r="E76" t="str">
            <v>8421 99 00</v>
          </cell>
          <cell r="F76">
            <v>4</v>
          </cell>
          <cell r="G76">
            <v>7722</v>
          </cell>
          <cell r="H76">
            <v>6949.8</v>
          </cell>
          <cell r="I76">
            <v>27799.200000000001</v>
          </cell>
          <cell r="J76">
            <v>347.49</v>
          </cell>
          <cell r="K76">
            <v>1389.96</v>
          </cell>
          <cell r="L76">
            <v>7297.29</v>
          </cell>
          <cell r="M76">
            <v>29189.16</v>
          </cell>
          <cell r="N76">
            <v>111.11</v>
          </cell>
          <cell r="O76">
            <v>444.44</v>
          </cell>
          <cell r="P76" t="str">
            <v>HAMMER HYD. FILTER</v>
          </cell>
          <cell r="Q76">
            <v>4</v>
          </cell>
          <cell r="R76">
            <v>111.11</v>
          </cell>
          <cell r="S76">
            <v>0</v>
          </cell>
          <cell r="T76">
            <v>444.44</v>
          </cell>
        </row>
        <row r="77">
          <cell r="C77" t="str">
            <v>400/Z7746</v>
          </cell>
          <cell r="D77" t="str">
            <v>RETURN HYD. FILTER</v>
          </cell>
          <cell r="E77" t="str">
            <v>8421 29 00</v>
          </cell>
          <cell r="F77">
            <v>30</v>
          </cell>
          <cell r="G77">
            <v>6798</v>
          </cell>
          <cell r="H77">
            <v>6118.2</v>
          </cell>
          <cell r="I77">
            <v>183546</v>
          </cell>
          <cell r="J77">
            <v>305.91000000000003</v>
          </cell>
          <cell r="K77">
            <v>9177.3000000000011</v>
          </cell>
          <cell r="L77">
            <v>6424.11</v>
          </cell>
          <cell r="M77">
            <v>192723.3</v>
          </cell>
          <cell r="N77">
            <v>97.820000000000007</v>
          </cell>
          <cell r="O77">
            <v>2934.6</v>
          </cell>
          <cell r="P77" t="str">
            <v>RETURN HYD. FILTER</v>
          </cell>
          <cell r="Q77">
            <v>30</v>
          </cell>
          <cell r="R77">
            <v>97.820000000000007</v>
          </cell>
          <cell r="S77">
            <v>0</v>
          </cell>
          <cell r="T77">
            <v>2934.6</v>
          </cell>
        </row>
        <row r="78">
          <cell r="C78" t="str">
            <v>400/Z7746</v>
          </cell>
          <cell r="D78" t="str">
            <v>HYDRAULIC RETURN FILTER</v>
          </cell>
          <cell r="E78" t="str">
            <v>8421 29 00</v>
          </cell>
          <cell r="F78">
            <v>10</v>
          </cell>
          <cell r="G78">
            <v>6798</v>
          </cell>
          <cell r="H78">
            <v>6118.2</v>
          </cell>
          <cell r="I78">
            <v>61182</v>
          </cell>
          <cell r="J78">
            <v>305.91000000000003</v>
          </cell>
          <cell r="K78">
            <v>3059.1000000000004</v>
          </cell>
          <cell r="L78">
            <v>6424.11</v>
          </cell>
          <cell r="M78">
            <v>64241.1</v>
          </cell>
          <cell r="N78">
            <v>97.820000000000007</v>
          </cell>
          <cell r="O78">
            <v>978.2</v>
          </cell>
          <cell r="P78" t="str">
            <v>RETURN HYD. FILTER</v>
          </cell>
          <cell r="Q78">
            <v>10</v>
          </cell>
          <cell r="R78">
            <v>97.820000000000007</v>
          </cell>
          <cell r="S78">
            <v>0</v>
          </cell>
          <cell r="T78">
            <v>978.2</v>
          </cell>
        </row>
        <row r="79">
          <cell r="C79" t="str">
            <v>400/Z7969</v>
          </cell>
          <cell r="D79" t="str">
            <v>RETURN HYD. FILTER</v>
          </cell>
          <cell r="E79" t="str">
            <v>8421 29 00</v>
          </cell>
          <cell r="F79">
            <v>12</v>
          </cell>
          <cell r="G79">
            <v>6395</v>
          </cell>
          <cell r="H79">
            <v>5755.5</v>
          </cell>
          <cell r="I79">
            <v>69066</v>
          </cell>
          <cell r="J79">
            <v>287.77500000000003</v>
          </cell>
          <cell r="K79">
            <v>3453.3</v>
          </cell>
          <cell r="L79">
            <v>6043.2749999999996</v>
          </cell>
          <cell r="M79">
            <v>72519.299999999988</v>
          </cell>
          <cell r="N79">
            <v>92.02000000000001</v>
          </cell>
          <cell r="O79">
            <v>1104.24</v>
          </cell>
          <cell r="P79" t="str">
            <v>RETURN HYD. FILTER</v>
          </cell>
          <cell r="Q79">
            <v>12</v>
          </cell>
          <cell r="R79">
            <v>92.02000000000001</v>
          </cell>
          <cell r="S79">
            <v>0</v>
          </cell>
          <cell r="T79">
            <v>1104.24</v>
          </cell>
        </row>
        <row r="80">
          <cell r="C80" t="str">
            <v>400/Z7969</v>
          </cell>
          <cell r="D80" t="str">
            <v>HYDRAULIC RETURN FILTER</v>
          </cell>
          <cell r="E80" t="str">
            <v>8421 29 00</v>
          </cell>
          <cell r="F80">
            <v>4</v>
          </cell>
          <cell r="G80">
            <v>6395</v>
          </cell>
          <cell r="H80">
            <v>5755.5</v>
          </cell>
          <cell r="I80">
            <v>23022</v>
          </cell>
          <cell r="J80">
            <v>287.77500000000003</v>
          </cell>
          <cell r="K80">
            <v>1151.1000000000001</v>
          </cell>
          <cell r="L80">
            <v>6043.2749999999996</v>
          </cell>
          <cell r="M80">
            <v>24173.1</v>
          </cell>
          <cell r="N80">
            <v>92.02000000000001</v>
          </cell>
          <cell r="O80">
            <v>368.08</v>
          </cell>
          <cell r="P80" t="str">
            <v>RETURN HYD. FILTER</v>
          </cell>
          <cell r="Q80">
            <v>4</v>
          </cell>
          <cell r="R80">
            <v>92.02000000000001</v>
          </cell>
          <cell r="S80">
            <v>0</v>
          </cell>
          <cell r="T80">
            <v>368.08</v>
          </cell>
        </row>
        <row r="81">
          <cell r="C81" t="str">
            <v>581/18063</v>
          </cell>
          <cell r="D81" t="str">
            <v>TRAN. FILTER</v>
          </cell>
          <cell r="E81" t="str">
            <v>8421 23 00</v>
          </cell>
          <cell r="F81">
            <v>60</v>
          </cell>
          <cell r="G81">
            <v>684</v>
          </cell>
          <cell r="H81">
            <v>615.6</v>
          </cell>
          <cell r="I81">
            <v>36936</v>
          </cell>
          <cell r="J81">
            <v>30.78</v>
          </cell>
          <cell r="K81">
            <v>1846.8000000000002</v>
          </cell>
          <cell r="L81">
            <v>646.38</v>
          </cell>
          <cell r="M81">
            <v>38782.800000000003</v>
          </cell>
          <cell r="N81">
            <v>9.01</v>
          </cell>
          <cell r="O81">
            <v>540.6</v>
          </cell>
          <cell r="P81" t="str">
            <v>TRAN. FILTER</v>
          </cell>
          <cell r="Q81">
            <v>60</v>
          </cell>
          <cell r="R81">
            <v>9.01</v>
          </cell>
          <cell r="S81">
            <v>0</v>
          </cell>
          <cell r="T81">
            <v>540.6</v>
          </cell>
        </row>
        <row r="82">
          <cell r="C82" t="str">
            <v>581/18063</v>
          </cell>
          <cell r="D82" t="str">
            <v>HYDRAULIC FILTER</v>
          </cell>
          <cell r="E82" t="str">
            <v>8421 23 00</v>
          </cell>
          <cell r="F82">
            <v>20</v>
          </cell>
          <cell r="G82">
            <v>684</v>
          </cell>
          <cell r="H82">
            <v>615.6</v>
          </cell>
          <cell r="I82">
            <v>12312</v>
          </cell>
          <cell r="J82">
            <v>30.78</v>
          </cell>
          <cell r="K82">
            <v>615.6</v>
          </cell>
          <cell r="L82">
            <v>646.38</v>
          </cell>
          <cell r="M82">
            <v>12927.6</v>
          </cell>
          <cell r="N82">
            <v>9.01</v>
          </cell>
          <cell r="O82">
            <v>180.2</v>
          </cell>
          <cell r="P82" t="str">
            <v>TRAN. FILTER</v>
          </cell>
          <cell r="Q82">
            <v>20</v>
          </cell>
          <cell r="R82">
            <v>9.01</v>
          </cell>
          <cell r="S82">
            <v>0</v>
          </cell>
          <cell r="T82">
            <v>180.2</v>
          </cell>
        </row>
        <row r="83">
          <cell r="C83" t="str">
            <v>581/R5206</v>
          </cell>
          <cell r="D83" t="str">
            <v>FILTER - TRANSMISSION 15</v>
          </cell>
          <cell r="E83" t="str">
            <v>8421 29 00</v>
          </cell>
          <cell r="F83">
            <v>50</v>
          </cell>
          <cell r="G83">
            <v>1897</v>
          </cell>
          <cell r="H83">
            <v>1707.3</v>
          </cell>
          <cell r="I83">
            <v>85365</v>
          </cell>
          <cell r="J83">
            <v>85.365000000000009</v>
          </cell>
          <cell r="K83">
            <v>4268.25</v>
          </cell>
          <cell r="L83">
            <v>1792.665</v>
          </cell>
          <cell r="M83">
            <v>89633.25</v>
          </cell>
          <cell r="N83">
            <v>23.57</v>
          </cell>
          <cell r="O83">
            <v>1178.5</v>
          </cell>
          <cell r="P83" t="str">
            <v>FILTER - TRANSMISSION 15</v>
          </cell>
          <cell r="Q83">
            <v>50</v>
          </cell>
          <cell r="R83">
            <v>23.57</v>
          </cell>
          <cell r="S83">
            <v>0</v>
          </cell>
          <cell r="T83">
            <v>1178.5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nir Sheikh" refreshedDate="45205.823864351849" createdVersion="8" refreshedVersion="8" minRefreshableVersion="3" recordCount="89" xr:uid="{0CBDD266-E611-477A-93F0-06246FFF1545}">
  <cacheSource type="worksheet">
    <worksheetSource ref="B2:V91" sheet="Data"/>
  </cacheSource>
  <cacheFields count="21">
    <cacheField name="Sr No." numFmtId="0">
      <sharedItems containsSemiMixedTypes="0" containsString="0" containsNumber="1" containsInteger="1" minValue="1" maxValue="46"/>
    </cacheField>
    <cacheField name="Part no." numFmtId="0">
      <sharedItems count="39">
        <s v="02/600795"/>
        <s v="02/601346"/>
        <s v="02/630935A"/>
        <s v="02/910140A"/>
        <s v="2611/00281"/>
        <s v="30/926020"/>
        <s v="32/915801"/>
        <s v="32/915802"/>
        <s v="32/917301"/>
        <s v="32/920300"/>
        <s v="32/925346"/>
        <s v="32/925359"/>
        <s v="32/925666"/>
        <s v="32/925682"/>
        <s v="32/925683"/>
        <s v="320/07426"/>
        <s v="320/07483"/>
        <s v="320/07853"/>
        <s v="320/A4038"/>
        <s v="320/A7120"/>
        <s v="320/A7170"/>
        <s v="320/B4420"/>
        <s v="332/B7467"/>
        <s v="333/X2747"/>
        <s v="334/R1768"/>
        <s v="334/Y2810"/>
        <s v="334/Y2811"/>
        <s v="335/G2061"/>
        <s v="335/G4552"/>
        <s v="336/E9730"/>
        <s v="336/E9731"/>
        <s v="40/300893"/>
        <s v="400/G5285"/>
        <s v="400/R6073"/>
        <s v="400/V1479"/>
        <s v="400/Z7746"/>
        <s v="400/Z7969"/>
        <s v="581/18063"/>
        <s v="581/R5206"/>
      </sharedItems>
    </cacheField>
    <cacheField name="Product Description" numFmtId="0">
      <sharedItems/>
    </cacheField>
    <cacheField name="HSN CODE" numFmtId="0">
      <sharedItems/>
    </cacheField>
    <cacheField name="Qty" numFmtId="0">
      <sharedItems containsString="0" containsBlank="1" containsNumber="1" containsInteger="1" minValue="0" maxValue="120"/>
    </cacheField>
    <cacheField name="Per Unit" numFmtId="0">
      <sharedItems containsMixedTypes="1" containsNumber="1" containsInteger="1" minValue="388" maxValue="12114"/>
    </cacheField>
    <cacheField name="Total Unit" numFmtId="0">
      <sharedItems containsMixedTypes="1" containsNumber="1" containsInteger="1" minValue="0" maxValue="463320"/>
    </cacheField>
    <cacheField name="Disc %" numFmtId="0">
      <sharedItems containsMixedTypes="1" containsNumber="1" minValue="0.1" maxValue="0.1"/>
    </cacheField>
    <cacheField name="Disc Amt" numFmtId="0">
      <sharedItems containsMixedTypes="1" containsNumber="1" minValue="0" maxValue="46332"/>
    </cacheField>
    <cacheField name="Discounted Unit Price" numFmtId="0">
      <sharedItems containsString="0" containsBlank="1" containsNumber="1" minValue="349.2" maxValue="10902.6"/>
    </cacheField>
    <cacheField name="Total Price" numFmtId="0">
      <sharedItems containsString="0" containsBlank="1" containsNumber="1" minValue="0" maxValue="416988"/>
    </cacheField>
    <cacheField name="Unit Sale Price US$" numFmtId="0">
      <sharedItems containsString="0" containsBlank="1" containsNumber="1" minValue="0" maxValue="174.29999999999998"/>
    </cacheField>
    <cacheField name="Total Sale Amount (US$)" numFmtId="0">
      <sharedItems containsString="0" containsBlank="1" containsNumber="1" minValue="0" maxValue="6666.6"/>
    </cacheField>
    <cacheField name="Total Sale amount as per PO" numFmtId="0">
      <sharedItems containsString="0" containsBlank="1" containsNumber="1" minValue="0" maxValue="6667"/>
    </cacheField>
    <cacheField name="Diff" numFmtId="0">
      <sharedItems containsString="0" containsBlank="1" containsNumber="1" minValue="-1" maxValue="0.40000000000009095"/>
    </cacheField>
    <cacheField name="Total Sale Price in INR" numFmtId="0">
      <sharedItems containsString="0" containsBlank="1" containsNumber="1" minValue="0" maxValue="533360"/>
    </cacheField>
    <cacheField name="Total Gross Profit in INR" numFmtId="0">
      <sharedItems containsString="0" containsBlank="1" containsNumber="1" minValue="-3266.0000000000291" maxValue="116372"/>
    </cacheField>
    <cacheField name="Unit Price with comm (US$)" numFmtId="0">
      <sharedItems containsSemiMixedTypes="0" containsString="0" containsNumber="1" minValue="0" maxValue="195.22"/>
    </cacheField>
    <cacheField name="Total price with comm (us$)" numFmtId="0">
      <sharedItems containsSemiMixedTypes="0" containsString="0" containsNumber="1" minValue="0" maxValue="7467"/>
    </cacheField>
    <cacheField name="Qty2" numFmtId="0">
      <sharedItems containsNonDate="0" containsString="0" containsBlank="1"/>
    </cacheField>
    <cacheField name="Inv Amou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">
  <r>
    <n v="31"/>
    <x v="0"/>
    <s v="OIL FILTER"/>
    <s v="8421 23 00"/>
    <n v="0"/>
    <s v="-"/>
    <s v="-"/>
    <s v="-"/>
    <s v="-"/>
    <m/>
    <m/>
    <m/>
    <m/>
    <m/>
    <m/>
    <m/>
    <m/>
    <n v="0"/>
    <n v="0"/>
    <m/>
    <m/>
  </r>
  <r>
    <n v="35"/>
    <x v="0"/>
    <s v="OIL FILTER"/>
    <s v="-"/>
    <m/>
    <s v="-"/>
    <s v="-"/>
    <s v="-"/>
    <s v="-"/>
    <m/>
    <m/>
    <m/>
    <m/>
    <m/>
    <m/>
    <m/>
    <m/>
    <n v="0"/>
    <n v="0"/>
    <m/>
    <m/>
  </r>
  <r>
    <n v="33"/>
    <x v="1"/>
    <s v="FUEL FILTER"/>
    <s v="4812 00 00"/>
    <n v="4"/>
    <n v="1273"/>
    <n v="5092"/>
    <n v="0.1"/>
    <n v="509.20000000000005"/>
    <n v="1145.7"/>
    <n v="4582.8"/>
    <n v="18.32"/>
    <n v="74"/>
    <n v="73"/>
    <n v="-1"/>
    <n v="5840"/>
    <n v="1257.1999999999998"/>
    <n v="21.07"/>
    <n v="84.28"/>
    <m/>
    <m/>
  </r>
  <r>
    <n v="37"/>
    <x v="1"/>
    <s v="FUEL FILTER"/>
    <s v="4812 00 00"/>
    <n v="12"/>
    <n v="1273"/>
    <n v="15276"/>
    <n v="0.1"/>
    <n v="1527.6000000000001"/>
    <n v="1145.7"/>
    <n v="13748.400000000001"/>
    <n v="18.32"/>
    <n v="220"/>
    <n v="219.84"/>
    <n v="-0.15999999999999659"/>
    <n v="17587.2"/>
    <n v="3838.7999999999993"/>
    <n v="21.07"/>
    <n v="252.84"/>
    <m/>
    <m/>
  </r>
  <r>
    <n v="1"/>
    <x v="2"/>
    <s v="OIL FILTER"/>
    <s v="8421 23 00"/>
    <n v="12"/>
    <n v="457"/>
    <n v="5484"/>
    <n v="0.1"/>
    <n v="548.4"/>
    <n v="411.3"/>
    <n v="4935.6000000000004"/>
    <n v="6.58"/>
    <n v="78.959999999999994"/>
    <n v="78.959999999999994"/>
    <n v="0"/>
    <n v="6316.7999999999993"/>
    <n v="1381.1999999999989"/>
    <n v="7.5699999999999994"/>
    <n v="90.839999999999989"/>
    <m/>
    <m/>
  </r>
  <r>
    <n v="36"/>
    <x v="2"/>
    <s v="OIL FILTER"/>
    <s v="8421 23 00"/>
    <n v="4"/>
    <n v="457"/>
    <n v="1828"/>
    <n v="0.1"/>
    <n v="182.8"/>
    <n v="411.3"/>
    <n v="1645.2"/>
    <n v="6.58"/>
    <n v="27"/>
    <n v="26"/>
    <n v="-1"/>
    <n v="2080"/>
    <n v="434.79999999999995"/>
    <n v="7.5699999999999994"/>
    <n v="30.279999999999998"/>
    <m/>
    <m/>
  </r>
  <r>
    <n v="7"/>
    <x v="3"/>
    <s v="OIL FILTER"/>
    <s v="8421 23 00"/>
    <n v="120"/>
    <n v="388"/>
    <n v="46560"/>
    <n v="0.1"/>
    <n v="4656"/>
    <n v="349.2"/>
    <n v="41904"/>
    <n v="5.59"/>
    <n v="670.8"/>
    <n v="670.8"/>
    <n v="0"/>
    <n v="53664"/>
    <n v="11760"/>
    <n v="6.43"/>
    <n v="771.59999999999991"/>
    <m/>
    <m/>
  </r>
  <r>
    <n v="19"/>
    <x v="3"/>
    <s v="OIL FILTER"/>
    <s v="8421 23 00"/>
    <n v="40"/>
    <n v="388"/>
    <n v="15520"/>
    <n v="0.1"/>
    <n v="1552"/>
    <n v="349.2"/>
    <n v="13968"/>
    <n v="5.59"/>
    <n v="223.6"/>
    <n v="224"/>
    <n v="0.40000000000000568"/>
    <n v="17920"/>
    <n v="3952"/>
    <n v="6.43"/>
    <n v="257.2"/>
    <m/>
    <m/>
  </r>
  <r>
    <n v="30"/>
    <x v="4"/>
    <s v="HYDRAULIC FILTER"/>
    <s v="4812 00 00"/>
    <n v="20"/>
    <n v="3505"/>
    <n v="70100"/>
    <n v="0.1"/>
    <n v="7010"/>
    <n v="3154.5"/>
    <n v="63090"/>
    <n v="50.44"/>
    <n v="1009"/>
    <n v="1009"/>
    <n v="0"/>
    <n v="80720"/>
    <n v="17630"/>
    <n v="56.5"/>
    <n v="1130"/>
    <m/>
    <m/>
  </r>
  <r>
    <n v="35"/>
    <x v="4"/>
    <s v="HYDRAULIC FILTER"/>
    <s v="4812 00 00"/>
    <n v="4"/>
    <n v="3505"/>
    <n v="14020"/>
    <n v="0.1"/>
    <n v="1402"/>
    <n v="3154.5"/>
    <n v="12618"/>
    <n v="50.44"/>
    <n v="202"/>
    <n v="202"/>
    <n v="0"/>
    <n v="16160"/>
    <n v="3542"/>
    <n v="56.5"/>
    <n v="226"/>
    <m/>
    <m/>
  </r>
  <r>
    <n v="38"/>
    <x v="4"/>
    <s v="HYD FILTER"/>
    <s v="8421 99 00"/>
    <n v="12"/>
    <n v="3505"/>
    <n v="42060"/>
    <n v="0.1"/>
    <n v="4206"/>
    <n v="3154.5"/>
    <n v="37854"/>
    <n v="50.44"/>
    <n v="606"/>
    <n v="605.28"/>
    <n v="-0.72000000000002728"/>
    <n v="48422.399999999994"/>
    <n v="10568.399999999994"/>
    <n v="56.5"/>
    <n v="678"/>
    <m/>
    <m/>
  </r>
  <r>
    <n v="42"/>
    <x v="4"/>
    <s v="HYD FILTER"/>
    <s v="8421 99 00"/>
    <n v="60"/>
    <n v="3505"/>
    <n v="210300"/>
    <n v="0.1"/>
    <n v="21030"/>
    <n v="3154.5"/>
    <n v="189270"/>
    <n v="50.44"/>
    <n v="3027"/>
    <n v="3026"/>
    <n v="-1"/>
    <n v="242080"/>
    <n v="52810"/>
    <n v="56.5"/>
    <n v="3390"/>
    <m/>
    <m/>
  </r>
  <r>
    <n v="15"/>
    <x v="5"/>
    <s v="AC FILTER"/>
    <s v="4812 00 00"/>
    <n v="8"/>
    <n v="1271"/>
    <n v="10168"/>
    <n v="0.1"/>
    <n v="1016.8000000000001"/>
    <n v="1143.9000000000001"/>
    <n v="9151.2000000000007"/>
    <n v="18.290000000000003"/>
    <n v="146.32"/>
    <n v="146"/>
    <n v="-0.31999999999999318"/>
    <n v="11680"/>
    <n v="2528.7999999999993"/>
    <n v="21.040000000000003"/>
    <n v="168.32000000000002"/>
    <m/>
    <m/>
  </r>
  <r>
    <n v="26"/>
    <x v="5"/>
    <s v="AC. FILTER"/>
    <s v="8421 99 00"/>
    <n v="24"/>
    <n v="1271"/>
    <n v="30504"/>
    <n v="0.1"/>
    <n v="3050.4"/>
    <n v="1143.9000000000001"/>
    <n v="27453.600000000002"/>
    <n v="18.290000000000003"/>
    <n v="438.96"/>
    <n v="438.96"/>
    <n v="0"/>
    <n v="35116.799999999996"/>
    <n v="7663.1999999999935"/>
    <n v="21.040000000000003"/>
    <n v="504.96000000000004"/>
    <m/>
    <m/>
  </r>
  <r>
    <n v="8"/>
    <x v="6"/>
    <s v="AIR FILTER IN"/>
    <s v="5603 94 90"/>
    <n v="10"/>
    <n v="1010"/>
    <n v="10100"/>
    <n v="0.1"/>
    <n v="1010"/>
    <n v="909"/>
    <n v="9090"/>
    <n v="14.54"/>
    <n v="145.4"/>
    <n v="145"/>
    <n v="-0.40000000000000568"/>
    <n v="11600"/>
    <n v="2510"/>
    <n v="16.73"/>
    <n v="167.3"/>
    <m/>
    <m/>
  </r>
  <r>
    <n v="34"/>
    <x v="6"/>
    <s v="AIR FILTER INNER"/>
    <s v="5603 94 90"/>
    <n v="30"/>
    <n v="1010"/>
    <n v="30300"/>
    <n v="0.1"/>
    <n v="3030"/>
    <n v="909"/>
    <n v="27270"/>
    <n v="14.54"/>
    <n v="437"/>
    <n v="436.2"/>
    <n v="-0.80000000000001137"/>
    <n v="34896"/>
    <n v="7626"/>
    <n v="16.73"/>
    <n v="501.90000000000003"/>
    <m/>
    <m/>
  </r>
  <r>
    <n v="7"/>
    <x v="7"/>
    <s v="AIR FILTER OUT"/>
    <s v="4823 90 90"/>
    <n v="10"/>
    <n v="1488"/>
    <n v="14880"/>
    <n v="0.1"/>
    <n v="1488"/>
    <n v="1339.2"/>
    <n v="13392"/>
    <n v="21.41"/>
    <n v="214.1"/>
    <n v="214"/>
    <n v="-9.9999999999994316E-2"/>
    <n v="17120"/>
    <n v="3728"/>
    <n v="23.98"/>
    <n v="239.8"/>
    <m/>
    <m/>
  </r>
  <r>
    <n v="33"/>
    <x v="7"/>
    <s v="AIR FILTER OUTER"/>
    <s v="4823 90 90"/>
    <n v="30"/>
    <n v="1488"/>
    <n v="44640"/>
    <n v="0.1"/>
    <n v="4464"/>
    <n v="1339.2"/>
    <n v="40176"/>
    <n v="21.41"/>
    <n v="643"/>
    <n v="642.29999999999995"/>
    <n v="-0.70000000000004547"/>
    <n v="51384"/>
    <n v="11208"/>
    <n v="23.98"/>
    <n v="719.4"/>
    <m/>
    <m/>
  </r>
  <r>
    <n v="6"/>
    <x v="8"/>
    <s v="AIR FILTER"/>
    <s v="8421 99 00"/>
    <n v="0"/>
    <n v="2520"/>
    <n v="0"/>
    <n v="0.1"/>
    <n v="0"/>
    <n v="2268"/>
    <n v="0"/>
    <m/>
    <m/>
    <m/>
    <m/>
    <n v="0"/>
    <n v="0"/>
    <n v="0"/>
    <n v="0"/>
    <m/>
    <m/>
  </r>
  <r>
    <n v="41"/>
    <x v="8"/>
    <s v="AIR FILTER"/>
    <s v="4812 00 00"/>
    <n v="0"/>
    <n v="2520"/>
    <n v="0"/>
    <n v="0.1"/>
    <n v="0"/>
    <n v="2268"/>
    <n v="0"/>
    <m/>
    <m/>
    <m/>
    <m/>
    <n v="0"/>
    <n v="0"/>
    <n v="0"/>
    <n v="0"/>
    <m/>
    <m/>
  </r>
  <r>
    <n v="6"/>
    <x v="9"/>
    <s v="HYDRAULIC FILTER"/>
    <s v="4812 00 00"/>
    <n v="20"/>
    <n v="556"/>
    <n v="11120"/>
    <n v="0.1"/>
    <n v="1112"/>
    <n v="500.40000000000003"/>
    <n v="10008"/>
    <n v="8"/>
    <n v="160"/>
    <n v="160"/>
    <n v="0"/>
    <n v="12800"/>
    <n v="2792"/>
    <n v="9.1999999999999993"/>
    <n v="184"/>
    <m/>
    <m/>
  </r>
  <r>
    <n v="32"/>
    <x v="9"/>
    <s v="HYD FILTER"/>
    <s v="8421 23 00"/>
    <n v="60"/>
    <n v="556"/>
    <n v="33360"/>
    <n v="0.1"/>
    <n v="3336"/>
    <n v="500.40000000000003"/>
    <n v="30024.000000000004"/>
    <n v="8"/>
    <n v="480"/>
    <n v="480"/>
    <n v="0"/>
    <n v="38400"/>
    <n v="8375.9999999999964"/>
    <n v="9.1999999999999993"/>
    <n v="552"/>
    <m/>
    <m/>
  </r>
  <r>
    <n v="44"/>
    <x v="10"/>
    <s v="FILTER 12U PQ416"/>
    <s v="4812 00 00"/>
    <n v="50"/>
    <n v="3166"/>
    <n v="158300"/>
    <n v="0.1"/>
    <n v="15830"/>
    <n v="2849.4"/>
    <n v="142470"/>
    <n v="45.559999999999995"/>
    <n v="2278"/>
    <n v="2278"/>
    <n v="0"/>
    <n v="182240"/>
    <n v="39770"/>
    <n v="51.03"/>
    <n v="2551.5"/>
    <m/>
    <m/>
  </r>
  <r>
    <n v="14"/>
    <x v="11"/>
    <s v="HYD FILTER"/>
    <s v="4812 00 00"/>
    <n v="30"/>
    <n v="3215"/>
    <n v="96450"/>
    <n v="0.1"/>
    <n v="9645"/>
    <n v="2893.5"/>
    <n v="86805"/>
    <n v="46.26"/>
    <n v="1387.8"/>
    <n v="1387.8"/>
    <n v="0"/>
    <n v="111024"/>
    <n v="24219"/>
    <n v="51.82"/>
    <n v="1554.6"/>
    <m/>
    <m/>
  </r>
  <r>
    <n v="28"/>
    <x v="12"/>
    <s v="FUEL FILTER"/>
    <s v="4812 00 00"/>
    <n v="20"/>
    <n v="1678"/>
    <n v="33560"/>
    <n v="0.1"/>
    <n v="3356"/>
    <n v="1510.2"/>
    <n v="30204"/>
    <n v="24.150000000000002"/>
    <n v="483"/>
    <n v="483"/>
    <n v="0"/>
    <n v="38640"/>
    <n v="8436"/>
    <n v="27.05"/>
    <n v="541"/>
    <m/>
    <m/>
  </r>
  <r>
    <n v="32"/>
    <x v="12"/>
    <s v="FUEL FILTER"/>
    <s v="4812 00 00"/>
    <n v="4"/>
    <n v="1678"/>
    <n v="6712"/>
    <n v="0.1"/>
    <n v="671.2"/>
    <n v="1510.2"/>
    <n v="6040.8"/>
    <n v="24.150000000000002"/>
    <n v="97"/>
    <n v="97"/>
    <n v="0"/>
    <n v="7760"/>
    <n v="1719.1999999999998"/>
    <n v="27.05"/>
    <n v="108.2"/>
    <m/>
    <m/>
  </r>
  <r>
    <n v="36"/>
    <x v="12"/>
    <s v="FUEL FILTER"/>
    <s v="8421 99 00"/>
    <n v="12"/>
    <n v="1678"/>
    <n v="20136"/>
    <n v="0.1"/>
    <n v="2013.6000000000001"/>
    <n v="1510.2"/>
    <n v="18122.400000000001"/>
    <n v="24.150000000000002"/>
    <n v="290"/>
    <n v="289.8"/>
    <n v="-0.19999999999998863"/>
    <n v="23184"/>
    <n v="5061.5999999999985"/>
    <n v="27.05"/>
    <n v="324.60000000000002"/>
    <m/>
    <m/>
  </r>
  <r>
    <n v="41"/>
    <x v="12"/>
    <s v="FUEL FILTER"/>
    <s v="8421 99 00"/>
    <n v="60"/>
    <n v="1678"/>
    <n v="100680"/>
    <n v="0.1"/>
    <n v="10068"/>
    <n v="1510.2"/>
    <n v="90612"/>
    <n v="24.150000000000002"/>
    <n v="1449"/>
    <n v="1449"/>
    <n v="0"/>
    <n v="115920"/>
    <n v="25308"/>
    <n v="27.05"/>
    <n v="1623"/>
    <m/>
    <m/>
  </r>
  <r>
    <n v="42"/>
    <x v="13"/>
    <s v="ELEMENT AIR PQ145"/>
    <s v="4812 00 00"/>
    <n v="100"/>
    <n v="3005"/>
    <n v="300500"/>
    <n v="0.1"/>
    <n v="30050"/>
    <n v="2704.5"/>
    <n v="270450"/>
    <n v="43.239999999999995"/>
    <n v="4324"/>
    <n v="4324"/>
    <n v="0"/>
    <n v="345920"/>
    <n v="75470"/>
    <n v="48.43"/>
    <n v="4843"/>
    <m/>
    <m/>
  </r>
  <r>
    <n v="43"/>
    <x v="14"/>
    <s v="SAFETY ELEMENT"/>
    <s v="4812 00 00"/>
    <n v="100"/>
    <n v="1689"/>
    <n v="168900"/>
    <n v="0.1"/>
    <n v="16890"/>
    <n v="1520.1000000000001"/>
    <n v="152010"/>
    <n v="24.310000000000002"/>
    <n v="2431"/>
    <n v="2431"/>
    <n v="0"/>
    <n v="194480"/>
    <n v="42470"/>
    <n v="27.23"/>
    <n v="2723"/>
    <m/>
    <m/>
  </r>
  <r>
    <n v="12"/>
    <x v="15"/>
    <s v="FUEL FILTER"/>
    <s v="8421 29 00"/>
    <n v="4"/>
    <n v="3761"/>
    <n v="15044"/>
    <n v="0.1"/>
    <n v="1504.4"/>
    <n v="3384.9"/>
    <n v="13539.6"/>
    <n v="54.12"/>
    <n v="216.48"/>
    <n v="216"/>
    <n v="-0.47999999999998977"/>
    <n v="17280"/>
    <n v="3740.3999999999996"/>
    <n v="60.62"/>
    <n v="242.48"/>
    <m/>
    <m/>
  </r>
  <r>
    <n v="20"/>
    <x v="15"/>
    <s v="FUEL WATER SP FLITER"/>
    <s v="8421 29 00"/>
    <n v="12"/>
    <n v="3761"/>
    <n v="45132"/>
    <n v="0.1"/>
    <n v="4513.2"/>
    <n v="3384.9"/>
    <n v="40618.800000000003"/>
    <n v="54.12"/>
    <n v="649.44000000000005"/>
    <n v="649.44000000000005"/>
    <n v="0"/>
    <n v="51955.200000000004"/>
    <n v="11336.400000000001"/>
    <n v="60.62"/>
    <n v="727.43999999999994"/>
    <m/>
    <m/>
  </r>
  <r>
    <n v="11"/>
    <x v="16"/>
    <s v="FUEL FILTER"/>
    <s v="8421 99 00"/>
    <n v="4"/>
    <n v="4028"/>
    <n v="16112"/>
    <n v="0.1"/>
    <n v="1611.2"/>
    <n v="3625.2000000000003"/>
    <n v="14500.800000000001"/>
    <n v="57.96"/>
    <n v="231.84"/>
    <n v="232"/>
    <n v="0.15999999999999659"/>
    <n v="18560"/>
    <n v="4059.1999999999989"/>
    <n v="64.92"/>
    <n v="259.68"/>
    <m/>
    <m/>
  </r>
  <r>
    <n v="19"/>
    <x v="16"/>
    <s v="FUEL WATER SP FLITER"/>
    <s v="8421 99 00"/>
    <n v="12"/>
    <n v="4028"/>
    <n v="48336"/>
    <n v="0.1"/>
    <n v="4833.6000000000004"/>
    <n v="3625.2000000000003"/>
    <n v="43502.400000000001"/>
    <n v="57.96"/>
    <n v="695.52"/>
    <n v="695.52"/>
    <n v="0"/>
    <n v="55641.599999999999"/>
    <n v="12139.199999999997"/>
    <n v="64.92"/>
    <n v="779.04"/>
    <m/>
    <m/>
  </r>
  <r>
    <n v="10"/>
    <x v="17"/>
    <s v="FUEL FILTER"/>
    <s v="4812 00 00"/>
    <n v="4"/>
    <n v="4181"/>
    <n v="16724"/>
    <n v="0.1"/>
    <n v="1672.4"/>
    <n v="3762.9"/>
    <n v="15051.6"/>
    <n v="60.16"/>
    <n v="240.64"/>
    <n v="241"/>
    <n v="0.36000000000001364"/>
    <n v="19280"/>
    <n v="4228.3999999999996"/>
    <n v="67.38000000000001"/>
    <n v="269.52000000000004"/>
    <m/>
    <m/>
  </r>
  <r>
    <n v="18"/>
    <x v="17"/>
    <s v="CCV FUEL FILTER"/>
    <s v="8421 99 00"/>
    <n v="12"/>
    <n v="4181"/>
    <n v="50172"/>
    <n v="0.1"/>
    <n v="5017.2000000000007"/>
    <n v="3762.9"/>
    <n v="45154.8"/>
    <n v="60.16"/>
    <n v="721.92"/>
    <n v="722"/>
    <n v="8.0000000000040927E-2"/>
    <n v="57760"/>
    <n v="12605.199999999997"/>
    <n v="67.38000000000001"/>
    <n v="808.56000000000017"/>
    <m/>
    <m/>
  </r>
  <r>
    <n v="9"/>
    <x v="18"/>
    <s v="OIL FILTER"/>
    <s v="4812 00 00"/>
    <n v="8"/>
    <n v="1364"/>
    <n v="10912"/>
    <n v="0.1"/>
    <n v="1091.2"/>
    <n v="1227.6000000000001"/>
    <n v="9820.8000000000011"/>
    <n v="19.630000000000003"/>
    <n v="157.04"/>
    <n v="157"/>
    <n v="-3.9999999999992042E-2"/>
    <n v="12560"/>
    <n v="2739.1999999999989"/>
    <n v="22.580000000000002"/>
    <n v="180.64000000000001"/>
    <m/>
    <m/>
  </r>
  <r>
    <n v="17"/>
    <x v="18"/>
    <s v="OIL FILTER"/>
    <s v="8421 23 00"/>
    <n v="24"/>
    <n v="1364"/>
    <n v="32736"/>
    <n v="0.1"/>
    <n v="3273.6000000000004"/>
    <n v="1227.6000000000001"/>
    <n v="29462.400000000001"/>
    <n v="19.630000000000003"/>
    <n v="471.12"/>
    <n v="471.12"/>
    <n v="0"/>
    <n v="37689.599999999999"/>
    <n v="8227.1999999999971"/>
    <n v="22.580000000000002"/>
    <n v="541.92000000000007"/>
    <m/>
    <m/>
  </r>
  <r>
    <n v="3"/>
    <x v="19"/>
    <s v="FUEL FILTER"/>
    <s v="8421 29 00"/>
    <n v="6"/>
    <n v="4699"/>
    <n v="28194"/>
    <n v="0.1"/>
    <n v="2819.4"/>
    <n v="4229.1000000000004"/>
    <n v="25374.600000000002"/>
    <n v="52.18"/>
    <n v="313.08"/>
    <n v="313.08"/>
    <n v="0"/>
    <n v="25046.399999999998"/>
    <n v="-328.20000000000437"/>
    <n v="58.449999999999996"/>
    <n v="350.7"/>
    <m/>
    <m/>
  </r>
  <r>
    <n v="3"/>
    <x v="19"/>
    <s v="FUEL FILTER"/>
    <s v="8421 29 00"/>
    <n v="0"/>
    <n v="4699"/>
    <n v="0"/>
    <n v="0.1"/>
    <n v="0"/>
    <n v="4229.1000000000004"/>
    <n v="0"/>
    <n v="52.18"/>
    <n v="0"/>
    <m/>
    <n v="0"/>
    <n v="0"/>
    <n v="0"/>
    <n v="58.449999999999996"/>
    <n v="0"/>
    <m/>
    <m/>
  </r>
  <r>
    <n v="29"/>
    <x v="19"/>
    <s v="FUEL FILTER"/>
    <s v="8421 29 00"/>
    <n v="60"/>
    <n v="4699"/>
    <n v="281940"/>
    <n v="0.1"/>
    <n v="28194"/>
    <n v="4229.1000000000004"/>
    <n v="253746.00000000003"/>
    <n v="52.18"/>
    <n v="3131"/>
    <n v="3131"/>
    <n v="0"/>
    <n v="250480"/>
    <n v="-3266.0000000000291"/>
    <n v="58.449999999999996"/>
    <n v="3506.9999999999995"/>
    <m/>
    <m/>
  </r>
  <r>
    <n v="38"/>
    <x v="19"/>
    <s v="FUEL FILTER"/>
    <s v="8421 29 00"/>
    <n v="2"/>
    <n v="4699"/>
    <n v="9398"/>
    <n v="0.1"/>
    <n v="939.80000000000007"/>
    <n v="4229.1000000000004"/>
    <n v="8458.2000000000007"/>
    <n v="52.18"/>
    <n v="105"/>
    <n v="104"/>
    <n v="-1"/>
    <n v="8320"/>
    <n v="-138.20000000000073"/>
    <n v="58.449999999999996"/>
    <n v="116.89999999999999"/>
    <m/>
    <m/>
  </r>
  <r>
    <n v="2"/>
    <x v="20"/>
    <s v="FUEL FILTER"/>
    <s v="8421 99 00"/>
    <n v="6"/>
    <n v="2852"/>
    <n v="17112"/>
    <n v="0.1"/>
    <n v="1711.2"/>
    <n v="2566.8000000000002"/>
    <n v="15400.800000000001"/>
    <n v="41.04"/>
    <n v="246.24"/>
    <n v="246"/>
    <n v="-0.24000000000000909"/>
    <n v="19680"/>
    <n v="4279.1999999999989"/>
    <n v="45.97"/>
    <n v="275.82"/>
    <m/>
    <m/>
  </r>
  <r>
    <n v="2"/>
    <x v="20"/>
    <s v="FUEL FILTER"/>
    <s v="8421 99 00"/>
    <n v="20"/>
    <n v="2852"/>
    <n v="57040"/>
    <n v="0.1"/>
    <n v="5704"/>
    <n v="2566.8000000000002"/>
    <n v="51336"/>
    <n v="41.04"/>
    <n v="820.8"/>
    <n v="821"/>
    <n v="0.20000000000004547"/>
    <n v="65680"/>
    <n v="14344"/>
    <n v="45.97"/>
    <n v="919.4"/>
    <m/>
    <m/>
  </r>
  <r>
    <n v="28"/>
    <x v="20"/>
    <s v="FUEL FILTER"/>
    <s v="8421 99 00"/>
    <n v="60"/>
    <n v="2852"/>
    <n v="171120"/>
    <n v="0.1"/>
    <n v="17112"/>
    <n v="2566.8000000000002"/>
    <n v="154008"/>
    <n v="41.04"/>
    <n v="2463"/>
    <n v="2462"/>
    <n v="-1"/>
    <n v="196960"/>
    <n v="42952"/>
    <n v="45.97"/>
    <n v="2758.2"/>
    <m/>
    <m/>
  </r>
  <r>
    <n v="37"/>
    <x v="20"/>
    <s v="FUEL FILTER"/>
    <s v="8421 99 00"/>
    <n v="2"/>
    <n v="2852"/>
    <n v="5704"/>
    <n v="0.1"/>
    <n v="570.4"/>
    <n v="2566.8000000000002"/>
    <n v="5133.6000000000004"/>
    <n v="41.04"/>
    <n v="83"/>
    <n v="82"/>
    <n v="-1"/>
    <n v="6560"/>
    <n v="1426.3999999999996"/>
    <n v="45.97"/>
    <n v="91.94"/>
    <m/>
    <m/>
  </r>
  <r>
    <n v="1"/>
    <x v="21"/>
    <s v="OIL FILTER"/>
    <s v="8421 99 00"/>
    <n v="0"/>
    <n v="1612"/>
    <n v="0"/>
    <n v="0.1"/>
    <n v="0"/>
    <n v="1450.8"/>
    <n v="0"/>
    <n v="0"/>
    <n v="0"/>
    <n v="0"/>
    <n v="0"/>
    <n v="0"/>
    <n v="0"/>
    <n v="0"/>
    <n v="0"/>
    <m/>
    <m/>
  </r>
  <r>
    <n v="27"/>
    <x v="21"/>
    <s v="OIL FILTER"/>
    <s v="8421 99 00"/>
    <n v="0"/>
    <n v="1612"/>
    <n v="0"/>
    <n v="0.1"/>
    <n v="0"/>
    <n v="1450.8"/>
    <n v="0"/>
    <n v="0"/>
    <n v="0"/>
    <n v="0"/>
    <n v="0"/>
    <n v="0"/>
    <n v="0"/>
    <n v="0"/>
    <n v="0"/>
    <m/>
    <m/>
  </r>
  <r>
    <n v="12"/>
    <x v="22"/>
    <s v="HYD FILTER"/>
    <s v="8421 99 00"/>
    <n v="60"/>
    <n v="1984"/>
    <n v="119040"/>
    <n v="0.1"/>
    <n v="11904"/>
    <n v="1785.6000000000001"/>
    <n v="107136.00000000001"/>
    <n v="23.92"/>
    <n v="1435.2"/>
    <n v="1435"/>
    <n v="-0.20000000000004547"/>
    <n v="114800"/>
    <n v="7663.9999999999854"/>
    <n v="26.8"/>
    <n v="1608"/>
    <m/>
    <m/>
  </r>
  <r>
    <n v="14"/>
    <x v="22"/>
    <s v="HYDRAULIC FILTER"/>
    <s v="4812 00 00"/>
    <n v="4"/>
    <n v="1984"/>
    <n v="7936"/>
    <n v="0.1"/>
    <n v="793.6"/>
    <n v="1785.6000000000001"/>
    <n v="7142.4000000000005"/>
    <n v="23.92"/>
    <n v="95.68"/>
    <n v="96"/>
    <n v="0.31999999999999318"/>
    <n v="7680"/>
    <n v="537.59999999999945"/>
    <n v="26.8"/>
    <n v="107.2"/>
    <m/>
    <m/>
  </r>
  <r>
    <n v="22"/>
    <x v="22"/>
    <s v="HYD. FILTER"/>
    <s v="8421 99 00"/>
    <n v="12"/>
    <n v="1984"/>
    <n v="23808"/>
    <n v="0.1"/>
    <n v="2380.8000000000002"/>
    <n v="1785.6000000000001"/>
    <n v="21427.200000000001"/>
    <n v="23.92"/>
    <n v="287.04000000000002"/>
    <n v="287"/>
    <n v="-4.0000000000020464E-2"/>
    <n v="22960"/>
    <n v="1532.7999999999993"/>
    <n v="26.8"/>
    <n v="321.60000000000002"/>
    <m/>
    <m/>
  </r>
  <r>
    <n v="25"/>
    <x v="22"/>
    <s v="HYDRAULIC FILTER"/>
    <s v="4812 00 00"/>
    <n v="10"/>
    <n v="1984"/>
    <n v="19840"/>
    <n v="0.1"/>
    <n v="1984"/>
    <n v="1785.6000000000001"/>
    <n v="17856"/>
    <n v="23.92"/>
    <n v="239.2"/>
    <n v="239"/>
    <n v="-0.19999999999998863"/>
    <n v="19120"/>
    <n v="1264"/>
    <n v="26.8"/>
    <n v="268"/>
    <m/>
    <m/>
  </r>
  <r>
    <n v="5"/>
    <x v="23"/>
    <s v="HYD FILTER"/>
    <s v="4812 00 00"/>
    <n v="3"/>
    <n v="4712"/>
    <n v="14136"/>
    <n v="0.1"/>
    <n v="1413.6000000000001"/>
    <n v="4240.8"/>
    <n v="12722.400000000001"/>
    <n v="67.800000000000011"/>
    <n v="203.4"/>
    <n v="203"/>
    <n v="-0.40000000000000568"/>
    <n v="16240"/>
    <n v="3517.5999999999985"/>
    <n v="75.940000000000012"/>
    <n v="227.82000000000005"/>
    <m/>
    <m/>
  </r>
  <r>
    <n v="40"/>
    <x v="23"/>
    <s v="HYDRAULIC FILTER"/>
    <s v="4812 00 00"/>
    <n v="1"/>
    <n v="4712"/>
    <n v="4712"/>
    <n v="0.1"/>
    <n v="471.20000000000005"/>
    <n v="4240.8"/>
    <n v="4240.8"/>
    <n v="67.800000000000011"/>
    <n v="68"/>
    <n v="68"/>
    <n v="0"/>
    <n v="5440"/>
    <n v="1199.1999999999998"/>
    <n v="75.940000000000012"/>
    <n v="75.940000000000012"/>
    <m/>
    <m/>
  </r>
  <r>
    <n v="46"/>
    <x v="23"/>
    <s v="FILTER ELEMENT - 10 MICRON"/>
    <s v="4812 00 00"/>
    <n v="20"/>
    <n v="4712"/>
    <n v="94240"/>
    <n v="0.1"/>
    <n v="9424"/>
    <n v="4240.8"/>
    <n v="84816"/>
    <n v="67.800000000000011"/>
    <n v="1356"/>
    <n v="1356"/>
    <n v="0"/>
    <n v="108480"/>
    <n v="23664"/>
    <n v="75.940000000000012"/>
    <n v="1518.8000000000002"/>
    <m/>
    <m/>
  </r>
  <r>
    <n v="13"/>
    <x v="24"/>
    <s v="AIR FILTER ASSY"/>
    <s v="4812 00 00"/>
    <n v="4"/>
    <n v="12114"/>
    <n v="48456"/>
    <n v="0.1"/>
    <n v="4845.6000000000004"/>
    <n v="10902.6"/>
    <n v="43610.400000000001"/>
    <n v="174.29999999999998"/>
    <n v="697.2"/>
    <n v="697"/>
    <n v="-0.20000000000004547"/>
    <n v="55760"/>
    <n v="12149.599999999999"/>
    <n v="195.22"/>
    <n v="780.88"/>
    <m/>
    <m/>
  </r>
  <r>
    <n v="25"/>
    <x v="24"/>
    <s v="AIR FILTER ASSY"/>
    <s v="8421 99 00"/>
    <n v="12"/>
    <n v="12114"/>
    <n v="145368"/>
    <n v="0.1"/>
    <n v="14536.800000000001"/>
    <n v="10902.6"/>
    <n v="130831.20000000001"/>
    <n v="174.29999999999998"/>
    <n v="2091.6"/>
    <n v="2092"/>
    <n v="0.40000000000009095"/>
    <n v="167360"/>
    <n v="36528.799999999988"/>
    <n v="195.22"/>
    <n v="2342.64"/>
    <m/>
    <m/>
  </r>
  <r>
    <n v="15"/>
    <x v="25"/>
    <s v="AIR FILTER OUTER"/>
    <s v="8421 31 00"/>
    <n v="60"/>
    <n v="2951"/>
    <n v="177060"/>
    <n v="0.1"/>
    <n v="17706"/>
    <n v="2655.9"/>
    <n v="159354"/>
    <n v="42.46"/>
    <n v="2547.6"/>
    <n v="2548"/>
    <n v="0.40000000000009095"/>
    <n v="203840"/>
    <n v="44486"/>
    <n v="47.559999999999995"/>
    <n v="2853.6"/>
    <m/>
    <m/>
  </r>
  <r>
    <n v="22"/>
    <x v="25"/>
    <s v="AIR FILTER OUT"/>
    <s v="8421 31 00"/>
    <n v="20"/>
    <n v="2951"/>
    <n v="59020"/>
    <n v="0.1"/>
    <n v="5902"/>
    <n v="2655.9"/>
    <n v="53118"/>
    <n v="42.46"/>
    <n v="849.2"/>
    <n v="849"/>
    <n v="-0.20000000000004547"/>
    <n v="67920"/>
    <n v="14802"/>
    <n v="47.559999999999995"/>
    <n v="951.19999999999993"/>
    <m/>
    <m/>
  </r>
  <r>
    <n v="16"/>
    <x v="26"/>
    <s v="AIR FILTER INNER"/>
    <s v="8421 31 00"/>
    <n v="60"/>
    <n v="1228"/>
    <n v="73680"/>
    <n v="0.1"/>
    <n v="7368"/>
    <n v="1105.2"/>
    <n v="66312"/>
    <n v="17.670000000000002"/>
    <n v="1060.2"/>
    <n v="1060"/>
    <n v="-0.20000000000004547"/>
    <n v="84800"/>
    <n v="18488"/>
    <n v="20.330000000000002"/>
    <n v="1219.8000000000002"/>
    <m/>
    <m/>
  </r>
  <r>
    <n v="23"/>
    <x v="26"/>
    <s v="AIR FILTER IN"/>
    <s v="8421 31 00"/>
    <n v="20"/>
    <n v="1228"/>
    <n v="24560"/>
    <n v="0.1"/>
    <n v="2456"/>
    <n v="1105.2"/>
    <n v="22104"/>
    <n v="17.670000000000002"/>
    <n v="353.4"/>
    <n v="353"/>
    <n v="-0.39999999999997726"/>
    <n v="28240"/>
    <n v="6136"/>
    <n v="20.330000000000002"/>
    <n v="406.6"/>
    <m/>
    <m/>
  </r>
  <r>
    <n v="10"/>
    <x v="27"/>
    <s v="HYD FILTER"/>
    <s v="8421 99 00"/>
    <n v="0"/>
    <n v="6887"/>
    <n v="0"/>
    <n v="0.1"/>
    <n v="0"/>
    <n v="6198.3"/>
    <n v="0"/>
    <n v="0"/>
    <n v="0"/>
    <m/>
    <n v="0"/>
    <n v="0"/>
    <n v="0"/>
    <n v="0"/>
    <n v="0"/>
    <m/>
    <m/>
  </r>
  <r>
    <n v="16"/>
    <x v="27"/>
    <s v="HYDRAULIC FILTER"/>
    <s v="4812 00 00"/>
    <n v="0"/>
    <n v="6887"/>
    <n v="0"/>
    <n v="0.1"/>
    <n v="0"/>
    <n v="6198.3"/>
    <n v="0"/>
    <n v="0"/>
    <n v="0"/>
    <m/>
    <n v="0"/>
    <n v="0"/>
    <n v="0"/>
    <n v="0"/>
    <n v="0"/>
    <m/>
    <m/>
  </r>
  <r>
    <n v="21"/>
    <x v="27"/>
    <s v="HYD FILTER"/>
    <s v="8421 99 00"/>
    <n v="0"/>
    <n v="6887"/>
    <n v="0"/>
    <n v="0.1"/>
    <n v="0"/>
    <n v="6198.3"/>
    <n v="0"/>
    <n v="0"/>
    <n v="0"/>
    <m/>
    <n v="0"/>
    <n v="0"/>
    <n v="0"/>
    <n v="0"/>
    <n v="0"/>
    <m/>
    <m/>
  </r>
  <r>
    <n v="24"/>
    <x v="27"/>
    <s v="HYDRAULIC FILTER"/>
    <s v="4812 00 00"/>
    <n v="0"/>
    <n v="6887"/>
    <n v="0"/>
    <n v="0.1"/>
    <n v="0"/>
    <n v="6198.3"/>
    <n v="0"/>
    <n v="0"/>
    <n v="0"/>
    <m/>
    <n v="0"/>
    <n v="0"/>
    <n v="0"/>
    <n v="0"/>
    <n v="0"/>
    <m/>
    <m/>
  </r>
  <r>
    <n v="4"/>
    <x v="28"/>
    <s v="HYD FILTER"/>
    <s v="8421 99 00"/>
    <n v="6"/>
    <n v="3439"/>
    <n v="20634"/>
    <n v="0.1"/>
    <n v="2063.4"/>
    <n v="3095.1"/>
    <n v="18570.599999999999"/>
    <n v="49.489999999999995"/>
    <n v="296.94"/>
    <n v="297"/>
    <n v="6.0000000000002274E-2"/>
    <n v="23760"/>
    <n v="5189.4000000000015"/>
    <n v="55.43"/>
    <n v="332.58"/>
    <m/>
    <m/>
  </r>
  <r>
    <n v="39"/>
    <x v="28"/>
    <s v="HYDRAULIC FILTER"/>
    <s v="4812 00 00"/>
    <n v="2"/>
    <n v="3439"/>
    <n v="6878"/>
    <n v="0.1"/>
    <n v="687.80000000000007"/>
    <n v="3095.1"/>
    <n v="6190.2"/>
    <n v="49.489999999999995"/>
    <n v="99"/>
    <n v="99"/>
    <n v="0"/>
    <n v="7920"/>
    <n v="1729.8000000000002"/>
    <n v="55.43"/>
    <n v="110.86"/>
    <m/>
    <m/>
  </r>
  <r>
    <n v="8"/>
    <x v="29"/>
    <s v="FUEL FILTER W/SP"/>
    <s v="8421 23 00"/>
    <n v="60"/>
    <n v="1545"/>
    <n v="92700"/>
    <n v="0.1"/>
    <n v="9270"/>
    <n v="1390.5"/>
    <n v="83430"/>
    <n v="22.23"/>
    <n v="1333.8"/>
    <n v="1334"/>
    <n v="0.20000000000004547"/>
    <n v="106720"/>
    <n v="23290"/>
    <n v="24.900000000000002"/>
    <n v="1494.0000000000002"/>
    <m/>
    <m/>
  </r>
  <r>
    <n v="21"/>
    <x v="29"/>
    <s v="FUEL FILTER"/>
    <s v="8421 23 00"/>
    <n v="40"/>
    <n v="1545"/>
    <n v="61800"/>
    <n v="0.1"/>
    <n v="6180"/>
    <n v="1390.5"/>
    <n v="55620"/>
    <n v="22.23"/>
    <n v="889.2"/>
    <n v="889"/>
    <n v="-0.20000000000004547"/>
    <n v="71120"/>
    <n v="15500"/>
    <n v="24.900000000000002"/>
    <n v="996.00000000000011"/>
    <m/>
    <m/>
  </r>
  <r>
    <n v="9"/>
    <x v="30"/>
    <s v="FUEL FILTER"/>
    <s v="8421 23 00"/>
    <n v="60"/>
    <n v="1398"/>
    <n v="83880"/>
    <n v="0.1"/>
    <n v="8388"/>
    <n v="1258.2"/>
    <n v="75492"/>
    <n v="20.12"/>
    <n v="1207.2"/>
    <n v="1207"/>
    <n v="-0.20000000000004547"/>
    <n v="96560"/>
    <n v="21068"/>
    <n v="22.540000000000003"/>
    <n v="1352.4"/>
    <m/>
    <m/>
  </r>
  <r>
    <n v="20"/>
    <x v="30"/>
    <s v="FUEL FILTER"/>
    <s v="8421 23 00"/>
    <n v="40"/>
    <n v="1398"/>
    <n v="55920"/>
    <n v="0.1"/>
    <n v="5592"/>
    <n v="1258.2"/>
    <n v="50328"/>
    <n v="20.12"/>
    <n v="804.8"/>
    <n v="805"/>
    <n v="0.20000000000004547"/>
    <n v="64400"/>
    <n v="14072"/>
    <n v="22.540000000000003"/>
    <n v="901.60000000000014"/>
    <m/>
    <m/>
  </r>
  <r>
    <n v="5"/>
    <x v="31"/>
    <s v="HYDRAULIC FILTER"/>
    <s v="8421 23 00"/>
    <n v="20"/>
    <n v="788"/>
    <n v="15760"/>
    <n v="0.1"/>
    <n v="1576"/>
    <n v="709.2"/>
    <n v="14184"/>
    <n v="11.34"/>
    <n v="226.8"/>
    <n v="227"/>
    <n v="0.19999999999998863"/>
    <n v="18160"/>
    <n v="3976"/>
    <n v="13.049999999999999"/>
    <n v="261"/>
    <m/>
    <m/>
  </r>
  <r>
    <n v="31"/>
    <x v="31"/>
    <s v="RETURN HYD. FILTER"/>
    <s v="8421 23 00"/>
    <n v="60"/>
    <n v="788"/>
    <n v="47280"/>
    <n v="0.1"/>
    <n v="4728"/>
    <n v="709.2"/>
    <n v="42552"/>
    <n v="11.34"/>
    <n v="681"/>
    <n v="680"/>
    <n v="-1"/>
    <n v="54400"/>
    <n v="11848"/>
    <n v="13.049999999999999"/>
    <n v="782.99999999999989"/>
    <m/>
    <m/>
  </r>
  <r>
    <n v="29"/>
    <x v="32"/>
    <s v="AIR FILTER "/>
    <s v="8421 99 00"/>
    <n v="20"/>
    <n v="1052"/>
    <n v="21040"/>
    <n v="0.1"/>
    <n v="2104"/>
    <n v="946.80000000000007"/>
    <n v="18936"/>
    <n v="15.14"/>
    <n v="303"/>
    <n v="303"/>
    <n v="0"/>
    <n v="24240"/>
    <n v="5304"/>
    <n v="17.420000000000002"/>
    <n v="348.40000000000003"/>
    <m/>
    <m/>
  </r>
  <r>
    <n v="34"/>
    <x v="32"/>
    <s v="AIR FILTER"/>
    <s v="8421 99 00"/>
    <n v="4"/>
    <n v="1052"/>
    <n v="4208"/>
    <n v="0.1"/>
    <n v="420.8"/>
    <n v="946.80000000000007"/>
    <n v="3787.2000000000003"/>
    <n v="15.14"/>
    <n v="61"/>
    <n v="61"/>
    <n v="0"/>
    <n v="4880"/>
    <n v="1092.7999999999997"/>
    <n v="17.420000000000002"/>
    <n v="69.680000000000007"/>
    <m/>
    <m/>
  </r>
  <r>
    <n v="39"/>
    <x v="32"/>
    <s v="AIR FILTER"/>
    <s v="8421 99 00"/>
    <n v="12"/>
    <n v="1052"/>
    <n v="12624"/>
    <n v="0.1"/>
    <n v="1262.4000000000001"/>
    <n v="946.80000000000007"/>
    <n v="11361.6"/>
    <n v="15.14"/>
    <n v="182"/>
    <n v="182"/>
    <n v="0"/>
    <n v="14560"/>
    <n v="3198.3999999999996"/>
    <n v="17.420000000000002"/>
    <n v="209.04000000000002"/>
    <m/>
    <m/>
  </r>
  <r>
    <n v="43"/>
    <x v="32"/>
    <s v="AIR FILTER"/>
    <s v="8421 99 00"/>
    <n v="60"/>
    <n v="1052"/>
    <n v="63120"/>
    <n v="0.1"/>
    <n v="6312"/>
    <n v="946.80000000000007"/>
    <n v="56808.000000000007"/>
    <n v="15.14"/>
    <n v="909"/>
    <n v="908"/>
    <n v="-1"/>
    <n v="72640"/>
    <n v="15831.999999999993"/>
    <n v="17.420000000000002"/>
    <n v="1045.2"/>
    <m/>
    <m/>
  </r>
  <r>
    <n v="13"/>
    <x v="33"/>
    <s v="HAMMER HYD. FILTER"/>
    <s v="8421 99 00"/>
    <n v="60"/>
    <n v="7722"/>
    <n v="463320"/>
    <n v="0.1"/>
    <n v="46332"/>
    <n v="6949.8"/>
    <n v="416988"/>
    <n v="111.11"/>
    <n v="6666.6"/>
    <n v="6667"/>
    <n v="0.3999999999996362"/>
    <n v="533360"/>
    <n v="116372"/>
    <n v="124.45"/>
    <n v="7467"/>
    <m/>
    <m/>
  </r>
  <r>
    <n v="17"/>
    <x v="33"/>
    <s v="HYDRAULIC FILTER"/>
    <s v="8421 99 00"/>
    <n v="4"/>
    <n v="7722"/>
    <n v="30888"/>
    <n v="0.1"/>
    <n v="3088.8"/>
    <n v="6949.8"/>
    <n v="27799.200000000001"/>
    <n v="111.11"/>
    <n v="444.44"/>
    <n v="444"/>
    <n v="-0.43999999999999773"/>
    <n v="35520"/>
    <n v="7720.7999999999993"/>
    <n v="124.45"/>
    <n v="497.8"/>
    <m/>
    <m/>
  </r>
  <r>
    <n v="23"/>
    <x v="33"/>
    <s v="HYD FILTER"/>
    <s v="8421 99 00"/>
    <n v="12"/>
    <n v="7722"/>
    <n v="92664"/>
    <n v="0.1"/>
    <n v="9266.4"/>
    <n v="6949.8"/>
    <n v="83397.600000000006"/>
    <n v="111.11"/>
    <n v="1333.32"/>
    <n v="1333"/>
    <n v="-0.31999999999993634"/>
    <n v="106640"/>
    <n v="23242.399999999994"/>
    <n v="124.45"/>
    <n v="1493.4"/>
    <m/>
    <m/>
  </r>
  <r>
    <n v="27"/>
    <x v="34"/>
    <s v="OIL FILTER"/>
    <s v="8421 23 00"/>
    <n v="0"/>
    <s v="-"/>
    <s v="-"/>
    <s v="-"/>
    <s v="-"/>
    <m/>
    <m/>
    <m/>
    <m/>
    <m/>
    <m/>
    <n v="0"/>
    <n v="0"/>
    <n v="0"/>
    <n v="0"/>
    <m/>
    <m/>
  </r>
  <r>
    <n v="40"/>
    <x v="34"/>
    <s v="OIL FILTER"/>
    <s v="-"/>
    <n v="0"/>
    <s v="-"/>
    <s v="-"/>
    <s v="-"/>
    <s v="-"/>
    <m/>
    <m/>
    <m/>
    <m/>
    <m/>
    <m/>
    <n v="0"/>
    <n v="0"/>
    <n v="0"/>
    <n v="0"/>
    <m/>
    <m/>
  </r>
  <r>
    <n v="11"/>
    <x v="35"/>
    <s v="RETURN HYD. FILTER"/>
    <s v="8421 29 00"/>
    <n v="30"/>
    <n v="6798"/>
    <n v="203940"/>
    <n v="0.1"/>
    <n v="20394"/>
    <n v="6118.2"/>
    <n v="183546"/>
    <n v="97.820000000000007"/>
    <n v="2934.6"/>
    <n v="2935"/>
    <n v="0.40000000000009095"/>
    <n v="234800"/>
    <n v="51254"/>
    <n v="109.56"/>
    <n v="3286.8"/>
    <m/>
    <m/>
  </r>
  <r>
    <n v="26"/>
    <x v="35"/>
    <s v="HYDRAULIC RETURN FILTER"/>
    <s v="8421 29 00"/>
    <n v="10"/>
    <n v="6798"/>
    <n v="67980"/>
    <n v="0.1"/>
    <n v="6798"/>
    <n v="6118.2"/>
    <n v="61182"/>
    <n v="97.82"/>
    <n v="978.2"/>
    <n v="978"/>
    <n v="-0.20000000000004547"/>
    <n v="78240"/>
    <n v="17058"/>
    <n v="109.56"/>
    <n v="1095.5999999999999"/>
    <m/>
    <m/>
  </r>
  <r>
    <n v="18"/>
    <x v="36"/>
    <s v="HYDRAULIC RETURN FILTER"/>
    <s v="8421 29 00"/>
    <n v="4"/>
    <n v="6395"/>
    <n v="25580"/>
    <n v="0.1"/>
    <n v="2558"/>
    <n v="5755.5"/>
    <n v="23022"/>
    <n v="92.02000000000001"/>
    <n v="368.08"/>
    <n v="368"/>
    <n v="-7.9999999999984084E-2"/>
    <n v="29440"/>
    <n v="6418"/>
    <n v="103.07000000000001"/>
    <n v="412.28000000000003"/>
    <m/>
    <m/>
  </r>
  <r>
    <n v="24"/>
    <x v="36"/>
    <s v="RETURN HYD. FILTER"/>
    <s v="8421 29 00"/>
    <n v="12"/>
    <n v="6395"/>
    <n v="76740"/>
    <n v="0.1"/>
    <n v="7674"/>
    <n v="5755.5"/>
    <n v="69066"/>
    <n v="92.02000000000001"/>
    <n v="1104.24"/>
    <n v="1104.24"/>
    <n v="0"/>
    <n v="88339.199999999997"/>
    <n v="19273.199999999997"/>
    <n v="103.07000000000001"/>
    <n v="1236.8400000000001"/>
    <m/>
    <m/>
  </r>
  <r>
    <n v="4"/>
    <x v="37"/>
    <s v="HYDRAULIC FILTER"/>
    <s v="8421 23 00"/>
    <n v="20"/>
    <n v="684"/>
    <n v="13680"/>
    <n v="0.1"/>
    <n v="1368"/>
    <n v="615.6"/>
    <n v="12312"/>
    <n v="9.01"/>
    <n v="180.2"/>
    <n v="180"/>
    <n v="-0.19999999999998863"/>
    <n v="14400"/>
    <n v="2088"/>
    <n v="10.37"/>
    <n v="207.39999999999998"/>
    <m/>
    <m/>
  </r>
  <r>
    <n v="30"/>
    <x v="37"/>
    <s v="TRAN. FILTER"/>
    <s v="8421 23 00"/>
    <n v="60"/>
    <n v="684"/>
    <n v="41040"/>
    <n v="0.1"/>
    <n v="4104"/>
    <n v="615.6"/>
    <n v="36936"/>
    <n v="9.01"/>
    <n v="541"/>
    <n v="540.6"/>
    <n v="-0.39999999999997726"/>
    <n v="43248"/>
    <n v="6312"/>
    <n v="10.37"/>
    <n v="622.19999999999993"/>
    <m/>
    <m/>
  </r>
  <r>
    <n v="45"/>
    <x v="38"/>
    <s v="FILTER - TRANSMISSION 15"/>
    <s v="8421 29 00"/>
    <n v="50"/>
    <n v="1897"/>
    <n v="94850"/>
    <n v="0.1"/>
    <n v="9485"/>
    <n v="1707.3"/>
    <n v="85365"/>
    <n v="23.57"/>
    <n v="1179"/>
    <n v="1179"/>
    <n v="0"/>
    <n v="94320"/>
    <n v="8955"/>
    <n v="26.400000000000002"/>
    <n v="132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B35074-EF23-4406-AFE3-C970F9B736D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3" firstHeaderRow="1" firstDataRow="1" firstDataCol="1"/>
  <pivotFields count="21">
    <pivotField showAll="0"/>
    <pivotField axis="axisRow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dataFields count="1">
    <dataField name="Sum of Q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jay.palkar@indimo.co.in.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jay.palkar@indimo.co.in.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E8F0-CFD7-474C-A158-94D17DFEDBCF}">
  <sheetPr codeName="Sheet64">
    <tabColor rgb="FFFFC000"/>
    <pageSetUpPr fitToPage="1"/>
  </sheetPr>
  <dimension ref="B1:M67"/>
  <sheetViews>
    <sheetView topLeftCell="A8" zoomScale="98" zoomScaleNormal="98" workbookViewId="0">
      <selection activeCell="D27" sqref="D27"/>
    </sheetView>
  </sheetViews>
  <sheetFormatPr defaultRowHeight="13.2" x14ac:dyDescent="0.25"/>
  <cols>
    <col min="1" max="1" width="12" style="1" customWidth="1"/>
    <col min="2" max="2" width="8.33203125" style="1" customWidth="1"/>
    <col min="3" max="3" width="11.6640625" style="1" customWidth="1"/>
    <col min="4" max="4" width="23.88671875" style="1" customWidth="1"/>
    <col min="5" max="5" width="13.109375" style="65" customWidth="1"/>
    <col min="6" max="6" width="10.33203125" style="1" customWidth="1"/>
    <col min="7" max="7" width="10.88671875" style="1" customWidth="1"/>
    <col min="8" max="8" width="12.6640625" style="1" customWidth="1"/>
    <col min="9" max="9" width="6.6640625" style="1" customWidth="1"/>
    <col min="10" max="10" width="13.44140625" style="1" customWidth="1"/>
    <col min="11" max="11" width="8" style="1" customWidth="1"/>
    <col min="12" max="12" width="17.33203125" style="1" customWidth="1"/>
    <col min="13" max="13" width="14.33203125" style="1" customWidth="1"/>
    <col min="14" max="213" width="8.88671875" style="1"/>
    <col min="214" max="214" width="12" style="1" customWidth="1"/>
    <col min="215" max="215" width="8.33203125" style="1" customWidth="1"/>
    <col min="216" max="216" width="11.6640625" style="1" customWidth="1"/>
    <col min="217" max="217" width="29.88671875" style="1" customWidth="1"/>
    <col min="218" max="218" width="13.109375" style="1" customWidth="1"/>
    <col min="219" max="219" width="8.5546875" style="1" bestFit="1" customWidth="1"/>
    <col min="220" max="220" width="8.6640625" style="1" bestFit="1" customWidth="1"/>
    <col min="221" max="221" width="12.6640625" style="1" customWidth="1"/>
    <col min="222" max="222" width="6.6640625" style="1" bestFit="1" customWidth="1"/>
    <col min="223" max="223" width="13.44140625" style="1" bestFit="1" customWidth="1"/>
    <col min="224" max="224" width="8" style="1" customWidth="1"/>
    <col min="225" max="225" width="12.109375" style="1" customWidth="1"/>
    <col min="226" max="226" width="19.6640625" style="1" customWidth="1"/>
    <col min="227" max="469" width="8.88671875" style="1"/>
    <col min="470" max="470" width="12" style="1" customWidth="1"/>
    <col min="471" max="471" width="8.33203125" style="1" customWidth="1"/>
    <col min="472" max="472" width="11.6640625" style="1" customWidth="1"/>
    <col min="473" max="473" width="29.88671875" style="1" customWidth="1"/>
    <col min="474" max="474" width="13.109375" style="1" customWidth="1"/>
    <col min="475" max="475" width="8.5546875" style="1" bestFit="1" customWidth="1"/>
    <col min="476" max="476" width="8.6640625" style="1" bestFit="1" customWidth="1"/>
    <col min="477" max="477" width="12.6640625" style="1" customWidth="1"/>
    <col min="478" max="478" width="6.6640625" style="1" bestFit="1" customWidth="1"/>
    <col min="479" max="479" width="13.44140625" style="1" bestFit="1" customWidth="1"/>
    <col min="480" max="480" width="8" style="1" customWidth="1"/>
    <col min="481" max="481" width="12.109375" style="1" customWidth="1"/>
    <col min="482" max="482" width="19.6640625" style="1" customWidth="1"/>
    <col min="483" max="725" width="8.88671875" style="1"/>
    <col min="726" max="726" width="12" style="1" customWidth="1"/>
    <col min="727" max="727" width="8.33203125" style="1" customWidth="1"/>
    <col min="728" max="728" width="11.6640625" style="1" customWidth="1"/>
    <col min="729" max="729" width="29.88671875" style="1" customWidth="1"/>
    <col min="730" max="730" width="13.109375" style="1" customWidth="1"/>
    <col min="731" max="731" width="8.5546875" style="1" bestFit="1" customWidth="1"/>
    <col min="732" max="732" width="8.6640625" style="1" bestFit="1" customWidth="1"/>
    <col min="733" max="733" width="12.6640625" style="1" customWidth="1"/>
    <col min="734" max="734" width="6.6640625" style="1" bestFit="1" customWidth="1"/>
    <col min="735" max="735" width="13.44140625" style="1" bestFit="1" customWidth="1"/>
    <col min="736" max="736" width="8" style="1" customWidth="1"/>
    <col min="737" max="737" width="12.109375" style="1" customWidth="1"/>
    <col min="738" max="738" width="19.6640625" style="1" customWidth="1"/>
    <col min="739" max="981" width="8.88671875" style="1"/>
    <col min="982" max="982" width="12" style="1" customWidth="1"/>
    <col min="983" max="983" width="8.33203125" style="1" customWidth="1"/>
    <col min="984" max="984" width="11.6640625" style="1" customWidth="1"/>
    <col min="985" max="985" width="29.88671875" style="1" customWidth="1"/>
    <col min="986" max="986" width="13.109375" style="1" customWidth="1"/>
    <col min="987" max="987" width="8.5546875" style="1" bestFit="1" customWidth="1"/>
    <col min="988" max="988" width="8.6640625" style="1" bestFit="1" customWidth="1"/>
    <col min="989" max="989" width="12.6640625" style="1" customWidth="1"/>
    <col min="990" max="990" width="6.6640625" style="1" bestFit="1" customWidth="1"/>
    <col min="991" max="991" width="13.44140625" style="1" bestFit="1" customWidth="1"/>
    <col min="992" max="992" width="8" style="1" customWidth="1"/>
    <col min="993" max="993" width="12.109375" style="1" customWidth="1"/>
    <col min="994" max="994" width="19.6640625" style="1" customWidth="1"/>
    <col min="995" max="1237" width="8.88671875" style="1"/>
    <col min="1238" max="1238" width="12" style="1" customWidth="1"/>
    <col min="1239" max="1239" width="8.33203125" style="1" customWidth="1"/>
    <col min="1240" max="1240" width="11.6640625" style="1" customWidth="1"/>
    <col min="1241" max="1241" width="29.88671875" style="1" customWidth="1"/>
    <col min="1242" max="1242" width="13.109375" style="1" customWidth="1"/>
    <col min="1243" max="1243" width="8.5546875" style="1" bestFit="1" customWidth="1"/>
    <col min="1244" max="1244" width="8.6640625" style="1" bestFit="1" customWidth="1"/>
    <col min="1245" max="1245" width="12.6640625" style="1" customWidth="1"/>
    <col min="1246" max="1246" width="6.6640625" style="1" bestFit="1" customWidth="1"/>
    <col min="1247" max="1247" width="13.44140625" style="1" bestFit="1" customWidth="1"/>
    <col min="1248" max="1248" width="8" style="1" customWidth="1"/>
    <col min="1249" max="1249" width="12.109375" style="1" customWidth="1"/>
    <col min="1250" max="1250" width="19.6640625" style="1" customWidth="1"/>
    <col min="1251" max="1493" width="8.88671875" style="1"/>
    <col min="1494" max="1494" width="12" style="1" customWidth="1"/>
    <col min="1495" max="1495" width="8.33203125" style="1" customWidth="1"/>
    <col min="1496" max="1496" width="11.6640625" style="1" customWidth="1"/>
    <col min="1497" max="1497" width="29.88671875" style="1" customWidth="1"/>
    <col min="1498" max="1498" width="13.109375" style="1" customWidth="1"/>
    <col min="1499" max="1499" width="8.5546875" style="1" bestFit="1" customWidth="1"/>
    <col min="1500" max="1500" width="8.6640625" style="1" bestFit="1" customWidth="1"/>
    <col min="1501" max="1501" width="12.6640625" style="1" customWidth="1"/>
    <col min="1502" max="1502" width="6.6640625" style="1" bestFit="1" customWidth="1"/>
    <col min="1503" max="1503" width="13.44140625" style="1" bestFit="1" customWidth="1"/>
    <col min="1504" max="1504" width="8" style="1" customWidth="1"/>
    <col min="1505" max="1505" width="12.109375" style="1" customWidth="1"/>
    <col min="1506" max="1506" width="19.6640625" style="1" customWidth="1"/>
    <col min="1507" max="1749" width="8.88671875" style="1"/>
    <col min="1750" max="1750" width="12" style="1" customWidth="1"/>
    <col min="1751" max="1751" width="8.33203125" style="1" customWidth="1"/>
    <col min="1752" max="1752" width="11.6640625" style="1" customWidth="1"/>
    <col min="1753" max="1753" width="29.88671875" style="1" customWidth="1"/>
    <col min="1754" max="1754" width="13.109375" style="1" customWidth="1"/>
    <col min="1755" max="1755" width="8.5546875" style="1" bestFit="1" customWidth="1"/>
    <col min="1756" max="1756" width="8.6640625" style="1" bestFit="1" customWidth="1"/>
    <col min="1757" max="1757" width="12.6640625" style="1" customWidth="1"/>
    <col min="1758" max="1758" width="6.6640625" style="1" bestFit="1" customWidth="1"/>
    <col min="1759" max="1759" width="13.44140625" style="1" bestFit="1" customWidth="1"/>
    <col min="1760" max="1760" width="8" style="1" customWidth="1"/>
    <col min="1761" max="1761" width="12.109375" style="1" customWidth="1"/>
    <col min="1762" max="1762" width="19.6640625" style="1" customWidth="1"/>
    <col min="1763" max="2005" width="8.88671875" style="1"/>
    <col min="2006" max="2006" width="12" style="1" customWidth="1"/>
    <col min="2007" max="2007" width="8.33203125" style="1" customWidth="1"/>
    <col min="2008" max="2008" width="11.6640625" style="1" customWidth="1"/>
    <col min="2009" max="2009" width="29.88671875" style="1" customWidth="1"/>
    <col min="2010" max="2010" width="13.109375" style="1" customWidth="1"/>
    <col min="2011" max="2011" width="8.5546875" style="1" bestFit="1" customWidth="1"/>
    <col min="2012" max="2012" width="8.6640625" style="1" bestFit="1" customWidth="1"/>
    <col min="2013" max="2013" width="12.6640625" style="1" customWidth="1"/>
    <col min="2014" max="2014" width="6.6640625" style="1" bestFit="1" customWidth="1"/>
    <col min="2015" max="2015" width="13.44140625" style="1" bestFit="1" customWidth="1"/>
    <col min="2016" max="2016" width="8" style="1" customWidth="1"/>
    <col min="2017" max="2017" width="12.109375" style="1" customWidth="1"/>
    <col min="2018" max="2018" width="19.6640625" style="1" customWidth="1"/>
    <col min="2019" max="2261" width="8.88671875" style="1"/>
    <col min="2262" max="2262" width="12" style="1" customWidth="1"/>
    <col min="2263" max="2263" width="8.33203125" style="1" customWidth="1"/>
    <col min="2264" max="2264" width="11.6640625" style="1" customWidth="1"/>
    <col min="2265" max="2265" width="29.88671875" style="1" customWidth="1"/>
    <col min="2266" max="2266" width="13.109375" style="1" customWidth="1"/>
    <col min="2267" max="2267" width="8.5546875" style="1" bestFit="1" customWidth="1"/>
    <col min="2268" max="2268" width="8.6640625" style="1" bestFit="1" customWidth="1"/>
    <col min="2269" max="2269" width="12.6640625" style="1" customWidth="1"/>
    <col min="2270" max="2270" width="6.6640625" style="1" bestFit="1" customWidth="1"/>
    <col min="2271" max="2271" width="13.44140625" style="1" bestFit="1" customWidth="1"/>
    <col min="2272" max="2272" width="8" style="1" customWidth="1"/>
    <col min="2273" max="2273" width="12.109375" style="1" customWidth="1"/>
    <col min="2274" max="2274" width="19.6640625" style="1" customWidth="1"/>
    <col min="2275" max="2517" width="8.88671875" style="1"/>
    <col min="2518" max="2518" width="12" style="1" customWidth="1"/>
    <col min="2519" max="2519" width="8.33203125" style="1" customWidth="1"/>
    <col min="2520" max="2520" width="11.6640625" style="1" customWidth="1"/>
    <col min="2521" max="2521" width="29.88671875" style="1" customWidth="1"/>
    <col min="2522" max="2522" width="13.109375" style="1" customWidth="1"/>
    <col min="2523" max="2523" width="8.5546875" style="1" bestFit="1" customWidth="1"/>
    <col min="2524" max="2524" width="8.6640625" style="1" bestFit="1" customWidth="1"/>
    <col min="2525" max="2525" width="12.6640625" style="1" customWidth="1"/>
    <col min="2526" max="2526" width="6.6640625" style="1" bestFit="1" customWidth="1"/>
    <col min="2527" max="2527" width="13.44140625" style="1" bestFit="1" customWidth="1"/>
    <col min="2528" max="2528" width="8" style="1" customWidth="1"/>
    <col min="2529" max="2529" width="12.109375" style="1" customWidth="1"/>
    <col min="2530" max="2530" width="19.6640625" style="1" customWidth="1"/>
    <col min="2531" max="2773" width="8.88671875" style="1"/>
    <col min="2774" max="2774" width="12" style="1" customWidth="1"/>
    <col min="2775" max="2775" width="8.33203125" style="1" customWidth="1"/>
    <col min="2776" max="2776" width="11.6640625" style="1" customWidth="1"/>
    <col min="2777" max="2777" width="29.88671875" style="1" customWidth="1"/>
    <col min="2778" max="2778" width="13.109375" style="1" customWidth="1"/>
    <col min="2779" max="2779" width="8.5546875" style="1" bestFit="1" customWidth="1"/>
    <col min="2780" max="2780" width="8.6640625" style="1" bestFit="1" customWidth="1"/>
    <col min="2781" max="2781" width="12.6640625" style="1" customWidth="1"/>
    <col min="2782" max="2782" width="6.6640625" style="1" bestFit="1" customWidth="1"/>
    <col min="2783" max="2783" width="13.44140625" style="1" bestFit="1" customWidth="1"/>
    <col min="2784" max="2784" width="8" style="1" customWidth="1"/>
    <col min="2785" max="2785" width="12.109375" style="1" customWidth="1"/>
    <col min="2786" max="2786" width="19.6640625" style="1" customWidth="1"/>
    <col min="2787" max="3029" width="8.88671875" style="1"/>
    <col min="3030" max="3030" width="12" style="1" customWidth="1"/>
    <col min="3031" max="3031" width="8.33203125" style="1" customWidth="1"/>
    <col min="3032" max="3032" width="11.6640625" style="1" customWidth="1"/>
    <col min="3033" max="3033" width="29.88671875" style="1" customWidth="1"/>
    <col min="3034" max="3034" width="13.109375" style="1" customWidth="1"/>
    <col min="3035" max="3035" width="8.5546875" style="1" bestFit="1" customWidth="1"/>
    <col min="3036" max="3036" width="8.6640625" style="1" bestFit="1" customWidth="1"/>
    <col min="3037" max="3037" width="12.6640625" style="1" customWidth="1"/>
    <col min="3038" max="3038" width="6.6640625" style="1" bestFit="1" customWidth="1"/>
    <col min="3039" max="3039" width="13.44140625" style="1" bestFit="1" customWidth="1"/>
    <col min="3040" max="3040" width="8" style="1" customWidth="1"/>
    <col min="3041" max="3041" width="12.109375" style="1" customWidth="1"/>
    <col min="3042" max="3042" width="19.6640625" style="1" customWidth="1"/>
    <col min="3043" max="3285" width="8.88671875" style="1"/>
    <col min="3286" max="3286" width="12" style="1" customWidth="1"/>
    <col min="3287" max="3287" width="8.33203125" style="1" customWidth="1"/>
    <col min="3288" max="3288" width="11.6640625" style="1" customWidth="1"/>
    <col min="3289" max="3289" width="29.88671875" style="1" customWidth="1"/>
    <col min="3290" max="3290" width="13.109375" style="1" customWidth="1"/>
    <col min="3291" max="3291" width="8.5546875" style="1" bestFit="1" customWidth="1"/>
    <col min="3292" max="3292" width="8.6640625" style="1" bestFit="1" customWidth="1"/>
    <col min="3293" max="3293" width="12.6640625" style="1" customWidth="1"/>
    <col min="3294" max="3294" width="6.6640625" style="1" bestFit="1" customWidth="1"/>
    <col min="3295" max="3295" width="13.44140625" style="1" bestFit="1" customWidth="1"/>
    <col min="3296" max="3296" width="8" style="1" customWidth="1"/>
    <col min="3297" max="3297" width="12.109375" style="1" customWidth="1"/>
    <col min="3298" max="3298" width="19.6640625" style="1" customWidth="1"/>
    <col min="3299" max="3541" width="8.88671875" style="1"/>
    <col min="3542" max="3542" width="12" style="1" customWidth="1"/>
    <col min="3543" max="3543" width="8.33203125" style="1" customWidth="1"/>
    <col min="3544" max="3544" width="11.6640625" style="1" customWidth="1"/>
    <col min="3545" max="3545" width="29.88671875" style="1" customWidth="1"/>
    <col min="3546" max="3546" width="13.109375" style="1" customWidth="1"/>
    <col min="3547" max="3547" width="8.5546875" style="1" bestFit="1" customWidth="1"/>
    <col min="3548" max="3548" width="8.6640625" style="1" bestFit="1" customWidth="1"/>
    <col min="3549" max="3549" width="12.6640625" style="1" customWidth="1"/>
    <col min="3550" max="3550" width="6.6640625" style="1" bestFit="1" customWidth="1"/>
    <col min="3551" max="3551" width="13.44140625" style="1" bestFit="1" customWidth="1"/>
    <col min="3552" max="3552" width="8" style="1" customWidth="1"/>
    <col min="3553" max="3553" width="12.109375" style="1" customWidth="1"/>
    <col min="3554" max="3554" width="19.6640625" style="1" customWidth="1"/>
    <col min="3555" max="3797" width="8.88671875" style="1"/>
    <col min="3798" max="3798" width="12" style="1" customWidth="1"/>
    <col min="3799" max="3799" width="8.33203125" style="1" customWidth="1"/>
    <col min="3800" max="3800" width="11.6640625" style="1" customWidth="1"/>
    <col min="3801" max="3801" width="29.88671875" style="1" customWidth="1"/>
    <col min="3802" max="3802" width="13.109375" style="1" customWidth="1"/>
    <col min="3803" max="3803" width="8.5546875" style="1" bestFit="1" customWidth="1"/>
    <col min="3804" max="3804" width="8.6640625" style="1" bestFit="1" customWidth="1"/>
    <col min="3805" max="3805" width="12.6640625" style="1" customWidth="1"/>
    <col min="3806" max="3806" width="6.6640625" style="1" bestFit="1" customWidth="1"/>
    <col min="3807" max="3807" width="13.44140625" style="1" bestFit="1" customWidth="1"/>
    <col min="3808" max="3808" width="8" style="1" customWidth="1"/>
    <col min="3809" max="3809" width="12.109375" style="1" customWidth="1"/>
    <col min="3810" max="3810" width="19.6640625" style="1" customWidth="1"/>
    <col min="3811" max="4053" width="8.88671875" style="1"/>
    <col min="4054" max="4054" width="12" style="1" customWidth="1"/>
    <col min="4055" max="4055" width="8.33203125" style="1" customWidth="1"/>
    <col min="4056" max="4056" width="11.6640625" style="1" customWidth="1"/>
    <col min="4057" max="4057" width="29.88671875" style="1" customWidth="1"/>
    <col min="4058" max="4058" width="13.109375" style="1" customWidth="1"/>
    <col min="4059" max="4059" width="8.5546875" style="1" bestFit="1" customWidth="1"/>
    <col min="4060" max="4060" width="8.6640625" style="1" bestFit="1" customWidth="1"/>
    <col min="4061" max="4061" width="12.6640625" style="1" customWidth="1"/>
    <col min="4062" max="4062" width="6.6640625" style="1" bestFit="1" customWidth="1"/>
    <col min="4063" max="4063" width="13.44140625" style="1" bestFit="1" customWidth="1"/>
    <col min="4064" max="4064" width="8" style="1" customWidth="1"/>
    <col min="4065" max="4065" width="12.109375" style="1" customWidth="1"/>
    <col min="4066" max="4066" width="19.6640625" style="1" customWidth="1"/>
    <col min="4067" max="4309" width="8.88671875" style="1"/>
    <col min="4310" max="4310" width="12" style="1" customWidth="1"/>
    <col min="4311" max="4311" width="8.33203125" style="1" customWidth="1"/>
    <col min="4312" max="4312" width="11.6640625" style="1" customWidth="1"/>
    <col min="4313" max="4313" width="29.88671875" style="1" customWidth="1"/>
    <col min="4314" max="4314" width="13.109375" style="1" customWidth="1"/>
    <col min="4315" max="4315" width="8.5546875" style="1" bestFit="1" customWidth="1"/>
    <col min="4316" max="4316" width="8.6640625" style="1" bestFit="1" customWidth="1"/>
    <col min="4317" max="4317" width="12.6640625" style="1" customWidth="1"/>
    <col min="4318" max="4318" width="6.6640625" style="1" bestFit="1" customWidth="1"/>
    <col min="4319" max="4319" width="13.44140625" style="1" bestFit="1" customWidth="1"/>
    <col min="4320" max="4320" width="8" style="1" customWidth="1"/>
    <col min="4321" max="4321" width="12.109375" style="1" customWidth="1"/>
    <col min="4322" max="4322" width="19.6640625" style="1" customWidth="1"/>
    <col min="4323" max="4565" width="8.88671875" style="1"/>
    <col min="4566" max="4566" width="12" style="1" customWidth="1"/>
    <col min="4567" max="4567" width="8.33203125" style="1" customWidth="1"/>
    <col min="4568" max="4568" width="11.6640625" style="1" customWidth="1"/>
    <col min="4569" max="4569" width="29.88671875" style="1" customWidth="1"/>
    <col min="4570" max="4570" width="13.109375" style="1" customWidth="1"/>
    <col min="4571" max="4571" width="8.5546875" style="1" bestFit="1" customWidth="1"/>
    <col min="4572" max="4572" width="8.6640625" style="1" bestFit="1" customWidth="1"/>
    <col min="4573" max="4573" width="12.6640625" style="1" customWidth="1"/>
    <col min="4574" max="4574" width="6.6640625" style="1" bestFit="1" customWidth="1"/>
    <col min="4575" max="4575" width="13.44140625" style="1" bestFit="1" customWidth="1"/>
    <col min="4576" max="4576" width="8" style="1" customWidth="1"/>
    <col min="4577" max="4577" width="12.109375" style="1" customWidth="1"/>
    <col min="4578" max="4578" width="19.6640625" style="1" customWidth="1"/>
    <col min="4579" max="4821" width="8.88671875" style="1"/>
    <col min="4822" max="4822" width="12" style="1" customWidth="1"/>
    <col min="4823" max="4823" width="8.33203125" style="1" customWidth="1"/>
    <col min="4824" max="4824" width="11.6640625" style="1" customWidth="1"/>
    <col min="4825" max="4825" width="29.88671875" style="1" customWidth="1"/>
    <col min="4826" max="4826" width="13.109375" style="1" customWidth="1"/>
    <col min="4827" max="4827" width="8.5546875" style="1" bestFit="1" customWidth="1"/>
    <col min="4828" max="4828" width="8.6640625" style="1" bestFit="1" customWidth="1"/>
    <col min="4829" max="4829" width="12.6640625" style="1" customWidth="1"/>
    <col min="4830" max="4830" width="6.6640625" style="1" bestFit="1" customWidth="1"/>
    <col min="4831" max="4831" width="13.44140625" style="1" bestFit="1" customWidth="1"/>
    <col min="4832" max="4832" width="8" style="1" customWidth="1"/>
    <col min="4833" max="4833" width="12.109375" style="1" customWidth="1"/>
    <col min="4834" max="4834" width="19.6640625" style="1" customWidth="1"/>
    <col min="4835" max="5077" width="8.88671875" style="1"/>
    <col min="5078" max="5078" width="12" style="1" customWidth="1"/>
    <col min="5079" max="5079" width="8.33203125" style="1" customWidth="1"/>
    <col min="5080" max="5080" width="11.6640625" style="1" customWidth="1"/>
    <col min="5081" max="5081" width="29.88671875" style="1" customWidth="1"/>
    <col min="5082" max="5082" width="13.109375" style="1" customWidth="1"/>
    <col min="5083" max="5083" width="8.5546875" style="1" bestFit="1" customWidth="1"/>
    <col min="5084" max="5084" width="8.6640625" style="1" bestFit="1" customWidth="1"/>
    <col min="5085" max="5085" width="12.6640625" style="1" customWidth="1"/>
    <col min="5086" max="5086" width="6.6640625" style="1" bestFit="1" customWidth="1"/>
    <col min="5087" max="5087" width="13.44140625" style="1" bestFit="1" customWidth="1"/>
    <col min="5088" max="5088" width="8" style="1" customWidth="1"/>
    <col min="5089" max="5089" width="12.109375" style="1" customWidth="1"/>
    <col min="5090" max="5090" width="19.6640625" style="1" customWidth="1"/>
    <col min="5091" max="5333" width="8.88671875" style="1"/>
    <col min="5334" max="5334" width="12" style="1" customWidth="1"/>
    <col min="5335" max="5335" width="8.33203125" style="1" customWidth="1"/>
    <col min="5336" max="5336" width="11.6640625" style="1" customWidth="1"/>
    <col min="5337" max="5337" width="29.88671875" style="1" customWidth="1"/>
    <col min="5338" max="5338" width="13.109375" style="1" customWidth="1"/>
    <col min="5339" max="5339" width="8.5546875" style="1" bestFit="1" customWidth="1"/>
    <col min="5340" max="5340" width="8.6640625" style="1" bestFit="1" customWidth="1"/>
    <col min="5341" max="5341" width="12.6640625" style="1" customWidth="1"/>
    <col min="5342" max="5342" width="6.6640625" style="1" bestFit="1" customWidth="1"/>
    <col min="5343" max="5343" width="13.44140625" style="1" bestFit="1" customWidth="1"/>
    <col min="5344" max="5344" width="8" style="1" customWidth="1"/>
    <col min="5345" max="5345" width="12.109375" style="1" customWidth="1"/>
    <col min="5346" max="5346" width="19.6640625" style="1" customWidth="1"/>
    <col min="5347" max="5589" width="8.88671875" style="1"/>
    <col min="5590" max="5590" width="12" style="1" customWidth="1"/>
    <col min="5591" max="5591" width="8.33203125" style="1" customWidth="1"/>
    <col min="5592" max="5592" width="11.6640625" style="1" customWidth="1"/>
    <col min="5593" max="5593" width="29.88671875" style="1" customWidth="1"/>
    <col min="5594" max="5594" width="13.109375" style="1" customWidth="1"/>
    <col min="5595" max="5595" width="8.5546875" style="1" bestFit="1" customWidth="1"/>
    <col min="5596" max="5596" width="8.6640625" style="1" bestFit="1" customWidth="1"/>
    <col min="5597" max="5597" width="12.6640625" style="1" customWidth="1"/>
    <col min="5598" max="5598" width="6.6640625" style="1" bestFit="1" customWidth="1"/>
    <col min="5599" max="5599" width="13.44140625" style="1" bestFit="1" customWidth="1"/>
    <col min="5600" max="5600" width="8" style="1" customWidth="1"/>
    <col min="5601" max="5601" width="12.109375" style="1" customWidth="1"/>
    <col min="5602" max="5602" width="19.6640625" style="1" customWidth="1"/>
    <col min="5603" max="5845" width="8.88671875" style="1"/>
    <col min="5846" max="5846" width="12" style="1" customWidth="1"/>
    <col min="5847" max="5847" width="8.33203125" style="1" customWidth="1"/>
    <col min="5848" max="5848" width="11.6640625" style="1" customWidth="1"/>
    <col min="5849" max="5849" width="29.88671875" style="1" customWidth="1"/>
    <col min="5850" max="5850" width="13.109375" style="1" customWidth="1"/>
    <col min="5851" max="5851" width="8.5546875" style="1" bestFit="1" customWidth="1"/>
    <col min="5852" max="5852" width="8.6640625" style="1" bestFit="1" customWidth="1"/>
    <col min="5853" max="5853" width="12.6640625" style="1" customWidth="1"/>
    <col min="5854" max="5854" width="6.6640625" style="1" bestFit="1" customWidth="1"/>
    <col min="5855" max="5855" width="13.44140625" style="1" bestFit="1" customWidth="1"/>
    <col min="5856" max="5856" width="8" style="1" customWidth="1"/>
    <col min="5857" max="5857" width="12.109375" style="1" customWidth="1"/>
    <col min="5858" max="5858" width="19.6640625" style="1" customWidth="1"/>
    <col min="5859" max="6101" width="8.88671875" style="1"/>
    <col min="6102" max="6102" width="12" style="1" customWidth="1"/>
    <col min="6103" max="6103" width="8.33203125" style="1" customWidth="1"/>
    <col min="6104" max="6104" width="11.6640625" style="1" customWidth="1"/>
    <col min="6105" max="6105" width="29.88671875" style="1" customWidth="1"/>
    <col min="6106" max="6106" width="13.109375" style="1" customWidth="1"/>
    <col min="6107" max="6107" width="8.5546875" style="1" bestFit="1" customWidth="1"/>
    <col min="6108" max="6108" width="8.6640625" style="1" bestFit="1" customWidth="1"/>
    <col min="6109" max="6109" width="12.6640625" style="1" customWidth="1"/>
    <col min="6110" max="6110" width="6.6640625" style="1" bestFit="1" customWidth="1"/>
    <col min="6111" max="6111" width="13.44140625" style="1" bestFit="1" customWidth="1"/>
    <col min="6112" max="6112" width="8" style="1" customWidth="1"/>
    <col min="6113" max="6113" width="12.109375" style="1" customWidth="1"/>
    <col min="6114" max="6114" width="19.6640625" style="1" customWidth="1"/>
    <col min="6115" max="6357" width="8.88671875" style="1"/>
    <col min="6358" max="6358" width="12" style="1" customWidth="1"/>
    <col min="6359" max="6359" width="8.33203125" style="1" customWidth="1"/>
    <col min="6360" max="6360" width="11.6640625" style="1" customWidth="1"/>
    <col min="6361" max="6361" width="29.88671875" style="1" customWidth="1"/>
    <col min="6362" max="6362" width="13.109375" style="1" customWidth="1"/>
    <col min="6363" max="6363" width="8.5546875" style="1" bestFit="1" customWidth="1"/>
    <col min="6364" max="6364" width="8.6640625" style="1" bestFit="1" customWidth="1"/>
    <col min="6365" max="6365" width="12.6640625" style="1" customWidth="1"/>
    <col min="6366" max="6366" width="6.6640625" style="1" bestFit="1" customWidth="1"/>
    <col min="6367" max="6367" width="13.44140625" style="1" bestFit="1" customWidth="1"/>
    <col min="6368" max="6368" width="8" style="1" customWidth="1"/>
    <col min="6369" max="6369" width="12.109375" style="1" customWidth="1"/>
    <col min="6370" max="6370" width="19.6640625" style="1" customWidth="1"/>
    <col min="6371" max="6613" width="8.88671875" style="1"/>
    <col min="6614" max="6614" width="12" style="1" customWidth="1"/>
    <col min="6615" max="6615" width="8.33203125" style="1" customWidth="1"/>
    <col min="6616" max="6616" width="11.6640625" style="1" customWidth="1"/>
    <col min="6617" max="6617" width="29.88671875" style="1" customWidth="1"/>
    <col min="6618" max="6618" width="13.109375" style="1" customWidth="1"/>
    <col min="6619" max="6619" width="8.5546875" style="1" bestFit="1" customWidth="1"/>
    <col min="6620" max="6620" width="8.6640625" style="1" bestFit="1" customWidth="1"/>
    <col min="6621" max="6621" width="12.6640625" style="1" customWidth="1"/>
    <col min="6622" max="6622" width="6.6640625" style="1" bestFit="1" customWidth="1"/>
    <col min="6623" max="6623" width="13.44140625" style="1" bestFit="1" customWidth="1"/>
    <col min="6624" max="6624" width="8" style="1" customWidth="1"/>
    <col min="6625" max="6625" width="12.109375" style="1" customWidth="1"/>
    <col min="6626" max="6626" width="19.6640625" style="1" customWidth="1"/>
    <col min="6627" max="6869" width="8.88671875" style="1"/>
    <col min="6870" max="6870" width="12" style="1" customWidth="1"/>
    <col min="6871" max="6871" width="8.33203125" style="1" customWidth="1"/>
    <col min="6872" max="6872" width="11.6640625" style="1" customWidth="1"/>
    <col min="6873" max="6873" width="29.88671875" style="1" customWidth="1"/>
    <col min="6874" max="6874" width="13.109375" style="1" customWidth="1"/>
    <col min="6875" max="6875" width="8.5546875" style="1" bestFit="1" customWidth="1"/>
    <col min="6876" max="6876" width="8.6640625" style="1" bestFit="1" customWidth="1"/>
    <col min="6877" max="6877" width="12.6640625" style="1" customWidth="1"/>
    <col min="6878" max="6878" width="6.6640625" style="1" bestFit="1" customWidth="1"/>
    <col min="6879" max="6879" width="13.44140625" style="1" bestFit="1" customWidth="1"/>
    <col min="6880" max="6880" width="8" style="1" customWidth="1"/>
    <col min="6881" max="6881" width="12.109375" style="1" customWidth="1"/>
    <col min="6882" max="6882" width="19.6640625" style="1" customWidth="1"/>
    <col min="6883" max="7125" width="8.88671875" style="1"/>
    <col min="7126" max="7126" width="12" style="1" customWidth="1"/>
    <col min="7127" max="7127" width="8.33203125" style="1" customWidth="1"/>
    <col min="7128" max="7128" width="11.6640625" style="1" customWidth="1"/>
    <col min="7129" max="7129" width="29.88671875" style="1" customWidth="1"/>
    <col min="7130" max="7130" width="13.109375" style="1" customWidth="1"/>
    <col min="7131" max="7131" width="8.5546875" style="1" bestFit="1" customWidth="1"/>
    <col min="7132" max="7132" width="8.6640625" style="1" bestFit="1" customWidth="1"/>
    <col min="7133" max="7133" width="12.6640625" style="1" customWidth="1"/>
    <col min="7134" max="7134" width="6.6640625" style="1" bestFit="1" customWidth="1"/>
    <col min="7135" max="7135" width="13.44140625" style="1" bestFit="1" customWidth="1"/>
    <col min="7136" max="7136" width="8" style="1" customWidth="1"/>
    <col min="7137" max="7137" width="12.109375" style="1" customWidth="1"/>
    <col min="7138" max="7138" width="19.6640625" style="1" customWidth="1"/>
    <col min="7139" max="7381" width="8.88671875" style="1"/>
    <col min="7382" max="7382" width="12" style="1" customWidth="1"/>
    <col min="7383" max="7383" width="8.33203125" style="1" customWidth="1"/>
    <col min="7384" max="7384" width="11.6640625" style="1" customWidth="1"/>
    <col min="7385" max="7385" width="29.88671875" style="1" customWidth="1"/>
    <col min="7386" max="7386" width="13.109375" style="1" customWidth="1"/>
    <col min="7387" max="7387" width="8.5546875" style="1" bestFit="1" customWidth="1"/>
    <col min="7388" max="7388" width="8.6640625" style="1" bestFit="1" customWidth="1"/>
    <col min="7389" max="7389" width="12.6640625" style="1" customWidth="1"/>
    <col min="7390" max="7390" width="6.6640625" style="1" bestFit="1" customWidth="1"/>
    <col min="7391" max="7391" width="13.44140625" style="1" bestFit="1" customWidth="1"/>
    <col min="7392" max="7392" width="8" style="1" customWidth="1"/>
    <col min="7393" max="7393" width="12.109375" style="1" customWidth="1"/>
    <col min="7394" max="7394" width="19.6640625" style="1" customWidth="1"/>
    <col min="7395" max="7637" width="8.88671875" style="1"/>
    <col min="7638" max="7638" width="12" style="1" customWidth="1"/>
    <col min="7639" max="7639" width="8.33203125" style="1" customWidth="1"/>
    <col min="7640" max="7640" width="11.6640625" style="1" customWidth="1"/>
    <col min="7641" max="7641" width="29.88671875" style="1" customWidth="1"/>
    <col min="7642" max="7642" width="13.109375" style="1" customWidth="1"/>
    <col min="7643" max="7643" width="8.5546875" style="1" bestFit="1" customWidth="1"/>
    <col min="7644" max="7644" width="8.6640625" style="1" bestFit="1" customWidth="1"/>
    <col min="7645" max="7645" width="12.6640625" style="1" customWidth="1"/>
    <col min="7646" max="7646" width="6.6640625" style="1" bestFit="1" customWidth="1"/>
    <col min="7647" max="7647" width="13.44140625" style="1" bestFit="1" customWidth="1"/>
    <col min="7648" max="7648" width="8" style="1" customWidth="1"/>
    <col min="7649" max="7649" width="12.109375" style="1" customWidth="1"/>
    <col min="7650" max="7650" width="19.6640625" style="1" customWidth="1"/>
    <col min="7651" max="7893" width="8.88671875" style="1"/>
    <col min="7894" max="7894" width="12" style="1" customWidth="1"/>
    <col min="7895" max="7895" width="8.33203125" style="1" customWidth="1"/>
    <col min="7896" max="7896" width="11.6640625" style="1" customWidth="1"/>
    <col min="7897" max="7897" width="29.88671875" style="1" customWidth="1"/>
    <col min="7898" max="7898" width="13.109375" style="1" customWidth="1"/>
    <col min="7899" max="7899" width="8.5546875" style="1" bestFit="1" customWidth="1"/>
    <col min="7900" max="7900" width="8.6640625" style="1" bestFit="1" customWidth="1"/>
    <col min="7901" max="7901" width="12.6640625" style="1" customWidth="1"/>
    <col min="7902" max="7902" width="6.6640625" style="1" bestFit="1" customWidth="1"/>
    <col min="7903" max="7903" width="13.44140625" style="1" bestFit="1" customWidth="1"/>
    <col min="7904" max="7904" width="8" style="1" customWidth="1"/>
    <col min="7905" max="7905" width="12.109375" style="1" customWidth="1"/>
    <col min="7906" max="7906" width="19.6640625" style="1" customWidth="1"/>
    <col min="7907" max="8149" width="8.88671875" style="1"/>
    <col min="8150" max="8150" width="12" style="1" customWidth="1"/>
    <col min="8151" max="8151" width="8.33203125" style="1" customWidth="1"/>
    <col min="8152" max="8152" width="11.6640625" style="1" customWidth="1"/>
    <col min="8153" max="8153" width="29.88671875" style="1" customWidth="1"/>
    <col min="8154" max="8154" width="13.109375" style="1" customWidth="1"/>
    <col min="8155" max="8155" width="8.5546875" style="1" bestFit="1" customWidth="1"/>
    <col min="8156" max="8156" width="8.6640625" style="1" bestFit="1" customWidth="1"/>
    <col min="8157" max="8157" width="12.6640625" style="1" customWidth="1"/>
    <col min="8158" max="8158" width="6.6640625" style="1" bestFit="1" customWidth="1"/>
    <col min="8159" max="8159" width="13.44140625" style="1" bestFit="1" customWidth="1"/>
    <col min="8160" max="8160" width="8" style="1" customWidth="1"/>
    <col min="8161" max="8161" width="12.109375" style="1" customWidth="1"/>
    <col min="8162" max="8162" width="19.6640625" style="1" customWidth="1"/>
    <col min="8163" max="8405" width="8.88671875" style="1"/>
    <col min="8406" max="8406" width="12" style="1" customWidth="1"/>
    <col min="8407" max="8407" width="8.33203125" style="1" customWidth="1"/>
    <col min="8408" max="8408" width="11.6640625" style="1" customWidth="1"/>
    <col min="8409" max="8409" width="29.88671875" style="1" customWidth="1"/>
    <col min="8410" max="8410" width="13.109375" style="1" customWidth="1"/>
    <col min="8411" max="8411" width="8.5546875" style="1" bestFit="1" customWidth="1"/>
    <col min="8412" max="8412" width="8.6640625" style="1" bestFit="1" customWidth="1"/>
    <col min="8413" max="8413" width="12.6640625" style="1" customWidth="1"/>
    <col min="8414" max="8414" width="6.6640625" style="1" bestFit="1" customWidth="1"/>
    <col min="8415" max="8415" width="13.44140625" style="1" bestFit="1" customWidth="1"/>
    <col min="8416" max="8416" width="8" style="1" customWidth="1"/>
    <col min="8417" max="8417" width="12.109375" style="1" customWidth="1"/>
    <col min="8418" max="8418" width="19.6640625" style="1" customWidth="1"/>
    <col min="8419" max="8661" width="8.88671875" style="1"/>
    <col min="8662" max="8662" width="12" style="1" customWidth="1"/>
    <col min="8663" max="8663" width="8.33203125" style="1" customWidth="1"/>
    <col min="8664" max="8664" width="11.6640625" style="1" customWidth="1"/>
    <col min="8665" max="8665" width="29.88671875" style="1" customWidth="1"/>
    <col min="8666" max="8666" width="13.109375" style="1" customWidth="1"/>
    <col min="8667" max="8667" width="8.5546875" style="1" bestFit="1" customWidth="1"/>
    <col min="8668" max="8668" width="8.6640625" style="1" bestFit="1" customWidth="1"/>
    <col min="8669" max="8669" width="12.6640625" style="1" customWidth="1"/>
    <col min="8670" max="8670" width="6.6640625" style="1" bestFit="1" customWidth="1"/>
    <col min="8671" max="8671" width="13.44140625" style="1" bestFit="1" customWidth="1"/>
    <col min="8672" max="8672" width="8" style="1" customWidth="1"/>
    <col min="8673" max="8673" width="12.109375" style="1" customWidth="1"/>
    <col min="8674" max="8674" width="19.6640625" style="1" customWidth="1"/>
    <col min="8675" max="8917" width="8.88671875" style="1"/>
    <col min="8918" max="8918" width="12" style="1" customWidth="1"/>
    <col min="8919" max="8919" width="8.33203125" style="1" customWidth="1"/>
    <col min="8920" max="8920" width="11.6640625" style="1" customWidth="1"/>
    <col min="8921" max="8921" width="29.88671875" style="1" customWidth="1"/>
    <col min="8922" max="8922" width="13.109375" style="1" customWidth="1"/>
    <col min="8923" max="8923" width="8.5546875" style="1" bestFit="1" customWidth="1"/>
    <col min="8924" max="8924" width="8.6640625" style="1" bestFit="1" customWidth="1"/>
    <col min="8925" max="8925" width="12.6640625" style="1" customWidth="1"/>
    <col min="8926" max="8926" width="6.6640625" style="1" bestFit="1" customWidth="1"/>
    <col min="8927" max="8927" width="13.44140625" style="1" bestFit="1" customWidth="1"/>
    <col min="8928" max="8928" width="8" style="1" customWidth="1"/>
    <col min="8929" max="8929" width="12.109375" style="1" customWidth="1"/>
    <col min="8930" max="8930" width="19.6640625" style="1" customWidth="1"/>
    <col min="8931" max="9173" width="8.88671875" style="1"/>
    <col min="9174" max="9174" width="12" style="1" customWidth="1"/>
    <col min="9175" max="9175" width="8.33203125" style="1" customWidth="1"/>
    <col min="9176" max="9176" width="11.6640625" style="1" customWidth="1"/>
    <col min="9177" max="9177" width="29.88671875" style="1" customWidth="1"/>
    <col min="9178" max="9178" width="13.109375" style="1" customWidth="1"/>
    <col min="9179" max="9179" width="8.5546875" style="1" bestFit="1" customWidth="1"/>
    <col min="9180" max="9180" width="8.6640625" style="1" bestFit="1" customWidth="1"/>
    <col min="9181" max="9181" width="12.6640625" style="1" customWidth="1"/>
    <col min="9182" max="9182" width="6.6640625" style="1" bestFit="1" customWidth="1"/>
    <col min="9183" max="9183" width="13.44140625" style="1" bestFit="1" customWidth="1"/>
    <col min="9184" max="9184" width="8" style="1" customWidth="1"/>
    <col min="9185" max="9185" width="12.109375" style="1" customWidth="1"/>
    <col min="9186" max="9186" width="19.6640625" style="1" customWidth="1"/>
    <col min="9187" max="9429" width="8.88671875" style="1"/>
    <col min="9430" max="9430" width="12" style="1" customWidth="1"/>
    <col min="9431" max="9431" width="8.33203125" style="1" customWidth="1"/>
    <col min="9432" max="9432" width="11.6640625" style="1" customWidth="1"/>
    <col min="9433" max="9433" width="29.88671875" style="1" customWidth="1"/>
    <col min="9434" max="9434" width="13.109375" style="1" customWidth="1"/>
    <col min="9435" max="9435" width="8.5546875" style="1" bestFit="1" customWidth="1"/>
    <col min="9436" max="9436" width="8.6640625" style="1" bestFit="1" customWidth="1"/>
    <col min="9437" max="9437" width="12.6640625" style="1" customWidth="1"/>
    <col min="9438" max="9438" width="6.6640625" style="1" bestFit="1" customWidth="1"/>
    <col min="9439" max="9439" width="13.44140625" style="1" bestFit="1" customWidth="1"/>
    <col min="9440" max="9440" width="8" style="1" customWidth="1"/>
    <col min="9441" max="9441" width="12.109375" style="1" customWidth="1"/>
    <col min="9442" max="9442" width="19.6640625" style="1" customWidth="1"/>
    <col min="9443" max="9685" width="8.88671875" style="1"/>
    <col min="9686" max="9686" width="12" style="1" customWidth="1"/>
    <col min="9687" max="9687" width="8.33203125" style="1" customWidth="1"/>
    <col min="9688" max="9688" width="11.6640625" style="1" customWidth="1"/>
    <col min="9689" max="9689" width="29.88671875" style="1" customWidth="1"/>
    <col min="9690" max="9690" width="13.109375" style="1" customWidth="1"/>
    <col min="9691" max="9691" width="8.5546875" style="1" bestFit="1" customWidth="1"/>
    <col min="9692" max="9692" width="8.6640625" style="1" bestFit="1" customWidth="1"/>
    <col min="9693" max="9693" width="12.6640625" style="1" customWidth="1"/>
    <col min="9694" max="9694" width="6.6640625" style="1" bestFit="1" customWidth="1"/>
    <col min="9695" max="9695" width="13.44140625" style="1" bestFit="1" customWidth="1"/>
    <col min="9696" max="9696" width="8" style="1" customWidth="1"/>
    <col min="9697" max="9697" width="12.109375" style="1" customWidth="1"/>
    <col min="9698" max="9698" width="19.6640625" style="1" customWidth="1"/>
    <col min="9699" max="9941" width="8.88671875" style="1"/>
    <col min="9942" max="9942" width="12" style="1" customWidth="1"/>
    <col min="9943" max="9943" width="8.33203125" style="1" customWidth="1"/>
    <col min="9944" max="9944" width="11.6640625" style="1" customWidth="1"/>
    <col min="9945" max="9945" width="29.88671875" style="1" customWidth="1"/>
    <col min="9946" max="9946" width="13.109375" style="1" customWidth="1"/>
    <col min="9947" max="9947" width="8.5546875" style="1" bestFit="1" customWidth="1"/>
    <col min="9948" max="9948" width="8.6640625" style="1" bestFit="1" customWidth="1"/>
    <col min="9949" max="9949" width="12.6640625" style="1" customWidth="1"/>
    <col min="9950" max="9950" width="6.6640625" style="1" bestFit="1" customWidth="1"/>
    <col min="9951" max="9951" width="13.44140625" style="1" bestFit="1" customWidth="1"/>
    <col min="9952" max="9952" width="8" style="1" customWidth="1"/>
    <col min="9953" max="9953" width="12.109375" style="1" customWidth="1"/>
    <col min="9954" max="9954" width="19.6640625" style="1" customWidth="1"/>
    <col min="9955" max="10197" width="8.88671875" style="1"/>
    <col min="10198" max="10198" width="12" style="1" customWidth="1"/>
    <col min="10199" max="10199" width="8.33203125" style="1" customWidth="1"/>
    <col min="10200" max="10200" width="11.6640625" style="1" customWidth="1"/>
    <col min="10201" max="10201" width="29.88671875" style="1" customWidth="1"/>
    <col min="10202" max="10202" width="13.109375" style="1" customWidth="1"/>
    <col min="10203" max="10203" width="8.5546875" style="1" bestFit="1" customWidth="1"/>
    <col min="10204" max="10204" width="8.6640625" style="1" bestFit="1" customWidth="1"/>
    <col min="10205" max="10205" width="12.6640625" style="1" customWidth="1"/>
    <col min="10206" max="10206" width="6.6640625" style="1" bestFit="1" customWidth="1"/>
    <col min="10207" max="10207" width="13.44140625" style="1" bestFit="1" customWidth="1"/>
    <col min="10208" max="10208" width="8" style="1" customWidth="1"/>
    <col min="10209" max="10209" width="12.109375" style="1" customWidth="1"/>
    <col min="10210" max="10210" width="19.6640625" style="1" customWidth="1"/>
    <col min="10211" max="10453" width="8.88671875" style="1"/>
    <col min="10454" max="10454" width="12" style="1" customWidth="1"/>
    <col min="10455" max="10455" width="8.33203125" style="1" customWidth="1"/>
    <col min="10456" max="10456" width="11.6640625" style="1" customWidth="1"/>
    <col min="10457" max="10457" width="29.88671875" style="1" customWidth="1"/>
    <col min="10458" max="10458" width="13.109375" style="1" customWidth="1"/>
    <col min="10459" max="10459" width="8.5546875" style="1" bestFit="1" customWidth="1"/>
    <col min="10460" max="10460" width="8.6640625" style="1" bestFit="1" customWidth="1"/>
    <col min="10461" max="10461" width="12.6640625" style="1" customWidth="1"/>
    <col min="10462" max="10462" width="6.6640625" style="1" bestFit="1" customWidth="1"/>
    <col min="10463" max="10463" width="13.44140625" style="1" bestFit="1" customWidth="1"/>
    <col min="10464" max="10464" width="8" style="1" customWidth="1"/>
    <col min="10465" max="10465" width="12.109375" style="1" customWidth="1"/>
    <col min="10466" max="10466" width="19.6640625" style="1" customWidth="1"/>
    <col min="10467" max="10709" width="8.88671875" style="1"/>
    <col min="10710" max="10710" width="12" style="1" customWidth="1"/>
    <col min="10711" max="10711" width="8.33203125" style="1" customWidth="1"/>
    <col min="10712" max="10712" width="11.6640625" style="1" customWidth="1"/>
    <col min="10713" max="10713" width="29.88671875" style="1" customWidth="1"/>
    <col min="10714" max="10714" width="13.109375" style="1" customWidth="1"/>
    <col min="10715" max="10715" width="8.5546875" style="1" bestFit="1" customWidth="1"/>
    <col min="10716" max="10716" width="8.6640625" style="1" bestFit="1" customWidth="1"/>
    <col min="10717" max="10717" width="12.6640625" style="1" customWidth="1"/>
    <col min="10718" max="10718" width="6.6640625" style="1" bestFit="1" customWidth="1"/>
    <col min="10719" max="10719" width="13.44140625" style="1" bestFit="1" customWidth="1"/>
    <col min="10720" max="10720" width="8" style="1" customWidth="1"/>
    <col min="10721" max="10721" width="12.109375" style="1" customWidth="1"/>
    <col min="10722" max="10722" width="19.6640625" style="1" customWidth="1"/>
    <col min="10723" max="10965" width="8.88671875" style="1"/>
    <col min="10966" max="10966" width="12" style="1" customWidth="1"/>
    <col min="10967" max="10967" width="8.33203125" style="1" customWidth="1"/>
    <col min="10968" max="10968" width="11.6640625" style="1" customWidth="1"/>
    <col min="10969" max="10969" width="29.88671875" style="1" customWidth="1"/>
    <col min="10970" max="10970" width="13.109375" style="1" customWidth="1"/>
    <col min="10971" max="10971" width="8.5546875" style="1" bestFit="1" customWidth="1"/>
    <col min="10972" max="10972" width="8.6640625" style="1" bestFit="1" customWidth="1"/>
    <col min="10973" max="10973" width="12.6640625" style="1" customWidth="1"/>
    <col min="10974" max="10974" width="6.6640625" style="1" bestFit="1" customWidth="1"/>
    <col min="10975" max="10975" width="13.44140625" style="1" bestFit="1" customWidth="1"/>
    <col min="10976" max="10976" width="8" style="1" customWidth="1"/>
    <col min="10977" max="10977" width="12.109375" style="1" customWidth="1"/>
    <col min="10978" max="10978" width="19.6640625" style="1" customWidth="1"/>
    <col min="10979" max="11221" width="8.88671875" style="1"/>
    <col min="11222" max="11222" width="12" style="1" customWidth="1"/>
    <col min="11223" max="11223" width="8.33203125" style="1" customWidth="1"/>
    <col min="11224" max="11224" width="11.6640625" style="1" customWidth="1"/>
    <col min="11225" max="11225" width="29.88671875" style="1" customWidth="1"/>
    <col min="11226" max="11226" width="13.109375" style="1" customWidth="1"/>
    <col min="11227" max="11227" width="8.5546875" style="1" bestFit="1" customWidth="1"/>
    <col min="11228" max="11228" width="8.6640625" style="1" bestFit="1" customWidth="1"/>
    <col min="11229" max="11229" width="12.6640625" style="1" customWidth="1"/>
    <col min="11230" max="11230" width="6.6640625" style="1" bestFit="1" customWidth="1"/>
    <col min="11231" max="11231" width="13.44140625" style="1" bestFit="1" customWidth="1"/>
    <col min="11232" max="11232" width="8" style="1" customWidth="1"/>
    <col min="11233" max="11233" width="12.109375" style="1" customWidth="1"/>
    <col min="11234" max="11234" width="19.6640625" style="1" customWidth="1"/>
    <col min="11235" max="11477" width="8.88671875" style="1"/>
    <col min="11478" max="11478" width="12" style="1" customWidth="1"/>
    <col min="11479" max="11479" width="8.33203125" style="1" customWidth="1"/>
    <col min="11480" max="11480" width="11.6640625" style="1" customWidth="1"/>
    <col min="11481" max="11481" width="29.88671875" style="1" customWidth="1"/>
    <col min="11482" max="11482" width="13.109375" style="1" customWidth="1"/>
    <col min="11483" max="11483" width="8.5546875" style="1" bestFit="1" customWidth="1"/>
    <col min="11484" max="11484" width="8.6640625" style="1" bestFit="1" customWidth="1"/>
    <col min="11485" max="11485" width="12.6640625" style="1" customWidth="1"/>
    <col min="11486" max="11486" width="6.6640625" style="1" bestFit="1" customWidth="1"/>
    <col min="11487" max="11487" width="13.44140625" style="1" bestFit="1" customWidth="1"/>
    <col min="11488" max="11488" width="8" style="1" customWidth="1"/>
    <col min="11489" max="11489" width="12.109375" style="1" customWidth="1"/>
    <col min="11490" max="11490" width="19.6640625" style="1" customWidth="1"/>
    <col min="11491" max="11733" width="8.88671875" style="1"/>
    <col min="11734" max="11734" width="12" style="1" customWidth="1"/>
    <col min="11735" max="11735" width="8.33203125" style="1" customWidth="1"/>
    <col min="11736" max="11736" width="11.6640625" style="1" customWidth="1"/>
    <col min="11737" max="11737" width="29.88671875" style="1" customWidth="1"/>
    <col min="11738" max="11738" width="13.109375" style="1" customWidth="1"/>
    <col min="11739" max="11739" width="8.5546875" style="1" bestFit="1" customWidth="1"/>
    <col min="11740" max="11740" width="8.6640625" style="1" bestFit="1" customWidth="1"/>
    <col min="11741" max="11741" width="12.6640625" style="1" customWidth="1"/>
    <col min="11742" max="11742" width="6.6640625" style="1" bestFit="1" customWidth="1"/>
    <col min="11743" max="11743" width="13.44140625" style="1" bestFit="1" customWidth="1"/>
    <col min="11744" max="11744" width="8" style="1" customWidth="1"/>
    <col min="11745" max="11745" width="12.109375" style="1" customWidth="1"/>
    <col min="11746" max="11746" width="19.6640625" style="1" customWidth="1"/>
    <col min="11747" max="11989" width="8.88671875" style="1"/>
    <col min="11990" max="11990" width="12" style="1" customWidth="1"/>
    <col min="11991" max="11991" width="8.33203125" style="1" customWidth="1"/>
    <col min="11992" max="11992" width="11.6640625" style="1" customWidth="1"/>
    <col min="11993" max="11993" width="29.88671875" style="1" customWidth="1"/>
    <col min="11994" max="11994" width="13.109375" style="1" customWidth="1"/>
    <col min="11995" max="11995" width="8.5546875" style="1" bestFit="1" customWidth="1"/>
    <col min="11996" max="11996" width="8.6640625" style="1" bestFit="1" customWidth="1"/>
    <col min="11997" max="11997" width="12.6640625" style="1" customWidth="1"/>
    <col min="11998" max="11998" width="6.6640625" style="1" bestFit="1" customWidth="1"/>
    <col min="11999" max="11999" width="13.44140625" style="1" bestFit="1" customWidth="1"/>
    <col min="12000" max="12000" width="8" style="1" customWidth="1"/>
    <col min="12001" max="12001" width="12.109375" style="1" customWidth="1"/>
    <col min="12002" max="12002" width="19.6640625" style="1" customWidth="1"/>
    <col min="12003" max="12245" width="8.88671875" style="1"/>
    <col min="12246" max="12246" width="12" style="1" customWidth="1"/>
    <col min="12247" max="12247" width="8.33203125" style="1" customWidth="1"/>
    <col min="12248" max="12248" width="11.6640625" style="1" customWidth="1"/>
    <col min="12249" max="12249" width="29.88671875" style="1" customWidth="1"/>
    <col min="12250" max="12250" width="13.109375" style="1" customWidth="1"/>
    <col min="12251" max="12251" width="8.5546875" style="1" bestFit="1" customWidth="1"/>
    <col min="12252" max="12252" width="8.6640625" style="1" bestFit="1" customWidth="1"/>
    <col min="12253" max="12253" width="12.6640625" style="1" customWidth="1"/>
    <col min="12254" max="12254" width="6.6640625" style="1" bestFit="1" customWidth="1"/>
    <col min="12255" max="12255" width="13.44140625" style="1" bestFit="1" customWidth="1"/>
    <col min="12256" max="12256" width="8" style="1" customWidth="1"/>
    <col min="12257" max="12257" width="12.109375" style="1" customWidth="1"/>
    <col min="12258" max="12258" width="19.6640625" style="1" customWidth="1"/>
    <col min="12259" max="12501" width="8.88671875" style="1"/>
    <col min="12502" max="12502" width="12" style="1" customWidth="1"/>
    <col min="12503" max="12503" width="8.33203125" style="1" customWidth="1"/>
    <col min="12504" max="12504" width="11.6640625" style="1" customWidth="1"/>
    <col min="12505" max="12505" width="29.88671875" style="1" customWidth="1"/>
    <col min="12506" max="12506" width="13.109375" style="1" customWidth="1"/>
    <col min="12507" max="12507" width="8.5546875" style="1" bestFit="1" customWidth="1"/>
    <col min="12508" max="12508" width="8.6640625" style="1" bestFit="1" customWidth="1"/>
    <col min="12509" max="12509" width="12.6640625" style="1" customWidth="1"/>
    <col min="12510" max="12510" width="6.6640625" style="1" bestFit="1" customWidth="1"/>
    <col min="12511" max="12511" width="13.44140625" style="1" bestFit="1" customWidth="1"/>
    <col min="12512" max="12512" width="8" style="1" customWidth="1"/>
    <col min="12513" max="12513" width="12.109375" style="1" customWidth="1"/>
    <col min="12514" max="12514" width="19.6640625" style="1" customWidth="1"/>
    <col min="12515" max="12757" width="8.88671875" style="1"/>
    <col min="12758" max="12758" width="12" style="1" customWidth="1"/>
    <col min="12759" max="12759" width="8.33203125" style="1" customWidth="1"/>
    <col min="12760" max="12760" width="11.6640625" style="1" customWidth="1"/>
    <col min="12761" max="12761" width="29.88671875" style="1" customWidth="1"/>
    <col min="12762" max="12762" width="13.109375" style="1" customWidth="1"/>
    <col min="12763" max="12763" width="8.5546875" style="1" bestFit="1" customWidth="1"/>
    <col min="12764" max="12764" width="8.6640625" style="1" bestFit="1" customWidth="1"/>
    <col min="12765" max="12765" width="12.6640625" style="1" customWidth="1"/>
    <col min="12766" max="12766" width="6.6640625" style="1" bestFit="1" customWidth="1"/>
    <col min="12767" max="12767" width="13.44140625" style="1" bestFit="1" customWidth="1"/>
    <col min="12768" max="12768" width="8" style="1" customWidth="1"/>
    <col min="12769" max="12769" width="12.109375" style="1" customWidth="1"/>
    <col min="12770" max="12770" width="19.6640625" style="1" customWidth="1"/>
    <col min="12771" max="13013" width="8.88671875" style="1"/>
    <col min="13014" max="13014" width="12" style="1" customWidth="1"/>
    <col min="13015" max="13015" width="8.33203125" style="1" customWidth="1"/>
    <col min="13016" max="13016" width="11.6640625" style="1" customWidth="1"/>
    <col min="13017" max="13017" width="29.88671875" style="1" customWidth="1"/>
    <col min="13018" max="13018" width="13.109375" style="1" customWidth="1"/>
    <col min="13019" max="13019" width="8.5546875" style="1" bestFit="1" customWidth="1"/>
    <col min="13020" max="13020" width="8.6640625" style="1" bestFit="1" customWidth="1"/>
    <col min="13021" max="13021" width="12.6640625" style="1" customWidth="1"/>
    <col min="13022" max="13022" width="6.6640625" style="1" bestFit="1" customWidth="1"/>
    <col min="13023" max="13023" width="13.44140625" style="1" bestFit="1" customWidth="1"/>
    <col min="13024" max="13024" width="8" style="1" customWidth="1"/>
    <col min="13025" max="13025" width="12.109375" style="1" customWidth="1"/>
    <col min="13026" max="13026" width="19.6640625" style="1" customWidth="1"/>
    <col min="13027" max="13269" width="8.88671875" style="1"/>
    <col min="13270" max="13270" width="12" style="1" customWidth="1"/>
    <col min="13271" max="13271" width="8.33203125" style="1" customWidth="1"/>
    <col min="13272" max="13272" width="11.6640625" style="1" customWidth="1"/>
    <col min="13273" max="13273" width="29.88671875" style="1" customWidth="1"/>
    <col min="13274" max="13274" width="13.109375" style="1" customWidth="1"/>
    <col min="13275" max="13275" width="8.5546875" style="1" bestFit="1" customWidth="1"/>
    <col min="13276" max="13276" width="8.6640625" style="1" bestFit="1" customWidth="1"/>
    <col min="13277" max="13277" width="12.6640625" style="1" customWidth="1"/>
    <col min="13278" max="13278" width="6.6640625" style="1" bestFit="1" customWidth="1"/>
    <col min="13279" max="13279" width="13.44140625" style="1" bestFit="1" customWidth="1"/>
    <col min="13280" max="13280" width="8" style="1" customWidth="1"/>
    <col min="13281" max="13281" width="12.109375" style="1" customWidth="1"/>
    <col min="13282" max="13282" width="19.6640625" style="1" customWidth="1"/>
    <col min="13283" max="13525" width="8.88671875" style="1"/>
    <col min="13526" max="13526" width="12" style="1" customWidth="1"/>
    <col min="13527" max="13527" width="8.33203125" style="1" customWidth="1"/>
    <col min="13528" max="13528" width="11.6640625" style="1" customWidth="1"/>
    <col min="13529" max="13529" width="29.88671875" style="1" customWidth="1"/>
    <col min="13530" max="13530" width="13.109375" style="1" customWidth="1"/>
    <col min="13531" max="13531" width="8.5546875" style="1" bestFit="1" customWidth="1"/>
    <col min="13532" max="13532" width="8.6640625" style="1" bestFit="1" customWidth="1"/>
    <col min="13533" max="13533" width="12.6640625" style="1" customWidth="1"/>
    <col min="13534" max="13534" width="6.6640625" style="1" bestFit="1" customWidth="1"/>
    <col min="13535" max="13535" width="13.44140625" style="1" bestFit="1" customWidth="1"/>
    <col min="13536" max="13536" width="8" style="1" customWidth="1"/>
    <col min="13537" max="13537" width="12.109375" style="1" customWidth="1"/>
    <col min="13538" max="13538" width="19.6640625" style="1" customWidth="1"/>
    <col min="13539" max="13781" width="8.88671875" style="1"/>
    <col min="13782" max="13782" width="12" style="1" customWidth="1"/>
    <col min="13783" max="13783" width="8.33203125" style="1" customWidth="1"/>
    <col min="13784" max="13784" width="11.6640625" style="1" customWidth="1"/>
    <col min="13785" max="13785" width="29.88671875" style="1" customWidth="1"/>
    <col min="13786" max="13786" width="13.109375" style="1" customWidth="1"/>
    <col min="13787" max="13787" width="8.5546875" style="1" bestFit="1" customWidth="1"/>
    <col min="13788" max="13788" width="8.6640625" style="1" bestFit="1" customWidth="1"/>
    <col min="13789" max="13789" width="12.6640625" style="1" customWidth="1"/>
    <col min="13790" max="13790" width="6.6640625" style="1" bestFit="1" customWidth="1"/>
    <col min="13791" max="13791" width="13.44140625" style="1" bestFit="1" customWidth="1"/>
    <col min="13792" max="13792" width="8" style="1" customWidth="1"/>
    <col min="13793" max="13793" width="12.109375" style="1" customWidth="1"/>
    <col min="13794" max="13794" width="19.6640625" style="1" customWidth="1"/>
    <col min="13795" max="14037" width="8.88671875" style="1"/>
    <col min="14038" max="14038" width="12" style="1" customWidth="1"/>
    <col min="14039" max="14039" width="8.33203125" style="1" customWidth="1"/>
    <col min="14040" max="14040" width="11.6640625" style="1" customWidth="1"/>
    <col min="14041" max="14041" width="29.88671875" style="1" customWidth="1"/>
    <col min="14042" max="14042" width="13.109375" style="1" customWidth="1"/>
    <col min="14043" max="14043" width="8.5546875" style="1" bestFit="1" customWidth="1"/>
    <col min="14044" max="14044" width="8.6640625" style="1" bestFit="1" customWidth="1"/>
    <col min="14045" max="14045" width="12.6640625" style="1" customWidth="1"/>
    <col min="14046" max="14046" width="6.6640625" style="1" bestFit="1" customWidth="1"/>
    <col min="14047" max="14047" width="13.44140625" style="1" bestFit="1" customWidth="1"/>
    <col min="14048" max="14048" width="8" style="1" customWidth="1"/>
    <col min="14049" max="14049" width="12.109375" style="1" customWidth="1"/>
    <col min="14050" max="14050" width="19.6640625" style="1" customWidth="1"/>
    <col min="14051" max="14293" width="8.88671875" style="1"/>
    <col min="14294" max="14294" width="12" style="1" customWidth="1"/>
    <col min="14295" max="14295" width="8.33203125" style="1" customWidth="1"/>
    <col min="14296" max="14296" width="11.6640625" style="1" customWidth="1"/>
    <col min="14297" max="14297" width="29.88671875" style="1" customWidth="1"/>
    <col min="14298" max="14298" width="13.109375" style="1" customWidth="1"/>
    <col min="14299" max="14299" width="8.5546875" style="1" bestFit="1" customWidth="1"/>
    <col min="14300" max="14300" width="8.6640625" style="1" bestFit="1" customWidth="1"/>
    <col min="14301" max="14301" width="12.6640625" style="1" customWidth="1"/>
    <col min="14302" max="14302" width="6.6640625" style="1" bestFit="1" customWidth="1"/>
    <col min="14303" max="14303" width="13.44140625" style="1" bestFit="1" customWidth="1"/>
    <col min="14304" max="14304" width="8" style="1" customWidth="1"/>
    <col min="14305" max="14305" width="12.109375" style="1" customWidth="1"/>
    <col min="14306" max="14306" width="19.6640625" style="1" customWidth="1"/>
    <col min="14307" max="14549" width="8.88671875" style="1"/>
    <col min="14550" max="14550" width="12" style="1" customWidth="1"/>
    <col min="14551" max="14551" width="8.33203125" style="1" customWidth="1"/>
    <col min="14552" max="14552" width="11.6640625" style="1" customWidth="1"/>
    <col min="14553" max="14553" width="29.88671875" style="1" customWidth="1"/>
    <col min="14554" max="14554" width="13.109375" style="1" customWidth="1"/>
    <col min="14555" max="14555" width="8.5546875" style="1" bestFit="1" customWidth="1"/>
    <col min="14556" max="14556" width="8.6640625" style="1" bestFit="1" customWidth="1"/>
    <col min="14557" max="14557" width="12.6640625" style="1" customWidth="1"/>
    <col min="14558" max="14558" width="6.6640625" style="1" bestFit="1" customWidth="1"/>
    <col min="14559" max="14559" width="13.44140625" style="1" bestFit="1" customWidth="1"/>
    <col min="14560" max="14560" width="8" style="1" customWidth="1"/>
    <col min="14561" max="14561" width="12.109375" style="1" customWidth="1"/>
    <col min="14562" max="14562" width="19.6640625" style="1" customWidth="1"/>
    <col min="14563" max="14805" width="8.88671875" style="1"/>
    <col min="14806" max="14806" width="12" style="1" customWidth="1"/>
    <col min="14807" max="14807" width="8.33203125" style="1" customWidth="1"/>
    <col min="14808" max="14808" width="11.6640625" style="1" customWidth="1"/>
    <col min="14809" max="14809" width="29.88671875" style="1" customWidth="1"/>
    <col min="14810" max="14810" width="13.109375" style="1" customWidth="1"/>
    <col min="14811" max="14811" width="8.5546875" style="1" bestFit="1" customWidth="1"/>
    <col min="14812" max="14812" width="8.6640625" style="1" bestFit="1" customWidth="1"/>
    <col min="14813" max="14813" width="12.6640625" style="1" customWidth="1"/>
    <col min="14814" max="14814" width="6.6640625" style="1" bestFit="1" customWidth="1"/>
    <col min="14815" max="14815" width="13.44140625" style="1" bestFit="1" customWidth="1"/>
    <col min="14816" max="14816" width="8" style="1" customWidth="1"/>
    <col min="14817" max="14817" width="12.109375" style="1" customWidth="1"/>
    <col min="14818" max="14818" width="19.6640625" style="1" customWidth="1"/>
    <col min="14819" max="15061" width="8.88671875" style="1"/>
    <col min="15062" max="15062" width="12" style="1" customWidth="1"/>
    <col min="15063" max="15063" width="8.33203125" style="1" customWidth="1"/>
    <col min="15064" max="15064" width="11.6640625" style="1" customWidth="1"/>
    <col min="15065" max="15065" width="29.88671875" style="1" customWidth="1"/>
    <col min="15066" max="15066" width="13.109375" style="1" customWidth="1"/>
    <col min="15067" max="15067" width="8.5546875" style="1" bestFit="1" customWidth="1"/>
    <col min="15068" max="15068" width="8.6640625" style="1" bestFit="1" customWidth="1"/>
    <col min="15069" max="15069" width="12.6640625" style="1" customWidth="1"/>
    <col min="15070" max="15070" width="6.6640625" style="1" bestFit="1" customWidth="1"/>
    <col min="15071" max="15071" width="13.44140625" style="1" bestFit="1" customWidth="1"/>
    <col min="15072" max="15072" width="8" style="1" customWidth="1"/>
    <col min="15073" max="15073" width="12.109375" style="1" customWidth="1"/>
    <col min="15074" max="15074" width="19.6640625" style="1" customWidth="1"/>
    <col min="15075" max="15317" width="8.88671875" style="1"/>
    <col min="15318" max="15318" width="12" style="1" customWidth="1"/>
    <col min="15319" max="15319" width="8.33203125" style="1" customWidth="1"/>
    <col min="15320" max="15320" width="11.6640625" style="1" customWidth="1"/>
    <col min="15321" max="15321" width="29.88671875" style="1" customWidth="1"/>
    <col min="15322" max="15322" width="13.109375" style="1" customWidth="1"/>
    <col min="15323" max="15323" width="8.5546875" style="1" bestFit="1" customWidth="1"/>
    <col min="15324" max="15324" width="8.6640625" style="1" bestFit="1" customWidth="1"/>
    <col min="15325" max="15325" width="12.6640625" style="1" customWidth="1"/>
    <col min="15326" max="15326" width="6.6640625" style="1" bestFit="1" customWidth="1"/>
    <col min="15327" max="15327" width="13.44140625" style="1" bestFit="1" customWidth="1"/>
    <col min="15328" max="15328" width="8" style="1" customWidth="1"/>
    <col min="15329" max="15329" width="12.109375" style="1" customWidth="1"/>
    <col min="15330" max="15330" width="19.6640625" style="1" customWidth="1"/>
    <col min="15331" max="15573" width="8.88671875" style="1"/>
    <col min="15574" max="15574" width="12" style="1" customWidth="1"/>
    <col min="15575" max="15575" width="8.33203125" style="1" customWidth="1"/>
    <col min="15576" max="15576" width="11.6640625" style="1" customWidth="1"/>
    <col min="15577" max="15577" width="29.88671875" style="1" customWidth="1"/>
    <col min="15578" max="15578" width="13.109375" style="1" customWidth="1"/>
    <col min="15579" max="15579" width="8.5546875" style="1" bestFit="1" customWidth="1"/>
    <col min="15580" max="15580" width="8.6640625" style="1" bestFit="1" customWidth="1"/>
    <col min="15581" max="15581" width="12.6640625" style="1" customWidth="1"/>
    <col min="15582" max="15582" width="6.6640625" style="1" bestFit="1" customWidth="1"/>
    <col min="15583" max="15583" width="13.44140625" style="1" bestFit="1" customWidth="1"/>
    <col min="15584" max="15584" width="8" style="1" customWidth="1"/>
    <col min="15585" max="15585" width="12.109375" style="1" customWidth="1"/>
    <col min="15586" max="15586" width="19.6640625" style="1" customWidth="1"/>
    <col min="15587" max="15829" width="8.88671875" style="1"/>
    <col min="15830" max="15830" width="12" style="1" customWidth="1"/>
    <col min="15831" max="15831" width="8.33203125" style="1" customWidth="1"/>
    <col min="15832" max="15832" width="11.6640625" style="1" customWidth="1"/>
    <col min="15833" max="15833" width="29.88671875" style="1" customWidth="1"/>
    <col min="15834" max="15834" width="13.109375" style="1" customWidth="1"/>
    <col min="15835" max="15835" width="8.5546875" style="1" bestFit="1" customWidth="1"/>
    <col min="15836" max="15836" width="8.6640625" style="1" bestFit="1" customWidth="1"/>
    <col min="15837" max="15837" width="12.6640625" style="1" customWidth="1"/>
    <col min="15838" max="15838" width="6.6640625" style="1" bestFit="1" customWidth="1"/>
    <col min="15839" max="15839" width="13.44140625" style="1" bestFit="1" customWidth="1"/>
    <col min="15840" max="15840" width="8" style="1" customWidth="1"/>
    <col min="15841" max="15841" width="12.109375" style="1" customWidth="1"/>
    <col min="15842" max="15842" width="19.6640625" style="1" customWidth="1"/>
    <col min="15843" max="16085" width="8.88671875" style="1"/>
    <col min="16086" max="16086" width="12" style="1" customWidth="1"/>
    <col min="16087" max="16087" width="8.33203125" style="1" customWidth="1"/>
    <col min="16088" max="16088" width="11.6640625" style="1" customWidth="1"/>
    <col min="16089" max="16089" width="29.88671875" style="1" customWidth="1"/>
    <col min="16090" max="16090" width="13.109375" style="1" customWidth="1"/>
    <col min="16091" max="16091" width="8.5546875" style="1" bestFit="1" customWidth="1"/>
    <col min="16092" max="16092" width="8.6640625" style="1" bestFit="1" customWidth="1"/>
    <col min="16093" max="16093" width="12.6640625" style="1" customWidth="1"/>
    <col min="16094" max="16094" width="6.6640625" style="1" bestFit="1" customWidth="1"/>
    <col min="16095" max="16095" width="13.44140625" style="1" bestFit="1" customWidth="1"/>
    <col min="16096" max="16096" width="8" style="1" customWidth="1"/>
    <col min="16097" max="16097" width="12.109375" style="1" customWidth="1"/>
    <col min="16098" max="16098" width="19.6640625" style="1" customWidth="1"/>
    <col min="16099" max="16384" width="8.88671875" style="1"/>
  </cols>
  <sheetData>
    <row r="1" spans="2:13" ht="13.8" thickBot="1" x14ac:dyDescent="0.3"/>
    <row r="2" spans="2:13" ht="18" x14ac:dyDescent="0.35">
      <c r="B2" s="212" t="s">
        <v>0</v>
      </c>
      <c r="C2" s="213"/>
      <c r="D2" s="213"/>
      <c r="E2" s="2"/>
      <c r="F2" s="3"/>
      <c r="G2" s="3"/>
      <c r="H2" s="3"/>
      <c r="I2" s="3"/>
      <c r="J2" s="3"/>
      <c r="K2" s="3"/>
      <c r="L2" s="3"/>
      <c r="M2" s="4"/>
    </row>
    <row r="3" spans="2:13" ht="15.6" x14ac:dyDescent="0.35">
      <c r="B3" s="214" t="s">
        <v>1</v>
      </c>
      <c r="C3" s="215"/>
      <c r="D3" s="215"/>
      <c r="E3" s="6"/>
      <c r="F3" s="7"/>
      <c r="G3" s="7"/>
      <c r="H3" s="7"/>
      <c r="I3" s="7"/>
      <c r="J3" s="7"/>
      <c r="K3" s="7"/>
      <c r="L3" s="7"/>
      <c r="M3" s="8"/>
    </row>
    <row r="4" spans="2:13" ht="15.6" x14ac:dyDescent="0.35">
      <c r="B4" s="214" t="s">
        <v>2</v>
      </c>
      <c r="C4" s="215"/>
      <c r="D4" s="215"/>
      <c r="E4" s="6"/>
      <c r="F4" s="7"/>
      <c r="G4" s="7"/>
      <c r="H4" s="7"/>
      <c r="I4" s="7"/>
      <c r="J4" s="7"/>
      <c r="K4" s="7"/>
      <c r="L4" s="7"/>
      <c r="M4" s="8"/>
    </row>
    <row r="5" spans="2:13" ht="15.6" x14ac:dyDescent="0.35">
      <c r="B5" s="214" t="s">
        <v>3</v>
      </c>
      <c r="C5" s="215"/>
      <c r="D5" s="215"/>
      <c r="E5" s="6"/>
      <c r="F5" s="7"/>
      <c r="G5" s="7"/>
      <c r="H5" s="7"/>
      <c r="I5" s="7"/>
      <c r="J5" s="7"/>
      <c r="K5" s="7"/>
      <c r="L5" s="7"/>
      <c r="M5" s="8"/>
    </row>
    <row r="6" spans="2:13" ht="15.6" x14ac:dyDescent="0.35">
      <c r="B6" s="214" t="s">
        <v>4</v>
      </c>
      <c r="C6" s="215"/>
      <c r="D6" s="215"/>
      <c r="E6" s="6"/>
      <c r="F6" s="7"/>
      <c r="G6" s="7"/>
      <c r="H6" s="7"/>
      <c r="I6" s="7"/>
      <c r="J6" s="7"/>
      <c r="K6" s="7"/>
      <c r="L6" s="7"/>
      <c r="M6" s="8"/>
    </row>
    <row r="7" spans="2:13" ht="15.6" x14ac:dyDescent="0.35">
      <c r="B7" s="9" t="s">
        <v>5</v>
      </c>
      <c r="C7" s="5"/>
      <c r="D7" s="5"/>
      <c r="E7" s="6"/>
      <c r="F7" s="7"/>
      <c r="G7" s="7"/>
      <c r="H7" s="7"/>
      <c r="I7" s="7"/>
      <c r="J7" s="7"/>
      <c r="K7" s="7"/>
      <c r="L7" s="7"/>
      <c r="M7" s="8"/>
    </row>
    <row r="8" spans="2:13" ht="15.6" x14ac:dyDescent="0.35">
      <c r="B8" s="10" t="s">
        <v>6</v>
      </c>
      <c r="C8" s="5"/>
      <c r="D8" s="5"/>
      <c r="E8" s="6"/>
      <c r="F8" s="7"/>
      <c r="G8" s="7"/>
      <c r="H8" s="7"/>
      <c r="I8" s="7"/>
      <c r="J8" s="7"/>
      <c r="K8" s="7"/>
      <c r="L8" s="7"/>
      <c r="M8" s="8"/>
    </row>
    <row r="9" spans="2:13" ht="6" customHeight="1" thickBot="1" x14ac:dyDescent="0.4">
      <c r="B9" s="11"/>
      <c r="C9" s="12"/>
      <c r="D9" s="12"/>
      <c r="E9" s="13"/>
      <c r="F9" s="14"/>
      <c r="G9" s="14"/>
      <c r="H9" s="14"/>
      <c r="I9" s="14"/>
      <c r="J9" s="14"/>
      <c r="K9" s="14"/>
      <c r="L9" s="14"/>
      <c r="M9" s="15"/>
    </row>
    <row r="10" spans="2:13" s="24" customFormat="1" ht="24.6" x14ac:dyDescent="0.3">
      <c r="B10" s="16" t="s">
        <v>7</v>
      </c>
      <c r="C10" s="17"/>
      <c r="D10" s="18" t="s">
        <v>8</v>
      </c>
      <c r="E10" s="19"/>
      <c r="F10" s="20"/>
      <c r="G10" s="20"/>
      <c r="H10" s="20"/>
      <c r="I10" s="20"/>
      <c r="J10" s="21" t="s">
        <v>9</v>
      </c>
      <c r="K10" s="17"/>
      <c r="L10" s="22"/>
      <c r="M10" s="23"/>
    </row>
    <row r="11" spans="2:13" ht="12" customHeight="1" x14ac:dyDescent="0.3">
      <c r="B11" s="10"/>
      <c r="C11" s="25"/>
      <c r="D11" s="26" t="s">
        <v>10</v>
      </c>
      <c r="E11" s="27"/>
      <c r="F11" s="25"/>
      <c r="G11" s="25"/>
      <c r="H11" s="25"/>
      <c r="I11" s="25"/>
      <c r="J11" s="28" t="s">
        <v>11</v>
      </c>
      <c r="K11" s="25"/>
      <c r="L11" s="29"/>
      <c r="M11" s="30"/>
    </row>
    <row r="12" spans="2:13" ht="12" customHeight="1" x14ac:dyDescent="0.3">
      <c r="B12" s="10"/>
      <c r="C12" s="25"/>
      <c r="D12" s="26" t="s">
        <v>12</v>
      </c>
      <c r="E12" s="27"/>
      <c r="F12" s="25"/>
      <c r="G12" s="25"/>
      <c r="H12" s="25"/>
      <c r="I12" s="25"/>
      <c r="J12" s="31"/>
      <c r="K12" s="25"/>
      <c r="L12" s="29"/>
      <c r="M12" s="30"/>
    </row>
    <row r="13" spans="2:13" ht="12" customHeight="1" x14ac:dyDescent="0.3">
      <c r="B13" s="10"/>
      <c r="C13" s="25"/>
      <c r="D13" s="26" t="s">
        <v>13</v>
      </c>
      <c r="E13" s="27"/>
      <c r="F13" s="25"/>
      <c r="G13" s="25"/>
      <c r="H13" s="25"/>
      <c r="I13" s="25"/>
      <c r="J13" s="31"/>
      <c r="K13" s="25"/>
      <c r="L13" s="29"/>
      <c r="M13" s="30"/>
    </row>
    <row r="14" spans="2:13" ht="12" customHeight="1" thickBot="1" x14ac:dyDescent="0.35">
      <c r="B14" s="10"/>
      <c r="C14" s="25"/>
      <c r="D14" s="26" t="s">
        <v>14</v>
      </c>
      <c r="E14" s="27"/>
      <c r="F14" s="25"/>
      <c r="G14" s="25"/>
      <c r="H14" s="25"/>
      <c r="I14" s="25"/>
      <c r="J14" s="31"/>
      <c r="K14" s="25"/>
      <c r="L14" s="29"/>
      <c r="M14" s="30"/>
    </row>
    <row r="15" spans="2:13" ht="19.5" customHeight="1" thickBot="1" x14ac:dyDescent="0.3">
      <c r="B15" s="200" t="s">
        <v>15</v>
      </c>
      <c r="C15" s="201"/>
      <c r="D15" s="201"/>
      <c r="E15" s="201"/>
      <c r="F15" s="201"/>
      <c r="G15" s="201"/>
      <c r="H15" s="201"/>
      <c r="I15" s="201"/>
      <c r="J15" s="201"/>
      <c r="K15" s="201"/>
      <c r="L15" s="201"/>
      <c r="M15" s="202"/>
    </row>
    <row r="16" spans="2:13" s="24" customFormat="1" ht="30.6" customHeight="1" x14ac:dyDescent="0.3">
      <c r="B16" s="32" t="s">
        <v>16</v>
      </c>
      <c r="C16" s="33" t="s">
        <v>17</v>
      </c>
      <c r="D16" s="34" t="s">
        <v>18</v>
      </c>
      <c r="E16" s="33" t="s">
        <v>19</v>
      </c>
      <c r="F16" s="33" t="s">
        <v>20</v>
      </c>
      <c r="G16" s="33" t="s">
        <v>21</v>
      </c>
      <c r="H16" s="33" t="s">
        <v>22</v>
      </c>
      <c r="I16" s="33" t="s">
        <v>23</v>
      </c>
      <c r="J16" s="33" t="s">
        <v>24</v>
      </c>
      <c r="K16" s="33" t="s">
        <v>25</v>
      </c>
      <c r="L16" s="33" t="s">
        <v>26</v>
      </c>
      <c r="M16" s="35" t="s">
        <v>27</v>
      </c>
    </row>
    <row r="17" spans="2:13" s="24" customFormat="1" ht="16.95" customHeight="1" x14ac:dyDescent="0.3">
      <c r="B17" s="36">
        <v>1</v>
      </c>
      <c r="C17" s="37" t="s">
        <v>28</v>
      </c>
      <c r="D17" s="38" t="s">
        <v>29</v>
      </c>
      <c r="E17" s="39" t="s">
        <v>30</v>
      </c>
      <c r="F17" s="37">
        <v>12</v>
      </c>
      <c r="G17" s="40">
        <v>457</v>
      </c>
      <c r="H17" s="41">
        <f>G17*F17</f>
        <v>5484</v>
      </c>
      <c r="I17" s="42">
        <v>0.1</v>
      </c>
      <c r="J17" s="41">
        <f>H17*I17</f>
        <v>548.4</v>
      </c>
      <c r="K17" s="43">
        <v>0.18</v>
      </c>
      <c r="L17" s="41">
        <f t="shared" ref="L17:L59" si="0">(H17-J17)*K17</f>
        <v>888.40800000000002</v>
      </c>
      <c r="M17" s="44">
        <f t="shared" ref="M17:M59" si="1">H17-J17+L17</f>
        <v>5824.0080000000007</v>
      </c>
    </row>
    <row r="18" spans="2:13" s="24" customFormat="1" ht="16.95" customHeight="1" x14ac:dyDescent="0.3">
      <c r="B18" s="36">
        <v>2</v>
      </c>
      <c r="C18" s="45" t="s">
        <v>31</v>
      </c>
      <c r="D18" s="46" t="s">
        <v>32</v>
      </c>
      <c r="E18" s="39" t="s">
        <v>33</v>
      </c>
      <c r="F18" s="45">
        <v>6</v>
      </c>
      <c r="G18" s="47">
        <v>2852</v>
      </c>
      <c r="H18" s="41">
        <f t="shared" ref="H18:H59" si="2">G18*F18</f>
        <v>17112</v>
      </c>
      <c r="I18" s="42">
        <v>0.1</v>
      </c>
      <c r="J18" s="41">
        <f t="shared" ref="J18:J59" si="3">H18*I18</f>
        <v>1711.2</v>
      </c>
      <c r="K18" s="43">
        <v>0.18</v>
      </c>
      <c r="L18" s="41">
        <f t="shared" si="0"/>
        <v>2772.1439999999998</v>
      </c>
      <c r="M18" s="44">
        <f t="shared" si="1"/>
        <v>18172.944</v>
      </c>
    </row>
    <row r="19" spans="2:13" s="24" customFormat="1" ht="16.95" customHeight="1" x14ac:dyDescent="0.3">
      <c r="B19" s="36">
        <v>3</v>
      </c>
      <c r="C19" s="45" t="s">
        <v>34</v>
      </c>
      <c r="D19" s="46" t="s">
        <v>32</v>
      </c>
      <c r="E19" s="39" t="s">
        <v>35</v>
      </c>
      <c r="F19" s="45">
        <v>6</v>
      </c>
      <c r="G19" s="47">
        <v>4699</v>
      </c>
      <c r="H19" s="41">
        <f t="shared" si="2"/>
        <v>28194</v>
      </c>
      <c r="I19" s="42">
        <v>0.1</v>
      </c>
      <c r="J19" s="41">
        <f t="shared" si="3"/>
        <v>2819.4</v>
      </c>
      <c r="K19" s="43">
        <v>0.18</v>
      </c>
      <c r="L19" s="41">
        <f t="shared" si="0"/>
        <v>4567.4279999999999</v>
      </c>
      <c r="M19" s="44">
        <f t="shared" si="1"/>
        <v>29942.027999999998</v>
      </c>
    </row>
    <row r="20" spans="2:13" s="24" customFormat="1" ht="16.95" customHeight="1" x14ac:dyDescent="0.3">
      <c r="B20" s="36">
        <v>4</v>
      </c>
      <c r="C20" s="45" t="s">
        <v>36</v>
      </c>
      <c r="D20" s="46" t="s">
        <v>37</v>
      </c>
      <c r="E20" s="39" t="s">
        <v>33</v>
      </c>
      <c r="F20" s="45">
        <v>6</v>
      </c>
      <c r="G20" s="47">
        <v>3439</v>
      </c>
      <c r="H20" s="41">
        <f t="shared" si="2"/>
        <v>20634</v>
      </c>
      <c r="I20" s="42">
        <v>0.1</v>
      </c>
      <c r="J20" s="41">
        <f t="shared" si="3"/>
        <v>2063.4</v>
      </c>
      <c r="K20" s="43">
        <v>0.18</v>
      </c>
      <c r="L20" s="41">
        <f t="shared" si="0"/>
        <v>3342.7079999999996</v>
      </c>
      <c r="M20" s="44">
        <f t="shared" si="1"/>
        <v>21913.307999999997</v>
      </c>
    </row>
    <row r="21" spans="2:13" s="24" customFormat="1" ht="16.95" customHeight="1" x14ac:dyDescent="0.3">
      <c r="B21" s="36">
        <v>5</v>
      </c>
      <c r="C21" s="45" t="s">
        <v>38</v>
      </c>
      <c r="D21" s="46" t="s">
        <v>37</v>
      </c>
      <c r="E21" s="39" t="s">
        <v>39</v>
      </c>
      <c r="F21" s="45">
        <v>3</v>
      </c>
      <c r="G21" s="47">
        <v>4712</v>
      </c>
      <c r="H21" s="41">
        <f t="shared" si="2"/>
        <v>14136</v>
      </c>
      <c r="I21" s="42">
        <v>0.1</v>
      </c>
      <c r="J21" s="41">
        <f t="shared" si="3"/>
        <v>1413.6000000000001</v>
      </c>
      <c r="K21" s="43">
        <v>0.18</v>
      </c>
      <c r="L21" s="41">
        <f t="shared" si="0"/>
        <v>2290.0319999999997</v>
      </c>
      <c r="M21" s="44">
        <f t="shared" si="1"/>
        <v>15012.431999999999</v>
      </c>
    </row>
    <row r="22" spans="2:13" s="24" customFormat="1" ht="16.95" customHeight="1" x14ac:dyDescent="0.3">
      <c r="B22" s="36">
        <v>6</v>
      </c>
      <c r="C22" s="45" t="s">
        <v>40</v>
      </c>
      <c r="D22" s="46" t="s">
        <v>41</v>
      </c>
      <c r="E22" s="39" t="s">
        <v>33</v>
      </c>
      <c r="F22" s="45">
        <v>3</v>
      </c>
      <c r="G22" s="47">
        <v>2520</v>
      </c>
      <c r="H22" s="41">
        <f t="shared" si="2"/>
        <v>7560</v>
      </c>
      <c r="I22" s="42">
        <v>0.1</v>
      </c>
      <c r="J22" s="41">
        <f t="shared" si="3"/>
        <v>756</v>
      </c>
      <c r="K22" s="43">
        <v>0.18</v>
      </c>
      <c r="L22" s="41">
        <f t="shared" si="0"/>
        <v>1224.72</v>
      </c>
      <c r="M22" s="44">
        <f t="shared" si="1"/>
        <v>8028.72</v>
      </c>
    </row>
    <row r="23" spans="2:13" s="24" customFormat="1" ht="16.95" customHeight="1" x14ac:dyDescent="0.3">
      <c r="B23" s="36">
        <v>7</v>
      </c>
      <c r="C23" s="45" t="s">
        <v>42</v>
      </c>
      <c r="D23" s="46" t="s">
        <v>29</v>
      </c>
      <c r="E23" s="39" t="s">
        <v>30</v>
      </c>
      <c r="F23" s="45">
        <v>120</v>
      </c>
      <c r="G23" s="47">
        <v>388</v>
      </c>
      <c r="H23" s="41">
        <f t="shared" si="2"/>
        <v>46560</v>
      </c>
      <c r="I23" s="42">
        <v>0.1</v>
      </c>
      <c r="J23" s="41">
        <f t="shared" si="3"/>
        <v>4656</v>
      </c>
      <c r="K23" s="43">
        <v>0.18</v>
      </c>
      <c r="L23" s="41">
        <f t="shared" si="0"/>
        <v>7542.7199999999993</v>
      </c>
      <c r="M23" s="44">
        <f t="shared" si="1"/>
        <v>49446.720000000001</v>
      </c>
    </row>
    <row r="24" spans="2:13" s="24" customFormat="1" ht="16.95" customHeight="1" x14ac:dyDescent="0.3">
      <c r="B24" s="36">
        <v>8</v>
      </c>
      <c r="C24" s="45" t="s">
        <v>43</v>
      </c>
      <c r="D24" s="46" t="s">
        <v>44</v>
      </c>
      <c r="E24" s="39" t="s">
        <v>30</v>
      </c>
      <c r="F24" s="45">
        <v>60</v>
      </c>
      <c r="G24" s="47">
        <v>1545</v>
      </c>
      <c r="H24" s="41">
        <f t="shared" si="2"/>
        <v>92700</v>
      </c>
      <c r="I24" s="42">
        <v>0.1</v>
      </c>
      <c r="J24" s="41">
        <f t="shared" si="3"/>
        <v>9270</v>
      </c>
      <c r="K24" s="43">
        <v>0.18</v>
      </c>
      <c r="L24" s="41">
        <f t="shared" si="0"/>
        <v>15017.4</v>
      </c>
      <c r="M24" s="44">
        <f t="shared" si="1"/>
        <v>98447.4</v>
      </c>
    </row>
    <row r="25" spans="2:13" s="24" customFormat="1" ht="16.95" customHeight="1" x14ac:dyDescent="0.3">
      <c r="B25" s="36">
        <v>9</v>
      </c>
      <c r="C25" s="45" t="s">
        <v>45</v>
      </c>
      <c r="D25" s="46" t="s">
        <v>32</v>
      </c>
      <c r="E25" s="39" t="s">
        <v>30</v>
      </c>
      <c r="F25" s="45">
        <v>60</v>
      </c>
      <c r="G25" s="47">
        <v>1398</v>
      </c>
      <c r="H25" s="41">
        <f t="shared" si="2"/>
        <v>83880</v>
      </c>
      <c r="I25" s="42">
        <v>0.1</v>
      </c>
      <c r="J25" s="41">
        <f t="shared" si="3"/>
        <v>8388</v>
      </c>
      <c r="K25" s="43">
        <v>0.18</v>
      </c>
      <c r="L25" s="41">
        <f t="shared" si="0"/>
        <v>13588.56</v>
      </c>
      <c r="M25" s="44">
        <f t="shared" si="1"/>
        <v>89080.56</v>
      </c>
    </row>
    <row r="26" spans="2:13" s="24" customFormat="1" ht="16.95" customHeight="1" x14ac:dyDescent="0.3">
      <c r="B26" s="36">
        <v>10</v>
      </c>
      <c r="C26" s="48" t="s">
        <v>46</v>
      </c>
      <c r="D26" s="46" t="s">
        <v>37</v>
      </c>
      <c r="E26" s="39" t="s">
        <v>33</v>
      </c>
      <c r="F26" s="45">
        <v>60</v>
      </c>
      <c r="G26" s="47">
        <v>6887</v>
      </c>
      <c r="H26" s="41">
        <f t="shared" si="2"/>
        <v>413220</v>
      </c>
      <c r="I26" s="42">
        <v>0.1</v>
      </c>
      <c r="J26" s="41">
        <f t="shared" si="3"/>
        <v>41322</v>
      </c>
      <c r="K26" s="43">
        <v>0.18</v>
      </c>
      <c r="L26" s="41">
        <f t="shared" si="0"/>
        <v>66941.64</v>
      </c>
      <c r="M26" s="44">
        <f t="shared" si="1"/>
        <v>438839.64</v>
      </c>
    </row>
    <row r="27" spans="2:13" s="24" customFormat="1" ht="16.95" customHeight="1" x14ac:dyDescent="0.3">
      <c r="B27" s="36">
        <v>11</v>
      </c>
      <c r="C27" s="45" t="s">
        <v>47</v>
      </c>
      <c r="D27" s="46" t="s">
        <v>48</v>
      </c>
      <c r="E27" s="39" t="s">
        <v>35</v>
      </c>
      <c r="F27" s="45">
        <v>30</v>
      </c>
      <c r="G27" s="47">
        <v>6798</v>
      </c>
      <c r="H27" s="41">
        <f t="shared" si="2"/>
        <v>203940</v>
      </c>
      <c r="I27" s="42">
        <v>0.1</v>
      </c>
      <c r="J27" s="41">
        <f t="shared" si="3"/>
        <v>20394</v>
      </c>
      <c r="K27" s="43">
        <v>0.18</v>
      </c>
      <c r="L27" s="41">
        <f t="shared" si="0"/>
        <v>33038.28</v>
      </c>
      <c r="M27" s="44">
        <f t="shared" si="1"/>
        <v>216584.28</v>
      </c>
    </row>
    <row r="28" spans="2:13" s="24" customFormat="1" ht="16.95" customHeight="1" x14ac:dyDescent="0.3">
      <c r="B28" s="36">
        <v>12</v>
      </c>
      <c r="C28" s="45" t="s">
        <v>49</v>
      </c>
      <c r="D28" s="46" t="s">
        <v>37</v>
      </c>
      <c r="E28" s="39" t="s">
        <v>33</v>
      </c>
      <c r="F28" s="45">
        <v>60</v>
      </c>
      <c r="G28" s="47">
        <v>1984</v>
      </c>
      <c r="H28" s="41">
        <f t="shared" si="2"/>
        <v>119040</v>
      </c>
      <c r="I28" s="42">
        <v>0.1</v>
      </c>
      <c r="J28" s="41">
        <f t="shared" si="3"/>
        <v>11904</v>
      </c>
      <c r="K28" s="43">
        <v>0.18</v>
      </c>
      <c r="L28" s="41">
        <f t="shared" si="0"/>
        <v>19284.48</v>
      </c>
      <c r="M28" s="44">
        <f t="shared" si="1"/>
        <v>126420.48</v>
      </c>
    </row>
    <row r="29" spans="2:13" s="24" customFormat="1" ht="16.95" customHeight="1" x14ac:dyDescent="0.3">
      <c r="B29" s="36">
        <v>13</v>
      </c>
      <c r="C29" s="45" t="s">
        <v>50</v>
      </c>
      <c r="D29" s="46" t="s">
        <v>51</v>
      </c>
      <c r="E29" s="39" t="s">
        <v>33</v>
      </c>
      <c r="F29" s="45">
        <v>60</v>
      </c>
      <c r="G29" s="47">
        <v>7722</v>
      </c>
      <c r="H29" s="41">
        <f t="shared" si="2"/>
        <v>463320</v>
      </c>
      <c r="I29" s="42">
        <v>0.1</v>
      </c>
      <c r="J29" s="41">
        <f t="shared" si="3"/>
        <v>46332</v>
      </c>
      <c r="K29" s="43">
        <v>0.18</v>
      </c>
      <c r="L29" s="41">
        <f t="shared" si="0"/>
        <v>75057.84</v>
      </c>
      <c r="M29" s="44">
        <f t="shared" si="1"/>
        <v>492045.83999999997</v>
      </c>
    </row>
    <row r="30" spans="2:13" s="24" customFormat="1" ht="16.95" customHeight="1" x14ac:dyDescent="0.3">
      <c r="B30" s="36">
        <v>14</v>
      </c>
      <c r="C30" s="45" t="s">
        <v>52</v>
      </c>
      <c r="D30" s="46" t="s">
        <v>37</v>
      </c>
      <c r="E30" s="39" t="s">
        <v>39</v>
      </c>
      <c r="F30" s="45">
        <v>30</v>
      </c>
      <c r="G30" s="47">
        <v>3215</v>
      </c>
      <c r="H30" s="41">
        <f t="shared" si="2"/>
        <v>96450</v>
      </c>
      <c r="I30" s="42">
        <v>0.1</v>
      </c>
      <c r="J30" s="41">
        <f t="shared" si="3"/>
        <v>9645</v>
      </c>
      <c r="K30" s="43">
        <v>0.18</v>
      </c>
      <c r="L30" s="41">
        <f t="shared" si="0"/>
        <v>15624.9</v>
      </c>
      <c r="M30" s="44">
        <f t="shared" si="1"/>
        <v>102429.9</v>
      </c>
    </row>
    <row r="31" spans="2:13" s="24" customFormat="1" ht="16.95" customHeight="1" x14ac:dyDescent="0.3">
      <c r="B31" s="36">
        <v>15</v>
      </c>
      <c r="C31" s="45" t="s">
        <v>53</v>
      </c>
      <c r="D31" s="46" t="s">
        <v>54</v>
      </c>
      <c r="E31" s="39" t="s">
        <v>55</v>
      </c>
      <c r="F31" s="45">
        <v>60</v>
      </c>
      <c r="G31" s="47">
        <v>2951</v>
      </c>
      <c r="H31" s="41">
        <f t="shared" si="2"/>
        <v>177060</v>
      </c>
      <c r="I31" s="42">
        <v>0.1</v>
      </c>
      <c r="J31" s="41">
        <f t="shared" si="3"/>
        <v>17706</v>
      </c>
      <c r="K31" s="43">
        <v>0.18</v>
      </c>
      <c r="L31" s="41">
        <f t="shared" si="0"/>
        <v>28683.719999999998</v>
      </c>
      <c r="M31" s="44">
        <f t="shared" si="1"/>
        <v>188037.72</v>
      </c>
    </row>
    <row r="32" spans="2:13" s="24" customFormat="1" ht="16.95" customHeight="1" x14ac:dyDescent="0.3">
      <c r="B32" s="36">
        <v>16</v>
      </c>
      <c r="C32" s="45" t="s">
        <v>56</v>
      </c>
      <c r="D32" s="46" t="s">
        <v>57</v>
      </c>
      <c r="E32" s="39" t="s">
        <v>55</v>
      </c>
      <c r="F32" s="45">
        <v>60</v>
      </c>
      <c r="G32" s="47">
        <v>1228</v>
      </c>
      <c r="H32" s="41">
        <f t="shared" si="2"/>
        <v>73680</v>
      </c>
      <c r="I32" s="42">
        <v>0.1</v>
      </c>
      <c r="J32" s="41">
        <f t="shared" si="3"/>
        <v>7368</v>
      </c>
      <c r="K32" s="43">
        <v>0.18</v>
      </c>
      <c r="L32" s="41">
        <f t="shared" si="0"/>
        <v>11936.16</v>
      </c>
      <c r="M32" s="44">
        <f t="shared" si="1"/>
        <v>78248.160000000003</v>
      </c>
    </row>
    <row r="33" spans="2:13" s="24" customFormat="1" ht="16.95" customHeight="1" x14ac:dyDescent="0.3">
      <c r="B33" s="36">
        <v>17</v>
      </c>
      <c r="C33" s="45" t="s">
        <v>58</v>
      </c>
      <c r="D33" s="46" t="s">
        <v>29</v>
      </c>
      <c r="E33" s="39" t="s">
        <v>30</v>
      </c>
      <c r="F33" s="45">
        <v>24</v>
      </c>
      <c r="G33" s="47">
        <v>1364</v>
      </c>
      <c r="H33" s="41">
        <f t="shared" si="2"/>
        <v>32736</v>
      </c>
      <c r="I33" s="42">
        <v>0.1</v>
      </c>
      <c r="J33" s="41">
        <f t="shared" si="3"/>
        <v>3273.6000000000004</v>
      </c>
      <c r="K33" s="43">
        <v>0.18</v>
      </c>
      <c r="L33" s="41">
        <f t="shared" si="0"/>
        <v>5303.232</v>
      </c>
      <c r="M33" s="44">
        <f t="shared" si="1"/>
        <v>34765.631999999998</v>
      </c>
    </row>
    <row r="34" spans="2:13" s="24" customFormat="1" ht="16.95" customHeight="1" x14ac:dyDescent="0.3">
      <c r="B34" s="36">
        <v>18</v>
      </c>
      <c r="C34" s="48" t="s">
        <v>59</v>
      </c>
      <c r="D34" s="46" t="s">
        <v>60</v>
      </c>
      <c r="E34" s="39" t="s">
        <v>33</v>
      </c>
      <c r="F34" s="45">
        <v>12</v>
      </c>
      <c r="G34" s="47">
        <v>4181</v>
      </c>
      <c r="H34" s="41">
        <f t="shared" si="2"/>
        <v>50172</v>
      </c>
      <c r="I34" s="42">
        <v>0.1</v>
      </c>
      <c r="J34" s="41">
        <f t="shared" si="3"/>
        <v>5017.2000000000007</v>
      </c>
      <c r="K34" s="43">
        <v>0.18</v>
      </c>
      <c r="L34" s="41">
        <f t="shared" si="0"/>
        <v>8127.8640000000005</v>
      </c>
      <c r="M34" s="44">
        <f t="shared" si="1"/>
        <v>53282.664000000004</v>
      </c>
    </row>
    <row r="35" spans="2:13" s="24" customFormat="1" ht="16.95" customHeight="1" x14ac:dyDescent="0.3">
      <c r="B35" s="36">
        <v>19</v>
      </c>
      <c r="C35" s="45" t="s">
        <v>61</v>
      </c>
      <c r="D35" s="46" t="s">
        <v>62</v>
      </c>
      <c r="E35" s="39" t="s">
        <v>33</v>
      </c>
      <c r="F35" s="45">
        <v>12</v>
      </c>
      <c r="G35" s="47">
        <v>4028</v>
      </c>
      <c r="H35" s="41">
        <f t="shared" si="2"/>
        <v>48336</v>
      </c>
      <c r="I35" s="42">
        <v>0.1</v>
      </c>
      <c r="J35" s="41">
        <f t="shared" si="3"/>
        <v>4833.6000000000004</v>
      </c>
      <c r="K35" s="43">
        <v>0.18</v>
      </c>
      <c r="L35" s="41">
        <f t="shared" si="0"/>
        <v>7830.4319999999998</v>
      </c>
      <c r="M35" s="44">
        <f t="shared" si="1"/>
        <v>51332.832000000002</v>
      </c>
    </row>
    <row r="36" spans="2:13" s="24" customFormat="1" ht="16.95" customHeight="1" x14ac:dyDescent="0.3">
      <c r="B36" s="36">
        <v>20</v>
      </c>
      <c r="C36" s="45" t="s">
        <v>63</v>
      </c>
      <c r="D36" s="46" t="s">
        <v>62</v>
      </c>
      <c r="E36" s="39" t="s">
        <v>35</v>
      </c>
      <c r="F36" s="45">
        <v>12</v>
      </c>
      <c r="G36" s="47">
        <v>3761</v>
      </c>
      <c r="H36" s="41">
        <f t="shared" si="2"/>
        <v>45132</v>
      </c>
      <c r="I36" s="42">
        <v>0.1</v>
      </c>
      <c r="J36" s="41">
        <f t="shared" si="3"/>
        <v>4513.2</v>
      </c>
      <c r="K36" s="43">
        <v>0.18</v>
      </c>
      <c r="L36" s="41">
        <f t="shared" si="0"/>
        <v>7311.384</v>
      </c>
      <c r="M36" s="44">
        <f t="shared" si="1"/>
        <v>47930.184000000001</v>
      </c>
    </row>
    <row r="37" spans="2:13" s="24" customFormat="1" ht="16.95" customHeight="1" x14ac:dyDescent="0.3">
      <c r="B37" s="36">
        <v>21</v>
      </c>
      <c r="C37" s="48" t="s">
        <v>46</v>
      </c>
      <c r="D37" s="46" t="s">
        <v>37</v>
      </c>
      <c r="E37" s="39" t="s">
        <v>33</v>
      </c>
      <c r="F37" s="45">
        <v>12</v>
      </c>
      <c r="G37" s="47">
        <v>6887</v>
      </c>
      <c r="H37" s="41">
        <f t="shared" si="2"/>
        <v>82644</v>
      </c>
      <c r="I37" s="42">
        <v>0.1</v>
      </c>
      <c r="J37" s="41">
        <f t="shared" si="3"/>
        <v>8264.4</v>
      </c>
      <c r="K37" s="43">
        <v>0.18</v>
      </c>
      <c r="L37" s="41">
        <f t="shared" si="0"/>
        <v>13388.328000000001</v>
      </c>
      <c r="M37" s="44">
        <f t="shared" si="1"/>
        <v>87767.928000000014</v>
      </c>
    </row>
    <row r="38" spans="2:13" s="24" customFormat="1" ht="16.95" customHeight="1" x14ac:dyDescent="0.3">
      <c r="B38" s="36">
        <v>22</v>
      </c>
      <c r="C38" s="45" t="s">
        <v>49</v>
      </c>
      <c r="D38" s="46" t="s">
        <v>64</v>
      </c>
      <c r="E38" s="39" t="s">
        <v>33</v>
      </c>
      <c r="F38" s="45">
        <v>12</v>
      </c>
      <c r="G38" s="47">
        <v>1984</v>
      </c>
      <c r="H38" s="41">
        <f t="shared" si="2"/>
        <v>23808</v>
      </c>
      <c r="I38" s="42">
        <v>0.1</v>
      </c>
      <c r="J38" s="41">
        <f t="shared" si="3"/>
        <v>2380.8000000000002</v>
      </c>
      <c r="K38" s="43">
        <v>0.18</v>
      </c>
      <c r="L38" s="41">
        <f t="shared" si="0"/>
        <v>3856.8960000000002</v>
      </c>
      <c r="M38" s="44">
        <f t="shared" si="1"/>
        <v>25284.096000000001</v>
      </c>
    </row>
    <row r="39" spans="2:13" s="24" customFormat="1" ht="16.95" customHeight="1" x14ac:dyDescent="0.3">
      <c r="B39" s="36">
        <v>23</v>
      </c>
      <c r="C39" s="45" t="s">
        <v>50</v>
      </c>
      <c r="D39" s="46" t="s">
        <v>37</v>
      </c>
      <c r="E39" s="39" t="s">
        <v>33</v>
      </c>
      <c r="F39" s="45">
        <v>12</v>
      </c>
      <c r="G39" s="47">
        <v>7722</v>
      </c>
      <c r="H39" s="41">
        <f t="shared" si="2"/>
        <v>92664</v>
      </c>
      <c r="I39" s="42">
        <v>0.1</v>
      </c>
      <c r="J39" s="41">
        <f t="shared" si="3"/>
        <v>9266.4</v>
      </c>
      <c r="K39" s="43">
        <v>0.18</v>
      </c>
      <c r="L39" s="41">
        <f t="shared" si="0"/>
        <v>15011.568000000001</v>
      </c>
      <c r="M39" s="44">
        <f t="shared" si="1"/>
        <v>98409.168000000005</v>
      </c>
    </row>
    <row r="40" spans="2:13" s="24" customFormat="1" ht="16.95" customHeight="1" x14ac:dyDescent="0.3">
      <c r="B40" s="36">
        <v>24</v>
      </c>
      <c r="C40" s="45" t="s">
        <v>65</v>
      </c>
      <c r="D40" s="46" t="s">
        <v>48</v>
      </c>
      <c r="E40" s="39" t="s">
        <v>35</v>
      </c>
      <c r="F40" s="45">
        <v>12</v>
      </c>
      <c r="G40" s="47">
        <v>6395</v>
      </c>
      <c r="H40" s="41">
        <f t="shared" si="2"/>
        <v>76740</v>
      </c>
      <c r="I40" s="42">
        <v>0.1</v>
      </c>
      <c r="J40" s="41">
        <f t="shared" si="3"/>
        <v>7674</v>
      </c>
      <c r="K40" s="43">
        <v>0.18</v>
      </c>
      <c r="L40" s="41">
        <f t="shared" si="0"/>
        <v>12431.88</v>
      </c>
      <c r="M40" s="44">
        <f t="shared" si="1"/>
        <v>81497.88</v>
      </c>
    </row>
    <row r="41" spans="2:13" s="24" customFormat="1" ht="16.95" customHeight="1" x14ac:dyDescent="0.3">
      <c r="B41" s="36">
        <v>25</v>
      </c>
      <c r="C41" s="45" t="s">
        <v>66</v>
      </c>
      <c r="D41" s="46" t="s">
        <v>67</v>
      </c>
      <c r="E41" s="39" t="s">
        <v>33</v>
      </c>
      <c r="F41" s="45">
        <v>12</v>
      </c>
      <c r="G41" s="47">
        <v>12114</v>
      </c>
      <c r="H41" s="41">
        <f t="shared" si="2"/>
        <v>145368</v>
      </c>
      <c r="I41" s="42">
        <v>0.1</v>
      </c>
      <c r="J41" s="41">
        <f t="shared" si="3"/>
        <v>14536.800000000001</v>
      </c>
      <c r="K41" s="43">
        <v>0.18</v>
      </c>
      <c r="L41" s="41">
        <f t="shared" si="0"/>
        <v>23549.615999999998</v>
      </c>
      <c r="M41" s="44">
        <f t="shared" si="1"/>
        <v>154380.81599999999</v>
      </c>
    </row>
    <row r="42" spans="2:13" s="24" customFormat="1" ht="16.95" customHeight="1" x14ac:dyDescent="0.3">
      <c r="B42" s="36">
        <v>26</v>
      </c>
      <c r="C42" s="45" t="s">
        <v>68</v>
      </c>
      <c r="D42" s="46" t="s">
        <v>69</v>
      </c>
      <c r="E42" s="39" t="s">
        <v>33</v>
      </c>
      <c r="F42" s="45">
        <v>24</v>
      </c>
      <c r="G42" s="47">
        <v>1271</v>
      </c>
      <c r="H42" s="41">
        <f t="shared" si="2"/>
        <v>30504</v>
      </c>
      <c r="I42" s="42">
        <v>0.1</v>
      </c>
      <c r="J42" s="41">
        <f t="shared" si="3"/>
        <v>3050.4</v>
      </c>
      <c r="K42" s="43">
        <v>0.18</v>
      </c>
      <c r="L42" s="41">
        <f t="shared" si="0"/>
        <v>4941.6479999999992</v>
      </c>
      <c r="M42" s="44">
        <f t="shared" si="1"/>
        <v>32395.248</v>
      </c>
    </row>
    <row r="43" spans="2:13" s="24" customFormat="1" ht="16.95" customHeight="1" x14ac:dyDescent="0.3">
      <c r="B43" s="36">
        <v>27</v>
      </c>
      <c r="C43" s="48" t="s">
        <v>70</v>
      </c>
      <c r="D43" s="46" t="s">
        <v>29</v>
      </c>
      <c r="E43" s="39" t="s">
        <v>33</v>
      </c>
      <c r="F43" s="45">
        <v>120</v>
      </c>
      <c r="G43" s="47">
        <v>1612</v>
      </c>
      <c r="H43" s="41">
        <f t="shared" si="2"/>
        <v>193440</v>
      </c>
      <c r="I43" s="42">
        <v>0.1</v>
      </c>
      <c r="J43" s="41">
        <f t="shared" si="3"/>
        <v>19344</v>
      </c>
      <c r="K43" s="43">
        <v>0.18</v>
      </c>
      <c r="L43" s="41">
        <f t="shared" si="0"/>
        <v>31337.279999999999</v>
      </c>
      <c r="M43" s="44">
        <f t="shared" si="1"/>
        <v>205433.28</v>
      </c>
    </row>
    <row r="44" spans="2:13" s="24" customFormat="1" ht="16.95" customHeight="1" x14ac:dyDescent="0.3">
      <c r="B44" s="36">
        <v>28</v>
      </c>
      <c r="C44" s="45" t="s">
        <v>31</v>
      </c>
      <c r="D44" s="46" t="s">
        <v>32</v>
      </c>
      <c r="E44" s="39" t="s">
        <v>33</v>
      </c>
      <c r="F44" s="45">
        <v>60</v>
      </c>
      <c r="G44" s="47">
        <v>2852</v>
      </c>
      <c r="H44" s="41">
        <f t="shared" si="2"/>
        <v>171120</v>
      </c>
      <c r="I44" s="42">
        <v>0.1</v>
      </c>
      <c r="J44" s="41">
        <f t="shared" si="3"/>
        <v>17112</v>
      </c>
      <c r="K44" s="43">
        <v>0.18</v>
      </c>
      <c r="L44" s="41">
        <f t="shared" si="0"/>
        <v>27721.439999999999</v>
      </c>
      <c r="M44" s="44">
        <f t="shared" si="1"/>
        <v>181729.44</v>
      </c>
    </row>
    <row r="45" spans="2:13" s="24" customFormat="1" ht="16.95" customHeight="1" x14ac:dyDescent="0.3">
      <c r="B45" s="36">
        <v>29</v>
      </c>
      <c r="C45" s="45" t="s">
        <v>34</v>
      </c>
      <c r="D45" s="46" t="s">
        <v>32</v>
      </c>
      <c r="E45" s="39" t="s">
        <v>35</v>
      </c>
      <c r="F45" s="45">
        <v>60</v>
      </c>
      <c r="G45" s="47">
        <v>4699</v>
      </c>
      <c r="H45" s="41">
        <f t="shared" si="2"/>
        <v>281940</v>
      </c>
      <c r="I45" s="42">
        <v>0.1</v>
      </c>
      <c r="J45" s="41">
        <f t="shared" si="3"/>
        <v>28194</v>
      </c>
      <c r="K45" s="43">
        <v>0.18</v>
      </c>
      <c r="L45" s="41">
        <f t="shared" si="0"/>
        <v>45674.28</v>
      </c>
      <c r="M45" s="44">
        <f t="shared" si="1"/>
        <v>299420.28000000003</v>
      </c>
    </row>
    <row r="46" spans="2:13" s="24" customFormat="1" ht="16.95" customHeight="1" x14ac:dyDescent="0.3">
      <c r="B46" s="36">
        <v>30</v>
      </c>
      <c r="C46" s="48" t="s">
        <v>71</v>
      </c>
      <c r="D46" s="46" t="s">
        <v>72</v>
      </c>
      <c r="E46" s="39" t="s">
        <v>30</v>
      </c>
      <c r="F46" s="45">
        <v>60</v>
      </c>
      <c r="G46" s="47">
        <v>684</v>
      </c>
      <c r="H46" s="41">
        <f t="shared" si="2"/>
        <v>41040</v>
      </c>
      <c r="I46" s="42">
        <v>0.1</v>
      </c>
      <c r="J46" s="41">
        <f t="shared" si="3"/>
        <v>4104</v>
      </c>
      <c r="K46" s="43">
        <v>0.18</v>
      </c>
      <c r="L46" s="41">
        <f t="shared" si="0"/>
        <v>6648.48</v>
      </c>
      <c r="M46" s="44">
        <f t="shared" si="1"/>
        <v>43584.479999999996</v>
      </c>
    </row>
    <row r="47" spans="2:13" s="24" customFormat="1" ht="16.95" customHeight="1" x14ac:dyDescent="0.3">
      <c r="B47" s="36">
        <v>31</v>
      </c>
      <c r="C47" s="45" t="s">
        <v>73</v>
      </c>
      <c r="D47" s="46" t="s">
        <v>48</v>
      </c>
      <c r="E47" s="39" t="s">
        <v>30</v>
      </c>
      <c r="F47" s="45">
        <v>60</v>
      </c>
      <c r="G47" s="47">
        <v>788</v>
      </c>
      <c r="H47" s="41">
        <f t="shared" ref="H47" si="4">G47*F47</f>
        <v>47280</v>
      </c>
      <c r="I47" s="42">
        <v>0.1</v>
      </c>
      <c r="J47" s="41">
        <f t="shared" ref="J47" si="5">H47*I47</f>
        <v>4728</v>
      </c>
      <c r="K47" s="43">
        <v>0.18</v>
      </c>
      <c r="L47" s="41">
        <f t="shared" ref="L47" si="6">(H47-J47)*K47</f>
        <v>7659.36</v>
      </c>
      <c r="M47" s="44">
        <f t="shared" ref="M47" si="7">H47-J47+L47</f>
        <v>50211.360000000001</v>
      </c>
    </row>
    <row r="48" spans="2:13" s="24" customFormat="1" ht="16.95" customHeight="1" x14ac:dyDescent="0.3">
      <c r="B48" s="36">
        <v>32</v>
      </c>
      <c r="C48" s="45" t="s">
        <v>75</v>
      </c>
      <c r="D48" s="46" t="s">
        <v>37</v>
      </c>
      <c r="E48" s="39" t="s">
        <v>30</v>
      </c>
      <c r="F48" s="45">
        <v>60</v>
      </c>
      <c r="G48" s="47">
        <v>556</v>
      </c>
      <c r="H48" s="41">
        <f t="shared" si="2"/>
        <v>33360</v>
      </c>
      <c r="I48" s="42">
        <v>0.1</v>
      </c>
      <c r="J48" s="41">
        <f t="shared" si="3"/>
        <v>3336</v>
      </c>
      <c r="K48" s="43">
        <v>0.18</v>
      </c>
      <c r="L48" s="41">
        <f t="shared" si="0"/>
        <v>5404.32</v>
      </c>
      <c r="M48" s="44">
        <f t="shared" si="1"/>
        <v>35428.32</v>
      </c>
    </row>
    <row r="49" spans="2:13" s="24" customFormat="1" ht="16.95" customHeight="1" x14ac:dyDescent="0.3">
      <c r="B49" s="36">
        <v>33</v>
      </c>
      <c r="C49" s="48" t="s">
        <v>76</v>
      </c>
      <c r="D49" s="46" t="s">
        <v>54</v>
      </c>
      <c r="E49" s="39" t="s">
        <v>77</v>
      </c>
      <c r="F49" s="45">
        <v>30</v>
      </c>
      <c r="G49" s="47">
        <v>1488</v>
      </c>
      <c r="H49" s="41">
        <f t="shared" si="2"/>
        <v>44640</v>
      </c>
      <c r="I49" s="42">
        <v>0.1</v>
      </c>
      <c r="J49" s="41">
        <f t="shared" si="3"/>
        <v>4464</v>
      </c>
      <c r="K49" s="43">
        <v>0.18</v>
      </c>
      <c r="L49" s="41">
        <f t="shared" si="0"/>
        <v>7231.6799999999994</v>
      </c>
      <c r="M49" s="44">
        <f t="shared" si="1"/>
        <v>47407.68</v>
      </c>
    </row>
    <row r="50" spans="2:13" s="24" customFormat="1" ht="16.95" customHeight="1" x14ac:dyDescent="0.3">
      <c r="B50" s="36">
        <v>34</v>
      </c>
      <c r="C50" s="48" t="s">
        <v>78</v>
      </c>
      <c r="D50" s="46" t="s">
        <v>57</v>
      </c>
      <c r="E50" s="39" t="s">
        <v>79</v>
      </c>
      <c r="F50" s="45">
        <v>30</v>
      </c>
      <c r="G50" s="47">
        <v>1010</v>
      </c>
      <c r="H50" s="41">
        <f t="shared" si="2"/>
        <v>30300</v>
      </c>
      <c r="I50" s="42">
        <v>0.1</v>
      </c>
      <c r="J50" s="41">
        <f t="shared" si="3"/>
        <v>3030</v>
      </c>
      <c r="K50" s="43">
        <v>0.18</v>
      </c>
      <c r="L50" s="41">
        <f t="shared" si="0"/>
        <v>4908.5999999999995</v>
      </c>
      <c r="M50" s="44">
        <f t="shared" si="1"/>
        <v>32178.6</v>
      </c>
    </row>
    <row r="51" spans="2:13" s="24" customFormat="1" ht="16.95" customHeight="1" x14ac:dyDescent="0.3">
      <c r="B51" s="36">
        <v>35</v>
      </c>
      <c r="C51" s="45" t="s">
        <v>80</v>
      </c>
      <c r="D51" s="46" t="s">
        <v>29</v>
      </c>
      <c r="E51" s="39" t="s">
        <v>74</v>
      </c>
      <c r="F51" s="45">
        <v>24</v>
      </c>
      <c r="G51" s="47" t="s">
        <v>74</v>
      </c>
      <c r="H51" s="47" t="s">
        <v>74</v>
      </c>
      <c r="I51" s="47" t="s">
        <v>74</v>
      </c>
      <c r="J51" s="47" t="s">
        <v>74</v>
      </c>
      <c r="K51" s="47" t="s">
        <v>74</v>
      </c>
      <c r="L51" s="47" t="s">
        <v>74</v>
      </c>
      <c r="M51" s="50" t="s">
        <v>74</v>
      </c>
    </row>
    <row r="52" spans="2:13" s="24" customFormat="1" ht="16.95" customHeight="1" x14ac:dyDescent="0.3">
      <c r="B52" s="36">
        <v>36</v>
      </c>
      <c r="C52" s="45" t="s">
        <v>81</v>
      </c>
      <c r="D52" s="46" t="s">
        <v>32</v>
      </c>
      <c r="E52" s="39" t="s">
        <v>33</v>
      </c>
      <c r="F52" s="45">
        <v>12</v>
      </c>
      <c r="G52" s="47">
        <v>1678</v>
      </c>
      <c r="H52" s="41">
        <f t="shared" si="2"/>
        <v>20136</v>
      </c>
      <c r="I52" s="42">
        <v>0.1</v>
      </c>
      <c r="J52" s="41">
        <f t="shared" si="3"/>
        <v>2013.6000000000001</v>
      </c>
      <c r="K52" s="43">
        <v>0.18</v>
      </c>
      <c r="L52" s="41">
        <f t="shared" si="0"/>
        <v>3262.0320000000002</v>
      </c>
      <c r="M52" s="44">
        <f t="shared" si="1"/>
        <v>21384.432000000001</v>
      </c>
    </row>
    <row r="53" spans="2:13" s="24" customFormat="1" ht="16.95" customHeight="1" x14ac:dyDescent="0.3">
      <c r="B53" s="36">
        <v>37</v>
      </c>
      <c r="C53" s="45" t="s">
        <v>82</v>
      </c>
      <c r="D53" s="46" t="s">
        <v>32</v>
      </c>
      <c r="E53" s="39" t="s">
        <v>39</v>
      </c>
      <c r="F53" s="45">
        <v>12</v>
      </c>
      <c r="G53" s="47">
        <v>1273</v>
      </c>
      <c r="H53" s="41">
        <f t="shared" si="2"/>
        <v>15276</v>
      </c>
      <c r="I53" s="42">
        <v>0.1</v>
      </c>
      <c r="J53" s="41">
        <f t="shared" si="3"/>
        <v>1527.6000000000001</v>
      </c>
      <c r="K53" s="43">
        <v>0.18</v>
      </c>
      <c r="L53" s="41">
        <f t="shared" si="0"/>
        <v>2474.712</v>
      </c>
      <c r="M53" s="44">
        <f t="shared" si="1"/>
        <v>16223.111999999999</v>
      </c>
    </row>
    <row r="54" spans="2:13" s="24" customFormat="1" ht="16.95" customHeight="1" x14ac:dyDescent="0.3">
      <c r="B54" s="36">
        <v>38</v>
      </c>
      <c r="C54" s="45" t="s">
        <v>83</v>
      </c>
      <c r="D54" s="46" t="s">
        <v>37</v>
      </c>
      <c r="E54" s="39" t="s">
        <v>33</v>
      </c>
      <c r="F54" s="45">
        <v>12</v>
      </c>
      <c r="G54" s="47">
        <v>3505</v>
      </c>
      <c r="H54" s="41">
        <f t="shared" si="2"/>
        <v>42060</v>
      </c>
      <c r="I54" s="42">
        <v>0.1</v>
      </c>
      <c r="J54" s="41">
        <f t="shared" si="3"/>
        <v>4206</v>
      </c>
      <c r="K54" s="43">
        <v>0.18</v>
      </c>
      <c r="L54" s="41">
        <f t="shared" si="0"/>
        <v>6813.7199999999993</v>
      </c>
      <c r="M54" s="44">
        <f t="shared" si="1"/>
        <v>44667.72</v>
      </c>
    </row>
    <row r="55" spans="2:13" s="24" customFormat="1" ht="16.95" customHeight="1" x14ac:dyDescent="0.3">
      <c r="B55" s="36">
        <v>39</v>
      </c>
      <c r="C55" s="45" t="s">
        <v>84</v>
      </c>
      <c r="D55" s="46" t="s">
        <v>41</v>
      </c>
      <c r="E55" s="39" t="s">
        <v>33</v>
      </c>
      <c r="F55" s="45">
        <v>12</v>
      </c>
      <c r="G55" s="47">
        <v>1052</v>
      </c>
      <c r="H55" s="41">
        <f t="shared" si="2"/>
        <v>12624</v>
      </c>
      <c r="I55" s="42">
        <v>0.1</v>
      </c>
      <c r="J55" s="41">
        <f t="shared" si="3"/>
        <v>1262.4000000000001</v>
      </c>
      <c r="K55" s="43">
        <v>0.18</v>
      </c>
      <c r="L55" s="41">
        <f t="shared" si="0"/>
        <v>2045.088</v>
      </c>
      <c r="M55" s="44">
        <f t="shared" si="1"/>
        <v>13406.688</v>
      </c>
    </row>
    <row r="56" spans="2:13" s="24" customFormat="1" ht="16.95" customHeight="1" x14ac:dyDescent="0.3">
      <c r="B56" s="36">
        <v>40</v>
      </c>
      <c r="C56" s="45" t="s">
        <v>85</v>
      </c>
      <c r="D56" s="46" t="s">
        <v>29</v>
      </c>
      <c r="E56" s="39" t="s">
        <v>74</v>
      </c>
      <c r="F56" s="45">
        <v>120</v>
      </c>
      <c r="G56" s="47" t="s">
        <v>74</v>
      </c>
      <c r="H56" s="47" t="s">
        <v>74</v>
      </c>
      <c r="I56" s="47" t="s">
        <v>74</v>
      </c>
      <c r="J56" s="47" t="s">
        <v>74</v>
      </c>
      <c r="K56" s="47" t="s">
        <v>74</v>
      </c>
      <c r="L56" s="47" t="s">
        <v>74</v>
      </c>
      <c r="M56" s="50" t="s">
        <v>74</v>
      </c>
    </row>
    <row r="57" spans="2:13" s="24" customFormat="1" ht="16.95" customHeight="1" x14ac:dyDescent="0.3">
      <c r="B57" s="36">
        <v>41</v>
      </c>
      <c r="C57" s="45" t="s">
        <v>81</v>
      </c>
      <c r="D57" s="46" t="s">
        <v>32</v>
      </c>
      <c r="E57" s="39" t="s">
        <v>33</v>
      </c>
      <c r="F57" s="45">
        <v>60</v>
      </c>
      <c r="G57" s="47">
        <v>1678</v>
      </c>
      <c r="H57" s="41">
        <f t="shared" si="2"/>
        <v>100680</v>
      </c>
      <c r="I57" s="42">
        <v>0.1</v>
      </c>
      <c r="J57" s="41">
        <f t="shared" si="3"/>
        <v>10068</v>
      </c>
      <c r="K57" s="43">
        <v>0.18</v>
      </c>
      <c r="L57" s="41">
        <f t="shared" si="0"/>
        <v>16310.16</v>
      </c>
      <c r="M57" s="44">
        <f t="shared" si="1"/>
        <v>106922.16</v>
      </c>
    </row>
    <row r="58" spans="2:13" s="24" customFormat="1" ht="16.95" customHeight="1" x14ac:dyDescent="0.3">
      <c r="B58" s="36">
        <v>42</v>
      </c>
      <c r="C58" s="45" t="s">
        <v>83</v>
      </c>
      <c r="D58" s="46" t="s">
        <v>37</v>
      </c>
      <c r="E58" s="39" t="s">
        <v>33</v>
      </c>
      <c r="F58" s="45">
        <v>60</v>
      </c>
      <c r="G58" s="47">
        <v>3505</v>
      </c>
      <c r="H58" s="41">
        <f t="shared" si="2"/>
        <v>210300</v>
      </c>
      <c r="I58" s="42">
        <v>0.1</v>
      </c>
      <c r="J58" s="41">
        <f t="shared" si="3"/>
        <v>21030</v>
      </c>
      <c r="K58" s="43">
        <v>0.18</v>
      </c>
      <c r="L58" s="41">
        <f t="shared" si="0"/>
        <v>34068.6</v>
      </c>
      <c r="M58" s="44">
        <f t="shared" si="1"/>
        <v>223338.6</v>
      </c>
    </row>
    <row r="59" spans="2:13" s="24" customFormat="1" ht="16.95" customHeight="1" thickBot="1" x14ac:dyDescent="0.35">
      <c r="B59" s="36">
        <v>43</v>
      </c>
      <c r="C59" s="45" t="s">
        <v>84</v>
      </c>
      <c r="D59" s="46" t="s">
        <v>41</v>
      </c>
      <c r="E59" s="39" t="s">
        <v>33</v>
      </c>
      <c r="F59" s="45">
        <v>60</v>
      </c>
      <c r="G59" s="47">
        <v>1052</v>
      </c>
      <c r="H59" s="41">
        <f t="shared" si="2"/>
        <v>63120</v>
      </c>
      <c r="I59" s="42">
        <v>0.1</v>
      </c>
      <c r="J59" s="41">
        <f t="shared" si="3"/>
        <v>6312</v>
      </c>
      <c r="K59" s="43">
        <v>0.18</v>
      </c>
      <c r="L59" s="41">
        <f t="shared" si="0"/>
        <v>10225.44</v>
      </c>
      <c r="M59" s="44">
        <f t="shared" si="1"/>
        <v>67033.440000000002</v>
      </c>
    </row>
    <row r="60" spans="2:13" s="24" customFormat="1" ht="28.5" customHeight="1" thickBot="1" x14ac:dyDescent="0.35">
      <c r="B60" s="51"/>
      <c r="C60" s="52"/>
      <c r="D60" s="53" t="s">
        <v>27</v>
      </c>
      <c r="E60" s="54"/>
      <c r="F60" s="55">
        <f>SUM(F17:F59)</f>
        <v>1632</v>
      </c>
      <c r="G60" s="55"/>
      <c r="H60" s="55">
        <f>SUM(H17:H59)</f>
        <v>3798390</v>
      </c>
      <c r="I60" s="55"/>
      <c r="J60" s="55">
        <f>SUM(J17:J59)</f>
        <v>379839</v>
      </c>
      <c r="K60" s="55"/>
      <c r="L60" s="55">
        <f>SUM(L17:L59)</f>
        <v>615339.17999999982</v>
      </c>
      <c r="M60" s="56">
        <f>SUM(M17:M59)</f>
        <v>4033890.18</v>
      </c>
    </row>
    <row r="61" spans="2:13" ht="15.6" customHeight="1" x14ac:dyDescent="0.25">
      <c r="B61" s="203"/>
      <c r="C61" s="204"/>
      <c r="D61" s="204"/>
      <c r="E61" s="204"/>
      <c r="F61" s="204"/>
      <c r="G61" s="204"/>
      <c r="H61" s="204"/>
      <c r="I61" s="204"/>
      <c r="J61" s="204"/>
      <c r="K61" s="204"/>
      <c r="L61" s="57" t="s">
        <v>86</v>
      </c>
      <c r="M61" s="58">
        <f>H60</f>
        <v>3798390</v>
      </c>
    </row>
    <row r="62" spans="2:13" ht="25.2" customHeight="1" x14ac:dyDescent="0.25">
      <c r="B62" s="203"/>
      <c r="C62" s="204"/>
      <c r="D62" s="204"/>
      <c r="E62" s="204"/>
      <c r="F62" s="204"/>
      <c r="G62" s="204"/>
      <c r="H62" s="204"/>
      <c r="I62" s="204"/>
      <c r="J62" s="204"/>
      <c r="K62" s="204"/>
      <c r="L62" s="59" t="s">
        <v>87</v>
      </c>
      <c r="M62" s="58">
        <f>M61*2%</f>
        <v>75967.8</v>
      </c>
    </row>
    <row r="63" spans="2:13" ht="15.6" customHeight="1" x14ac:dyDescent="0.25">
      <c r="B63" s="205"/>
      <c r="C63" s="206"/>
      <c r="D63" s="206"/>
      <c r="E63" s="206"/>
      <c r="F63" s="206"/>
      <c r="G63" s="206"/>
      <c r="H63" s="206"/>
      <c r="I63" s="206"/>
      <c r="J63" s="206"/>
      <c r="K63" s="206"/>
      <c r="L63" s="60" t="s">
        <v>88</v>
      </c>
      <c r="M63" s="61">
        <f>-J60</f>
        <v>-379839</v>
      </c>
    </row>
    <row r="64" spans="2:13" ht="15.6" customHeight="1" x14ac:dyDescent="0.25">
      <c r="B64" s="205"/>
      <c r="C64" s="206"/>
      <c r="D64" s="206"/>
      <c r="E64" s="206"/>
      <c r="F64" s="206"/>
      <c r="G64" s="206"/>
      <c r="H64" s="206"/>
      <c r="I64" s="206"/>
      <c r="J64" s="206"/>
      <c r="K64" s="206"/>
      <c r="L64" s="60" t="s">
        <v>89</v>
      </c>
      <c r="M64" s="61">
        <f>L60</f>
        <v>615339.17999999982</v>
      </c>
    </row>
    <row r="65" spans="2:13" ht="15.6" customHeight="1" x14ac:dyDescent="0.25">
      <c r="B65" s="205"/>
      <c r="C65" s="206"/>
      <c r="D65" s="206"/>
      <c r="E65" s="206"/>
      <c r="F65" s="206"/>
      <c r="G65" s="206"/>
      <c r="H65" s="206"/>
      <c r="I65" s="206"/>
      <c r="J65" s="206"/>
      <c r="K65" s="206"/>
      <c r="L65" s="62" t="s">
        <v>90</v>
      </c>
      <c r="M65" s="61">
        <v>0.02</v>
      </c>
    </row>
    <row r="66" spans="2:13" ht="19.2" customHeight="1" thickBot="1" x14ac:dyDescent="0.3">
      <c r="B66" s="207"/>
      <c r="C66" s="208"/>
      <c r="D66" s="208"/>
      <c r="E66" s="208"/>
      <c r="F66" s="208"/>
      <c r="G66" s="208"/>
      <c r="H66" s="208"/>
      <c r="I66" s="208"/>
      <c r="J66" s="208"/>
      <c r="K66" s="208"/>
      <c r="L66" s="63" t="s">
        <v>91</v>
      </c>
      <c r="M66" s="64">
        <f>SUM(M61:M65)</f>
        <v>4109857.9999999995</v>
      </c>
    </row>
    <row r="67" spans="2:13" ht="22.2" customHeight="1" thickBot="1" x14ac:dyDescent="0.3">
      <c r="B67" s="209" t="s">
        <v>109</v>
      </c>
      <c r="C67" s="210"/>
      <c r="D67" s="210"/>
      <c r="E67" s="210"/>
      <c r="F67" s="210"/>
      <c r="G67" s="210"/>
      <c r="H67" s="210"/>
      <c r="I67" s="210"/>
      <c r="J67" s="210"/>
      <c r="K67" s="210"/>
      <c r="L67" s="210"/>
      <c r="M67" s="211"/>
    </row>
  </sheetData>
  <mergeCells count="8">
    <mergeCell ref="B15:M15"/>
    <mergeCell ref="B61:K66"/>
    <mergeCell ref="B67:M67"/>
    <mergeCell ref="B2:D2"/>
    <mergeCell ref="B3:D3"/>
    <mergeCell ref="B4:D4"/>
    <mergeCell ref="B5:D5"/>
    <mergeCell ref="B6:D6"/>
  </mergeCells>
  <hyperlinks>
    <hyperlink ref="B7" r:id="rId1" display="sanjay.palkar@indimo.co.in." xr:uid="{29A5D065-27C9-4450-8D9C-CAF0132CCC0D}"/>
  </hyperlinks>
  <pageMargins left="0.19685039370078741" right="0.19685039370078741" top="0.19685039370078741" bottom="0.19685039370078741" header="0.31496062992125984" footer="0.31496062992125984"/>
  <pageSetup paperSize="9" scale="61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1766-99EB-41ED-A177-ECD649D9F373}">
  <sheetPr codeName="Sheet65">
    <tabColor rgb="FFFFFF00"/>
    <pageSetUpPr fitToPage="1"/>
  </sheetPr>
  <dimension ref="B1:M70"/>
  <sheetViews>
    <sheetView topLeftCell="A7" zoomScale="98" zoomScaleNormal="98" workbookViewId="0">
      <selection activeCell="D22" sqref="D22"/>
    </sheetView>
  </sheetViews>
  <sheetFormatPr defaultRowHeight="13.2" x14ac:dyDescent="0.25"/>
  <cols>
    <col min="1" max="1" width="12" style="1" customWidth="1"/>
    <col min="2" max="2" width="8.33203125" style="1" customWidth="1"/>
    <col min="3" max="3" width="11.6640625" style="1" customWidth="1"/>
    <col min="4" max="4" width="23.88671875" style="1" customWidth="1"/>
    <col min="5" max="5" width="13.109375" style="65" customWidth="1"/>
    <col min="6" max="6" width="10.33203125" style="1" customWidth="1"/>
    <col min="7" max="7" width="10.88671875" style="1" customWidth="1"/>
    <col min="8" max="8" width="12.6640625" style="1" customWidth="1"/>
    <col min="9" max="9" width="6.6640625" style="1" customWidth="1"/>
    <col min="10" max="10" width="13.44140625" style="1" customWidth="1"/>
    <col min="11" max="11" width="8" style="1" customWidth="1"/>
    <col min="12" max="12" width="17.33203125" style="1" customWidth="1"/>
    <col min="13" max="13" width="14.33203125" style="1" customWidth="1"/>
    <col min="14" max="213" width="8.88671875" style="1"/>
    <col min="214" max="214" width="12" style="1" customWidth="1"/>
    <col min="215" max="215" width="8.33203125" style="1" customWidth="1"/>
    <col min="216" max="216" width="11.6640625" style="1" customWidth="1"/>
    <col min="217" max="217" width="29.88671875" style="1" customWidth="1"/>
    <col min="218" max="218" width="13.109375" style="1" customWidth="1"/>
    <col min="219" max="219" width="8.5546875" style="1" bestFit="1" customWidth="1"/>
    <col min="220" max="220" width="8.6640625" style="1" bestFit="1" customWidth="1"/>
    <col min="221" max="221" width="12.6640625" style="1" customWidth="1"/>
    <col min="222" max="222" width="6.6640625" style="1" bestFit="1" customWidth="1"/>
    <col min="223" max="223" width="13.44140625" style="1" bestFit="1" customWidth="1"/>
    <col min="224" max="224" width="8" style="1" customWidth="1"/>
    <col min="225" max="225" width="12.109375" style="1" customWidth="1"/>
    <col min="226" max="226" width="19.6640625" style="1" customWidth="1"/>
    <col min="227" max="469" width="8.88671875" style="1"/>
    <col min="470" max="470" width="12" style="1" customWidth="1"/>
    <col min="471" max="471" width="8.33203125" style="1" customWidth="1"/>
    <col min="472" max="472" width="11.6640625" style="1" customWidth="1"/>
    <col min="473" max="473" width="29.88671875" style="1" customWidth="1"/>
    <col min="474" max="474" width="13.109375" style="1" customWidth="1"/>
    <col min="475" max="475" width="8.5546875" style="1" bestFit="1" customWidth="1"/>
    <col min="476" max="476" width="8.6640625" style="1" bestFit="1" customWidth="1"/>
    <col min="477" max="477" width="12.6640625" style="1" customWidth="1"/>
    <col min="478" max="478" width="6.6640625" style="1" bestFit="1" customWidth="1"/>
    <col min="479" max="479" width="13.44140625" style="1" bestFit="1" customWidth="1"/>
    <col min="480" max="480" width="8" style="1" customWidth="1"/>
    <col min="481" max="481" width="12.109375" style="1" customWidth="1"/>
    <col min="482" max="482" width="19.6640625" style="1" customWidth="1"/>
    <col min="483" max="725" width="8.88671875" style="1"/>
    <col min="726" max="726" width="12" style="1" customWidth="1"/>
    <col min="727" max="727" width="8.33203125" style="1" customWidth="1"/>
    <col min="728" max="728" width="11.6640625" style="1" customWidth="1"/>
    <col min="729" max="729" width="29.88671875" style="1" customWidth="1"/>
    <col min="730" max="730" width="13.109375" style="1" customWidth="1"/>
    <col min="731" max="731" width="8.5546875" style="1" bestFit="1" customWidth="1"/>
    <col min="732" max="732" width="8.6640625" style="1" bestFit="1" customWidth="1"/>
    <col min="733" max="733" width="12.6640625" style="1" customWidth="1"/>
    <col min="734" max="734" width="6.6640625" style="1" bestFit="1" customWidth="1"/>
    <col min="735" max="735" width="13.44140625" style="1" bestFit="1" customWidth="1"/>
    <col min="736" max="736" width="8" style="1" customWidth="1"/>
    <col min="737" max="737" width="12.109375" style="1" customWidth="1"/>
    <col min="738" max="738" width="19.6640625" style="1" customWidth="1"/>
    <col min="739" max="981" width="8.88671875" style="1"/>
    <col min="982" max="982" width="12" style="1" customWidth="1"/>
    <col min="983" max="983" width="8.33203125" style="1" customWidth="1"/>
    <col min="984" max="984" width="11.6640625" style="1" customWidth="1"/>
    <col min="985" max="985" width="29.88671875" style="1" customWidth="1"/>
    <col min="986" max="986" width="13.109375" style="1" customWidth="1"/>
    <col min="987" max="987" width="8.5546875" style="1" bestFit="1" customWidth="1"/>
    <col min="988" max="988" width="8.6640625" style="1" bestFit="1" customWidth="1"/>
    <col min="989" max="989" width="12.6640625" style="1" customWidth="1"/>
    <col min="990" max="990" width="6.6640625" style="1" bestFit="1" customWidth="1"/>
    <col min="991" max="991" width="13.44140625" style="1" bestFit="1" customWidth="1"/>
    <col min="992" max="992" width="8" style="1" customWidth="1"/>
    <col min="993" max="993" width="12.109375" style="1" customWidth="1"/>
    <col min="994" max="994" width="19.6640625" style="1" customWidth="1"/>
    <col min="995" max="1237" width="8.88671875" style="1"/>
    <col min="1238" max="1238" width="12" style="1" customWidth="1"/>
    <col min="1239" max="1239" width="8.33203125" style="1" customWidth="1"/>
    <col min="1240" max="1240" width="11.6640625" style="1" customWidth="1"/>
    <col min="1241" max="1241" width="29.88671875" style="1" customWidth="1"/>
    <col min="1242" max="1242" width="13.109375" style="1" customWidth="1"/>
    <col min="1243" max="1243" width="8.5546875" style="1" bestFit="1" customWidth="1"/>
    <col min="1244" max="1244" width="8.6640625" style="1" bestFit="1" customWidth="1"/>
    <col min="1245" max="1245" width="12.6640625" style="1" customWidth="1"/>
    <col min="1246" max="1246" width="6.6640625" style="1" bestFit="1" customWidth="1"/>
    <col min="1247" max="1247" width="13.44140625" style="1" bestFit="1" customWidth="1"/>
    <col min="1248" max="1248" width="8" style="1" customWidth="1"/>
    <col min="1249" max="1249" width="12.109375" style="1" customWidth="1"/>
    <col min="1250" max="1250" width="19.6640625" style="1" customWidth="1"/>
    <col min="1251" max="1493" width="8.88671875" style="1"/>
    <col min="1494" max="1494" width="12" style="1" customWidth="1"/>
    <col min="1495" max="1495" width="8.33203125" style="1" customWidth="1"/>
    <col min="1496" max="1496" width="11.6640625" style="1" customWidth="1"/>
    <col min="1497" max="1497" width="29.88671875" style="1" customWidth="1"/>
    <col min="1498" max="1498" width="13.109375" style="1" customWidth="1"/>
    <col min="1499" max="1499" width="8.5546875" style="1" bestFit="1" customWidth="1"/>
    <col min="1500" max="1500" width="8.6640625" style="1" bestFit="1" customWidth="1"/>
    <col min="1501" max="1501" width="12.6640625" style="1" customWidth="1"/>
    <col min="1502" max="1502" width="6.6640625" style="1" bestFit="1" customWidth="1"/>
    <col min="1503" max="1503" width="13.44140625" style="1" bestFit="1" customWidth="1"/>
    <col min="1504" max="1504" width="8" style="1" customWidth="1"/>
    <col min="1505" max="1505" width="12.109375" style="1" customWidth="1"/>
    <col min="1506" max="1506" width="19.6640625" style="1" customWidth="1"/>
    <col min="1507" max="1749" width="8.88671875" style="1"/>
    <col min="1750" max="1750" width="12" style="1" customWidth="1"/>
    <col min="1751" max="1751" width="8.33203125" style="1" customWidth="1"/>
    <col min="1752" max="1752" width="11.6640625" style="1" customWidth="1"/>
    <col min="1753" max="1753" width="29.88671875" style="1" customWidth="1"/>
    <col min="1754" max="1754" width="13.109375" style="1" customWidth="1"/>
    <col min="1755" max="1755" width="8.5546875" style="1" bestFit="1" customWidth="1"/>
    <col min="1756" max="1756" width="8.6640625" style="1" bestFit="1" customWidth="1"/>
    <col min="1757" max="1757" width="12.6640625" style="1" customWidth="1"/>
    <col min="1758" max="1758" width="6.6640625" style="1" bestFit="1" customWidth="1"/>
    <col min="1759" max="1759" width="13.44140625" style="1" bestFit="1" customWidth="1"/>
    <col min="1760" max="1760" width="8" style="1" customWidth="1"/>
    <col min="1761" max="1761" width="12.109375" style="1" customWidth="1"/>
    <col min="1762" max="1762" width="19.6640625" style="1" customWidth="1"/>
    <col min="1763" max="2005" width="8.88671875" style="1"/>
    <col min="2006" max="2006" width="12" style="1" customWidth="1"/>
    <col min="2007" max="2007" width="8.33203125" style="1" customWidth="1"/>
    <col min="2008" max="2008" width="11.6640625" style="1" customWidth="1"/>
    <col min="2009" max="2009" width="29.88671875" style="1" customWidth="1"/>
    <col min="2010" max="2010" width="13.109375" style="1" customWidth="1"/>
    <col min="2011" max="2011" width="8.5546875" style="1" bestFit="1" customWidth="1"/>
    <col min="2012" max="2012" width="8.6640625" style="1" bestFit="1" customWidth="1"/>
    <col min="2013" max="2013" width="12.6640625" style="1" customWidth="1"/>
    <col min="2014" max="2014" width="6.6640625" style="1" bestFit="1" customWidth="1"/>
    <col min="2015" max="2015" width="13.44140625" style="1" bestFit="1" customWidth="1"/>
    <col min="2016" max="2016" width="8" style="1" customWidth="1"/>
    <col min="2017" max="2017" width="12.109375" style="1" customWidth="1"/>
    <col min="2018" max="2018" width="19.6640625" style="1" customWidth="1"/>
    <col min="2019" max="2261" width="8.88671875" style="1"/>
    <col min="2262" max="2262" width="12" style="1" customWidth="1"/>
    <col min="2263" max="2263" width="8.33203125" style="1" customWidth="1"/>
    <col min="2264" max="2264" width="11.6640625" style="1" customWidth="1"/>
    <col min="2265" max="2265" width="29.88671875" style="1" customWidth="1"/>
    <col min="2266" max="2266" width="13.109375" style="1" customWidth="1"/>
    <col min="2267" max="2267" width="8.5546875" style="1" bestFit="1" customWidth="1"/>
    <col min="2268" max="2268" width="8.6640625" style="1" bestFit="1" customWidth="1"/>
    <col min="2269" max="2269" width="12.6640625" style="1" customWidth="1"/>
    <col min="2270" max="2270" width="6.6640625" style="1" bestFit="1" customWidth="1"/>
    <col min="2271" max="2271" width="13.44140625" style="1" bestFit="1" customWidth="1"/>
    <col min="2272" max="2272" width="8" style="1" customWidth="1"/>
    <col min="2273" max="2273" width="12.109375" style="1" customWidth="1"/>
    <col min="2274" max="2274" width="19.6640625" style="1" customWidth="1"/>
    <col min="2275" max="2517" width="8.88671875" style="1"/>
    <col min="2518" max="2518" width="12" style="1" customWidth="1"/>
    <col min="2519" max="2519" width="8.33203125" style="1" customWidth="1"/>
    <col min="2520" max="2520" width="11.6640625" style="1" customWidth="1"/>
    <col min="2521" max="2521" width="29.88671875" style="1" customWidth="1"/>
    <col min="2522" max="2522" width="13.109375" style="1" customWidth="1"/>
    <col min="2523" max="2523" width="8.5546875" style="1" bestFit="1" customWidth="1"/>
    <col min="2524" max="2524" width="8.6640625" style="1" bestFit="1" customWidth="1"/>
    <col min="2525" max="2525" width="12.6640625" style="1" customWidth="1"/>
    <col min="2526" max="2526" width="6.6640625" style="1" bestFit="1" customWidth="1"/>
    <col min="2527" max="2527" width="13.44140625" style="1" bestFit="1" customWidth="1"/>
    <col min="2528" max="2528" width="8" style="1" customWidth="1"/>
    <col min="2529" max="2529" width="12.109375" style="1" customWidth="1"/>
    <col min="2530" max="2530" width="19.6640625" style="1" customWidth="1"/>
    <col min="2531" max="2773" width="8.88671875" style="1"/>
    <col min="2774" max="2774" width="12" style="1" customWidth="1"/>
    <col min="2775" max="2775" width="8.33203125" style="1" customWidth="1"/>
    <col min="2776" max="2776" width="11.6640625" style="1" customWidth="1"/>
    <col min="2777" max="2777" width="29.88671875" style="1" customWidth="1"/>
    <col min="2778" max="2778" width="13.109375" style="1" customWidth="1"/>
    <col min="2779" max="2779" width="8.5546875" style="1" bestFit="1" customWidth="1"/>
    <col min="2780" max="2780" width="8.6640625" style="1" bestFit="1" customWidth="1"/>
    <col min="2781" max="2781" width="12.6640625" style="1" customWidth="1"/>
    <col min="2782" max="2782" width="6.6640625" style="1" bestFit="1" customWidth="1"/>
    <col min="2783" max="2783" width="13.44140625" style="1" bestFit="1" customWidth="1"/>
    <col min="2784" max="2784" width="8" style="1" customWidth="1"/>
    <col min="2785" max="2785" width="12.109375" style="1" customWidth="1"/>
    <col min="2786" max="2786" width="19.6640625" style="1" customWidth="1"/>
    <col min="2787" max="3029" width="8.88671875" style="1"/>
    <col min="3030" max="3030" width="12" style="1" customWidth="1"/>
    <col min="3031" max="3031" width="8.33203125" style="1" customWidth="1"/>
    <col min="3032" max="3032" width="11.6640625" style="1" customWidth="1"/>
    <col min="3033" max="3033" width="29.88671875" style="1" customWidth="1"/>
    <col min="3034" max="3034" width="13.109375" style="1" customWidth="1"/>
    <col min="3035" max="3035" width="8.5546875" style="1" bestFit="1" customWidth="1"/>
    <col min="3036" max="3036" width="8.6640625" style="1" bestFit="1" customWidth="1"/>
    <col min="3037" max="3037" width="12.6640625" style="1" customWidth="1"/>
    <col min="3038" max="3038" width="6.6640625" style="1" bestFit="1" customWidth="1"/>
    <col min="3039" max="3039" width="13.44140625" style="1" bestFit="1" customWidth="1"/>
    <col min="3040" max="3040" width="8" style="1" customWidth="1"/>
    <col min="3041" max="3041" width="12.109375" style="1" customWidth="1"/>
    <col min="3042" max="3042" width="19.6640625" style="1" customWidth="1"/>
    <col min="3043" max="3285" width="8.88671875" style="1"/>
    <col min="3286" max="3286" width="12" style="1" customWidth="1"/>
    <col min="3287" max="3287" width="8.33203125" style="1" customWidth="1"/>
    <col min="3288" max="3288" width="11.6640625" style="1" customWidth="1"/>
    <col min="3289" max="3289" width="29.88671875" style="1" customWidth="1"/>
    <col min="3290" max="3290" width="13.109375" style="1" customWidth="1"/>
    <col min="3291" max="3291" width="8.5546875" style="1" bestFit="1" customWidth="1"/>
    <col min="3292" max="3292" width="8.6640625" style="1" bestFit="1" customWidth="1"/>
    <col min="3293" max="3293" width="12.6640625" style="1" customWidth="1"/>
    <col min="3294" max="3294" width="6.6640625" style="1" bestFit="1" customWidth="1"/>
    <col min="3295" max="3295" width="13.44140625" style="1" bestFit="1" customWidth="1"/>
    <col min="3296" max="3296" width="8" style="1" customWidth="1"/>
    <col min="3297" max="3297" width="12.109375" style="1" customWidth="1"/>
    <col min="3298" max="3298" width="19.6640625" style="1" customWidth="1"/>
    <col min="3299" max="3541" width="8.88671875" style="1"/>
    <col min="3542" max="3542" width="12" style="1" customWidth="1"/>
    <col min="3543" max="3543" width="8.33203125" style="1" customWidth="1"/>
    <col min="3544" max="3544" width="11.6640625" style="1" customWidth="1"/>
    <col min="3545" max="3545" width="29.88671875" style="1" customWidth="1"/>
    <col min="3546" max="3546" width="13.109375" style="1" customWidth="1"/>
    <col min="3547" max="3547" width="8.5546875" style="1" bestFit="1" customWidth="1"/>
    <col min="3548" max="3548" width="8.6640625" style="1" bestFit="1" customWidth="1"/>
    <col min="3549" max="3549" width="12.6640625" style="1" customWidth="1"/>
    <col min="3550" max="3550" width="6.6640625" style="1" bestFit="1" customWidth="1"/>
    <col min="3551" max="3551" width="13.44140625" style="1" bestFit="1" customWidth="1"/>
    <col min="3552" max="3552" width="8" style="1" customWidth="1"/>
    <col min="3553" max="3553" width="12.109375" style="1" customWidth="1"/>
    <col min="3554" max="3554" width="19.6640625" style="1" customWidth="1"/>
    <col min="3555" max="3797" width="8.88671875" style="1"/>
    <col min="3798" max="3798" width="12" style="1" customWidth="1"/>
    <col min="3799" max="3799" width="8.33203125" style="1" customWidth="1"/>
    <col min="3800" max="3800" width="11.6640625" style="1" customWidth="1"/>
    <col min="3801" max="3801" width="29.88671875" style="1" customWidth="1"/>
    <col min="3802" max="3802" width="13.109375" style="1" customWidth="1"/>
    <col min="3803" max="3803" width="8.5546875" style="1" bestFit="1" customWidth="1"/>
    <col min="3804" max="3804" width="8.6640625" style="1" bestFit="1" customWidth="1"/>
    <col min="3805" max="3805" width="12.6640625" style="1" customWidth="1"/>
    <col min="3806" max="3806" width="6.6640625" style="1" bestFit="1" customWidth="1"/>
    <col min="3807" max="3807" width="13.44140625" style="1" bestFit="1" customWidth="1"/>
    <col min="3808" max="3808" width="8" style="1" customWidth="1"/>
    <col min="3809" max="3809" width="12.109375" style="1" customWidth="1"/>
    <col min="3810" max="3810" width="19.6640625" style="1" customWidth="1"/>
    <col min="3811" max="4053" width="8.88671875" style="1"/>
    <col min="4054" max="4054" width="12" style="1" customWidth="1"/>
    <col min="4055" max="4055" width="8.33203125" style="1" customWidth="1"/>
    <col min="4056" max="4056" width="11.6640625" style="1" customWidth="1"/>
    <col min="4057" max="4057" width="29.88671875" style="1" customWidth="1"/>
    <col min="4058" max="4058" width="13.109375" style="1" customWidth="1"/>
    <col min="4059" max="4059" width="8.5546875" style="1" bestFit="1" customWidth="1"/>
    <col min="4060" max="4060" width="8.6640625" style="1" bestFit="1" customWidth="1"/>
    <col min="4061" max="4061" width="12.6640625" style="1" customWidth="1"/>
    <col min="4062" max="4062" width="6.6640625" style="1" bestFit="1" customWidth="1"/>
    <col min="4063" max="4063" width="13.44140625" style="1" bestFit="1" customWidth="1"/>
    <col min="4064" max="4064" width="8" style="1" customWidth="1"/>
    <col min="4065" max="4065" width="12.109375" style="1" customWidth="1"/>
    <col min="4066" max="4066" width="19.6640625" style="1" customWidth="1"/>
    <col min="4067" max="4309" width="8.88671875" style="1"/>
    <col min="4310" max="4310" width="12" style="1" customWidth="1"/>
    <col min="4311" max="4311" width="8.33203125" style="1" customWidth="1"/>
    <col min="4312" max="4312" width="11.6640625" style="1" customWidth="1"/>
    <col min="4313" max="4313" width="29.88671875" style="1" customWidth="1"/>
    <col min="4314" max="4314" width="13.109375" style="1" customWidth="1"/>
    <col min="4315" max="4315" width="8.5546875" style="1" bestFit="1" customWidth="1"/>
    <col min="4316" max="4316" width="8.6640625" style="1" bestFit="1" customWidth="1"/>
    <col min="4317" max="4317" width="12.6640625" style="1" customWidth="1"/>
    <col min="4318" max="4318" width="6.6640625" style="1" bestFit="1" customWidth="1"/>
    <col min="4319" max="4319" width="13.44140625" style="1" bestFit="1" customWidth="1"/>
    <col min="4320" max="4320" width="8" style="1" customWidth="1"/>
    <col min="4321" max="4321" width="12.109375" style="1" customWidth="1"/>
    <col min="4322" max="4322" width="19.6640625" style="1" customWidth="1"/>
    <col min="4323" max="4565" width="8.88671875" style="1"/>
    <col min="4566" max="4566" width="12" style="1" customWidth="1"/>
    <col min="4567" max="4567" width="8.33203125" style="1" customWidth="1"/>
    <col min="4568" max="4568" width="11.6640625" style="1" customWidth="1"/>
    <col min="4569" max="4569" width="29.88671875" style="1" customWidth="1"/>
    <col min="4570" max="4570" width="13.109375" style="1" customWidth="1"/>
    <col min="4571" max="4571" width="8.5546875" style="1" bestFit="1" customWidth="1"/>
    <col min="4572" max="4572" width="8.6640625" style="1" bestFit="1" customWidth="1"/>
    <col min="4573" max="4573" width="12.6640625" style="1" customWidth="1"/>
    <col min="4574" max="4574" width="6.6640625" style="1" bestFit="1" customWidth="1"/>
    <col min="4575" max="4575" width="13.44140625" style="1" bestFit="1" customWidth="1"/>
    <col min="4576" max="4576" width="8" style="1" customWidth="1"/>
    <col min="4577" max="4577" width="12.109375" style="1" customWidth="1"/>
    <col min="4578" max="4578" width="19.6640625" style="1" customWidth="1"/>
    <col min="4579" max="4821" width="8.88671875" style="1"/>
    <col min="4822" max="4822" width="12" style="1" customWidth="1"/>
    <col min="4823" max="4823" width="8.33203125" style="1" customWidth="1"/>
    <col min="4824" max="4824" width="11.6640625" style="1" customWidth="1"/>
    <col min="4825" max="4825" width="29.88671875" style="1" customWidth="1"/>
    <col min="4826" max="4826" width="13.109375" style="1" customWidth="1"/>
    <col min="4827" max="4827" width="8.5546875" style="1" bestFit="1" customWidth="1"/>
    <col min="4828" max="4828" width="8.6640625" style="1" bestFit="1" customWidth="1"/>
    <col min="4829" max="4829" width="12.6640625" style="1" customWidth="1"/>
    <col min="4830" max="4830" width="6.6640625" style="1" bestFit="1" customWidth="1"/>
    <col min="4831" max="4831" width="13.44140625" style="1" bestFit="1" customWidth="1"/>
    <col min="4832" max="4832" width="8" style="1" customWidth="1"/>
    <col min="4833" max="4833" width="12.109375" style="1" customWidth="1"/>
    <col min="4834" max="4834" width="19.6640625" style="1" customWidth="1"/>
    <col min="4835" max="5077" width="8.88671875" style="1"/>
    <col min="5078" max="5078" width="12" style="1" customWidth="1"/>
    <col min="5079" max="5079" width="8.33203125" style="1" customWidth="1"/>
    <col min="5080" max="5080" width="11.6640625" style="1" customWidth="1"/>
    <col min="5081" max="5081" width="29.88671875" style="1" customWidth="1"/>
    <col min="5082" max="5082" width="13.109375" style="1" customWidth="1"/>
    <col min="5083" max="5083" width="8.5546875" style="1" bestFit="1" customWidth="1"/>
    <col min="5084" max="5084" width="8.6640625" style="1" bestFit="1" customWidth="1"/>
    <col min="5085" max="5085" width="12.6640625" style="1" customWidth="1"/>
    <col min="5086" max="5086" width="6.6640625" style="1" bestFit="1" customWidth="1"/>
    <col min="5087" max="5087" width="13.44140625" style="1" bestFit="1" customWidth="1"/>
    <col min="5088" max="5088" width="8" style="1" customWidth="1"/>
    <col min="5089" max="5089" width="12.109375" style="1" customWidth="1"/>
    <col min="5090" max="5090" width="19.6640625" style="1" customWidth="1"/>
    <col min="5091" max="5333" width="8.88671875" style="1"/>
    <col min="5334" max="5334" width="12" style="1" customWidth="1"/>
    <col min="5335" max="5335" width="8.33203125" style="1" customWidth="1"/>
    <col min="5336" max="5336" width="11.6640625" style="1" customWidth="1"/>
    <col min="5337" max="5337" width="29.88671875" style="1" customWidth="1"/>
    <col min="5338" max="5338" width="13.109375" style="1" customWidth="1"/>
    <col min="5339" max="5339" width="8.5546875" style="1" bestFit="1" customWidth="1"/>
    <col min="5340" max="5340" width="8.6640625" style="1" bestFit="1" customWidth="1"/>
    <col min="5341" max="5341" width="12.6640625" style="1" customWidth="1"/>
    <col min="5342" max="5342" width="6.6640625" style="1" bestFit="1" customWidth="1"/>
    <col min="5343" max="5343" width="13.44140625" style="1" bestFit="1" customWidth="1"/>
    <col min="5344" max="5344" width="8" style="1" customWidth="1"/>
    <col min="5345" max="5345" width="12.109375" style="1" customWidth="1"/>
    <col min="5346" max="5346" width="19.6640625" style="1" customWidth="1"/>
    <col min="5347" max="5589" width="8.88671875" style="1"/>
    <col min="5590" max="5590" width="12" style="1" customWidth="1"/>
    <col min="5591" max="5591" width="8.33203125" style="1" customWidth="1"/>
    <col min="5592" max="5592" width="11.6640625" style="1" customWidth="1"/>
    <col min="5593" max="5593" width="29.88671875" style="1" customWidth="1"/>
    <col min="5594" max="5594" width="13.109375" style="1" customWidth="1"/>
    <col min="5595" max="5595" width="8.5546875" style="1" bestFit="1" customWidth="1"/>
    <col min="5596" max="5596" width="8.6640625" style="1" bestFit="1" customWidth="1"/>
    <col min="5597" max="5597" width="12.6640625" style="1" customWidth="1"/>
    <col min="5598" max="5598" width="6.6640625" style="1" bestFit="1" customWidth="1"/>
    <col min="5599" max="5599" width="13.44140625" style="1" bestFit="1" customWidth="1"/>
    <col min="5600" max="5600" width="8" style="1" customWidth="1"/>
    <col min="5601" max="5601" width="12.109375" style="1" customWidth="1"/>
    <col min="5602" max="5602" width="19.6640625" style="1" customWidth="1"/>
    <col min="5603" max="5845" width="8.88671875" style="1"/>
    <col min="5846" max="5846" width="12" style="1" customWidth="1"/>
    <col min="5847" max="5847" width="8.33203125" style="1" customWidth="1"/>
    <col min="5848" max="5848" width="11.6640625" style="1" customWidth="1"/>
    <col min="5849" max="5849" width="29.88671875" style="1" customWidth="1"/>
    <col min="5850" max="5850" width="13.109375" style="1" customWidth="1"/>
    <col min="5851" max="5851" width="8.5546875" style="1" bestFit="1" customWidth="1"/>
    <col min="5852" max="5852" width="8.6640625" style="1" bestFit="1" customWidth="1"/>
    <col min="5853" max="5853" width="12.6640625" style="1" customWidth="1"/>
    <col min="5854" max="5854" width="6.6640625" style="1" bestFit="1" customWidth="1"/>
    <col min="5855" max="5855" width="13.44140625" style="1" bestFit="1" customWidth="1"/>
    <col min="5856" max="5856" width="8" style="1" customWidth="1"/>
    <col min="5857" max="5857" width="12.109375" style="1" customWidth="1"/>
    <col min="5858" max="5858" width="19.6640625" style="1" customWidth="1"/>
    <col min="5859" max="6101" width="8.88671875" style="1"/>
    <col min="6102" max="6102" width="12" style="1" customWidth="1"/>
    <col min="6103" max="6103" width="8.33203125" style="1" customWidth="1"/>
    <col min="6104" max="6104" width="11.6640625" style="1" customWidth="1"/>
    <col min="6105" max="6105" width="29.88671875" style="1" customWidth="1"/>
    <col min="6106" max="6106" width="13.109375" style="1" customWidth="1"/>
    <col min="6107" max="6107" width="8.5546875" style="1" bestFit="1" customWidth="1"/>
    <col min="6108" max="6108" width="8.6640625" style="1" bestFit="1" customWidth="1"/>
    <col min="6109" max="6109" width="12.6640625" style="1" customWidth="1"/>
    <col min="6110" max="6110" width="6.6640625" style="1" bestFit="1" customWidth="1"/>
    <col min="6111" max="6111" width="13.44140625" style="1" bestFit="1" customWidth="1"/>
    <col min="6112" max="6112" width="8" style="1" customWidth="1"/>
    <col min="6113" max="6113" width="12.109375" style="1" customWidth="1"/>
    <col min="6114" max="6114" width="19.6640625" style="1" customWidth="1"/>
    <col min="6115" max="6357" width="8.88671875" style="1"/>
    <col min="6358" max="6358" width="12" style="1" customWidth="1"/>
    <col min="6359" max="6359" width="8.33203125" style="1" customWidth="1"/>
    <col min="6360" max="6360" width="11.6640625" style="1" customWidth="1"/>
    <col min="6361" max="6361" width="29.88671875" style="1" customWidth="1"/>
    <col min="6362" max="6362" width="13.109375" style="1" customWidth="1"/>
    <col min="6363" max="6363" width="8.5546875" style="1" bestFit="1" customWidth="1"/>
    <col min="6364" max="6364" width="8.6640625" style="1" bestFit="1" customWidth="1"/>
    <col min="6365" max="6365" width="12.6640625" style="1" customWidth="1"/>
    <col min="6366" max="6366" width="6.6640625" style="1" bestFit="1" customWidth="1"/>
    <col min="6367" max="6367" width="13.44140625" style="1" bestFit="1" customWidth="1"/>
    <col min="6368" max="6368" width="8" style="1" customWidth="1"/>
    <col min="6369" max="6369" width="12.109375" style="1" customWidth="1"/>
    <col min="6370" max="6370" width="19.6640625" style="1" customWidth="1"/>
    <col min="6371" max="6613" width="8.88671875" style="1"/>
    <col min="6614" max="6614" width="12" style="1" customWidth="1"/>
    <col min="6615" max="6615" width="8.33203125" style="1" customWidth="1"/>
    <col min="6616" max="6616" width="11.6640625" style="1" customWidth="1"/>
    <col min="6617" max="6617" width="29.88671875" style="1" customWidth="1"/>
    <col min="6618" max="6618" width="13.109375" style="1" customWidth="1"/>
    <col min="6619" max="6619" width="8.5546875" style="1" bestFit="1" customWidth="1"/>
    <col min="6620" max="6620" width="8.6640625" style="1" bestFit="1" customWidth="1"/>
    <col min="6621" max="6621" width="12.6640625" style="1" customWidth="1"/>
    <col min="6622" max="6622" width="6.6640625" style="1" bestFit="1" customWidth="1"/>
    <col min="6623" max="6623" width="13.44140625" style="1" bestFit="1" customWidth="1"/>
    <col min="6624" max="6624" width="8" style="1" customWidth="1"/>
    <col min="6625" max="6625" width="12.109375" style="1" customWidth="1"/>
    <col min="6626" max="6626" width="19.6640625" style="1" customWidth="1"/>
    <col min="6627" max="6869" width="8.88671875" style="1"/>
    <col min="6870" max="6870" width="12" style="1" customWidth="1"/>
    <col min="6871" max="6871" width="8.33203125" style="1" customWidth="1"/>
    <col min="6872" max="6872" width="11.6640625" style="1" customWidth="1"/>
    <col min="6873" max="6873" width="29.88671875" style="1" customWidth="1"/>
    <col min="6874" max="6874" width="13.109375" style="1" customWidth="1"/>
    <col min="6875" max="6875" width="8.5546875" style="1" bestFit="1" customWidth="1"/>
    <col min="6876" max="6876" width="8.6640625" style="1" bestFit="1" customWidth="1"/>
    <col min="6877" max="6877" width="12.6640625" style="1" customWidth="1"/>
    <col min="6878" max="6878" width="6.6640625" style="1" bestFit="1" customWidth="1"/>
    <col min="6879" max="6879" width="13.44140625" style="1" bestFit="1" customWidth="1"/>
    <col min="6880" max="6880" width="8" style="1" customWidth="1"/>
    <col min="6881" max="6881" width="12.109375" style="1" customWidth="1"/>
    <col min="6882" max="6882" width="19.6640625" style="1" customWidth="1"/>
    <col min="6883" max="7125" width="8.88671875" style="1"/>
    <col min="7126" max="7126" width="12" style="1" customWidth="1"/>
    <col min="7127" max="7127" width="8.33203125" style="1" customWidth="1"/>
    <col min="7128" max="7128" width="11.6640625" style="1" customWidth="1"/>
    <col min="7129" max="7129" width="29.88671875" style="1" customWidth="1"/>
    <col min="7130" max="7130" width="13.109375" style="1" customWidth="1"/>
    <col min="7131" max="7131" width="8.5546875" style="1" bestFit="1" customWidth="1"/>
    <col min="7132" max="7132" width="8.6640625" style="1" bestFit="1" customWidth="1"/>
    <col min="7133" max="7133" width="12.6640625" style="1" customWidth="1"/>
    <col min="7134" max="7134" width="6.6640625" style="1" bestFit="1" customWidth="1"/>
    <col min="7135" max="7135" width="13.44140625" style="1" bestFit="1" customWidth="1"/>
    <col min="7136" max="7136" width="8" style="1" customWidth="1"/>
    <col min="7137" max="7137" width="12.109375" style="1" customWidth="1"/>
    <col min="7138" max="7138" width="19.6640625" style="1" customWidth="1"/>
    <col min="7139" max="7381" width="8.88671875" style="1"/>
    <col min="7382" max="7382" width="12" style="1" customWidth="1"/>
    <col min="7383" max="7383" width="8.33203125" style="1" customWidth="1"/>
    <col min="7384" max="7384" width="11.6640625" style="1" customWidth="1"/>
    <col min="7385" max="7385" width="29.88671875" style="1" customWidth="1"/>
    <col min="7386" max="7386" width="13.109375" style="1" customWidth="1"/>
    <col min="7387" max="7387" width="8.5546875" style="1" bestFit="1" customWidth="1"/>
    <col min="7388" max="7388" width="8.6640625" style="1" bestFit="1" customWidth="1"/>
    <col min="7389" max="7389" width="12.6640625" style="1" customWidth="1"/>
    <col min="7390" max="7390" width="6.6640625" style="1" bestFit="1" customWidth="1"/>
    <col min="7391" max="7391" width="13.44140625" style="1" bestFit="1" customWidth="1"/>
    <col min="7392" max="7392" width="8" style="1" customWidth="1"/>
    <col min="7393" max="7393" width="12.109375" style="1" customWidth="1"/>
    <col min="7394" max="7394" width="19.6640625" style="1" customWidth="1"/>
    <col min="7395" max="7637" width="8.88671875" style="1"/>
    <col min="7638" max="7638" width="12" style="1" customWidth="1"/>
    <col min="7639" max="7639" width="8.33203125" style="1" customWidth="1"/>
    <col min="7640" max="7640" width="11.6640625" style="1" customWidth="1"/>
    <col min="7641" max="7641" width="29.88671875" style="1" customWidth="1"/>
    <col min="7642" max="7642" width="13.109375" style="1" customWidth="1"/>
    <col min="7643" max="7643" width="8.5546875" style="1" bestFit="1" customWidth="1"/>
    <col min="7644" max="7644" width="8.6640625" style="1" bestFit="1" customWidth="1"/>
    <col min="7645" max="7645" width="12.6640625" style="1" customWidth="1"/>
    <col min="7646" max="7646" width="6.6640625" style="1" bestFit="1" customWidth="1"/>
    <col min="7647" max="7647" width="13.44140625" style="1" bestFit="1" customWidth="1"/>
    <col min="7648" max="7648" width="8" style="1" customWidth="1"/>
    <col min="7649" max="7649" width="12.109375" style="1" customWidth="1"/>
    <col min="7650" max="7650" width="19.6640625" style="1" customWidth="1"/>
    <col min="7651" max="7893" width="8.88671875" style="1"/>
    <col min="7894" max="7894" width="12" style="1" customWidth="1"/>
    <col min="7895" max="7895" width="8.33203125" style="1" customWidth="1"/>
    <col min="7896" max="7896" width="11.6640625" style="1" customWidth="1"/>
    <col min="7897" max="7897" width="29.88671875" style="1" customWidth="1"/>
    <col min="7898" max="7898" width="13.109375" style="1" customWidth="1"/>
    <col min="7899" max="7899" width="8.5546875" style="1" bestFit="1" customWidth="1"/>
    <col min="7900" max="7900" width="8.6640625" style="1" bestFit="1" customWidth="1"/>
    <col min="7901" max="7901" width="12.6640625" style="1" customWidth="1"/>
    <col min="7902" max="7902" width="6.6640625" style="1" bestFit="1" customWidth="1"/>
    <col min="7903" max="7903" width="13.44140625" style="1" bestFit="1" customWidth="1"/>
    <col min="7904" max="7904" width="8" style="1" customWidth="1"/>
    <col min="7905" max="7905" width="12.109375" style="1" customWidth="1"/>
    <col min="7906" max="7906" width="19.6640625" style="1" customWidth="1"/>
    <col min="7907" max="8149" width="8.88671875" style="1"/>
    <col min="8150" max="8150" width="12" style="1" customWidth="1"/>
    <col min="8151" max="8151" width="8.33203125" style="1" customWidth="1"/>
    <col min="8152" max="8152" width="11.6640625" style="1" customWidth="1"/>
    <col min="8153" max="8153" width="29.88671875" style="1" customWidth="1"/>
    <col min="8154" max="8154" width="13.109375" style="1" customWidth="1"/>
    <col min="8155" max="8155" width="8.5546875" style="1" bestFit="1" customWidth="1"/>
    <col min="8156" max="8156" width="8.6640625" style="1" bestFit="1" customWidth="1"/>
    <col min="8157" max="8157" width="12.6640625" style="1" customWidth="1"/>
    <col min="8158" max="8158" width="6.6640625" style="1" bestFit="1" customWidth="1"/>
    <col min="8159" max="8159" width="13.44140625" style="1" bestFit="1" customWidth="1"/>
    <col min="8160" max="8160" width="8" style="1" customWidth="1"/>
    <col min="8161" max="8161" width="12.109375" style="1" customWidth="1"/>
    <col min="8162" max="8162" width="19.6640625" style="1" customWidth="1"/>
    <col min="8163" max="8405" width="8.88671875" style="1"/>
    <col min="8406" max="8406" width="12" style="1" customWidth="1"/>
    <col min="8407" max="8407" width="8.33203125" style="1" customWidth="1"/>
    <col min="8408" max="8408" width="11.6640625" style="1" customWidth="1"/>
    <col min="8409" max="8409" width="29.88671875" style="1" customWidth="1"/>
    <col min="8410" max="8410" width="13.109375" style="1" customWidth="1"/>
    <col min="8411" max="8411" width="8.5546875" style="1" bestFit="1" customWidth="1"/>
    <col min="8412" max="8412" width="8.6640625" style="1" bestFit="1" customWidth="1"/>
    <col min="8413" max="8413" width="12.6640625" style="1" customWidth="1"/>
    <col min="8414" max="8414" width="6.6640625" style="1" bestFit="1" customWidth="1"/>
    <col min="8415" max="8415" width="13.44140625" style="1" bestFit="1" customWidth="1"/>
    <col min="8416" max="8416" width="8" style="1" customWidth="1"/>
    <col min="8417" max="8417" width="12.109375" style="1" customWidth="1"/>
    <col min="8418" max="8418" width="19.6640625" style="1" customWidth="1"/>
    <col min="8419" max="8661" width="8.88671875" style="1"/>
    <col min="8662" max="8662" width="12" style="1" customWidth="1"/>
    <col min="8663" max="8663" width="8.33203125" style="1" customWidth="1"/>
    <col min="8664" max="8664" width="11.6640625" style="1" customWidth="1"/>
    <col min="8665" max="8665" width="29.88671875" style="1" customWidth="1"/>
    <col min="8666" max="8666" width="13.109375" style="1" customWidth="1"/>
    <col min="8667" max="8667" width="8.5546875" style="1" bestFit="1" customWidth="1"/>
    <col min="8668" max="8668" width="8.6640625" style="1" bestFit="1" customWidth="1"/>
    <col min="8669" max="8669" width="12.6640625" style="1" customWidth="1"/>
    <col min="8670" max="8670" width="6.6640625" style="1" bestFit="1" customWidth="1"/>
    <col min="8671" max="8671" width="13.44140625" style="1" bestFit="1" customWidth="1"/>
    <col min="8672" max="8672" width="8" style="1" customWidth="1"/>
    <col min="8673" max="8673" width="12.109375" style="1" customWidth="1"/>
    <col min="8674" max="8674" width="19.6640625" style="1" customWidth="1"/>
    <col min="8675" max="8917" width="8.88671875" style="1"/>
    <col min="8918" max="8918" width="12" style="1" customWidth="1"/>
    <col min="8919" max="8919" width="8.33203125" style="1" customWidth="1"/>
    <col min="8920" max="8920" width="11.6640625" style="1" customWidth="1"/>
    <col min="8921" max="8921" width="29.88671875" style="1" customWidth="1"/>
    <col min="8922" max="8922" width="13.109375" style="1" customWidth="1"/>
    <col min="8923" max="8923" width="8.5546875" style="1" bestFit="1" customWidth="1"/>
    <col min="8924" max="8924" width="8.6640625" style="1" bestFit="1" customWidth="1"/>
    <col min="8925" max="8925" width="12.6640625" style="1" customWidth="1"/>
    <col min="8926" max="8926" width="6.6640625" style="1" bestFit="1" customWidth="1"/>
    <col min="8927" max="8927" width="13.44140625" style="1" bestFit="1" customWidth="1"/>
    <col min="8928" max="8928" width="8" style="1" customWidth="1"/>
    <col min="8929" max="8929" width="12.109375" style="1" customWidth="1"/>
    <col min="8930" max="8930" width="19.6640625" style="1" customWidth="1"/>
    <col min="8931" max="9173" width="8.88671875" style="1"/>
    <col min="9174" max="9174" width="12" style="1" customWidth="1"/>
    <col min="9175" max="9175" width="8.33203125" style="1" customWidth="1"/>
    <col min="9176" max="9176" width="11.6640625" style="1" customWidth="1"/>
    <col min="9177" max="9177" width="29.88671875" style="1" customWidth="1"/>
    <col min="9178" max="9178" width="13.109375" style="1" customWidth="1"/>
    <col min="9179" max="9179" width="8.5546875" style="1" bestFit="1" customWidth="1"/>
    <col min="9180" max="9180" width="8.6640625" style="1" bestFit="1" customWidth="1"/>
    <col min="9181" max="9181" width="12.6640625" style="1" customWidth="1"/>
    <col min="9182" max="9182" width="6.6640625" style="1" bestFit="1" customWidth="1"/>
    <col min="9183" max="9183" width="13.44140625" style="1" bestFit="1" customWidth="1"/>
    <col min="9184" max="9184" width="8" style="1" customWidth="1"/>
    <col min="9185" max="9185" width="12.109375" style="1" customWidth="1"/>
    <col min="9186" max="9186" width="19.6640625" style="1" customWidth="1"/>
    <col min="9187" max="9429" width="8.88671875" style="1"/>
    <col min="9430" max="9430" width="12" style="1" customWidth="1"/>
    <col min="9431" max="9431" width="8.33203125" style="1" customWidth="1"/>
    <col min="9432" max="9432" width="11.6640625" style="1" customWidth="1"/>
    <col min="9433" max="9433" width="29.88671875" style="1" customWidth="1"/>
    <col min="9434" max="9434" width="13.109375" style="1" customWidth="1"/>
    <col min="9435" max="9435" width="8.5546875" style="1" bestFit="1" customWidth="1"/>
    <col min="9436" max="9436" width="8.6640625" style="1" bestFit="1" customWidth="1"/>
    <col min="9437" max="9437" width="12.6640625" style="1" customWidth="1"/>
    <col min="9438" max="9438" width="6.6640625" style="1" bestFit="1" customWidth="1"/>
    <col min="9439" max="9439" width="13.44140625" style="1" bestFit="1" customWidth="1"/>
    <col min="9440" max="9440" width="8" style="1" customWidth="1"/>
    <col min="9441" max="9441" width="12.109375" style="1" customWidth="1"/>
    <col min="9442" max="9442" width="19.6640625" style="1" customWidth="1"/>
    <col min="9443" max="9685" width="8.88671875" style="1"/>
    <col min="9686" max="9686" width="12" style="1" customWidth="1"/>
    <col min="9687" max="9687" width="8.33203125" style="1" customWidth="1"/>
    <col min="9688" max="9688" width="11.6640625" style="1" customWidth="1"/>
    <col min="9689" max="9689" width="29.88671875" style="1" customWidth="1"/>
    <col min="9690" max="9690" width="13.109375" style="1" customWidth="1"/>
    <col min="9691" max="9691" width="8.5546875" style="1" bestFit="1" customWidth="1"/>
    <col min="9692" max="9692" width="8.6640625" style="1" bestFit="1" customWidth="1"/>
    <col min="9693" max="9693" width="12.6640625" style="1" customWidth="1"/>
    <col min="9694" max="9694" width="6.6640625" style="1" bestFit="1" customWidth="1"/>
    <col min="9695" max="9695" width="13.44140625" style="1" bestFit="1" customWidth="1"/>
    <col min="9696" max="9696" width="8" style="1" customWidth="1"/>
    <col min="9697" max="9697" width="12.109375" style="1" customWidth="1"/>
    <col min="9698" max="9698" width="19.6640625" style="1" customWidth="1"/>
    <col min="9699" max="9941" width="8.88671875" style="1"/>
    <col min="9942" max="9942" width="12" style="1" customWidth="1"/>
    <col min="9943" max="9943" width="8.33203125" style="1" customWidth="1"/>
    <col min="9944" max="9944" width="11.6640625" style="1" customWidth="1"/>
    <col min="9945" max="9945" width="29.88671875" style="1" customWidth="1"/>
    <col min="9946" max="9946" width="13.109375" style="1" customWidth="1"/>
    <col min="9947" max="9947" width="8.5546875" style="1" bestFit="1" customWidth="1"/>
    <col min="9948" max="9948" width="8.6640625" style="1" bestFit="1" customWidth="1"/>
    <col min="9949" max="9949" width="12.6640625" style="1" customWidth="1"/>
    <col min="9950" max="9950" width="6.6640625" style="1" bestFit="1" customWidth="1"/>
    <col min="9951" max="9951" width="13.44140625" style="1" bestFit="1" customWidth="1"/>
    <col min="9952" max="9952" width="8" style="1" customWidth="1"/>
    <col min="9953" max="9953" width="12.109375" style="1" customWidth="1"/>
    <col min="9954" max="9954" width="19.6640625" style="1" customWidth="1"/>
    <col min="9955" max="10197" width="8.88671875" style="1"/>
    <col min="10198" max="10198" width="12" style="1" customWidth="1"/>
    <col min="10199" max="10199" width="8.33203125" style="1" customWidth="1"/>
    <col min="10200" max="10200" width="11.6640625" style="1" customWidth="1"/>
    <col min="10201" max="10201" width="29.88671875" style="1" customWidth="1"/>
    <col min="10202" max="10202" width="13.109375" style="1" customWidth="1"/>
    <col min="10203" max="10203" width="8.5546875" style="1" bestFit="1" customWidth="1"/>
    <col min="10204" max="10204" width="8.6640625" style="1" bestFit="1" customWidth="1"/>
    <col min="10205" max="10205" width="12.6640625" style="1" customWidth="1"/>
    <col min="10206" max="10206" width="6.6640625" style="1" bestFit="1" customWidth="1"/>
    <col min="10207" max="10207" width="13.44140625" style="1" bestFit="1" customWidth="1"/>
    <col min="10208" max="10208" width="8" style="1" customWidth="1"/>
    <col min="10209" max="10209" width="12.109375" style="1" customWidth="1"/>
    <col min="10210" max="10210" width="19.6640625" style="1" customWidth="1"/>
    <col min="10211" max="10453" width="8.88671875" style="1"/>
    <col min="10454" max="10454" width="12" style="1" customWidth="1"/>
    <col min="10455" max="10455" width="8.33203125" style="1" customWidth="1"/>
    <col min="10456" max="10456" width="11.6640625" style="1" customWidth="1"/>
    <col min="10457" max="10457" width="29.88671875" style="1" customWidth="1"/>
    <col min="10458" max="10458" width="13.109375" style="1" customWidth="1"/>
    <col min="10459" max="10459" width="8.5546875" style="1" bestFit="1" customWidth="1"/>
    <col min="10460" max="10460" width="8.6640625" style="1" bestFit="1" customWidth="1"/>
    <col min="10461" max="10461" width="12.6640625" style="1" customWidth="1"/>
    <col min="10462" max="10462" width="6.6640625" style="1" bestFit="1" customWidth="1"/>
    <col min="10463" max="10463" width="13.44140625" style="1" bestFit="1" customWidth="1"/>
    <col min="10464" max="10464" width="8" style="1" customWidth="1"/>
    <col min="10465" max="10465" width="12.109375" style="1" customWidth="1"/>
    <col min="10466" max="10466" width="19.6640625" style="1" customWidth="1"/>
    <col min="10467" max="10709" width="8.88671875" style="1"/>
    <col min="10710" max="10710" width="12" style="1" customWidth="1"/>
    <col min="10711" max="10711" width="8.33203125" style="1" customWidth="1"/>
    <col min="10712" max="10712" width="11.6640625" style="1" customWidth="1"/>
    <col min="10713" max="10713" width="29.88671875" style="1" customWidth="1"/>
    <col min="10714" max="10714" width="13.109375" style="1" customWidth="1"/>
    <col min="10715" max="10715" width="8.5546875" style="1" bestFit="1" customWidth="1"/>
    <col min="10716" max="10716" width="8.6640625" style="1" bestFit="1" customWidth="1"/>
    <col min="10717" max="10717" width="12.6640625" style="1" customWidth="1"/>
    <col min="10718" max="10718" width="6.6640625" style="1" bestFit="1" customWidth="1"/>
    <col min="10719" max="10719" width="13.44140625" style="1" bestFit="1" customWidth="1"/>
    <col min="10720" max="10720" width="8" style="1" customWidth="1"/>
    <col min="10721" max="10721" width="12.109375" style="1" customWidth="1"/>
    <col min="10722" max="10722" width="19.6640625" style="1" customWidth="1"/>
    <col min="10723" max="10965" width="8.88671875" style="1"/>
    <col min="10966" max="10966" width="12" style="1" customWidth="1"/>
    <col min="10967" max="10967" width="8.33203125" style="1" customWidth="1"/>
    <col min="10968" max="10968" width="11.6640625" style="1" customWidth="1"/>
    <col min="10969" max="10969" width="29.88671875" style="1" customWidth="1"/>
    <col min="10970" max="10970" width="13.109375" style="1" customWidth="1"/>
    <col min="10971" max="10971" width="8.5546875" style="1" bestFit="1" customWidth="1"/>
    <col min="10972" max="10972" width="8.6640625" style="1" bestFit="1" customWidth="1"/>
    <col min="10973" max="10973" width="12.6640625" style="1" customWidth="1"/>
    <col min="10974" max="10974" width="6.6640625" style="1" bestFit="1" customWidth="1"/>
    <col min="10975" max="10975" width="13.44140625" style="1" bestFit="1" customWidth="1"/>
    <col min="10976" max="10976" width="8" style="1" customWidth="1"/>
    <col min="10977" max="10977" width="12.109375" style="1" customWidth="1"/>
    <col min="10978" max="10978" width="19.6640625" style="1" customWidth="1"/>
    <col min="10979" max="11221" width="8.88671875" style="1"/>
    <col min="11222" max="11222" width="12" style="1" customWidth="1"/>
    <col min="11223" max="11223" width="8.33203125" style="1" customWidth="1"/>
    <col min="11224" max="11224" width="11.6640625" style="1" customWidth="1"/>
    <col min="11225" max="11225" width="29.88671875" style="1" customWidth="1"/>
    <col min="11226" max="11226" width="13.109375" style="1" customWidth="1"/>
    <col min="11227" max="11227" width="8.5546875" style="1" bestFit="1" customWidth="1"/>
    <col min="11228" max="11228" width="8.6640625" style="1" bestFit="1" customWidth="1"/>
    <col min="11229" max="11229" width="12.6640625" style="1" customWidth="1"/>
    <col min="11230" max="11230" width="6.6640625" style="1" bestFit="1" customWidth="1"/>
    <col min="11231" max="11231" width="13.44140625" style="1" bestFit="1" customWidth="1"/>
    <col min="11232" max="11232" width="8" style="1" customWidth="1"/>
    <col min="11233" max="11233" width="12.109375" style="1" customWidth="1"/>
    <col min="11234" max="11234" width="19.6640625" style="1" customWidth="1"/>
    <col min="11235" max="11477" width="8.88671875" style="1"/>
    <col min="11478" max="11478" width="12" style="1" customWidth="1"/>
    <col min="11479" max="11479" width="8.33203125" style="1" customWidth="1"/>
    <col min="11480" max="11480" width="11.6640625" style="1" customWidth="1"/>
    <col min="11481" max="11481" width="29.88671875" style="1" customWidth="1"/>
    <col min="11482" max="11482" width="13.109375" style="1" customWidth="1"/>
    <col min="11483" max="11483" width="8.5546875" style="1" bestFit="1" customWidth="1"/>
    <col min="11484" max="11484" width="8.6640625" style="1" bestFit="1" customWidth="1"/>
    <col min="11485" max="11485" width="12.6640625" style="1" customWidth="1"/>
    <col min="11486" max="11486" width="6.6640625" style="1" bestFit="1" customWidth="1"/>
    <col min="11487" max="11487" width="13.44140625" style="1" bestFit="1" customWidth="1"/>
    <col min="11488" max="11488" width="8" style="1" customWidth="1"/>
    <col min="11489" max="11489" width="12.109375" style="1" customWidth="1"/>
    <col min="11490" max="11490" width="19.6640625" style="1" customWidth="1"/>
    <col min="11491" max="11733" width="8.88671875" style="1"/>
    <col min="11734" max="11734" width="12" style="1" customWidth="1"/>
    <col min="11735" max="11735" width="8.33203125" style="1" customWidth="1"/>
    <col min="11736" max="11736" width="11.6640625" style="1" customWidth="1"/>
    <col min="11737" max="11737" width="29.88671875" style="1" customWidth="1"/>
    <col min="11738" max="11738" width="13.109375" style="1" customWidth="1"/>
    <col min="11739" max="11739" width="8.5546875" style="1" bestFit="1" customWidth="1"/>
    <col min="11740" max="11740" width="8.6640625" style="1" bestFit="1" customWidth="1"/>
    <col min="11741" max="11741" width="12.6640625" style="1" customWidth="1"/>
    <col min="11742" max="11742" width="6.6640625" style="1" bestFit="1" customWidth="1"/>
    <col min="11743" max="11743" width="13.44140625" style="1" bestFit="1" customWidth="1"/>
    <col min="11744" max="11744" width="8" style="1" customWidth="1"/>
    <col min="11745" max="11745" width="12.109375" style="1" customWidth="1"/>
    <col min="11746" max="11746" width="19.6640625" style="1" customWidth="1"/>
    <col min="11747" max="11989" width="8.88671875" style="1"/>
    <col min="11990" max="11990" width="12" style="1" customWidth="1"/>
    <col min="11991" max="11991" width="8.33203125" style="1" customWidth="1"/>
    <col min="11992" max="11992" width="11.6640625" style="1" customWidth="1"/>
    <col min="11993" max="11993" width="29.88671875" style="1" customWidth="1"/>
    <col min="11994" max="11994" width="13.109375" style="1" customWidth="1"/>
    <col min="11995" max="11995" width="8.5546875" style="1" bestFit="1" customWidth="1"/>
    <col min="11996" max="11996" width="8.6640625" style="1" bestFit="1" customWidth="1"/>
    <col min="11997" max="11997" width="12.6640625" style="1" customWidth="1"/>
    <col min="11998" max="11998" width="6.6640625" style="1" bestFit="1" customWidth="1"/>
    <col min="11999" max="11999" width="13.44140625" style="1" bestFit="1" customWidth="1"/>
    <col min="12000" max="12000" width="8" style="1" customWidth="1"/>
    <col min="12001" max="12001" width="12.109375" style="1" customWidth="1"/>
    <col min="12002" max="12002" width="19.6640625" style="1" customWidth="1"/>
    <col min="12003" max="12245" width="8.88671875" style="1"/>
    <col min="12246" max="12246" width="12" style="1" customWidth="1"/>
    <col min="12247" max="12247" width="8.33203125" style="1" customWidth="1"/>
    <col min="12248" max="12248" width="11.6640625" style="1" customWidth="1"/>
    <col min="12249" max="12249" width="29.88671875" style="1" customWidth="1"/>
    <col min="12250" max="12250" width="13.109375" style="1" customWidth="1"/>
    <col min="12251" max="12251" width="8.5546875" style="1" bestFit="1" customWidth="1"/>
    <col min="12252" max="12252" width="8.6640625" style="1" bestFit="1" customWidth="1"/>
    <col min="12253" max="12253" width="12.6640625" style="1" customWidth="1"/>
    <col min="12254" max="12254" width="6.6640625" style="1" bestFit="1" customWidth="1"/>
    <col min="12255" max="12255" width="13.44140625" style="1" bestFit="1" customWidth="1"/>
    <col min="12256" max="12256" width="8" style="1" customWidth="1"/>
    <col min="12257" max="12257" width="12.109375" style="1" customWidth="1"/>
    <col min="12258" max="12258" width="19.6640625" style="1" customWidth="1"/>
    <col min="12259" max="12501" width="8.88671875" style="1"/>
    <col min="12502" max="12502" width="12" style="1" customWidth="1"/>
    <col min="12503" max="12503" width="8.33203125" style="1" customWidth="1"/>
    <col min="12504" max="12504" width="11.6640625" style="1" customWidth="1"/>
    <col min="12505" max="12505" width="29.88671875" style="1" customWidth="1"/>
    <col min="12506" max="12506" width="13.109375" style="1" customWidth="1"/>
    <col min="12507" max="12507" width="8.5546875" style="1" bestFit="1" customWidth="1"/>
    <col min="12508" max="12508" width="8.6640625" style="1" bestFit="1" customWidth="1"/>
    <col min="12509" max="12509" width="12.6640625" style="1" customWidth="1"/>
    <col min="12510" max="12510" width="6.6640625" style="1" bestFit="1" customWidth="1"/>
    <col min="12511" max="12511" width="13.44140625" style="1" bestFit="1" customWidth="1"/>
    <col min="12512" max="12512" width="8" style="1" customWidth="1"/>
    <col min="12513" max="12513" width="12.109375" style="1" customWidth="1"/>
    <col min="12514" max="12514" width="19.6640625" style="1" customWidth="1"/>
    <col min="12515" max="12757" width="8.88671875" style="1"/>
    <col min="12758" max="12758" width="12" style="1" customWidth="1"/>
    <col min="12759" max="12759" width="8.33203125" style="1" customWidth="1"/>
    <col min="12760" max="12760" width="11.6640625" style="1" customWidth="1"/>
    <col min="12761" max="12761" width="29.88671875" style="1" customWidth="1"/>
    <col min="12762" max="12762" width="13.109375" style="1" customWidth="1"/>
    <col min="12763" max="12763" width="8.5546875" style="1" bestFit="1" customWidth="1"/>
    <col min="12764" max="12764" width="8.6640625" style="1" bestFit="1" customWidth="1"/>
    <col min="12765" max="12765" width="12.6640625" style="1" customWidth="1"/>
    <col min="12766" max="12766" width="6.6640625" style="1" bestFit="1" customWidth="1"/>
    <col min="12767" max="12767" width="13.44140625" style="1" bestFit="1" customWidth="1"/>
    <col min="12768" max="12768" width="8" style="1" customWidth="1"/>
    <col min="12769" max="12769" width="12.109375" style="1" customWidth="1"/>
    <col min="12770" max="12770" width="19.6640625" style="1" customWidth="1"/>
    <col min="12771" max="13013" width="8.88671875" style="1"/>
    <col min="13014" max="13014" width="12" style="1" customWidth="1"/>
    <col min="13015" max="13015" width="8.33203125" style="1" customWidth="1"/>
    <col min="13016" max="13016" width="11.6640625" style="1" customWidth="1"/>
    <col min="13017" max="13017" width="29.88671875" style="1" customWidth="1"/>
    <col min="13018" max="13018" width="13.109375" style="1" customWidth="1"/>
    <col min="13019" max="13019" width="8.5546875" style="1" bestFit="1" customWidth="1"/>
    <col min="13020" max="13020" width="8.6640625" style="1" bestFit="1" customWidth="1"/>
    <col min="13021" max="13021" width="12.6640625" style="1" customWidth="1"/>
    <col min="13022" max="13022" width="6.6640625" style="1" bestFit="1" customWidth="1"/>
    <col min="13023" max="13023" width="13.44140625" style="1" bestFit="1" customWidth="1"/>
    <col min="13024" max="13024" width="8" style="1" customWidth="1"/>
    <col min="13025" max="13025" width="12.109375" style="1" customWidth="1"/>
    <col min="13026" max="13026" width="19.6640625" style="1" customWidth="1"/>
    <col min="13027" max="13269" width="8.88671875" style="1"/>
    <col min="13270" max="13270" width="12" style="1" customWidth="1"/>
    <col min="13271" max="13271" width="8.33203125" style="1" customWidth="1"/>
    <col min="13272" max="13272" width="11.6640625" style="1" customWidth="1"/>
    <col min="13273" max="13273" width="29.88671875" style="1" customWidth="1"/>
    <col min="13274" max="13274" width="13.109375" style="1" customWidth="1"/>
    <col min="13275" max="13275" width="8.5546875" style="1" bestFit="1" customWidth="1"/>
    <col min="13276" max="13276" width="8.6640625" style="1" bestFit="1" customWidth="1"/>
    <col min="13277" max="13277" width="12.6640625" style="1" customWidth="1"/>
    <col min="13278" max="13278" width="6.6640625" style="1" bestFit="1" customWidth="1"/>
    <col min="13279" max="13279" width="13.44140625" style="1" bestFit="1" customWidth="1"/>
    <col min="13280" max="13280" width="8" style="1" customWidth="1"/>
    <col min="13281" max="13281" width="12.109375" style="1" customWidth="1"/>
    <col min="13282" max="13282" width="19.6640625" style="1" customWidth="1"/>
    <col min="13283" max="13525" width="8.88671875" style="1"/>
    <col min="13526" max="13526" width="12" style="1" customWidth="1"/>
    <col min="13527" max="13527" width="8.33203125" style="1" customWidth="1"/>
    <col min="13528" max="13528" width="11.6640625" style="1" customWidth="1"/>
    <col min="13529" max="13529" width="29.88671875" style="1" customWidth="1"/>
    <col min="13530" max="13530" width="13.109375" style="1" customWidth="1"/>
    <col min="13531" max="13531" width="8.5546875" style="1" bestFit="1" customWidth="1"/>
    <col min="13532" max="13532" width="8.6640625" style="1" bestFit="1" customWidth="1"/>
    <col min="13533" max="13533" width="12.6640625" style="1" customWidth="1"/>
    <col min="13534" max="13534" width="6.6640625" style="1" bestFit="1" customWidth="1"/>
    <col min="13535" max="13535" width="13.44140625" style="1" bestFit="1" customWidth="1"/>
    <col min="13536" max="13536" width="8" style="1" customWidth="1"/>
    <col min="13537" max="13537" width="12.109375" style="1" customWidth="1"/>
    <col min="13538" max="13538" width="19.6640625" style="1" customWidth="1"/>
    <col min="13539" max="13781" width="8.88671875" style="1"/>
    <col min="13782" max="13782" width="12" style="1" customWidth="1"/>
    <col min="13783" max="13783" width="8.33203125" style="1" customWidth="1"/>
    <col min="13784" max="13784" width="11.6640625" style="1" customWidth="1"/>
    <col min="13785" max="13785" width="29.88671875" style="1" customWidth="1"/>
    <col min="13786" max="13786" width="13.109375" style="1" customWidth="1"/>
    <col min="13787" max="13787" width="8.5546875" style="1" bestFit="1" customWidth="1"/>
    <col min="13788" max="13788" width="8.6640625" style="1" bestFit="1" customWidth="1"/>
    <col min="13789" max="13789" width="12.6640625" style="1" customWidth="1"/>
    <col min="13790" max="13790" width="6.6640625" style="1" bestFit="1" customWidth="1"/>
    <col min="13791" max="13791" width="13.44140625" style="1" bestFit="1" customWidth="1"/>
    <col min="13792" max="13792" width="8" style="1" customWidth="1"/>
    <col min="13793" max="13793" width="12.109375" style="1" customWidth="1"/>
    <col min="13794" max="13794" width="19.6640625" style="1" customWidth="1"/>
    <col min="13795" max="14037" width="8.88671875" style="1"/>
    <col min="14038" max="14038" width="12" style="1" customWidth="1"/>
    <col min="14039" max="14039" width="8.33203125" style="1" customWidth="1"/>
    <col min="14040" max="14040" width="11.6640625" style="1" customWidth="1"/>
    <col min="14041" max="14041" width="29.88671875" style="1" customWidth="1"/>
    <col min="14042" max="14042" width="13.109375" style="1" customWidth="1"/>
    <col min="14043" max="14043" width="8.5546875" style="1" bestFit="1" customWidth="1"/>
    <col min="14044" max="14044" width="8.6640625" style="1" bestFit="1" customWidth="1"/>
    <col min="14045" max="14045" width="12.6640625" style="1" customWidth="1"/>
    <col min="14046" max="14046" width="6.6640625" style="1" bestFit="1" customWidth="1"/>
    <col min="14047" max="14047" width="13.44140625" style="1" bestFit="1" customWidth="1"/>
    <col min="14048" max="14048" width="8" style="1" customWidth="1"/>
    <col min="14049" max="14049" width="12.109375" style="1" customWidth="1"/>
    <col min="14050" max="14050" width="19.6640625" style="1" customWidth="1"/>
    <col min="14051" max="14293" width="8.88671875" style="1"/>
    <col min="14294" max="14294" width="12" style="1" customWidth="1"/>
    <col min="14295" max="14295" width="8.33203125" style="1" customWidth="1"/>
    <col min="14296" max="14296" width="11.6640625" style="1" customWidth="1"/>
    <col min="14297" max="14297" width="29.88671875" style="1" customWidth="1"/>
    <col min="14298" max="14298" width="13.109375" style="1" customWidth="1"/>
    <col min="14299" max="14299" width="8.5546875" style="1" bestFit="1" customWidth="1"/>
    <col min="14300" max="14300" width="8.6640625" style="1" bestFit="1" customWidth="1"/>
    <col min="14301" max="14301" width="12.6640625" style="1" customWidth="1"/>
    <col min="14302" max="14302" width="6.6640625" style="1" bestFit="1" customWidth="1"/>
    <col min="14303" max="14303" width="13.44140625" style="1" bestFit="1" customWidth="1"/>
    <col min="14304" max="14304" width="8" style="1" customWidth="1"/>
    <col min="14305" max="14305" width="12.109375" style="1" customWidth="1"/>
    <col min="14306" max="14306" width="19.6640625" style="1" customWidth="1"/>
    <col min="14307" max="14549" width="8.88671875" style="1"/>
    <col min="14550" max="14550" width="12" style="1" customWidth="1"/>
    <col min="14551" max="14551" width="8.33203125" style="1" customWidth="1"/>
    <col min="14552" max="14552" width="11.6640625" style="1" customWidth="1"/>
    <col min="14553" max="14553" width="29.88671875" style="1" customWidth="1"/>
    <col min="14554" max="14554" width="13.109375" style="1" customWidth="1"/>
    <col min="14555" max="14555" width="8.5546875" style="1" bestFit="1" customWidth="1"/>
    <col min="14556" max="14556" width="8.6640625" style="1" bestFit="1" customWidth="1"/>
    <col min="14557" max="14557" width="12.6640625" style="1" customWidth="1"/>
    <col min="14558" max="14558" width="6.6640625" style="1" bestFit="1" customWidth="1"/>
    <col min="14559" max="14559" width="13.44140625" style="1" bestFit="1" customWidth="1"/>
    <col min="14560" max="14560" width="8" style="1" customWidth="1"/>
    <col min="14561" max="14561" width="12.109375" style="1" customWidth="1"/>
    <col min="14562" max="14562" width="19.6640625" style="1" customWidth="1"/>
    <col min="14563" max="14805" width="8.88671875" style="1"/>
    <col min="14806" max="14806" width="12" style="1" customWidth="1"/>
    <col min="14807" max="14807" width="8.33203125" style="1" customWidth="1"/>
    <col min="14808" max="14808" width="11.6640625" style="1" customWidth="1"/>
    <col min="14809" max="14809" width="29.88671875" style="1" customWidth="1"/>
    <col min="14810" max="14810" width="13.109375" style="1" customWidth="1"/>
    <col min="14811" max="14811" width="8.5546875" style="1" bestFit="1" customWidth="1"/>
    <col min="14812" max="14812" width="8.6640625" style="1" bestFit="1" customWidth="1"/>
    <col min="14813" max="14813" width="12.6640625" style="1" customWidth="1"/>
    <col min="14814" max="14814" width="6.6640625" style="1" bestFit="1" customWidth="1"/>
    <col min="14815" max="14815" width="13.44140625" style="1" bestFit="1" customWidth="1"/>
    <col min="14816" max="14816" width="8" style="1" customWidth="1"/>
    <col min="14817" max="14817" width="12.109375" style="1" customWidth="1"/>
    <col min="14818" max="14818" width="19.6640625" style="1" customWidth="1"/>
    <col min="14819" max="15061" width="8.88671875" style="1"/>
    <col min="15062" max="15062" width="12" style="1" customWidth="1"/>
    <col min="15063" max="15063" width="8.33203125" style="1" customWidth="1"/>
    <col min="15064" max="15064" width="11.6640625" style="1" customWidth="1"/>
    <col min="15065" max="15065" width="29.88671875" style="1" customWidth="1"/>
    <col min="15066" max="15066" width="13.109375" style="1" customWidth="1"/>
    <col min="15067" max="15067" width="8.5546875" style="1" bestFit="1" customWidth="1"/>
    <col min="15068" max="15068" width="8.6640625" style="1" bestFit="1" customWidth="1"/>
    <col min="15069" max="15069" width="12.6640625" style="1" customWidth="1"/>
    <col min="15070" max="15070" width="6.6640625" style="1" bestFit="1" customWidth="1"/>
    <col min="15071" max="15071" width="13.44140625" style="1" bestFit="1" customWidth="1"/>
    <col min="15072" max="15072" width="8" style="1" customWidth="1"/>
    <col min="15073" max="15073" width="12.109375" style="1" customWidth="1"/>
    <col min="15074" max="15074" width="19.6640625" style="1" customWidth="1"/>
    <col min="15075" max="15317" width="8.88671875" style="1"/>
    <col min="15318" max="15318" width="12" style="1" customWidth="1"/>
    <col min="15319" max="15319" width="8.33203125" style="1" customWidth="1"/>
    <col min="15320" max="15320" width="11.6640625" style="1" customWidth="1"/>
    <col min="15321" max="15321" width="29.88671875" style="1" customWidth="1"/>
    <col min="15322" max="15322" width="13.109375" style="1" customWidth="1"/>
    <col min="15323" max="15323" width="8.5546875" style="1" bestFit="1" customWidth="1"/>
    <col min="15324" max="15324" width="8.6640625" style="1" bestFit="1" customWidth="1"/>
    <col min="15325" max="15325" width="12.6640625" style="1" customWidth="1"/>
    <col min="15326" max="15326" width="6.6640625" style="1" bestFit="1" customWidth="1"/>
    <col min="15327" max="15327" width="13.44140625" style="1" bestFit="1" customWidth="1"/>
    <col min="15328" max="15328" width="8" style="1" customWidth="1"/>
    <col min="15329" max="15329" width="12.109375" style="1" customWidth="1"/>
    <col min="15330" max="15330" width="19.6640625" style="1" customWidth="1"/>
    <col min="15331" max="15573" width="8.88671875" style="1"/>
    <col min="15574" max="15574" width="12" style="1" customWidth="1"/>
    <col min="15575" max="15575" width="8.33203125" style="1" customWidth="1"/>
    <col min="15576" max="15576" width="11.6640625" style="1" customWidth="1"/>
    <col min="15577" max="15577" width="29.88671875" style="1" customWidth="1"/>
    <col min="15578" max="15578" width="13.109375" style="1" customWidth="1"/>
    <col min="15579" max="15579" width="8.5546875" style="1" bestFit="1" customWidth="1"/>
    <col min="15580" max="15580" width="8.6640625" style="1" bestFit="1" customWidth="1"/>
    <col min="15581" max="15581" width="12.6640625" style="1" customWidth="1"/>
    <col min="15582" max="15582" width="6.6640625" style="1" bestFit="1" customWidth="1"/>
    <col min="15583" max="15583" width="13.44140625" style="1" bestFit="1" customWidth="1"/>
    <col min="15584" max="15584" width="8" style="1" customWidth="1"/>
    <col min="15585" max="15585" width="12.109375" style="1" customWidth="1"/>
    <col min="15586" max="15586" width="19.6640625" style="1" customWidth="1"/>
    <col min="15587" max="15829" width="8.88671875" style="1"/>
    <col min="15830" max="15830" width="12" style="1" customWidth="1"/>
    <col min="15831" max="15831" width="8.33203125" style="1" customWidth="1"/>
    <col min="15832" max="15832" width="11.6640625" style="1" customWidth="1"/>
    <col min="15833" max="15833" width="29.88671875" style="1" customWidth="1"/>
    <col min="15834" max="15834" width="13.109375" style="1" customWidth="1"/>
    <col min="15835" max="15835" width="8.5546875" style="1" bestFit="1" customWidth="1"/>
    <col min="15836" max="15836" width="8.6640625" style="1" bestFit="1" customWidth="1"/>
    <col min="15837" max="15837" width="12.6640625" style="1" customWidth="1"/>
    <col min="15838" max="15838" width="6.6640625" style="1" bestFit="1" customWidth="1"/>
    <col min="15839" max="15839" width="13.44140625" style="1" bestFit="1" customWidth="1"/>
    <col min="15840" max="15840" width="8" style="1" customWidth="1"/>
    <col min="15841" max="15841" width="12.109375" style="1" customWidth="1"/>
    <col min="15842" max="15842" width="19.6640625" style="1" customWidth="1"/>
    <col min="15843" max="16085" width="8.88671875" style="1"/>
    <col min="16086" max="16086" width="12" style="1" customWidth="1"/>
    <col min="16087" max="16087" width="8.33203125" style="1" customWidth="1"/>
    <col min="16088" max="16088" width="11.6640625" style="1" customWidth="1"/>
    <col min="16089" max="16089" width="29.88671875" style="1" customWidth="1"/>
    <col min="16090" max="16090" width="13.109375" style="1" customWidth="1"/>
    <col min="16091" max="16091" width="8.5546875" style="1" bestFit="1" customWidth="1"/>
    <col min="16092" max="16092" width="8.6640625" style="1" bestFit="1" customWidth="1"/>
    <col min="16093" max="16093" width="12.6640625" style="1" customWidth="1"/>
    <col min="16094" max="16094" width="6.6640625" style="1" bestFit="1" customWidth="1"/>
    <col min="16095" max="16095" width="13.44140625" style="1" bestFit="1" customWidth="1"/>
    <col min="16096" max="16096" width="8" style="1" customWidth="1"/>
    <col min="16097" max="16097" width="12.109375" style="1" customWidth="1"/>
    <col min="16098" max="16098" width="19.6640625" style="1" customWidth="1"/>
    <col min="16099" max="16384" width="8.88671875" style="1"/>
  </cols>
  <sheetData>
    <row r="1" spans="2:13" ht="13.8" thickBot="1" x14ac:dyDescent="0.3"/>
    <row r="2" spans="2:13" ht="18" x14ac:dyDescent="0.35">
      <c r="B2" s="212" t="s">
        <v>0</v>
      </c>
      <c r="C2" s="213"/>
      <c r="D2" s="213"/>
      <c r="E2" s="2"/>
      <c r="F2" s="3"/>
      <c r="G2" s="3"/>
      <c r="H2" s="3"/>
      <c r="I2" s="3"/>
      <c r="J2" s="3"/>
      <c r="K2" s="3"/>
      <c r="L2" s="3"/>
      <c r="M2" s="4"/>
    </row>
    <row r="3" spans="2:13" ht="15.6" x14ac:dyDescent="0.35">
      <c r="B3" s="214" t="s">
        <v>1</v>
      </c>
      <c r="C3" s="215"/>
      <c r="D3" s="215"/>
      <c r="E3" s="6"/>
      <c r="F3" s="7"/>
      <c r="G3" s="7"/>
      <c r="H3" s="7"/>
      <c r="I3" s="7"/>
      <c r="J3" s="7"/>
      <c r="K3" s="7"/>
      <c r="L3" s="7"/>
      <c r="M3" s="8"/>
    </row>
    <row r="4" spans="2:13" ht="15.6" x14ac:dyDescent="0.35">
      <c r="B4" s="214" t="s">
        <v>2</v>
      </c>
      <c r="C4" s="215"/>
      <c r="D4" s="215"/>
      <c r="E4" s="6"/>
      <c r="F4" s="7"/>
      <c r="G4" s="7"/>
      <c r="H4" s="7"/>
      <c r="I4" s="7"/>
      <c r="J4" s="7"/>
      <c r="K4" s="7"/>
      <c r="L4" s="7"/>
      <c r="M4" s="8"/>
    </row>
    <row r="5" spans="2:13" ht="15.6" x14ac:dyDescent="0.35">
      <c r="B5" s="214" t="s">
        <v>3</v>
      </c>
      <c r="C5" s="215"/>
      <c r="D5" s="215"/>
      <c r="E5" s="6"/>
      <c r="F5" s="7"/>
      <c r="G5" s="7"/>
      <c r="H5" s="7"/>
      <c r="I5" s="7"/>
      <c r="J5" s="7"/>
      <c r="K5" s="7"/>
      <c r="L5" s="7"/>
      <c r="M5" s="8"/>
    </row>
    <row r="6" spans="2:13" ht="15.6" x14ac:dyDescent="0.35">
      <c r="B6" s="214" t="s">
        <v>4</v>
      </c>
      <c r="C6" s="215"/>
      <c r="D6" s="215"/>
      <c r="E6" s="6"/>
      <c r="F6" s="7"/>
      <c r="G6" s="7"/>
      <c r="H6" s="7"/>
      <c r="I6" s="7"/>
      <c r="J6" s="7"/>
      <c r="K6" s="7"/>
      <c r="L6" s="7"/>
      <c r="M6" s="8"/>
    </row>
    <row r="7" spans="2:13" ht="15.6" x14ac:dyDescent="0.35">
      <c r="B7" s="9" t="s">
        <v>5</v>
      </c>
      <c r="C7" s="5"/>
      <c r="D7" s="5"/>
      <c r="E7" s="6"/>
      <c r="F7" s="7"/>
      <c r="G7" s="7"/>
      <c r="H7" s="7"/>
      <c r="I7" s="7"/>
      <c r="J7" s="7"/>
      <c r="K7" s="7"/>
      <c r="L7" s="7"/>
      <c r="M7" s="8"/>
    </row>
    <row r="8" spans="2:13" ht="15.6" x14ac:dyDescent="0.35">
      <c r="B8" s="10" t="s">
        <v>6</v>
      </c>
      <c r="C8" s="5"/>
      <c r="D8" s="5"/>
      <c r="E8" s="6"/>
      <c r="F8" s="7"/>
      <c r="G8" s="7"/>
      <c r="H8" s="7"/>
      <c r="I8" s="7"/>
      <c r="J8" s="7"/>
      <c r="K8" s="7"/>
      <c r="L8" s="7"/>
      <c r="M8" s="8"/>
    </row>
    <row r="9" spans="2:13" ht="6" customHeight="1" thickBot="1" x14ac:dyDescent="0.4">
      <c r="B9" s="11"/>
      <c r="C9" s="12"/>
      <c r="D9" s="12"/>
      <c r="E9" s="13"/>
      <c r="F9" s="14"/>
      <c r="G9" s="14"/>
      <c r="H9" s="14"/>
      <c r="I9" s="14"/>
      <c r="J9" s="14"/>
      <c r="K9" s="14"/>
      <c r="L9" s="14"/>
      <c r="M9" s="15"/>
    </row>
    <row r="10" spans="2:13" s="24" customFormat="1" ht="24.6" x14ac:dyDescent="0.3">
      <c r="B10" s="16" t="s">
        <v>7</v>
      </c>
      <c r="C10" s="17"/>
      <c r="D10" s="18" t="s">
        <v>8</v>
      </c>
      <c r="E10" s="19"/>
      <c r="F10" s="20"/>
      <c r="G10" s="20"/>
      <c r="H10" s="20"/>
      <c r="I10" s="20"/>
      <c r="J10" s="21" t="s">
        <v>107</v>
      </c>
      <c r="K10" s="17"/>
      <c r="L10" s="22"/>
      <c r="M10" s="23"/>
    </row>
    <row r="11" spans="2:13" ht="12" customHeight="1" x14ac:dyDescent="0.3">
      <c r="B11" s="10"/>
      <c r="C11" s="25"/>
      <c r="D11" s="26" t="s">
        <v>10</v>
      </c>
      <c r="E11" s="27"/>
      <c r="F11" s="25"/>
      <c r="G11" s="25"/>
      <c r="H11" s="25"/>
      <c r="I11" s="25"/>
      <c r="J11" s="28" t="s">
        <v>11</v>
      </c>
      <c r="K11" s="25"/>
      <c r="L11" s="29"/>
      <c r="M11" s="30"/>
    </row>
    <row r="12" spans="2:13" ht="12" customHeight="1" x14ac:dyDescent="0.3">
      <c r="B12" s="10"/>
      <c r="C12" s="25"/>
      <c r="D12" s="26" t="s">
        <v>12</v>
      </c>
      <c r="E12" s="27"/>
      <c r="F12" s="25"/>
      <c r="G12" s="25"/>
      <c r="H12" s="25"/>
      <c r="I12" s="25"/>
      <c r="J12" s="31"/>
      <c r="K12" s="25"/>
      <c r="L12" s="29"/>
      <c r="M12" s="30"/>
    </row>
    <row r="13" spans="2:13" ht="12" customHeight="1" x14ac:dyDescent="0.3">
      <c r="B13" s="10"/>
      <c r="C13" s="25"/>
      <c r="D13" s="26" t="s">
        <v>13</v>
      </c>
      <c r="E13" s="27"/>
      <c r="F13" s="25"/>
      <c r="G13" s="25"/>
      <c r="H13" s="25"/>
      <c r="I13" s="25"/>
      <c r="J13" s="31"/>
      <c r="K13" s="25"/>
      <c r="L13" s="29"/>
      <c r="M13" s="30"/>
    </row>
    <row r="14" spans="2:13" ht="12" customHeight="1" thickBot="1" x14ac:dyDescent="0.35">
      <c r="B14" s="10"/>
      <c r="C14" s="25"/>
      <c r="D14" s="26" t="s">
        <v>14</v>
      </c>
      <c r="E14" s="27"/>
      <c r="F14" s="25"/>
      <c r="G14" s="25"/>
      <c r="H14" s="25"/>
      <c r="I14" s="25"/>
      <c r="J14" s="31"/>
      <c r="K14" s="25"/>
      <c r="L14" s="29"/>
      <c r="M14" s="30"/>
    </row>
    <row r="15" spans="2:13" ht="19.5" customHeight="1" x14ac:dyDescent="0.25">
      <c r="B15" s="200" t="s">
        <v>15</v>
      </c>
      <c r="C15" s="201"/>
      <c r="D15" s="201"/>
      <c r="E15" s="201"/>
      <c r="F15" s="201"/>
      <c r="G15" s="201"/>
      <c r="H15" s="201"/>
      <c r="I15" s="201"/>
      <c r="J15" s="201"/>
      <c r="K15" s="201"/>
      <c r="L15" s="201"/>
      <c r="M15" s="202"/>
    </row>
    <row r="16" spans="2:13" s="24" customFormat="1" ht="30.6" customHeight="1" x14ac:dyDescent="0.3">
      <c r="B16" s="77" t="s">
        <v>16</v>
      </c>
      <c r="C16" s="75" t="s">
        <v>17</v>
      </c>
      <c r="D16" s="76" t="s">
        <v>18</v>
      </c>
      <c r="E16" s="75" t="s">
        <v>19</v>
      </c>
      <c r="F16" s="75" t="s">
        <v>20</v>
      </c>
      <c r="G16" s="75" t="s">
        <v>21</v>
      </c>
      <c r="H16" s="75" t="s">
        <v>22</v>
      </c>
      <c r="I16" s="75" t="s">
        <v>23</v>
      </c>
      <c r="J16" s="75" t="s">
        <v>24</v>
      </c>
      <c r="K16" s="75" t="s">
        <v>25</v>
      </c>
      <c r="L16" s="75" t="s">
        <v>26</v>
      </c>
      <c r="M16" s="78" t="s">
        <v>27</v>
      </c>
    </row>
    <row r="17" spans="2:13" s="24" customFormat="1" ht="16.95" customHeight="1" x14ac:dyDescent="0.3">
      <c r="B17" s="36">
        <v>1</v>
      </c>
      <c r="C17" s="66" t="s">
        <v>70</v>
      </c>
      <c r="D17" s="67" t="s">
        <v>29</v>
      </c>
      <c r="E17" s="68" t="s">
        <v>33</v>
      </c>
      <c r="F17" s="45">
        <v>40</v>
      </c>
      <c r="G17" s="47">
        <v>1612</v>
      </c>
      <c r="H17" s="41">
        <f>G17*F17</f>
        <v>64480</v>
      </c>
      <c r="I17" s="42">
        <v>0.1</v>
      </c>
      <c r="J17" s="41">
        <f>H17*I17</f>
        <v>6448</v>
      </c>
      <c r="K17" s="43">
        <v>0.18</v>
      </c>
      <c r="L17" s="41">
        <f t="shared" ref="L17:L59" si="0">(H17-J17)*K17</f>
        <v>10445.76</v>
      </c>
      <c r="M17" s="44">
        <f t="shared" ref="M17:M59" si="1">H17-J17+L17</f>
        <v>68477.759999999995</v>
      </c>
    </row>
    <row r="18" spans="2:13" s="24" customFormat="1" ht="16.95" customHeight="1" x14ac:dyDescent="0.3">
      <c r="B18" s="36">
        <v>2</v>
      </c>
      <c r="C18" s="66" t="s">
        <v>31</v>
      </c>
      <c r="D18" s="67" t="s">
        <v>32</v>
      </c>
      <c r="E18" s="68" t="s">
        <v>33</v>
      </c>
      <c r="F18" s="45">
        <v>20</v>
      </c>
      <c r="G18" s="47">
        <v>2852</v>
      </c>
      <c r="H18" s="41">
        <f t="shared" ref="H18:H62" si="2">G18*F18</f>
        <v>57040</v>
      </c>
      <c r="I18" s="42">
        <v>0.1</v>
      </c>
      <c r="J18" s="41">
        <f t="shared" ref="J18:J59" si="3">H18*I18</f>
        <v>5704</v>
      </c>
      <c r="K18" s="43">
        <v>0.18</v>
      </c>
      <c r="L18" s="41">
        <f t="shared" si="0"/>
        <v>9240.48</v>
      </c>
      <c r="M18" s="44">
        <f t="shared" si="1"/>
        <v>60576.479999999996</v>
      </c>
    </row>
    <row r="19" spans="2:13" s="24" customFormat="1" ht="16.95" customHeight="1" x14ac:dyDescent="0.3">
      <c r="B19" s="36">
        <v>3</v>
      </c>
      <c r="C19" s="66" t="s">
        <v>34</v>
      </c>
      <c r="D19" s="67" t="s">
        <v>32</v>
      </c>
      <c r="E19" s="68" t="s">
        <v>35</v>
      </c>
      <c r="F19" s="45">
        <v>20</v>
      </c>
      <c r="G19" s="47">
        <v>4699</v>
      </c>
      <c r="H19" s="41">
        <f t="shared" si="2"/>
        <v>93980</v>
      </c>
      <c r="I19" s="42">
        <v>0.1</v>
      </c>
      <c r="J19" s="41">
        <f t="shared" si="3"/>
        <v>9398</v>
      </c>
      <c r="K19" s="43">
        <v>0.18</v>
      </c>
      <c r="L19" s="41">
        <f t="shared" si="0"/>
        <v>15224.76</v>
      </c>
      <c r="M19" s="44">
        <f t="shared" si="1"/>
        <v>99806.76</v>
      </c>
    </row>
    <row r="20" spans="2:13" s="24" customFormat="1" ht="16.95" customHeight="1" x14ac:dyDescent="0.3">
      <c r="B20" s="36">
        <v>4</v>
      </c>
      <c r="C20" s="66" t="s">
        <v>71</v>
      </c>
      <c r="D20" s="67" t="s">
        <v>92</v>
      </c>
      <c r="E20" s="68" t="s">
        <v>30</v>
      </c>
      <c r="F20" s="45">
        <v>20</v>
      </c>
      <c r="G20" s="47">
        <v>684</v>
      </c>
      <c r="H20" s="41">
        <f t="shared" si="2"/>
        <v>13680</v>
      </c>
      <c r="I20" s="42">
        <v>0.1</v>
      </c>
      <c r="J20" s="41">
        <f t="shared" si="3"/>
        <v>1368</v>
      </c>
      <c r="K20" s="43">
        <v>0.18</v>
      </c>
      <c r="L20" s="41">
        <f t="shared" si="0"/>
        <v>2216.16</v>
      </c>
      <c r="M20" s="44">
        <f t="shared" si="1"/>
        <v>14528.16</v>
      </c>
    </row>
    <row r="21" spans="2:13" s="24" customFormat="1" ht="16.95" customHeight="1" x14ac:dyDescent="0.3">
      <c r="B21" s="36">
        <v>5</v>
      </c>
      <c r="C21" s="66" t="s">
        <v>73</v>
      </c>
      <c r="D21" s="67" t="s">
        <v>92</v>
      </c>
      <c r="E21" s="68" t="s">
        <v>30</v>
      </c>
      <c r="F21" s="45">
        <v>20</v>
      </c>
      <c r="G21" s="47">
        <v>788</v>
      </c>
      <c r="H21" s="41">
        <f t="shared" si="2"/>
        <v>15760</v>
      </c>
      <c r="I21" s="42">
        <v>0.1</v>
      </c>
      <c r="J21" s="41">
        <f t="shared" si="3"/>
        <v>1576</v>
      </c>
      <c r="K21" s="43">
        <v>0.18</v>
      </c>
      <c r="L21" s="41">
        <f t="shared" si="0"/>
        <v>2553.12</v>
      </c>
      <c r="M21" s="44">
        <f t="shared" si="1"/>
        <v>16737.12</v>
      </c>
    </row>
    <row r="22" spans="2:13" s="24" customFormat="1" ht="16.95" customHeight="1" x14ac:dyDescent="0.3">
      <c r="B22" s="36">
        <v>6</v>
      </c>
      <c r="C22" s="66" t="s">
        <v>75</v>
      </c>
      <c r="D22" s="67" t="s">
        <v>92</v>
      </c>
      <c r="E22" s="68" t="s">
        <v>39</v>
      </c>
      <c r="F22" s="45">
        <v>20</v>
      </c>
      <c r="G22" s="47">
        <v>556</v>
      </c>
      <c r="H22" s="41">
        <f t="shared" si="2"/>
        <v>11120</v>
      </c>
      <c r="I22" s="42">
        <v>0.1</v>
      </c>
      <c r="J22" s="41">
        <f t="shared" si="3"/>
        <v>1112</v>
      </c>
      <c r="K22" s="43">
        <v>0.18</v>
      </c>
      <c r="L22" s="41">
        <f t="shared" si="0"/>
        <v>1801.4399999999998</v>
      </c>
      <c r="M22" s="44">
        <f t="shared" si="1"/>
        <v>11809.44</v>
      </c>
    </row>
    <row r="23" spans="2:13" s="24" customFormat="1" ht="16.95" customHeight="1" x14ac:dyDescent="0.3">
      <c r="B23" s="36">
        <v>7</v>
      </c>
      <c r="C23" s="66" t="s">
        <v>76</v>
      </c>
      <c r="D23" s="67" t="s">
        <v>93</v>
      </c>
      <c r="E23" s="68" t="s">
        <v>77</v>
      </c>
      <c r="F23" s="45">
        <v>10</v>
      </c>
      <c r="G23" s="47">
        <v>1488</v>
      </c>
      <c r="H23" s="41">
        <f t="shared" si="2"/>
        <v>14880</v>
      </c>
      <c r="I23" s="42">
        <v>0.1</v>
      </c>
      <c r="J23" s="41">
        <f t="shared" si="3"/>
        <v>1488</v>
      </c>
      <c r="K23" s="43">
        <v>0.18</v>
      </c>
      <c r="L23" s="41">
        <f t="shared" si="0"/>
        <v>2410.56</v>
      </c>
      <c r="M23" s="44">
        <f t="shared" si="1"/>
        <v>15802.56</v>
      </c>
    </row>
    <row r="24" spans="2:13" s="24" customFormat="1" ht="16.95" customHeight="1" x14ac:dyDescent="0.3">
      <c r="B24" s="36">
        <v>8</v>
      </c>
      <c r="C24" s="66" t="s">
        <v>78</v>
      </c>
      <c r="D24" s="67" t="s">
        <v>94</v>
      </c>
      <c r="E24" s="68" t="s">
        <v>79</v>
      </c>
      <c r="F24" s="45">
        <v>10</v>
      </c>
      <c r="G24" s="47">
        <v>1010</v>
      </c>
      <c r="H24" s="41">
        <f t="shared" si="2"/>
        <v>10100</v>
      </c>
      <c r="I24" s="42">
        <v>0.1</v>
      </c>
      <c r="J24" s="41">
        <f t="shared" si="3"/>
        <v>1010</v>
      </c>
      <c r="K24" s="43">
        <v>0.18</v>
      </c>
      <c r="L24" s="41">
        <f t="shared" si="0"/>
        <v>1636.2</v>
      </c>
      <c r="M24" s="44">
        <f t="shared" si="1"/>
        <v>10726.2</v>
      </c>
    </row>
    <row r="25" spans="2:13" s="24" customFormat="1" ht="16.95" customHeight="1" x14ac:dyDescent="0.3">
      <c r="B25" s="36">
        <v>9</v>
      </c>
      <c r="C25" s="66" t="s">
        <v>58</v>
      </c>
      <c r="D25" s="67" t="s">
        <v>29</v>
      </c>
      <c r="E25" s="68" t="s">
        <v>39</v>
      </c>
      <c r="F25" s="45">
        <v>8</v>
      </c>
      <c r="G25" s="47">
        <v>1364</v>
      </c>
      <c r="H25" s="41">
        <f t="shared" si="2"/>
        <v>10912</v>
      </c>
      <c r="I25" s="42">
        <v>0.1</v>
      </c>
      <c r="J25" s="41">
        <f t="shared" si="3"/>
        <v>1091.2</v>
      </c>
      <c r="K25" s="43">
        <v>0.18</v>
      </c>
      <c r="L25" s="41">
        <f t="shared" si="0"/>
        <v>1767.7439999999999</v>
      </c>
      <c r="M25" s="44">
        <f t="shared" si="1"/>
        <v>11588.544</v>
      </c>
    </row>
    <row r="26" spans="2:13" s="24" customFormat="1" ht="16.95" customHeight="1" x14ac:dyDescent="0.3">
      <c r="B26" s="36">
        <v>10</v>
      </c>
      <c r="C26" s="66" t="s">
        <v>59</v>
      </c>
      <c r="D26" s="67" t="s">
        <v>32</v>
      </c>
      <c r="E26" s="68" t="s">
        <v>39</v>
      </c>
      <c r="F26" s="45">
        <v>4</v>
      </c>
      <c r="G26" s="47">
        <v>4181</v>
      </c>
      <c r="H26" s="41">
        <f t="shared" si="2"/>
        <v>16724</v>
      </c>
      <c r="I26" s="42">
        <v>0.1</v>
      </c>
      <c r="J26" s="41">
        <f t="shared" si="3"/>
        <v>1672.4</v>
      </c>
      <c r="K26" s="43">
        <v>0.18</v>
      </c>
      <c r="L26" s="41">
        <f t="shared" si="0"/>
        <v>2709.288</v>
      </c>
      <c r="M26" s="44">
        <f t="shared" si="1"/>
        <v>17760.887999999999</v>
      </c>
    </row>
    <row r="27" spans="2:13" s="24" customFormat="1" ht="16.95" customHeight="1" x14ac:dyDescent="0.3">
      <c r="B27" s="36">
        <v>11</v>
      </c>
      <c r="C27" s="66" t="s">
        <v>61</v>
      </c>
      <c r="D27" s="67" t="s">
        <v>32</v>
      </c>
      <c r="E27" s="68" t="s">
        <v>33</v>
      </c>
      <c r="F27" s="45">
        <v>4</v>
      </c>
      <c r="G27" s="47">
        <v>4028</v>
      </c>
      <c r="H27" s="41">
        <f t="shared" si="2"/>
        <v>16112</v>
      </c>
      <c r="I27" s="42">
        <v>0.1</v>
      </c>
      <c r="J27" s="41">
        <f t="shared" si="3"/>
        <v>1611.2</v>
      </c>
      <c r="K27" s="43">
        <v>0.18</v>
      </c>
      <c r="L27" s="41">
        <f t="shared" si="0"/>
        <v>2610.1439999999998</v>
      </c>
      <c r="M27" s="44">
        <f t="shared" si="1"/>
        <v>17110.944</v>
      </c>
    </row>
    <row r="28" spans="2:13" s="24" customFormat="1" ht="16.95" customHeight="1" x14ac:dyDescent="0.3">
      <c r="B28" s="36">
        <v>12</v>
      </c>
      <c r="C28" s="66" t="s">
        <v>63</v>
      </c>
      <c r="D28" s="67" t="s">
        <v>32</v>
      </c>
      <c r="E28" s="68" t="s">
        <v>35</v>
      </c>
      <c r="F28" s="45">
        <v>4</v>
      </c>
      <c r="G28" s="47">
        <v>3761</v>
      </c>
      <c r="H28" s="41">
        <f t="shared" si="2"/>
        <v>15044</v>
      </c>
      <c r="I28" s="42">
        <v>0.1</v>
      </c>
      <c r="J28" s="41">
        <f t="shared" si="3"/>
        <v>1504.4</v>
      </c>
      <c r="K28" s="43">
        <v>0.18</v>
      </c>
      <c r="L28" s="41">
        <f t="shared" si="0"/>
        <v>2437.1280000000002</v>
      </c>
      <c r="M28" s="44">
        <f t="shared" si="1"/>
        <v>15976.728000000001</v>
      </c>
    </row>
    <row r="29" spans="2:13" s="24" customFormat="1" ht="16.95" customHeight="1" x14ac:dyDescent="0.3">
      <c r="B29" s="36">
        <v>13</v>
      </c>
      <c r="C29" s="66" t="s">
        <v>66</v>
      </c>
      <c r="D29" s="67" t="s">
        <v>67</v>
      </c>
      <c r="E29" s="68" t="s">
        <v>39</v>
      </c>
      <c r="F29" s="45">
        <v>4</v>
      </c>
      <c r="G29" s="47">
        <v>12114</v>
      </c>
      <c r="H29" s="41">
        <f t="shared" si="2"/>
        <v>48456</v>
      </c>
      <c r="I29" s="42">
        <v>0.1</v>
      </c>
      <c r="J29" s="41">
        <f t="shared" si="3"/>
        <v>4845.6000000000004</v>
      </c>
      <c r="K29" s="43">
        <v>0.18</v>
      </c>
      <c r="L29" s="41">
        <f t="shared" si="0"/>
        <v>7849.8720000000003</v>
      </c>
      <c r="M29" s="44">
        <f t="shared" si="1"/>
        <v>51460.272000000004</v>
      </c>
    </row>
    <row r="30" spans="2:13" s="24" customFormat="1" ht="16.95" customHeight="1" x14ac:dyDescent="0.3">
      <c r="B30" s="36">
        <v>14</v>
      </c>
      <c r="C30" s="66" t="s">
        <v>49</v>
      </c>
      <c r="D30" s="67" t="s">
        <v>92</v>
      </c>
      <c r="E30" s="68" t="s">
        <v>39</v>
      </c>
      <c r="F30" s="45">
        <v>4</v>
      </c>
      <c r="G30" s="47">
        <v>1984</v>
      </c>
      <c r="H30" s="41">
        <f t="shared" si="2"/>
        <v>7936</v>
      </c>
      <c r="I30" s="42">
        <v>0.1</v>
      </c>
      <c r="J30" s="41">
        <f t="shared" si="3"/>
        <v>793.6</v>
      </c>
      <c r="K30" s="43">
        <v>0.18</v>
      </c>
      <c r="L30" s="41">
        <f t="shared" si="0"/>
        <v>1285.6319999999998</v>
      </c>
      <c r="M30" s="44">
        <f t="shared" si="1"/>
        <v>8428.0319999999992</v>
      </c>
    </row>
    <row r="31" spans="2:13" s="24" customFormat="1" ht="16.95" customHeight="1" x14ac:dyDescent="0.3">
      <c r="B31" s="36">
        <v>15</v>
      </c>
      <c r="C31" s="66" t="s">
        <v>68</v>
      </c>
      <c r="D31" s="67" t="s">
        <v>95</v>
      </c>
      <c r="E31" s="68" t="s">
        <v>39</v>
      </c>
      <c r="F31" s="45">
        <v>8</v>
      </c>
      <c r="G31" s="47">
        <v>1271</v>
      </c>
      <c r="H31" s="41">
        <f t="shared" si="2"/>
        <v>10168</v>
      </c>
      <c r="I31" s="42">
        <v>0.1</v>
      </c>
      <c r="J31" s="41">
        <f t="shared" si="3"/>
        <v>1016.8000000000001</v>
      </c>
      <c r="K31" s="43">
        <v>0.18</v>
      </c>
      <c r="L31" s="41">
        <f t="shared" si="0"/>
        <v>1647.2160000000001</v>
      </c>
      <c r="M31" s="44">
        <f t="shared" si="1"/>
        <v>10798.416000000001</v>
      </c>
    </row>
    <row r="32" spans="2:13" s="24" customFormat="1" ht="16.95" customHeight="1" x14ac:dyDescent="0.3">
      <c r="B32" s="36">
        <v>16</v>
      </c>
      <c r="C32" s="66" t="s">
        <v>46</v>
      </c>
      <c r="D32" s="67" t="s">
        <v>92</v>
      </c>
      <c r="E32" s="68" t="s">
        <v>39</v>
      </c>
      <c r="F32" s="45">
        <v>4</v>
      </c>
      <c r="G32" s="47">
        <v>6887</v>
      </c>
      <c r="H32" s="41">
        <f t="shared" si="2"/>
        <v>27548</v>
      </c>
      <c r="I32" s="42">
        <v>0.1</v>
      </c>
      <c r="J32" s="41">
        <f t="shared" si="3"/>
        <v>2754.8</v>
      </c>
      <c r="K32" s="43">
        <v>0.18</v>
      </c>
      <c r="L32" s="41">
        <f t="shared" si="0"/>
        <v>4462.7759999999998</v>
      </c>
      <c r="M32" s="44">
        <f t="shared" si="1"/>
        <v>29255.976000000002</v>
      </c>
    </row>
    <row r="33" spans="2:13" s="24" customFormat="1" ht="16.95" customHeight="1" x14ac:dyDescent="0.3">
      <c r="B33" s="36">
        <v>17</v>
      </c>
      <c r="C33" s="68" t="s">
        <v>50</v>
      </c>
      <c r="D33" s="67" t="s">
        <v>92</v>
      </c>
      <c r="E33" s="68" t="s">
        <v>33</v>
      </c>
      <c r="F33" s="45">
        <v>4</v>
      </c>
      <c r="G33" s="47">
        <v>7722</v>
      </c>
      <c r="H33" s="41">
        <f t="shared" si="2"/>
        <v>30888</v>
      </c>
      <c r="I33" s="42">
        <v>0.1</v>
      </c>
      <c r="J33" s="41">
        <f t="shared" si="3"/>
        <v>3088.8</v>
      </c>
      <c r="K33" s="43">
        <v>0.18</v>
      </c>
      <c r="L33" s="41">
        <f t="shared" si="0"/>
        <v>5003.8559999999998</v>
      </c>
      <c r="M33" s="44">
        <f t="shared" si="1"/>
        <v>32803.055999999997</v>
      </c>
    </row>
    <row r="34" spans="2:13" s="24" customFormat="1" ht="16.95" customHeight="1" x14ac:dyDescent="0.3">
      <c r="B34" s="36">
        <v>18</v>
      </c>
      <c r="C34" s="66" t="s">
        <v>65</v>
      </c>
      <c r="D34" s="67" t="s">
        <v>96</v>
      </c>
      <c r="E34" s="68" t="s">
        <v>35</v>
      </c>
      <c r="F34" s="45">
        <v>4</v>
      </c>
      <c r="G34" s="47">
        <v>6395</v>
      </c>
      <c r="H34" s="41">
        <f t="shared" si="2"/>
        <v>25580</v>
      </c>
      <c r="I34" s="42">
        <v>0.1</v>
      </c>
      <c r="J34" s="41">
        <f t="shared" si="3"/>
        <v>2558</v>
      </c>
      <c r="K34" s="43">
        <v>0.18</v>
      </c>
      <c r="L34" s="41">
        <f t="shared" si="0"/>
        <v>4143.96</v>
      </c>
      <c r="M34" s="44">
        <f t="shared" si="1"/>
        <v>27165.96</v>
      </c>
    </row>
    <row r="35" spans="2:13" s="24" customFormat="1" ht="16.95" customHeight="1" x14ac:dyDescent="0.3">
      <c r="B35" s="36">
        <v>19</v>
      </c>
      <c r="C35" s="66" t="s">
        <v>42</v>
      </c>
      <c r="D35" s="67" t="s">
        <v>29</v>
      </c>
      <c r="E35" s="68" t="s">
        <v>30</v>
      </c>
      <c r="F35" s="45">
        <v>40</v>
      </c>
      <c r="G35" s="47">
        <v>388</v>
      </c>
      <c r="H35" s="41">
        <f t="shared" si="2"/>
        <v>15520</v>
      </c>
      <c r="I35" s="42">
        <v>0.1</v>
      </c>
      <c r="J35" s="41">
        <f t="shared" si="3"/>
        <v>1552</v>
      </c>
      <c r="K35" s="43">
        <v>0.18</v>
      </c>
      <c r="L35" s="41">
        <f t="shared" si="0"/>
        <v>2514.2399999999998</v>
      </c>
      <c r="M35" s="44">
        <f t="shared" si="1"/>
        <v>16482.239999999998</v>
      </c>
    </row>
    <row r="36" spans="2:13" s="24" customFormat="1" ht="16.95" customHeight="1" x14ac:dyDescent="0.3">
      <c r="B36" s="36">
        <v>20</v>
      </c>
      <c r="C36" s="66" t="s">
        <v>45</v>
      </c>
      <c r="D36" s="67" t="s">
        <v>32</v>
      </c>
      <c r="E36" s="68" t="s">
        <v>30</v>
      </c>
      <c r="F36" s="45">
        <v>40</v>
      </c>
      <c r="G36" s="47">
        <v>1398</v>
      </c>
      <c r="H36" s="41">
        <f t="shared" si="2"/>
        <v>55920</v>
      </c>
      <c r="I36" s="42">
        <v>0.1</v>
      </c>
      <c r="J36" s="41">
        <f t="shared" si="3"/>
        <v>5592</v>
      </c>
      <c r="K36" s="43">
        <v>0.18</v>
      </c>
      <c r="L36" s="41">
        <f t="shared" si="0"/>
        <v>9059.0399999999991</v>
      </c>
      <c r="M36" s="44">
        <f t="shared" si="1"/>
        <v>59387.040000000001</v>
      </c>
    </row>
    <row r="37" spans="2:13" s="24" customFormat="1" ht="16.95" customHeight="1" x14ac:dyDescent="0.3">
      <c r="B37" s="36">
        <v>21</v>
      </c>
      <c r="C37" s="66" t="s">
        <v>43</v>
      </c>
      <c r="D37" s="67" t="s">
        <v>32</v>
      </c>
      <c r="E37" s="68" t="s">
        <v>30</v>
      </c>
      <c r="F37" s="45">
        <v>40</v>
      </c>
      <c r="G37" s="47">
        <v>1545</v>
      </c>
      <c r="H37" s="41">
        <f t="shared" si="2"/>
        <v>61800</v>
      </c>
      <c r="I37" s="42">
        <v>0.1</v>
      </c>
      <c r="J37" s="41">
        <f t="shared" si="3"/>
        <v>6180</v>
      </c>
      <c r="K37" s="43">
        <v>0.18</v>
      </c>
      <c r="L37" s="41">
        <f t="shared" si="0"/>
        <v>10011.6</v>
      </c>
      <c r="M37" s="44">
        <f t="shared" si="1"/>
        <v>65631.600000000006</v>
      </c>
    </row>
    <row r="38" spans="2:13" s="24" customFormat="1" ht="16.95" customHeight="1" x14ac:dyDescent="0.3">
      <c r="B38" s="36">
        <v>22</v>
      </c>
      <c r="C38" s="66" t="s">
        <v>53</v>
      </c>
      <c r="D38" s="67" t="s">
        <v>93</v>
      </c>
      <c r="E38" s="68" t="s">
        <v>55</v>
      </c>
      <c r="F38" s="45">
        <v>20</v>
      </c>
      <c r="G38" s="47">
        <v>2951</v>
      </c>
      <c r="H38" s="41">
        <f t="shared" si="2"/>
        <v>59020</v>
      </c>
      <c r="I38" s="42">
        <v>0.1</v>
      </c>
      <c r="J38" s="41">
        <f t="shared" si="3"/>
        <v>5902</v>
      </c>
      <c r="K38" s="43">
        <v>0.18</v>
      </c>
      <c r="L38" s="41">
        <f t="shared" si="0"/>
        <v>9561.24</v>
      </c>
      <c r="M38" s="44">
        <f t="shared" si="1"/>
        <v>62679.24</v>
      </c>
    </row>
    <row r="39" spans="2:13" s="24" customFormat="1" ht="16.95" customHeight="1" x14ac:dyDescent="0.3">
      <c r="B39" s="36">
        <v>23</v>
      </c>
      <c r="C39" s="66" t="s">
        <v>56</v>
      </c>
      <c r="D39" s="67" t="s">
        <v>94</v>
      </c>
      <c r="E39" s="68" t="s">
        <v>55</v>
      </c>
      <c r="F39" s="45">
        <v>20</v>
      </c>
      <c r="G39" s="47">
        <v>1228</v>
      </c>
      <c r="H39" s="41">
        <f t="shared" si="2"/>
        <v>24560</v>
      </c>
      <c r="I39" s="42">
        <v>0.1</v>
      </c>
      <c r="J39" s="41">
        <f t="shared" si="3"/>
        <v>2456</v>
      </c>
      <c r="K39" s="43">
        <v>0.18</v>
      </c>
      <c r="L39" s="41">
        <f t="shared" si="0"/>
        <v>3978.72</v>
      </c>
      <c r="M39" s="44">
        <f t="shared" si="1"/>
        <v>26082.720000000001</v>
      </c>
    </row>
    <row r="40" spans="2:13" s="24" customFormat="1" ht="16.95" customHeight="1" x14ac:dyDescent="0.3">
      <c r="B40" s="36">
        <v>24</v>
      </c>
      <c r="C40" s="66" t="s">
        <v>46</v>
      </c>
      <c r="D40" s="67" t="s">
        <v>92</v>
      </c>
      <c r="E40" s="68" t="s">
        <v>39</v>
      </c>
      <c r="F40" s="45">
        <v>10</v>
      </c>
      <c r="G40" s="47">
        <v>6887</v>
      </c>
      <c r="H40" s="41">
        <f t="shared" si="2"/>
        <v>68870</v>
      </c>
      <c r="I40" s="42">
        <v>0.1</v>
      </c>
      <c r="J40" s="41">
        <f t="shared" si="3"/>
        <v>6887</v>
      </c>
      <c r="K40" s="43">
        <v>0.18</v>
      </c>
      <c r="L40" s="41">
        <f t="shared" si="0"/>
        <v>11156.939999999999</v>
      </c>
      <c r="M40" s="44">
        <f t="shared" si="1"/>
        <v>73139.94</v>
      </c>
    </row>
    <row r="41" spans="2:13" s="24" customFormat="1" ht="16.95" customHeight="1" x14ac:dyDescent="0.3">
      <c r="B41" s="36">
        <v>25</v>
      </c>
      <c r="C41" s="66" t="s">
        <v>49</v>
      </c>
      <c r="D41" s="67" t="s">
        <v>92</v>
      </c>
      <c r="E41" s="68" t="s">
        <v>39</v>
      </c>
      <c r="F41" s="45">
        <v>10</v>
      </c>
      <c r="G41" s="47">
        <v>1984</v>
      </c>
      <c r="H41" s="41">
        <f t="shared" si="2"/>
        <v>19840</v>
      </c>
      <c r="I41" s="42">
        <v>0.1</v>
      </c>
      <c r="J41" s="41">
        <f t="shared" si="3"/>
        <v>1984</v>
      </c>
      <c r="K41" s="43">
        <v>0.18</v>
      </c>
      <c r="L41" s="41">
        <f t="shared" si="0"/>
        <v>3214.08</v>
      </c>
      <c r="M41" s="44">
        <f t="shared" si="1"/>
        <v>21070.080000000002</v>
      </c>
    </row>
    <row r="42" spans="2:13" s="24" customFormat="1" ht="16.95" customHeight="1" x14ac:dyDescent="0.3">
      <c r="B42" s="36">
        <v>26</v>
      </c>
      <c r="C42" s="68" t="s">
        <v>47</v>
      </c>
      <c r="D42" s="67" t="s">
        <v>96</v>
      </c>
      <c r="E42" s="68" t="s">
        <v>35</v>
      </c>
      <c r="F42" s="45">
        <v>10</v>
      </c>
      <c r="G42" s="47">
        <v>6798</v>
      </c>
      <c r="H42" s="41">
        <f t="shared" si="2"/>
        <v>67980</v>
      </c>
      <c r="I42" s="42">
        <v>0.1</v>
      </c>
      <c r="J42" s="41">
        <f t="shared" si="3"/>
        <v>6798</v>
      </c>
      <c r="K42" s="43">
        <v>0.18</v>
      </c>
      <c r="L42" s="41">
        <f t="shared" si="0"/>
        <v>11012.76</v>
      </c>
      <c r="M42" s="44">
        <f t="shared" si="1"/>
        <v>72194.759999999995</v>
      </c>
    </row>
    <row r="43" spans="2:13" s="24" customFormat="1" ht="16.95" customHeight="1" x14ac:dyDescent="0.3">
      <c r="B43" s="36">
        <v>27</v>
      </c>
      <c r="C43" s="66" t="s">
        <v>85</v>
      </c>
      <c r="D43" s="67" t="s">
        <v>29</v>
      </c>
      <c r="E43" s="69" t="s">
        <v>30</v>
      </c>
      <c r="F43" s="45">
        <v>40</v>
      </c>
      <c r="G43" s="47" t="s">
        <v>74</v>
      </c>
      <c r="H43" s="41" t="s">
        <v>74</v>
      </c>
      <c r="I43" s="47" t="s">
        <v>74</v>
      </c>
      <c r="J43" s="47" t="s">
        <v>74</v>
      </c>
      <c r="K43" s="47" t="s">
        <v>74</v>
      </c>
      <c r="L43" s="47" t="s">
        <v>74</v>
      </c>
      <c r="M43" s="50" t="s">
        <v>74</v>
      </c>
    </row>
    <row r="44" spans="2:13" s="24" customFormat="1" ht="16.95" customHeight="1" x14ac:dyDescent="0.3">
      <c r="B44" s="36">
        <v>28</v>
      </c>
      <c r="C44" s="66" t="s">
        <v>81</v>
      </c>
      <c r="D44" s="67" t="s">
        <v>32</v>
      </c>
      <c r="E44" s="68" t="s">
        <v>39</v>
      </c>
      <c r="F44" s="45">
        <v>20</v>
      </c>
      <c r="G44" s="47">
        <v>1678</v>
      </c>
      <c r="H44" s="41">
        <f t="shared" si="2"/>
        <v>33560</v>
      </c>
      <c r="I44" s="42">
        <v>0.1</v>
      </c>
      <c r="J44" s="41">
        <f t="shared" si="3"/>
        <v>3356</v>
      </c>
      <c r="K44" s="43">
        <v>0.18</v>
      </c>
      <c r="L44" s="41">
        <f t="shared" si="0"/>
        <v>5436.7199999999993</v>
      </c>
      <c r="M44" s="44">
        <f t="shared" si="1"/>
        <v>35640.720000000001</v>
      </c>
    </row>
    <row r="45" spans="2:13" s="24" customFormat="1" ht="16.95" customHeight="1" x14ac:dyDescent="0.3">
      <c r="B45" s="36">
        <v>29</v>
      </c>
      <c r="C45" s="66" t="s">
        <v>84</v>
      </c>
      <c r="D45" s="67" t="s">
        <v>97</v>
      </c>
      <c r="E45" s="68" t="s">
        <v>33</v>
      </c>
      <c r="F45" s="45">
        <v>20</v>
      </c>
      <c r="G45" s="47">
        <v>1052</v>
      </c>
      <c r="H45" s="41">
        <f t="shared" si="2"/>
        <v>21040</v>
      </c>
      <c r="I45" s="42">
        <v>0.1</v>
      </c>
      <c r="J45" s="41">
        <f t="shared" si="3"/>
        <v>2104</v>
      </c>
      <c r="K45" s="43">
        <v>0.18</v>
      </c>
      <c r="L45" s="41">
        <f t="shared" si="0"/>
        <v>3408.48</v>
      </c>
      <c r="M45" s="44">
        <f t="shared" si="1"/>
        <v>22344.48</v>
      </c>
    </row>
    <row r="46" spans="2:13" s="24" customFormat="1" ht="16.95" customHeight="1" x14ac:dyDescent="0.3">
      <c r="B46" s="36">
        <v>30</v>
      </c>
      <c r="C46" s="66" t="s">
        <v>83</v>
      </c>
      <c r="D46" s="67" t="s">
        <v>92</v>
      </c>
      <c r="E46" s="68" t="s">
        <v>39</v>
      </c>
      <c r="F46" s="45">
        <v>20</v>
      </c>
      <c r="G46" s="47">
        <v>3505</v>
      </c>
      <c r="H46" s="41">
        <f t="shared" si="2"/>
        <v>70100</v>
      </c>
      <c r="I46" s="42">
        <v>0.1</v>
      </c>
      <c r="J46" s="41">
        <f t="shared" si="3"/>
        <v>7010</v>
      </c>
      <c r="K46" s="43">
        <v>0.18</v>
      </c>
      <c r="L46" s="41">
        <f t="shared" si="0"/>
        <v>11356.199999999999</v>
      </c>
      <c r="M46" s="44">
        <f t="shared" si="1"/>
        <v>74446.2</v>
      </c>
    </row>
    <row r="47" spans="2:13" s="24" customFormat="1" ht="16.95" customHeight="1" x14ac:dyDescent="0.3">
      <c r="B47" s="36">
        <v>31</v>
      </c>
      <c r="C47" s="66" t="s">
        <v>80</v>
      </c>
      <c r="D47" s="67" t="s">
        <v>29</v>
      </c>
      <c r="E47" s="69" t="s">
        <v>30</v>
      </c>
      <c r="F47" s="45">
        <v>8</v>
      </c>
      <c r="G47" s="47" t="s">
        <v>74</v>
      </c>
      <c r="H47" s="41" t="s">
        <v>74</v>
      </c>
      <c r="I47" s="39" t="s">
        <v>74</v>
      </c>
      <c r="J47" s="39" t="s">
        <v>74</v>
      </c>
      <c r="K47" s="39" t="s">
        <v>74</v>
      </c>
      <c r="L47" s="39" t="s">
        <v>74</v>
      </c>
      <c r="M47" s="49" t="s">
        <v>74</v>
      </c>
    </row>
    <row r="48" spans="2:13" s="24" customFormat="1" ht="16.95" customHeight="1" x14ac:dyDescent="0.3">
      <c r="B48" s="36">
        <v>32</v>
      </c>
      <c r="C48" s="66" t="s">
        <v>81</v>
      </c>
      <c r="D48" s="67" t="s">
        <v>32</v>
      </c>
      <c r="E48" s="68" t="s">
        <v>39</v>
      </c>
      <c r="F48" s="45">
        <v>4</v>
      </c>
      <c r="G48" s="47">
        <v>1678</v>
      </c>
      <c r="H48" s="41">
        <f t="shared" si="2"/>
        <v>6712</v>
      </c>
      <c r="I48" s="42">
        <v>0.1</v>
      </c>
      <c r="J48" s="41">
        <f t="shared" si="3"/>
        <v>671.2</v>
      </c>
      <c r="K48" s="43">
        <v>0.18</v>
      </c>
      <c r="L48" s="41">
        <f t="shared" si="0"/>
        <v>1087.3440000000001</v>
      </c>
      <c r="M48" s="44">
        <f t="shared" si="1"/>
        <v>7128.1440000000002</v>
      </c>
    </row>
    <row r="49" spans="2:13" s="24" customFormat="1" ht="16.95" customHeight="1" x14ac:dyDescent="0.3">
      <c r="B49" s="36">
        <v>33</v>
      </c>
      <c r="C49" s="66" t="s">
        <v>82</v>
      </c>
      <c r="D49" s="67" t="s">
        <v>32</v>
      </c>
      <c r="E49" s="68" t="s">
        <v>39</v>
      </c>
      <c r="F49" s="45">
        <v>4</v>
      </c>
      <c r="G49" s="47">
        <v>1273</v>
      </c>
      <c r="H49" s="41">
        <f t="shared" si="2"/>
        <v>5092</v>
      </c>
      <c r="I49" s="42">
        <v>0.1</v>
      </c>
      <c r="J49" s="41">
        <f t="shared" si="3"/>
        <v>509.20000000000005</v>
      </c>
      <c r="K49" s="43">
        <v>0.18</v>
      </c>
      <c r="L49" s="41">
        <f t="shared" si="0"/>
        <v>824.904</v>
      </c>
      <c r="M49" s="44">
        <f t="shared" si="1"/>
        <v>5407.7039999999997</v>
      </c>
    </row>
    <row r="50" spans="2:13" s="24" customFormat="1" ht="16.95" customHeight="1" x14ac:dyDescent="0.3">
      <c r="B50" s="36">
        <v>34</v>
      </c>
      <c r="C50" s="66" t="s">
        <v>84</v>
      </c>
      <c r="D50" s="67" t="s">
        <v>41</v>
      </c>
      <c r="E50" s="68" t="s">
        <v>33</v>
      </c>
      <c r="F50" s="45">
        <v>4</v>
      </c>
      <c r="G50" s="47">
        <v>1052</v>
      </c>
      <c r="H50" s="41">
        <f t="shared" si="2"/>
        <v>4208</v>
      </c>
      <c r="I50" s="42">
        <v>0.1</v>
      </c>
      <c r="J50" s="41">
        <f t="shared" si="3"/>
        <v>420.8</v>
      </c>
      <c r="K50" s="43">
        <v>0.18</v>
      </c>
      <c r="L50" s="41">
        <f t="shared" si="0"/>
        <v>681.69599999999991</v>
      </c>
      <c r="M50" s="44">
        <f t="shared" si="1"/>
        <v>4468.8959999999997</v>
      </c>
    </row>
    <row r="51" spans="2:13" s="24" customFormat="1" ht="16.95" customHeight="1" x14ac:dyDescent="0.3">
      <c r="B51" s="36">
        <v>35</v>
      </c>
      <c r="C51" s="66" t="s">
        <v>83</v>
      </c>
      <c r="D51" s="67" t="s">
        <v>92</v>
      </c>
      <c r="E51" s="68" t="s">
        <v>39</v>
      </c>
      <c r="F51" s="45">
        <v>4</v>
      </c>
      <c r="G51" s="47">
        <v>3505</v>
      </c>
      <c r="H51" s="41">
        <f t="shared" si="2"/>
        <v>14020</v>
      </c>
      <c r="I51" s="42">
        <v>0.1</v>
      </c>
      <c r="J51" s="41">
        <f t="shared" ref="J51" si="4">H51*I51</f>
        <v>1402</v>
      </c>
      <c r="K51" s="43">
        <v>0.18</v>
      </c>
      <c r="L51" s="41">
        <f t="shared" ref="L51" si="5">(H51-J51)*K51</f>
        <v>2271.2399999999998</v>
      </c>
      <c r="M51" s="44">
        <f t="shared" ref="M51" si="6">H51-J51+L51</f>
        <v>14889.24</v>
      </c>
    </row>
    <row r="52" spans="2:13" s="24" customFormat="1" ht="16.95" customHeight="1" x14ac:dyDescent="0.3">
      <c r="B52" s="36">
        <v>36</v>
      </c>
      <c r="C52" s="66" t="s">
        <v>28</v>
      </c>
      <c r="D52" s="67" t="s">
        <v>29</v>
      </c>
      <c r="E52" s="68" t="s">
        <v>30</v>
      </c>
      <c r="F52" s="45">
        <v>4</v>
      </c>
      <c r="G52" s="47">
        <v>457</v>
      </c>
      <c r="H52" s="41">
        <f t="shared" si="2"/>
        <v>1828</v>
      </c>
      <c r="I52" s="42">
        <v>0.1</v>
      </c>
      <c r="J52" s="41">
        <f t="shared" si="3"/>
        <v>182.8</v>
      </c>
      <c r="K52" s="43">
        <v>0.18</v>
      </c>
      <c r="L52" s="41">
        <f t="shared" si="0"/>
        <v>296.13600000000002</v>
      </c>
      <c r="M52" s="44">
        <f t="shared" si="1"/>
        <v>1941.336</v>
      </c>
    </row>
    <row r="53" spans="2:13" s="24" customFormat="1" ht="16.95" customHeight="1" x14ac:dyDescent="0.3">
      <c r="B53" s="36">
        <v>37</v>
      </c>
      <c r="C53" s="66" t="s">
        <v>31</v>
      </c>
      <c r="D53" s="67" t="s">
        <v>32</v>
      </c>
      <c r="E53" s="68" t="s">
        <v>33</v>
      </c>
      <c r="F53" s="45">
        <v>2</v>
      </c>
      <c r="G53" s="47">
        <v>2852</v>
      </c>
      <c r="H53" s="41">
        <f t="shared" si="2"/>
        <v>5704</v>
      </c>
      <c r="I53" s="42">
        <v>0.1</v>
      </c>
      <c r="J53" s="41">
        <f t="shared" si="3"/>
        <v>570.4</v>
      </c>
      <c r="K53" s="43">
        <v>0.18</v>
      </c>
      <c r="L53" s="41">
        <f t="shared" si="0"/>
        <v>924.048</v>
      </c>
      <c r="M53" s="44">
        <f t="shared" si="1"/>
        <v>6057.6480000000001</v>
      </c>
    </row>
    <row r="54" spans="2:13" s="24" customFormat="1" ht="16.95" customHeight="1" x14ac:dyDescent="0.3">
      <c r="B54" s="36">
        <v>38</v>
      </c>
      <c r="C54" s="66" t="s">
        <v>34</v>
      </c>
      <c r="D54" s="67" t="s">
        <v>32</v>
      </c>
      <c r="E54" s="68" t="s">
        <v>35</v>
      </c>
      <c r="F54" s="45">
        <v>2</v>
      </c>
      <c r="G54" s="47">
        <v>4699</v>
      </c>
      <c r="H54" s="41">
        <f t="shared" si="2"/>
        <v>9398</v>
      </c>
      <c r="I54" s="42">
        <v>0.1</v>
      </c>
      <c r="J54" s="41">
        <f t="shared" si="3"/>
        <v>939.80000000000007</v>
      </c>
      <c r="K54" s="43">
        <v>0.18</v>
      </c>
      <c r="L54" s="41">
        <f t="shared" si="0"/>
        <v>1522.4760000000001</v>
      </c>
      <c r="M54" s="44">
        <f t="shared" si="1"/>
        <v>9980.6760000000013</v>
      </c>
    </row>
    <row r="55" spans="2:13" s="24" customFormat="1" ht="16.95" customHeight="1" x14ac:dyDescent="0.3">
      <c r="B55" s="36">
        <v>39</v>
      </c>
      <c r="C55" s="66" t="s">
        <v>36</v>
      </c>
      <c r="D55" s="67" t="s">
        <v>92</v>
      </c>
      <c r="E55" s="68" t="s">
        <v>39</v>
      </c>
      <c r="F55" s="45">
        <v>2</v>
      </c>
      <c r="G55" s="47">
        <v>3439</v>
      </c>
      <c r="H55" s="41">
        <f t="shared" si="2"/>
        <v>6878</v>
      </c>
      <c r="I55" s="42">
        <v>0.1</v>
      </c>
      <c r="J55" s="41">
        <f t="shared" si="3"/>
        <v>687.80000000000007</v>
      </c>
      <c r="K55" s="43">
        <v>0.18</v>
      </c>
      <c r="L55" s="41">
        <f t="shared" si="0"/>
        <v>1114.2359999999999</v>
      </c>
      <c r="M55" s="44">
        <f t="shared" si="1"/>
        <v>7304.4359999999997</v>
      </c>
    </row>
    <row r="56" spans="2:13" s="24" customFormat="1" ht="16.95" customHeight="1" x14ac:dyDescent="0.3">
      <c r="B56" s="36">
        <v>40</v>
      </c>
      <c r="C56" s="66" t="s">
        <v>38</v>
      </c>
      <c r="D56" s="67" t="s">
        <v>92</v>
      </c>
      <c r="E56" s="68" t="s">
        <v>39</v>
      </c>
      <c r="F56" s="45">
        <v>1</v>
      </c>
      <c r="G56" s="47">
        <v>4712</v>
      </c>
      <c r="H56" s="41">
        <f t="shared" si="2"/>
        <v>4712</v>
      </c>
      <c r="I56" s="42">
        <v>0.1</v>
      </c>
      <c r="J56" s="41">
        <f t="shared" ref="J56" si="7">H56*I56</f>
        <v>471.20000000000005</v>
      </c>
      <c r="K56" s="43">
        <v>0.18</v>
      </c>
      <c r="L56" s="41">
        <f t="shared" ref="L56" si="8">(H56-J56)*K56</f>
        <v>763.34400000000005</v>
      </c>
      <c r="M56" s="44">
        <f t="shared" ref="M56" si="9">H56-J56+L56</f>
        <v>5004.1440000000002</v>
      </c>
    </row>
    <row r="57" spans="2:13" s="24" customFormat="1" ht="16.95" customHeight="1" x14ac:dyDescent="0.3">
      <c r="B57" s="36">
        <v>41</v>
      </c>
      <c r="C57" s="66" t="s">
        <v>40</v>
      </c>
      <c r="D57" s="67" t="s">
        <v>41</v>
      </c>
      <c r="E57" s="68" t="s">
        <v>39</v>
      </c>
      <c r="F57" s="45">
        <v>1</v>
      </c>
      <c r="G57" s="47">
        <v>2520</v>
      </c>
      <c r="H57" s="41">
        <f t="shared" si="2"/>
        <v>2520</v>
      </c>
      <c r="I57" s="42">
        <v>0.1</v>
      </c>
      <c r="J57" s="41">
        <f t="shared" si="3"/>
        <v>252</v>
      </c>
      <c r="K57" s="43">
        <v>0.18</v>
      </c>
      <c r="L57" s="41">
        <f t="shared" si="0"/>
        <v>408.24</v>
      </c>
      <c r="M57" s="44">
        <f t="shared" si="1"/>
        <v>2676.24</v>
      </c>
    </row>
    <row r="58" spans="2:13" s="24" customFormat="1" ht="16.95" customHeight="1" x14ac:dyDescent="0.3">
      <c r="B58" s="36">
        <v>42</v>
      </c>
      <c r="C58" s="69" t="s">
        <v>98</v>
      </c>
      <c r="D58" s="67" t="s">
        <v>99</v>
      </c>
      <c r="E58" s="69" t="s">
        <v>39</v>
      </c>
      <c r="F58" s="45">
        <v>100</v>
      </c>
      <c r="G58" s="47">
        <v>3005</v>
      </c>
      <c r="H58" s="41">
        <f t="shared" si="2"/>
        <v>300500</v>
      </c>
      <c r="I58" s="42">
        <v>0.1</v>
      </c>
      <c r="J58" s="41">
        <f t="shared" si="3"/>
        <v>30050</v>
      </c>
      <c r="K58" s="43">
        <v>0.18</v>
      </c>
      <c r="L58" s="41">
        <f t="shared" si="0"/>
        <v>48681</v>
      </c>
      <c r="M58" s="44">
        <f t="shared" si="1"/>
        <v>319131</v>
      </c>
    </row>
    <row r="59" spans="2:13" s="24" customFormat="1" ht="16.95" customHeight="1" x14ac:dyDescent="0.3">
      <c r="B59" s="36">
        <v>43</v>
      </c>
      <c r="C59" s="69" t="s">
        <v>100</v>
      </c>
      <c r="D59" s="67" t="s">
        <v>101</v>
      </c>
      <c r="E59" s="69" t="s">
        <v>39</v>
      </c>
      <c r="F59" s="45">
        <v>100</v>
      </c>
      <c r="G59" s="47">
        <v>1689</v>
      </c>
      <c r="H59" s="41">
        <f t="shared" si="2"/>
        <v>168900</v>
      </c>
      <c r="I59" s="42">
        <v>0.1</v>
      </c>
      <c r="J59" s="41">
        <f t="shared" si="3"/>
        <v>16890</v>
      </c>
      <c r="K59" s="43">
        <v>0.18</v>
      </c>
      <c r="L59" s="41">
        <f t="shared" si="0"/>
        <v>27361.8</v>
      </c>
      <c r="M59" s="44">
        <f t="shared" si="1"/>
        <v>179371.8</v>
      </c>
    </row>
    <row r="60" spans="2:13" s="24" customFormat="1" ht="16.95" customHeight="1" x14ac:dyDescent="0.3">
      <c r="B60" s="36">
        <v>44</v>
      </c>
      <c r="C60" s="69" t="s">
        <v>102</v>
      </c>
      <c r="D60" s="67" t="s">
        <v>103</v>
      </c>
      <c r="E60" s="69" t="s">
        <v>39</v>
      </c>
      <c r="F60" s="45">
        <v>50</v>
      </c>
      <c r="G60" s="47">
        <v>3166</v>
      </c>
      <c r="H60" s="41">
        <f t="shared" si="2"/>
        <v>158300</v>
      </c>
      <c r="I60" s="42">
        <v>0.1</v>
      </c>
      <c r="J60" s="41">
        <f t="shared" ref="J60:J62" si="10">H60*I60</f>
        <v>15830</v>
      </c>
      <c r="K60" s="43">
        <v>0.18</v>
      </c>
      <c r="L60" s="41">
        <f t="shared" ref="L60:L62" si="11">(H60-J60)*K60</f>
        <v>25644.6</v>
      </c>
      <c r="M60" s="44">
        <f t="shared" ref="M60:M62" si="12">H60-J60+L60</f>
        <v>168114.6</v>
      </c>
    </row>
    <row r="61" spans="2:13" s="24" customFormat="1" ht="16.95" customHeight="1" x14ac:dyDescent="0.3">
      <c r="B61" s="36">
        <v>45</v>
      </c>
      <c r="C61" s="69" t="s">
        <v>104</v>
      </c>
      <c r="D61" s="67" t="s">
        <v>105</v>
      </c>
      <c r="E61" s="69" t="s">
        <v>35</v>
      </c>
      <c r="F61" s="45">
        <v>50</v>
      </c>
      <c r="G61" s="47">
        <v>1897</v>
      </c>
      <c r="H61" s="41">
        <f t="shared" si="2"/>
        <v>94850</v>
      </c>
      <c r="I61" s="42">
        <v>0.1</v>
      </c>
      <c r="J61" s="41">
        <f t="shared" si="10"/>
        <v>9485</v>
      </c>
      <c r="K61" s="43">
        <v>0.18</v>
      </c>
      <c r="L61" s="41">
        <f t="shared" si="11"/>
        <v>15365.699999999999</v>
      </c>
      <c r="M61" s="44">
        <f t="shared" si="12"/>
        <v>100730.7</v>
      </c>
    </row>
    <row r="62" spans="2:13" s="24" customFormat="1" ht="16.95" customHeight="1" x14ac:dyDescent="0.3">
      <c r="B62" s="36">
        <v>46</v>
      </c>
      <c r="C62" s="66" t="s">
        <v>38</v>
      </c>
      <c r="D62" s="67" t="s">
        <v>106</v>
      </c>
      <c r="E62" s="69" t="s">
        <v>39</v>
      </c>
      <c r="F62" s="45">
        <v>20</v>
      </c>
      <c r="G62" s="47">
        <v>4712</v>
      </c>
      <c r="H62" s="41">
        <f t="shared" si="2"/>
        <v>94240</v>
      </c>
      <c r="I62" s="42">
        <v>0.1</v>
      </c>
      <c r="J62" s="41">
        <f t="shared" si="10"/>
        <v>9424</v>
      </c>
      <c r="K62" s="43">
        <v>0.18</v>
      </c>
      <c r="L62" s="41">
        <f t="shared" si="11"/>
        <v>15266.88</v>
      </c>
      <c r="M62" s="44">
        <f t="shared" si="12"/>
        <v>100082.88</v>
      </c>
    </row>
    <row r="63" spans="2:13" s="24" customFormat="1" ht="28.5" customHeight="1" thickBot="1" x14ac:dyDescent="0.35">
      <c r="B63" s="70"/>
      <c r="C63" s="71"/>
      <c r="D63" s="72" t="s">
        <v>27</v>
      </c>
      <c r="E63" s="73"/>
      <c r="F63" s="74">
        <f>SUM(F17:F62)</f>
        <v>854</v>
      </c>
      <c r="G63" s="74"/>
      <c r="H63" s="74">
        <f>SUM(H17:H62)</f>
        <v>1866480</v>
      </c>
      <c r="I63" s="74"/>
      <c r="J63" s="74">
        <f>SUM(J17:J62)</f>
        <v>186648</v>
      </c>
      <c r="K63" s="74"/>
      <c r="L63" s="74">
        <f>SUM(L17:L62)</f>
        <v>302369.76000000007</v>
      </c>
      <c r="M63" s="79">
        <f>SUM(M17:M62)</f>
        <v>1982201.7600000002</v>
      </c>
    </row>
    <row r="64" spans="2:13" ht="15.6" customHeight="1" x14ac:dyDescent="0.25">
      <c r="B64" s="203"/>
      <c r="C64" s="204"/>
      <c r="D64" s="204"/>
      <c r="E64" s="204"/>
      <c r="F64" s="204"/>
      <c r="G64" s="204"/>
      <c r="H64" s="204"/>
      <c r="I64" s="204"/>
      <c r="J64" s="204"/>
      <c r="K64" s="204"/>
      <c r="L64" s="57" t="s">
        <v>86</v>
      </c>
      <c r="M64" s="58">
        <f>H63</f>
        <v>1866480</v>
      </c>
    </row>
    <row r="65" spans="2:13" ht="25.2" customHeight="1" x14ac:dyDescent="0.25">
      <c r="B65" s="203"/>
      <c r="C65" s="204"/>
      <c r="D65" s="204"/>
      <c r="E65" s="204"/>
      <c r="F65" s="204"/>
      <c r="G65" s="204"/>
      <c r="H65" s="204"/>
      <c r="I65" s="204"/>
      <c r="J65" s="204"/>
      <c r="K65" s="204"/>
      <c r="L65" s="59" t="s">
        <v>87</v>
      </c>
      <c r="M65" s="58">
        <f>M64*2%</f>
        <v>37329.599999999999</v>
      </c>
    </row>
    <row r="66" spans="2:13" ht="15.6" customHeight="1" x14ac:dyDescent="0.25">
      <c r="B66" s="205"/>
      <c r="C66" s="206"/>
      <c r="D66" s="206"/>
      <c r="E66" s="206"/>
      <c r="F66" s="206"/>
      <c r="G66" s="206"/>
      <c r="H66" s="206"/>
      <c r="I66" s="206"/>
      <c r="J66" s="206"/>
      <c r="K66" s="206"/>
      <c r="L66" s="60" t="s">
        <v>88</v>
      </c>
      <c r="M66" s="61">
        <f>-J63</f>
        <v>-186648</v>
      </c>
    </row>
    <row r="67" spans="2:13" ht="15.6" customHeight="1" x14ac:dyDescent="0.25">
      <c r="B67" s="205"/>
      <c r="C67" s="206"/>
      <c r="D67" s="206"/>
      <c r="E67" s="206"/>
      <c r="F67" s="206"/>
      <c r="G67" s="206"/>
      <c r="H67" s="206"/>
      <c r="I67" s="206"/>
      <c r="J67" s="206"/>
      <c r="K67" s="206"/>
      <c r="L67" s="60" t="s">
        <v>89</v>
      </c>
      <c r="M67" s="61">
        <f>L63</f>
        <v>302369.76000000007</v>
      </c>
    </row>
    <row r="68" spans="2:13" ht="15.6" customHeight="1" x14ac:dyDescent="0.25">
      <c r="B68" s="205"/>
      <c r="C68" s="206"/>
      <c r="D68" s="206"/>
      <c r="E68" s="206"/>
      <c r="F68" s="206"/>
      <c r="G68" s="206"/>
      <c r="H68" s="206"/>
      <c r="I68" s="206"/>
      <c r="J68" s="206"/>
      <c r="K68" s="206"/>
      <c r="L68" s="62" t="s">
        <v>90</v>
      </c>
      <c r="M68" s="61">
        <v>-0.36</v>
      </c>
    </row>
    <row r="69" spans="2:13" ht="19.2" customHeight="1" thickBot="1" x14ac:dyDescent="0.3">
      <c r="B69" s="207"/>
      <c r="C69" s="208"/>
      <c r="D69" s="208"/>
      <c r="E69" s="208"/>
      <c r="F69" s="208"/>
      <c r="G69" s="208"/>
      <c r="H69" s="208"/>
      <c r="I69" s="208"/>
      <c r="J69" s="208"/>
      <c r="K69" s="208"/>
      <c r="L69" s="63" t="s">
        <v>91</v>
      </c>
      <c r="M69" s="64">
        <f>SUM(M64:M68)</f>
        <v>2019531</v>
      </c>
    </row>
    <row r="70" spans="2:13" ht="22.2" customHeight="1" thickBot="1" x14ac:dyDescent="0.3">
      <c r="B70" s="209" t="s">
        <v>108</v>
      </c>
      <c r="C70" s="210"/>
      <c r="D70" s="210"/>
      <c r="E70" s="210"/>
      <c r="F70" s="210"/>
      <c r="G70" s="210"/>
      <c r="H70" s="210"/>
      <c r="I70" s="210"/>
      <c r="J70" s="210"/>
      <c r="K70" s="210"/>
      <c r="L70" s="210"/>
      <c r="M70" s="211"/>
    </row>
  </sheetData>
  <mergeCells count="8">
    <mergeCell ref="B64:K69"/>
    <mergeCell ref="B70:M70"/>
    <mergeCell ref="B2:D2"/>
    <mergeCell ref="B3:D3"/>
    <mergeCell ref="B4:D4"/>
    <mergeCell ref="B5:D5"/>
    <mergeCell ref="B6:D6"/>
    <mergeCell ref="B15:M15"/>
  </mergeCells>
  <hyperlinks>
    <hyperlink ref="B7" r:id="rId1" display="sanjay.palkar@indimo.co.in." xr:uid="{F9C0FE38-A522-4161-B3B0-CC521AD385E0}"/>
  </hyperlinks>
  <pageMargins left="0.19685039370078741" right="0.19685039370078741" top="0.19685039370078741" bottom="0.19685039370078741" header="0.31496062992125984" footer="0.31496062992125984"/>
  <pageSetup paperSize="9" scale="61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FC40-77B6-4141-AC19-52050502D797}">
  <dimension ref="A3:G44"/>
  <sheetViews>
    <sheetView workbookViewId="0">
      <selection activeCell="L14" sqref="L14"/>
    </sheetView>
  </sheetViews>
  <sheetFormatPr defaultRowHeight="14.4" x14ac:dyDescent="0.3"/>
  <cols>
    <col min="1" max="1" width="13.109375" bestFit="1" customWidth="1"/>
    <col min="2" max="2" width="10.6640625" bestFit="1" customWidth="1"/>
    <col min="6" max="6" width="16.33203125" customWidth="1"/>
  </cols>
  <sheetData>
    <row r="3" spans="1:7" x14ac:dyDescent="0.3">
      <c r="A3" s="153" t="s">
        <v>159</v>
      </c>
      <c r="B3" t="s">
        <v>160</v>
      </c>
    </row>
    <row r="4" spans="1:7" x14ac:dyDescent="0.3">
      <c r="A4" s="154" t="s">
        <v>80</v>
      </c>
      <c r="B4">
        <v>0</v>
      </c>
    </row>
    <row r="5" spans="1:7" x14ac:dyDescent="0.3">
      <c r="A5" s="154" t="s">
        <v>82</v>
      </c>
      <c r="B5">
        <v>16</v>
      </c>
      <c r="F5" s="155" t="s">
        <v>159</v>
      </c>
      <c r="G5" s="155" t="s">
        <v>160</v>
      </c>
    </row>
    <row r="6" spans="1:7" x14ac:dyDescent="0.3">
      <c r="A6" s="154" t="s">
        <v>28</v>
      </c>
      <c r="B6">
        <v>16</v>
      </c>
      <c r="F6" s="154" t="s">
        <v>80</v>
      </c>
      <c r="G6">
        <v>0</v>
      </c>
    </row>
    <row r="7" spans="1:7" x14ac:dyDescent="0.3">
      <c r="A7" s="154" t="s">
        <v>42</v>
      </c>
      <c r="B7">
        <v>160</v>
      </c>
      <c r="F7" s="154" t="s">
        <v>82</v>
      </c>
      <c r="G7">
        <v>16</v>
      </c>
    </row>
    <row r="8" spans="1:7" x14ac:dyDescent="0.3">
      <c r="A8" s="154" t="s">
        <v>83</v>
      </c>
      <c r="B8">
        <v>96</v>
      </c>
      <c r="F8" s="154" t="s">
        <v>28</v>
      </c>
      <c r="G8">
        <v>16</v>
      </c>
    </row>
    <row r="9" spans="1:7" x14ac:dyDescent="0.3">
      <c r="A9" s="154" t="s">
        <v>68</v>
      </c>
      <c r="B9">
        <v>32</v>
      </c>
      <c r="F9" s="154" t="s">
        <v>42</v>
      </c>
      <c r="G9">
        <v>160</v>
      </c>
    </row>
    <row r="10" spans="1:7" x14ac:dyDescent="0.3">
      <c r="A10" s="154" t="s">
        <v>78</v>
      </c>
      <c r="B10">
        <v>40</v>
      </c>
      <c r="F10" s="154" t="s">
        <v>83</v>
      </c>
      <c r="G10">
        <v>96</v>
      </c>
    </row>
    <row r="11" spans="1:7" x14ac:dyDescent="0.3">
      <c r="A11" s="154" t="s">
        <v>76</v>
      </c>
      <c r="B11">
        <v>40</v>
      </c>
      <c r="F11" s="154" t="s">
        <v>68</v>
      </c>
      <c r="G11">
        <v>32</v>
      </c>
    </row>
    <row r="12" spans="1:7" x14ac:dyDescent="0.3">
      <c r="A12" s="154" t="s">
        <v>40</v>
      </c>
      <c r="B12">
        <v>0</v>
      </c>
      <c r="F12" s="154" t="s">
        <v>78</v>
      </c>
      <c r="G12">
        <v>40</v>
      </c>
    </row>
    <row r="13" spans="1:7" x14ac:dyDescent="0.3">
      <c r="A13" s="154" t="s">
        <v>75</v>
      </c>
      <c r="B13">
        <v>80</v>
      </c>
      <c r="F13" s="154" t="s">
        <v>76</v>
      </c>
      <c r="G13">
        <v>40</v>
      </c>
    </row>
    <row r="14" spans="1:7" x14ac:dyDescent="0.3">
      <c r="A14" s="154" t="s">
        <v>102</v>
      </c>
      <c r="B14">
        <v>50</v>
      </c>
      <c r="F14" s="154" t="s">
        <v>40</v>
      </c>
      <c r="G14">
        <v>0</v>
      </c>
    </row>
    <row r="15" spans="1:7" x14ac:dyDescent="0.3">
      <c r="A15" s="154" t="s">
        <v>52</v>
      </c>
      <c r="B15">
        <v>30</v>
      </c>
      <c r="F15" s="154" t="s">
        <v>75</v>
      </c>
      <c r="G15">
        <v>80</v>
      </c>
    </row>
    <row r="16" spans="1:7" x14ac:dyDescent="0.3">
      <c r="A16" s="154" t="s">
        <v>81</v>
      </c>
      <c r="B16">
        <v>96</v>
      </c>
      <c r="F16" s="154" t="s">
        <v>102</v>
      </c>
      <c r="G16">
        <v>50</v>
      </c>
    </row>
    <row r="17" spans="1:7" x14ac:dyDescent="0.3">
      <c r="A17" s="154" t="s">
        <v>98</v>
      </c>
      <c r="B17">
        <v>100</v>
      </c>
      <c r="F17" s="154" t="s">
        <v>52</v>
      </c>
      <c r="G17">
        <v>30</v>
      </c>
    </row>
    <row r="18" spans="1:7" x14ac:dyDescent="0.3">
      <c r="A18" s="154" t="s">
        <v>100</v>
      </c>
      <c r="B18">
        <v>100</v>
      </c>
      <c r="F18" s="154" t="s">
        <v>81</v>
      </c>
      <c r="G18">
        <v>96</v>
      </c>
    </row>
    <row r="19" spans="1:7" x14ac:dyDescent="0.3">
      <c r="A19" s="154" t="s">
        <v>63</v>
      </c>
      <c r="B19">
        <v>16</v>
      </c>
      <c r="F19" s="154" t="s">
        <v>98</v>
      </c>
      <c r="G19">
        <v>100</v>
      </c>
    </row>
    <row r="20" spans="1:7" x14ac:dyDescent="0.3">
      <c r="A20" s="154" t="s">
        <v>61</v>
      </c>
      <c r="B20">
        <v>16</v>
      </c>
      <c r="F20" s="154" t="s">
        <v>100</v>
      </c>
      <c r="G20">
        <v>100</v>
      </c>
    </row>
    <row r="21" spans="1:7" x14ac:dyDescent="0.3">
      <c r="A21" s="154" t="s">
        <v>59</v>
      </c>
      <c r="B21">
        <v>16</v>
      </c>
      <c r="F21" s="154" t="s">
        <v>63</v>
      </c>
      <c r="G21">
        <v>16</v>
      </c>
    </row>
    <row r="22" spans="1:7" x14ac:dyDescent="0.3">
      <c r="A22" s="154" t="s">
        <v>58</v>
      </c>
      <c r="B22">
        <v>32</v>
      </c>
      <c r="F22" s="154" t="s">
        <v>61</v>
      </c>
      <c r="G22">
        <v>16</v>
      </c>
    </row>
    <row r="23" spans="1:7" x14ac:dyDescent="0.3">
      <c r="A23" s="154" t="s">
        <v>34</v>
      </c>
      <c r="B23">
        <v>68</v>
      </c>
      <c r="F23" s="154" t="s">
        <v>59</v>
      </c>
      <c r="G23">
        <v>16</v>
      </c>
    </row>
    <row r="24" spans="1:7" x14ac:dyDescent="0.3">
      <c r="A24" s="154" t="s">
        <v>31</v>
      </c>
      <c r="B24">
        <v>88</v>
      </c>
      <c r="F24" s="154" t="s">
        <v>58</v>
      </c>
      <c r="G24">
        <v>32</v>
      </c>
    </row>
    <row r="25" spans="1:7" x14ac:dyDescent="0.3">
      <c r="A25" s="154" t="s">
        <v>70</v>
      </c>
      <c r="B25">
        <v>0</v>
      </c>
      <c r="F25" s="154" t="s">
        <v>34</v>
      </c>
      <c r="G25">
        <v>68</v>
      </c>
    </row>
    <row r="26" spans="1:7" x14ac:dyDescent="0.3">
      <c r="A26" s="154" t="s">
        <v>49</v>
      </c>
      <c r="B26">
        <v>86</v>
      </c>
      <c r="F26" s="154" t="s">
        <v>31</v>
      </c>
      <c r="G26">
        <v>88</v>
      </c>
    </row>
    <row r="27" spans="1:7" x14ac:dyDescent="0.3">
      <c r="A27" s="154" t="s">
        <v>38</v>
      </c>
      <c r="B27">
        <v>24</v>
      </c>
      <c r="F27" s="154" t="s">
        <v>70</v>
      </c>
      <c r="G27">
        <v>0</v>
      </c>
    </row>
    <row r="28" spans="1:7" x14ac:dyDescent="0.3">
      <c r="A28" s="154" t="s">
        <v>66</v>
      </c>
      <c r="B28">
        <v>16</v>
      </c>
      <c r="F28" s="154" t="s">
        <v>49</v>
      </c>
      <c r="G28">
        <v>86</v>
      </c>
    </row>
    <row r="29" spans="1:7" x14ac:dyDescent="0.3">
      <c r="A29" s="154" t="s">
        <v>53</v>
      </c>
      <c r="B29">
        <v>80</v>
      </c>
      <c r="F29" s="154" t="s">
        <v>38</v>
      </c>
      <c r="G29">
        <v>24</v>
      </c>
    </row>
    <row r="30" spans="1:7" x14ac:dyDescent="0.3">
      <c r="A30" s="154" t="s">
        <v>56</v>
      </c>
      <c r="B30">
        <v>80</v>
      </c>
      <c r="F30" s="154" t="s">
        <v>66</v>
      </c>
      <c r="G30">
        <v>16</v>
      </c>
    </row>
    <row r="31" spans="1:7" x14ac:dyDescent="0.3">
      <c r="A31" s="154" t="s">
        <v>46</v>
      </c>
      <c r="B31">
        <v>0</v>
      </c>
      <c r="F31" s="154" t="s">
        <v>53</v>
      </c>
      <c r="G31">
        <v>80</v>
      </c>
    </row>
    <row r="32" spans="1:7" x14ac:dyDescent="0.3">
      <c r="A32" s="154" t="s">
        <v>36</v>
      </c>
      <c r="B32">
        <v>8</v>
      </c>
      <c r="F32" s="154" t="s">
        <v>56</v>
      </c>
      <c r="G32">
        <v>80</v>
      </c>
    </row>
    <row r="33" spans="1:7" x14ac:dyDescent="0.3">
      <c r="A33" s="154" t="s">
        <v>43</v>
      </c>
      <c r="B33">
        <v>100</v>
      </c>
      <c r="F33" s="154" t="s">
        <v>46</v>
      </c>
      <c r="G33">
        <v>0</v>
      </c>
    </row>
    <row r="34" spans="1:7" x14ac:dyDescent="0.3">
      <c r="A34" s="154" t="s">
        <v>45</v>
      </c>
      <c r="B34">
        <v>100</v>
      </c>
      <c r="F34" s="154" t="s">
        <v>36</v>
      </c>
      <c r="G34">
        <v>8</v>
      </c>
    </row>
    <row r="35" spans="1:7" x14ac:dyDescent="0.3">
      <c r="A35" s="154" t="s">
        <v>73</v>
      </c>
      <c r="B35">
        <v>80</v>
      </c>
      <c r="F35" s="154" t="s">
        <v>43</v>
      </c>
      <c r="G35">
        <v>100</v>
      </c>
    </row>
    <row r="36" spans="1:7" x14ac:dyDescent="0.3">
      <c r="A36" s="154" t="s">
        <v>84</v>
      </c>
      <c r="B36">
        <v>96</v>
      </c>
      <c r="F36" s="154" t="s">
        <v>45</v>
      </c>
      <c r="G36">
        <v>100</v>
      </c>
    </row>
    <row r="37" spans="1:7" x14ac:dyDescent="0.3">
      <c r="A37" s="154" t="s">
        <v>50</v>
      </c>
      <c r="B37">
        <v>76</v>
      </c>
      <c r="F37" s="154" t="s">
        <v>73</v>
      </c>
      <c r="G37">
        <v>80</v>
      </c>
    </row>
    <row r="38" spans="1:7" x14ac:dyDescent="0.3">
      <c r="A38" s="154" t="s">
        <v>85</v>
      </c>
      <c r="B38">
        <v>0</v>
      </c>
      <c r="F38" s="154" t="s">
        <v>84</v>
      </c>
      <c r="G38">
        <v>96</v>
      </c>
    </row>
    <row r="39" spans="1:7" x14ac:dyDescent="0.3">
      <c r="A39" s="154" t="s">
        <v>47</v>
      </c>
      <c r="B39">
        <v>40</v>
      </c>
      <c r="F39" s="154" t="s">
        <v>50</v>
      </c>
      <c r="G39">
        <v>76</v>
      </c>
    </row>
    <row r="40" spans="1:7" x14ac:dyDescent="0.3">
      <c r="A40" s="154" t="s">
        <v>65</v>
      </c>
      <c r="B40">
        <v>16</v>
      </c>
      <c r="F40" s="154" t="s">
        <v>85</v>
      </c>
      <c r="G40">
        <v>0</v>
      </c>
    </row>
    <row r="41" spans="1:7" x14ac:dyDescent="0.3">
      <c r="A41" s="154" t="s">
        <v>71</v>
      </c>
      <c r="B41">
        <v>80</v>
      </c>
      <c r="F41" s="154" t="s">
        <v>47</v>
      </c>
      <c r="G41">
        <v>40</v>
      </c>
    </row>
    <row r="42" spans="1:7" x14ac:dyDescent="0.3">
      <c r="A42" s="154" t="s">
        <v>104</v>
      </c>
      <c r="B42">
        <v>50</v>
      </c>
      <c r="F42" s="154" t="s">
        <v>65</v>
      </c>
      <c r="G42">
        <v>16</v>
      </c>
    </row>
    <row r="43" spans="1:7" x14ac:dyDescent="0.3">
      <c r="A43" s="154" t="s">
        <v>91</v>
      </c>
      <c r="B43">
        <v>2024</v>
      </c>
      <c r="F43" s="154" t="s">
        <v>71</v>
      </c>
      <c r="G43">
        <v>80</v>
      </c>
    </row>
    <row r="44" spans="1:7" x14ac:dyDescent="0.3">
      <c r="F44" s="154" t="s">
        <v>104</v>
      </c>
      <c r="G44">
        <v>50</v>
      </c>
    </row>
  </sheetData>
  <autoFilter ref="F5:G44" xr:uid="{2463FC40-77B6-4141-AC19-52050502D797}">
    <sortState xmlns:xlrd2="http://schemas.microsoft.com/office/spreadsheetml/2017/richdata2" ref="F6:G44">
      <sortCondition ref="F5:F4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969-FCE0-4DC8-A453-76FB1A928709}">
  <dimension ref="B3:R21"/>
  <sheetViews>
    <sheetView topLeftCell="A10" workbookViewId="0">
      <selection activeCell="N27" sqref="N27:N28"/>
    </sheetView>
  </sheetViews>
  <sheetFormatPr defaultRowHeight="14.4" x14ac:dyDescent="0.3"/>
  <sheetData>
    <row r="3" spans="2:18" ht="15" thickBot="1" x14ac:dyDescent="0.35"/>
    <row r="4" spans="2:18" ht="24.75" customHeight="1" thickBot="1" x14ac:dyDescent="0.35">
      <c r="B4" s="226" t="s">
        <v>171</v>
      </c>
      <c r="C4" s="221" t="s">
        <v>132</v>
      </c>
      <c r="D4" s="228" t="s">
        <v>18</v>
      </c>
      <c r="E4" s="221" t="s">
        <v>134</v>
      </c>
      <c r="F4" s="226" t="s">
        <v>133</v>
      </c>
      <c r="G4" s="226" t="s">
        <v>199</v>
      </c>
      <c r="H4" s="221" t="s">
        <v>200</v>
      </c>
      <c r="I4" s="221" t="s">
        <v>201</v>
      </c>
      <c r="J4" s="221" t="s">
        <v>202</v>
      </c>
      <c r="K4" s="223" t="s">
        <v>203</v>
      </c>
      <c r="L4" s="224"/>
      <c r="M4" s="225"/>
      <c r="N4" s="221" t="s">
        <v>204</v>
      </c>
      <c r="O4" s="221" t="s">
        <v>205</v>
      </c>
      <c r="P4" s="216"/>
      <c r="Q4" s="217"/>
      <c r="R4" s="217"/>
    </row>
    <row r="5" spans="2:18" ht="15" thickBot="1" x14ac:dyDescent="0.35">
      <c r="B5" s="227"/>
      <c r="C5" s="222"/>
      <c r="D5" s="229"/>
      <c r="E5" s="222"/>
      <c r="F5" s="227"/>
      <c r="G5" s="227"/>
      <c r="H5" s="222"/>
      <c r="I5" s="222"/>
      <c r="J5" s="222"/>
      <c r="K5" s="165" t="s">
        <v>206</v>
      </c>
      <c r="L5" s="165" t="s">
        <v>207</v>
      </c>
      <c r="M5" s="165" t="s">
        <v>208</v>
      </c>
      <c r="N5" s="222"/>
      <c r="O5" s="222"/>
      <c r="P5" s="216"/>
      <c r="Q5" s="217"/>
      <c r="R5" s="217"/>
    </row>
    <row r="6" spans="2:18" ht="24.6" thickBot="1" x14ac:dyDescent="0.35">
      <c r="B6" s="166"/>
      <c r="C6" s="167" t="s">
        <v>98</v>
      </c>
      <c r="D6" s="167" t="s">
        <v>99</v>
      </c>
      <c r="E6" s="168" t="s">
        <v>135</v>
      </c>
      <c r="F6" s="169">
        <v>20</v>
      </c>
      <c r="G6" s="170">
        <v>0.9</v>
      </c>
      <c r="H6" s="171">
        <v>1</v>
      </c>
      <c r="I6" s="172">
        <v>1</v>
      </c>
      <c r="J6" s="173" t="s">
        <v>209</v>
      </c>
      <c r="K6" s="174">
        <v>89</v>
      </c>
      <c r="L6" s="174">
        <v>54</v>
      </c>
      <c r="M6" s="174">
        <v>50</v>
      </c>
      <c r="N6" s="191">
        <v>22</v>
      </c>
      <c r="O6" s="192">
        <v>18</v>
      </c>
      <c r="P6" s="216"/>
      <c r="Q6" s="217"/>
      <c r="R6" s="217"/>
    </row>
    <row r="7" spans="2:18" ht="24.6" thickBot="1" x14ac:dyDescent="0.35">
      <c r="B7" s="175"/>
      <c r="C7" s="167" t="s">
        <v>98</v>
      </c>
      <c r="D7" s="167" t="s">
        <v>99</v>
      </c>
      <c r="E7" s="176" t="s">
        <v>135</v>
      </c>
      <c r="F7" s="177">
        <v>24</v>
      </c>
      <c r="G7" s="178">
        <v>0.9</v>
      </c>
      <c r="H7" s="179">
        <v>2</v>
      </c>
      <c r="I7" s="180">
        <v>1</v>
      </c>
      <c r="J7" s="181" t="s">
        <v>209</v>
      </c>
      <c r="K7" s="182">
        <v>89</v>
      </c>
      <c r="L7" s="182">
        <v>54</v>
      </c>
      <c r="M7" s="182">
        <v>50</v>
      </c>
      <c r="N7" s="193">
        <v>25.6</v>
      </c>
      <c r="O7" s="192">
        <v>21.6</v>
      </c>
      <c r="P7" s="216"/>
      <c r="Q7" s="217"/>
      <c r="R7" s="217"/>
    </row>
    <row r="8" spans="2:18" ht="24.6" thickBot="1" x14ac:dyDescent="0.35">
      <c r="B8" s="166"/>
      <c r="C8" s="167" t="s">
        <v>98</v>
      </c>
      <c r="D8" s="167" t="s">
        <v>99</v>
      </c>
      <c r="E8" s="168" t="s">
        <v>135</v>
      </c>
      <c r="F8" s="169">
        <v>20</v>
      </c>
      <c r="G8" s="170">
        <v>0.9</v>
      </c>
      <c r="H8" s="169">
        <v>3</v>
      </c>
      <c r="I8" s="183">
        <v>1</v>
      </c>
      <c r="J8" s="184" t="s">
        <v>209</v>
      </c>
      <c r="K8" s="168">
        <v>89</v>
      </c>
      <c r="L8" s="168">
        <v>54</v>
      </c>
      <c r="M8" s="168">
        <v>50</v>
      </c>
      <c r="N8" s="194">
        <v>22</v>
      </c>
      <c r="O8" s="195">
        <v>18</v>
      </c>
      <c r="P8" s="216"/>
      <c r="Q8" s="217"/>
      <c r="R8" s="217"/>
    </row>
    <row r="9" spans="2:18" ht="24.6" thickBot="1" x14ac:dyDescent="0.35">
      <c r="B9" s="166"/>
      <c r="C9" s="167" t="s">
        <v>98</v>
      </c>
      <c r="D9" s="167" t="s">
        <v>99</v>
      </c>
      <c r="E9" s="168" t="s">
        <v>135</v>
      </c>
      <c r="F9" s="169">
        <v>24</v>
      </c>
      <c r="G9" s="170">
        <v>0.9</v>
      </c>
      <c r="H9" s="169">
        <v>4</v>
      </c>
      <c r="I9" s="183">
        <v>1</v>
      </c>
      <c r="J9" s="184" t="s">
        <v>209</v>
      </c>
      <c r="K9" s="168">
        <v>89</v>
      </c>
      <c r="L9" s="168">
        <v>54</v>
      </c>
      <c r="M9" s="168">
        <v>50</v>
      </c>
      <c r="N9" s="194">
        <v>25.6</v>
      </c>
      <c r="O9" s="195">
        <v>21.6</v>
      </c>
      <c r="P9" s="216"/>
      <c r="Q9" s="217"/>
      <c r="R9" s="217"/>
    </row>
    <row r="10" spans="2:18" ht="24.6" thickBot="1" x14ac:dyDescent="0.35">
      <c r="B10" s="166"/>
      <c r="C10" s="167" t="s">
        <v>98</v>
      </c>
      <c r="D10" s="167" t="s">
        <v>99</v>
      </c>
      <c r="E10" s="168" t="s">
        <v>135</v>
      </c>
      <c r="F10" s="169">
        <v>9</v>
      </c>
      <c r="G10" s="170">
        <v>0.9</v>
      </c>
      <c r="H10" s="169">
        <v>5</v>
      </c>
      <c r="I10" s="183">
        <v>1</v>
      </c>
      <c r="J10" s="184" t="s">
        <v>209</v>
      </c>
      <c r="K10" s="168">
        <v>67</v>
      </c>
      <c r="L10" s="168">
        <v>56</v>
      </c>
      <c r="M10" s="168">
        <v>30</v>
      </c>
      <c r="N10" s="194">
        <v>11.6</v>
      </c>
      <c r="O10" s="195">
        <v>8.1</v>
      </c>
      <c r="P10" s="216"/>
      <c r="Q10" s="217"/>
      <c r="R10" s="217"/>
    </row>
    <row r="11" spans="2:18" ht="24.6" thickBot="1" x14ac:dyDescent="0.35">
      <c r="B11" s="166"/>
      <c r="C11" s="167" t="s">
        <v>98</v>
      </c>
      <c r="D11" s="167" t="s">
        <v>99</v>
      </c>
      <c r="E11" s="168" t="s">
        <v>135</v>
      </c>
      <c r="F11" s="169">
        <v>3</v>
      </c>
      <c r="G11" s="170">
        <v>0.9</v>
      </c>
      <c r="H11" s="169">
        <v>6</v>
      </c>
      <c r="I11" s="183">
        <v>1</v>
      </c>
      <c r="J11" s="184" t="s">
        <v>209</v>
      </c>
      <c r="K11" s="168">
        <v>61</v>
      </c>
      <c r="L11" s="168">
        <v>38</v>
      </c>
      <c r="M11" s="168">
        <v>31</v>
      </c>
      <c r="N11" s="194">
        <v>7</v>
      </c>
      <c r="O11" s="195">
        <v>2.7</v>
      </c>
      <c r="P11" s="216"/>
      <c r="Q11" s="217"/>
      <c r="R11" s="217"/>
    </row>
    <row r="12" spans="2:18" ht="24.6" thickBot="1" x14ac:dyDescent="0.35">
      <c r="B12" s="166"/>
      <c r="C12" s="167" t="s">
        <v>84</v>
      </c>
      <c r="D12" s="167" t="s">
        <v>97</v>
      </c>
      <c r="E12" s="168" t="s">
        <v>135</v>
      </c>
      <c r="F12" s="169">
        <v>14</v>
      </c>
      <c r="G12" s="169">
        <v>0.65</v>
      </c>
      <c r="H12" s="169">
        <v>7</v>
      </c>
      <c r="I12" s="183">
        <v>1</v>
      </c>
      <c r="J12" s="184" t="s">
        <v>209</v>
      </c>
      <c r="K12" s="168">
        <v>66</v>
      </c>
      <c r="L12" s="168">
        <v>56</v>
      </c>
      <c r="M12" s="168">
        <v>30</v>
      </c>
      <c r="N12" s="194">
        <v>13.4</v>
      </c>
      <c r="O12" s="195">
        <v>9.1</v>
      </c>
      <c r="P12" s="216"/>
      <c r="Q12" s="217"/>
      <c r="R12" s="217"/>
    </row>
    <row r="13" spans="2:18" ht="24.6" thickBot="1" x14ac:dyDescent="0.35">
      <c r="B13" s="166"/>
      <c r="C13" s="167" t="s">
        <v>84</v>
      </c>
      <c r="D13" s="167" t="s">
        <v>97</v>
      </c>
      <c r="E13" s="168" t="s">
        <v>135</v>
      </c>
      <c r="F13" s="169">
        <v>14</v>
      </c>
      <c r="G13" s="169">
        <v>0.65</v>
      </c>
      <c r="H13" s="169">
        <v>8</v>
      </c>
      <c r="I13" s="183">
        <v>1</v>
      </c>
      <c r="J13" s="184" t="s">
        <v>209</v>
      </c>
      <c r="K13" s="168">
        <v>66</v>
      </c>
      <c r="L13" s="168">
        <v>56</v>
      </c>
      <c r="M13" s="168">
        <v>30</v>
      </c>
      <c r="N13" s="194">
        <v>13.4</v>
      </c>
      <c r="O13" s="195">
        <v>9.1</v>
      </c>
      <c r="P13" s="216"/>
      <c r="Q13" s="217"/>
      <c r="R13" s="217"/>
    </row>
    <row r="14" spans="2:18" ht="24.6" thickBot="1" x14ac:dyDescent="0.35">
      <c r="B14" s="166"/>
      <c r="C14" s="167" t="s">
        <v>84</v>
      </c>
      <c r="D14" s="167" t="s">
        <v>97</v>
      </c>
      <c r="E14" s="168" t="s">
        <v>135</v>
      </c>
      <c r="F14" s="169">
        <v>13</v>
      </c>
      <c r="G14" s="169">
        <v>0.65</v>
      </c>
      <c r="H14" s="169">
        <v>9</v>
      </c>
      <c r="I14" s="183">
        <v>1</v>
      </c>
      <c r="J14" s="184" t="s">
        <v>209</v>
      </c>
      <c r="K14" s="168">
        <v>89</v>
      </c>
      <c r="L14" s="168">
        <v>54</v>
      </c>
      <c r="M14" s="168">
        <v>30</v>
      </c>
      <c r="N14" s="194">
        <v>12.45</v>
      </c>
      <c r="O14" s="195">
        <v>8.4499999999999993</v>
      </c>
      <c r="P14" s="216"/>
      <c r="Q14" s="217"/>
      <c r="R14" s="217"/>
    </row>
    <row r="15" spans="2:18" ht="24.6" thickBot="1" x14ac:dyDescent="0.35">
      <c r="B15" s="166"/>
      <c r="C15" s="167" t="s">
        <v>84</v>
      </c>
      <c r="D15" s="167" t="s">
        <v>97</v>
      </c>
      <c r="E15" s="168" t="s">
        <v>135</v>
      </c>
      <c r="F15" s="169">
        <v>28</v>
      </c>
      <c r="G15" s="169">
        <v>0.65</v>
      </c>
      <c r="H15" s="169">
        <v>10</v>
      </c>
      <c r="I15" s="183">
        <v>1</v>
      </c>
      <c r="J15" s="184" t="s">
        <v>209</v>
      </c>
      <c r="K15" s="168">
        <v>66</v>
      </c>
      <c r="L15" s="168">
        <v>58</v>
      </c>
      <c r="M15" s="168">
        <v>31</v>
      </c>
      <c r="N15" s="194">
        <v>22.3</v>
      </c>
      <c r="O15" s="195">
        <v>18.2</v>
      </c>
      <c r="P15" s="216"/>
      <c r="Q15" s="217"/>
      <c r="R15" s="217"/>
    </row>
    <row r="16" spans="2:18" ht="24.6" thickBot="1" x14ac:dyDescent="0.35">
      <c r="B16" s="166"/>
      <c r="C16" s="167" t="s">
        <v>84</v>
      </c>
      <c r="D16" s="167" t="s">
        <v>97</v>
      </c>
      <c r="E16" s="168" t="s">
        <v>135</v>
      </c>
      <c r="F16" s="169">
        <v>13</v>
      </c>
      <c r="G16" s="169">
        <v>0.65</v>
      </c>
      <c r="H16" s="169">
        <v>11</v>
      </c>
      <c r="I16" s="183">
        <v>1</v>
      </c>
      <c r="J16" s="184" t="s">
        <v>209</v>
      </c>
      <c r="K16" s="168">
        <v>66</v>
      </c>
      <c r="L16" s="168">
        <v>56</v>
      </c>
      <c r="M16" s="168">
        <v>30</v>
      </c>
      <c r="N16" s="194">
        <v>12.8</v>
      </c>
      <c r="O16" s="195">
        <v>8.4499999999999993</v>
      </c>
      <c r="P16" s="216"/>
      <c r="Q16" s="217"/>
      <c r="R16" s="217"/>
    </row>
    <row r="17" spans="2:18" ht="24.6" thickBot="1" x14ac:dyDescent="0.35">
      <c r="B17" s="166"/>
      <c r="C17" s="167" t="s">
        <v>65</v>
      </c>
      <c r="D17" s="167" t="s">
        <v>96</v>
      </c>
      <c r="E17" s="168" t="s">
        <v>135</v>
      </c>
      <c r="F17" s="169">
        <v>4</v>
      </c>
      <c r="G17" s="169">
        <v>1</v>
      </c>
      <c r="H17" s="169">
        <v>12</v>
      </c>
      <c r="I17" s="183">
        <v>1</v>
      </c>
      <c r="J17" s="184" t="s">
        <v>209</v>
      </c>
      <c r="K17" s="168">
        <v>88</v>
      </c>
      <c r="L17" s="168">
        <v>56</v>
      </c>
      <c r="M17" s="168">
        <v>32</v>
      </c>
      <c r="N17" s="194">
        <v>8</v>
      </c>
      <c r="O17" s="196">
        <v>4</v>
      </c>
      <c r="P17" s="185"/>
      <c r="Q17" s="185"/>
      <c r="R17" s="185"/>
    </row>
    <row r="18" spans="2:18" ht="24.6" thickBot="1" x14ac:dyDescent="0.35">
      <c r="B18" s="166"/>
      <c r="C18" s="167" t="s">
        <v>65</v>
      </c>
      <c r="D18" s="167" t="s">
        <v>96</v>
      </c>
      <c r="E18" s="168" t="s">
        <v>135</v>
      </c>
      <c r="F18" s="169">
        <v>10</v>
      </c>
      <c r="G18" s="169">
        <v>1</v>
      </c>
      <c r="H18" s="169">
        <v>13</v>
      </c>
      <c r="I18" s="183">
        <v>1</v>
      </c>
      <c r="J18" s="184" t="s">
        <v>209</v>
      </c>
      <c r="K18" s="168">
        <v>90</v>
      </c>
      <c r="L18" s="168">
        <v>54</v>
      </c>
      <c r="M18" s="168">
        <v>50</v>
      </c>
      <c r="N18" s="194">
        <v>14</v>
      </c>
      <c r="O18" s="196">
        <v>10</v>
      </c>
      <c r="P18" s="185"/>
      <c r="Q18" s="185"/>
      <c r="R18" s="185"/>
    </row>
    <row r="19" spans="2:18" ht="24.6" thickBot="1" x14ac:dyDescent="0.35">
      <c r="B19" s="166"/>
      <c r="C19" s="167" t="s">
        <v>65</v>
      </c>
      <c r="D19" s="167" t="s">
        <v>96</v>
      </c>
      <c r="E19" s="168" t="s">
        <v>135</v>
      </c>
      <c r="F19" s="169">
        <v>2</v>
      </c>
      <c r="G19" s="169">
        <v>1</v>
      </c>
      <c r="H19" s="169">
        <v>14</v>
      </c>
      <c r="I19" s="183">
        <v>1</v>
      </c>
      <c r="J19" s="184" t="s">
        <v>209</v>
      </c>
      <c r="K19" s="168">
        <v>66</v>
      </c>
      <c r="L19" s="168">
        <v>56</v>
      </c>
      <c r="M19" s="168">
        <v>31</v>
      </c>
      <c r="N19" s="194">
        <v>6</v>
      </c>
      <c r="O19" s="196">
        <v>2</v>
      </c>
      <c r="P19" s="185"/>
      <c r="Q19" s="185"/>
      <c r="R19" s="185"/>
    </row>
    <row r="20" spans="2:18" ht="15" thickBot="1" x14ac:dyDescent="0.35">
      <c r="B20" s="166"/>
      <c r="C20" s="167"/>
      <c r="D20" s="167"/>
      <c r="E20" s="186"/>
      <c r="F20" s="187"/>
      <c r="G20" s="187"/>
      <c r="H20" s="187"/>
      <c r="I20" s="165"/>
      <c r="J20" s="188"/>
      <c r="K20" s="218" t="s">
        <v>210</v>
      </c>
      <c r="L20" s="219"/>
      <c r="M20" s="220"/>
      <c r="N20" s="197">
        <f>SUM(N6:N19)</f>
        <v>216.15</v>
      </c>
      <c r="O20" s="197">
        <f>SUM(O6:O19)</f>
        <v>159.29999999999998</v>
      </c>
      <c r="P20" s="185"/>
      <c r="Q20" s="185"/>
      <c r="R20" s="185"/>
    </row>
    <row r="21" spans="2:18" x14ac:dyDescent="0.3"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90"/>
      <c r="P21" s="217"/>
      <c r="Q21" s="217"/>
      <c r="R21" s="217"/>
    </row>
  </sheetData>
  <mergeCells count="27">
    <mergeCell ref="G4:G5"/>
    <mergeCell ref="B4:B5"/>
    <mergeCell ref="C4:C5"/>
    <mergeCell ref="D4:D5"/>
    <mergeCell ref="E4:E5"/>
    <mergeCell ref="F4:F5"/>
    <mergeCell ref="P9:R9"/>
    <mergeCell ref="H4:H5"/>
    <mergeCell ref="I4:I5"/>
    <mergeCell ref="J4:J5"/>
    <mergeCell ref="K4:M4"/>
    <mergeCell ref="N4:N5"/>
    <mergeCell ref="O4:O5"/>
    <mergeCell ref="P4:R4"/>
    <mergeCell ref="P5:R5"/>
    <mergeCell ref="P6:R6"/>
    <mergeCell ref="P7:R7"/>
    <mergeCell ref="P8:R8"/>
    <mergeCell ref="P16:R16"/>
    <mergeCell ref="K20:M20"/>
    <mergeCell ref="P21:R21"/>
    <mergeCell ref="P10:R10"/>
    <mergeCell ref="P11:R11"/>
    <mergeCell ref="P12:R12"/>
    <mergeCell ref="P13:R13"/>
    <mergeCell ref="P14:R14"/>
    <mergeCell ref="P15:R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87F8-5D54-49F8-9E1B-FBB109B9890D}">
  <dimension ref="A3:T6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R16" sqref="R16"/>
    </sheetView>
  </sheetViews>
  <sheetFormatPr defaultRowHeight="14.4" x14ac:dyDescent="0.3"/>
  <cols>
    <col min="2" max="2" width="16" customWidth="1"/>
    <col min="3" max="3" width="27.33203125" customWidth="1"/>
    <col min="4" max="4" width="19.33203125" customWidth="1"/>
    <col min="5" max="5" width="24.21875" customWidth="1"/>
    <col min="6" max="6" width="12.109375" customWidth="1"/>
    <col min="7" max="7" width="13.6640625" customWidth="1"/>
    <col min="8" max="8" width="15.44140625" customWidth="1"/>
    <col min="11" max="11" width="10.5546875" bestFit="1" customWidth="1"/>
    <col min="12" max="12" width="13.109375" bestFit="1" customWidth="1"/>
    <col min="13" max="14" width="12.5546875" bestFit="1" customWidth="1"/>
    <col min="15" max="15" width="7.33203125" bestFit="1" customWidth="1"/>
    <col min="16" max="16" width="11.33203125" bestFit="1" customWidth="1"/>
    <col min="17" max="17" width="8.88671875" bestFit="1" customWidth="1"/>
    <col min="18" max="18" width="11.88671875" bestFit="1" customWidth="1"/>
    <col min="19" max="19" width="8.88671875" bestFit="1" customWidth="1"/>
    <col min="20" max="20" width="11.88671875" bestFit="1" customWidth="1"/>
    <col min="21" max="21" width="10.88671875" bestFit="1" customWidth="1"/>
    <col min="22" max="22" width="13.5546875" bestFit="1" customWidth="1"/>
    <col min="23" max="23" width="9.88671875" bestFit="1" customWidth="1"/>
    <col min="24" max="24" width="12.88671875" bestFit="1" customWidth="1"/>
    <col min="26" max="26" width="8" bestFit="1" customWidth="1"/>
    <col min="27" max="27" width="7.33203125" bestFit="1" customWidth="1"/>
    <col min="28" max="28" width="12.109375" bestFit="1" customWidth="1"/>
    <col min="29" max="29" width="11.33203125" bestFit="1" customWidth="1"/>
  </cols>
  <sheetData>
    <row r="3" spans="1:20" x14ac:dyDescent="0.3">
      <c r="A3" t="s">
        <v>171</v>
      </c>
      <c r="B3" t="s">
        <v>138</v>
      </c>
      <c r="C3" t="s">
        <v>139</v>
      </c>
      <c r="D3" t="s">
        <v>145</v>
      </c>
      <c r="E3" t="s">
        <v>172</v>
      </c>
      <c r="F3" s="163" t="s">
        <v>141</v>
      </c>
      <c r="G3" s="163" t="s">
        <v>142</v>
      </c>
      <c r="H3" t="s">
        <v>164</v>
      </c>
      <c r="T3" t="s">
        <v>123</v>
      </c>
    </row>
    <row r="4" spans="1:20" x14ac:dyDescent="0.3">
      <c r="A4" s="199" t="s">
        <v>244</v>
      </c>
      <c r="F4" s="163"/>
      <c r="G4" s="163"/>
    </row>
    <row r="5" spans="1:20" x14ac:dyDescent="0.3">
      <c r="A5">
        <v>1</v>
      </c>
      <c r="B5" s="142">
        <v>44956</v>
      </c>
      <c r="C5" t="s">
        <v>215</v>
      </c>
      <c r="D5" t="s">
        <v>215</v>
      </c>
      <c r="E5" t="s">
        <v>242</v>
      </c>
      <c r="F5" s="115">
        <v>1297.8</v>
      </c>
      <c r="G5" s="115"/>
      <c r="H5" s="115"/>
      <c r="M5" t="s">
        <v>220</v>
      </c>
      <c r="T5" t="s">
        <v>169</v>
      </c>
    </row>
    <row r="6" spans="1:20" x14ac:dyDescent="0.3">
      <c r="A6">
        <v>2</v>
      </c>
      <c r="B6" s="142">
        <v>45195</v>
      </c>
      <c r="C6" t="s">
        <v>217</v>
      </c>
      <c r="D6" t="s">
        <v>218</v>
      </c>
      <c r="F6" s="115">
        <v>36016.32</v>
      </c>
      <c r="G6" s="115"/>
      <c r="H6" s="115"/>
      <c r="K6" t="s">
        <v>226</v>
      </c>
      <c r="L6" t="s">
        <v>225</v>
      </c>
      <c r="M6">
        <v>216</v>
      </c>
      <c r="N6">
        <f>ROUNDUP(M6*86123/M8,2)</f>
        <v>48697.83</v>
      </c>
      <c r="T6" t="s">
        <v>218</v>
      </c>
    </row>
    <row r="7" spans="1:20" x14ac:dyDescent="0.3">
      <c r="A7">
        <v>3</v>
      </c>
      <c r="B7" s="142">
        <v>45196</v>
      </c>
      <c r="C7" t="s">
        <v>211</v>
      </c>
      <c r="D7" t="s">
        <v>170</v>
      </c>
      <c r="E7" t="s">
        <v>170</v>
      </c>
      <c r="F7" s="115"/>
      <c r="G7" s="114">
        <f>2710005.8</f>
        <v>2710005.8</v>
      </c>
      <c r="H7" s="115"/>
      <c r="K7" t="s">
        <v>227</v>
      </c>
      <c r="L7" t="s">
        <v>221</v>
      </c>
      <c r="M7">
        <v>166</v>
      </c>
      <c r="N7">
        <f>ROUNDUP(M7*86123/M8,2)</f>
        <v>37425.18</v>
      </c>
      <c r="T7" t="s">
        <v>236</v>
      </c>
    </row>
    <row r="8" spans="1:20" x14ac:dyDescent="0.3">
      <c r="A8">
        <v>4</v>
      </c>
      <c r="B8" s="142">
        <v>45196</v>
      </c>
      <c r="C8" t="s">
        <v>212</v>
      </c>
      <c r="D8" t="s">
        <v>169</v>
      </c>
      <c r="E8" t="s">
        <v>213</v>
      </c>
      <c r="F8" s="115">
        <f>82.25*H8</f>
        <v>4441.5</v>
      </c>
      <c r="G8" s="114"/>
      <c r="H8" s="115">
        <f>33042.5-32988.5</f>
        <v>54</v>
      </c>
      <c r="M8">
        <f>M7+M6</f>
        <v>382</v>
      </c>
      <c r="N8">
        <f>N7+N6</f>
        <v>86123.010000000009</v>
      </c>
      <c r="T8" t="s">
        <v>215</v>
      </c>
    </row>
    <row r="9" spans="1:20" x14ac:dyDescent="0.3">
      <c r="A9">
        <v>5</v>
      </c>
      <c r="B9" s="142">
        <v>45196</v>
      </c>
      <c r="C9" t="s">
        <v>215</v>
      </c>
      <c r="D9" t="s">
        <v>215</v>
      </c>
      <c r="E9" t="s">
        <v>216</v>
      </c>
      <c r="F9" s="115">
        <v>1297.8</v>
      </c>
      <c r="G9" s="115"/>
      <c r="H9" s="115"/>
      <c r="T9" t="s">
        <v>170</v>
      </c>
    </row>
    <row r="10" spans="1:20" x14ac:dyDescent="0.3">
      <c r="A10">
        <v>6</v>
      </c>
      <c r="B10" s="162">
        <v>45199</v>
      </c>
      <c r="C10" t="s">
        <v>173</v>
      </c>
      <c r="D10" t="s">
        <v>168</v>
      </c>
      <c r="E10" t="s">
        <v>177</v>
      </c>
      <c r="F10" s="83">
        <v>3803171</v>
      </c>
      <c r="G10" s="83"/>
      <c r="T10" t="s">
        <v>168</v>
      </c>
    </row>
    <row r="11" spans="1:20" x14ac:dyDescent="0.3">
      <c r="A11">
        <v>7</v>
      </c>
      <c r="B11" s="162">
        <v>45199</v>
      </c>
      <c r="C11" t="s">
        <v>175</v>
      </c>
      <c r="D11" t="s">
        <v>123</v>
      </c>
      <c r="F11" s="83">
        <v>119066</v>
      </c>
      <c r="G11" s="83"/>
      <c r="M11" t="s">
        <v>233</v>
      </c>
      <c r="N11">
        <f>SUM(N12:N43)</f>
        <v>2363.62</v>
      </c>
    </row>
    <row r="12" spans="1:20" x14ac:dyDescent="0.3">
      <c r="A12">
        <v>8</v>
      </c>
      <c r="B12" s="162">
        <v>45260</v>
      </c>
      <c r="C12" t="s">
        <v>179</v>
      </c>
      <c r="D12" t="s">
        <v>169</v>
      </c>
      <c r="E12" t="s">
        <v>191</v>
      </c>
      <c r="F12" s="114">
        <f>100000*0.125*1/12</f>
        <v>1041.6666666666667</v>
      </c>
      <c r="G12" s="114"/>
      <c r="H12" s="115"/>
      <c r="I12" t="s">
        <v>248</v>
      </c>
      <c r="K12" s="142">
        <v>45196</v>
      </c>
      <c r="L12" t="s">
        <v>228</v>
      </c>
      <c r="N12">
        <v>1297.98</v>
      </c>
    </row>
    <row r="13" spans="1:20" x14ac:dyDescent="0.3">
      <c r="A13">
        <v>9</v>
      </c>
      <c r="B13" s="162">
        <v>45291</v>
      </c>
      <c r="C13" t="s">
        <v>239</v>
      </c>
      <c r="D13" t="s">
        <v>169</v>
      </c>
      <c r="F13" s="114">
        <f>N13</f>
        <v>62.64</v>
      </c>
      <c r="G13" s="114"/>
      <c r="H13" s="115"/>
      <c r="K13" s="142">
        <v>45198</v>
      </c>
      <c r="L13" t="s">
        <v>229</v>
      </c>
      <c r="N13">
        <v>62.64</v>
      </c>
    </row>
    <row r="14" spans="1:20" x14ac:dyDescent="0.3">
      <c r="A14">
        <v>10</v>
      </c>
      <c r="B14" s="142">
        <v>45321</v>
      </c>
      <c r="C14" t="s">
        <v>211</v>
      </c>
      <c r="D14" t="s">
        <v>214</v>
      </c>
      <c r="E14" t="s">
        <v>214</v>
      </c>
      <c r="F14" s="115"/>
      <c r="G14" s="115">
        <v>3386686.52</v>
      </c>
      <c r="H14" s="115"/>
      <c r="K14" s="142">
        <v>45246</v>
      </c>
      <c r="L14" t="s">
        <v>230</v>
      </c>
      <c r="N14">
        <v>295</v>
      </c>
    </row>
    <row r="15" spans="1:20" x14ac:dyDescent="0.3">
      <c r="A15">
        <v>11</v>
      </c>
      <c r="B15" s="142">
        <v>45321</v>
      </c>
      <c r="C15" t="s">
        <v>212</v>
      </c>
      <c r="D15" t="s">
        <v>169</v>
      </c>
      <c r="E15" t="s">
        <v>213</v>
      </c>
      <c r="F15" s="115">
        <f>82.25*H15</f>
        <v>4441.5</v>
      </c>
      <c r="G15" s="115"/>
      <c r="H15" s="115">
        <f>41229.52-41175.52</f>
        <v>54</v>
      </c>
      <c r="K15" s="142">
        <v>45206</v>
      </c>
      <c r="L15" t="s">
        <v>231</v>
      </c>
      <c r="N15">
        <v>100</v>
      </c>
    </row>
    <row r="16" spans="1:20" x14ac:dyDescent="0.3">
      <c r="A16">
        <v>12</v>
      </c>
      <c r="B16" s="162">
        <v>45322</v>
      </c>
      <c r="C16" t="s">
        <v>174</v>
      </c>
      <c r="D16" t="s">
        <v>123</v>
      </c>
      <c r="F16" s="83">
        <v>440616</v>
      </c>
      <c r="G16" s="83"/>
      <c r="K16" s="142">
        <v>45206</v>
      </c>
      <c r="L16" t="s">
        <v>232</v>
      </c>
      <c r="N16">
        <v>18</v>
      </c>
    </row>
    <row r="17" spans="1:14" x14ac:dyDescent="0.3">
      <c r="A17">
        <v>13</v>
      </c>
      <c r="B17" s="162">
        <v>45322</v>
      </c>
      <c r="C17" t="s">
        <v>176</v>
      </c>
      <c r="D17" t="s">
        <v>123</v>
      </c>
      <c r="E17" t="s">
        <v>178</v>
      </c>
      <c r="F17" s="114">
        <f>N15</f>
        <v>100</v>
      </c>
      <c r="G17" s="114"/>
      <c r="H17" s="115"/>
      <c r="K17" s="142">
        <v>45310</v>
      </c>
      <c r="L17" t="s">
        <v>231</v>
      </c>
      <c r="N17">
        <v>500</v>
      </c>
    </row>
    <row r="18" spans="1:14" x14ac:dyDescent="0.3">
      <c r="A18">
        <v>14</v>
      </c>
      <c r="B18" s="162">
        <v>45322</v>
      </c>
      <c r="C18" t="s">
        <v>238</v>
      </c>
      <c r="D18" t="s">
        <v>169</v>
      </c>
      <c r="F18" s="114"/>
      <c r="G18" s="114"/>
      <c r="H18" s="115"/>
      <c r="K18" s="142">
        <v>45310</v>
      </c>
      <c r="L18" t="s">
        <v>232</v>
      </c>
      <c r="N18">
        <v>90</v>
      </c>
    </row>
    <row r="19" spans="1:14" x14ac:dyDescent="0.3">
      <c r="A19">
        <v>15</v>
      </c>
      <c r="B19" s="142">
        <v>45233</v>
      </c>
      <c r="C19" t="s">
        <v>240</v>
      </c>
      <c r="D19" t="s">
        <v>243</v>
      </c>
      <c r="E19" t="s">
        <v>249</v>
      </c>
      <c r="F19" s="115"/>
      <c r="G19" s="115">
        <v>80958</v>
      </c>
      <c r="H19" s="115"/>
    </row>
    <row r="20" spans="1:14" x14ac:dyDescent="0.3">
      <c r="A20">
        <v>16</v>
      </c>
      <c r="B20" s="142">
        <v>45310</v>
      </c>
      <c r="C20" t="s">
        <v>241</v>
      </c>
      <c r="D20" t="s">
        <v>243</v>
      </c>
      <c r="E20" t="s">
        <v>249</v>
      </c>
      <c r="F20" s="115"/>
      <c r="G20" s="115">
        <v>8112</v>
      </c>
      <c r="H20" s="115"/>
    </row>
    <row r="21" spans="1:14" x14ac:dyDescent="0.3">
      <c r="B21" s="142"/>
      <c r="F21" s="115"/>
      <c r="G21" s="115"/>
      <c r="H21" s="115"/>
    </row>
    <row r="22" spans="1:14" x14ac:dyDescent="0.3">
      <c r="A22" s="199" t="s">
        <v>245</v>
      </c>
      <c r="B22" s="142"/>
      <c r="F22" s="115"/>
      <c r="G22" s="115"/>
      <c r="H22" s="115"/>
    </row>
    <row r="23" spans="1:14" x14ac:dyDescent="0.3">
      <c r="A23">
        <v>1</v>
      </c>
      <c r="B23" s="162">
        <v>45281</v>
      </c>
      <c r="C23" t="s">
        <v>219</v>
      </c>
      <c r="D23" t="s">
        <v>168</v>
      </c>
      <c r="F23" s="114">
        <v>268402</v>
      </c>
      <c r="G23" s="114"/>
      <c r="H23" s="115"/>
    </row>
    <row r="24" spans="1:14" x14ac:dyDescent="0.3">
      <c r="A24">
        <v>2</v>
      </c>
      <c r="B24" s="162">
        <v>45281</v>
      </c>
      <c r="C24" t="s">
        <v>223</v>
      </c>
      <c r="D24" t="s">
        <v>170</v>
      </c>
      <c r="E24" t="s">
        <v>246</v>
      </c>
      <c r="F24" s="114">
        <v>190586.19</v>
      </c>
      <c r="G24" s="114"/>
      <c r="H24" s="115"/>
    </row>
    <row r="25" spans="1:14" x14ac:dyDescent="0.3">
      <c r="A25">
        <v>3</v>
      </c>
      <c r="B25" s="162">
        <v>45283</v>
      </c>
      <c r="C25" t="s">
        <v>234</v>
      </c>
      <c r="D25" t="s">
        <v>170</v>
      </c>
      <c r="F25" s="114"/>
      <c r="G25" s="114">
        <f>4226.5*82.25</f>
        <v>347629.625</v>
      </c>
      <c r="H25" s="115"/>
    </row>
    <row r="26" spans="1:14" x14ac:dyDescent="0.3">
      <c r="A26">
        <v>4</v>
      </c>
      <c r="B26" s="162">
        <v>45295</v>
      </c>
      <c r="C26" t="s">
        <v>224</v>
      </c>
      <c r="D26" t="s">
        <v>123</v>
      </c>
      <c r="F26" s="114">
        <f>J24</f>
        <v>0</v>
      </c>
      <c r="H26" s="115"/>
    </row>
    <row r="27" spans="1:14" x14ac:dyDescent="0.3">
      <c r="A27">
        <v>5</v>
      </c>
      <c r="B27" s="162">
        <v>45295</v>
      </c>
      <c r="C27" t="s">
        <v>222</v>
      </c>
      <c r="D27" t="s">
        <v>215</v>
      </c>
      <c r="F27" s="114"/>
      <c r="G27" s="114">
        <f>29356.48*2</f>
        <v>58712.959999999999</v>
      </c>
      <c r="H27" s="115"/>
    </row>
    <row r="28" spans="1:14" x14ac:dyDescent="0.3">
      <c r="A28">
        <v>6</v>
      </c>
      <c r="B28" s="162">
        <v>45310</v>
      </c>
      <c r="C28" t="s">
        <v>235</v>
      </c>
      <c r="D28" t="s">
        <v>236</v>
      </c>
      <c r="E28" t="s">
        <v>249</v>
      </c>
      <c r="G28" s="114">
        <f>6577</f>
        <v>6577</v>
      </c>
      <c r="H28" s="115"/>
    </row>
    <row r="29" spans="1:14" x14ac:dyDescent="0.3">
      <c r="A29">
        <v>7</v>
      </c>
      <c r="B29" s="162">
        <v>45295</v>
      </c>
      <c r="C29" t="s">
        <v>237</v>
      </c>
      <c r="D29" t="s">
        <v>215</v>
      </c>
      <c r="E29" t="s">
        <v>250</v>
      </c>
      <c r="F29" s="145">
        <f>0.05*G27</f>
        <v>2935.6480000000001</v>
      </c>
      <c r="H29" s="115"/>
    </row>
    <row r="30" spans="1:14" x14ac:dyDescent="0.3">
      <c r="A30">
        <v>8</v>
      </c>
      <c r="B30" s="162">
        <v>45322</v>
      </c>
      <c r="C30" t="s">
        <v>222</v>
      </c>
      <c r="D30" t="s">
        <v>215</v>
      </c>
      <c r="E30" t="s">
        <v>247</v>
      </c>
      <c r="F30" s="114"/>
      <c r="G30" s="114">
        <f>29356.46*2</f>
        <v>58712.92</v>
      </c>
      <c r="H30" s="115"/>
    </row>
    <row r="31" spans="1:14" x14ac:dyDescent="0.3">
      <c r="B31" s="142"/>
      <c r="F31" s="115"/>
      <c r="G31" s="115"/>
      <c r="H31" s="115"/>
    </row>
    <row r="32" spans="1:14" x14ac:dyDescent="0.3">
      <c r="B32" s="142"/>
      <c r="F32" s="115"/>
      <c r="G32" s="115"/>
      <c r="H32" s="115"/>
    </row>
    <row r="33" spans="2:14" x14ac:dyDescent="0.3">
      <c r="B33" s="142"/>
      <c r="F33" s="115"/>
      <c r="G33" s="115"/>
      <c r="H33" s="115"/>
    </row>
    <row r="34" spans="2:14" x14ac:dyDescent="0.3">
      <c r="B34" s="142"/>
      <c r="F34" s="115"/>
      <c r="G34" s="115"/>
      <c r="H34" s="115"/>
    </row>
    <row r="35" spans="2:14" x14ac:dyDescent="0.3">
      <c r="B35" s="142"/>
      <c r="F35" s="115"/>
      <c r="G35" s="115"/>
      <c r="H35" s="115"/>
    </row>
    <row r="36" spans="2:14" x14ac:dyDescent="0.3">
      <c r="B36" s="162"/>
      <c r="F36" s="114"/>
      <c r="G36" s="114"/>
      <c r="H36" s="115"/>
    </row>
    <row r="37" spans="2:14" x14ac:dyDescent="0.3">
      <c r="B37" s="162"/>
      <c r="F37" s="114">
        <f>SUM(F5:F35)</f>
        <v>4873476.064666667</v>
      </c>
      <c r="G37" s="114">
        <f>SUM(G5:G35)</f>
        <v>6657394.8250000002</v>
      </c>
      <c r="H37" s="115">
        <f>G37-F37</f>
        <v>1783918.7603333332</v>
      </c>
    </row>
    <row r="38" spans="2:14" x14ac:dyDescent="0.3">
      <c r="B38" s="162"/>
      <c r="F38" s="114"/>
      <c r="G38" s="114"/>
      <c r="H38" s="115"/>
    </row>
    <row r="39" spans="2:14" x14ac:dyDescent="0.3">
      <c r="B39" s="162"/>
      <c r="C39" t="s">
        <v>130</v>
      </c>
      <c r="F39" s="114">
        <f>H37</f>
        <v>1783918.7603333332</v>
      </c>
      <c r="G39" s="114"/>
      <c r="H39" s="115"/>
    </row>
    <row r="40" spans="2:14" x14ac:dyDescent="0.3">
      <c r="B40" s="162"/>
      <c r="F40" s="114"/>
      <c r="G40" s="114"/>
      <c r="H40" s="115"/>
    </row>
    <row r="41" spans="2:14" x14ac:dyDescent="0.3">
      <c r="B41" s="162"/>
      <c r="C41" s="145">
        <f>0.4*0.7*H37</f>
        <v>499497.25289333321</v>
      </c>
      <c r="F41" s="83"/>
      <c r="G41" s="83"/>
    </row>
    <row r="42" spans="2:14" x14ac:dyDescent="0.3">
      <c r="B42" s="162"/>
      <c r="F42" s="83"/>
      <c r="G42" s="83"/>
    </row>
    <row r="43" spans="2:14" ht="15" thickBot="1" x14ac:dyDescent="0.35">
      <c r="B43" s="162"/>
      <c r="F43" s="83"/>
      <c r="G43" s="83"/>
      <c r="N43" s="198"/>
    </row>
    <row r="44" spans="2:14" x14ac:dyDescent="0.3">
      <c r="B44" s="162"/>
      <c r="F44" s="83"/>
      <c r="G44" s="83"/>
    </row>
    <row r="45" spans="2:14" x14ac:dyDescent="0.3">
      <c r="B45" s="162"/>
      <c r="F45" s="83"/>
      <c r="G45" s="83"/>
    </row>
    <row r="46" spans="2:14" x14ac:dyDescent="0.3">
      <c r="B46" s="162"/>
      <c r="F46" s="83"/>
      <c r="G46" s="83"/>
    </row>
    <row r="47" spans="2:14" x14ac:dyDescent="0.3">
      <c r="B47" s="162"/>
      <c r="F47" s="83"/>
      <c r="G47" s="83"/>
    </row>
    <row r="48" spans="2:14" x14ac:dyDescent="0.3">
      <c r="B48" s="162"/>
      <c r="F48" s="83"/>
      <c r="G48" s="83"/>
    </row>
    <row r="49" spans="2:7" x14ac:dyDescent="0.3">
      <c r="B49" s="162"/>
      <c r="F49" s="83"/>
      <c r="G49" s="83"/>
    </row>
    <row r="50" spans="2:7" x14ac:dyDescent="0.3">
      <c r="B50" s="162"/>
      <c r="F50" s="83"/>
      <c r="G50" s="83"/>
    </row>
    <row r="51" spans="2:7" x14ac:dyDescent="0.3">
      <c r="B51" s="162"/>
      <c r="F51" s="83"/>
      <c r="G51" s="83"/>
    </row>
    <row r="52" spans="2:7" x14ac:dyDescent="0.3">
      <c r="B52" s="162"/>
    </row>
    <row r="53" spans="2:7" x14ac:dyDescent="0.3">
      <c r="B53" s="162"/>
    </row>
    <row r="54" spans="2:7" x14ac:dyDescent="0.3">
      <c r="B54" s="162"/>
    </row>
    <row r="55" spans="2:7" x14ac:dyDescent="0.3">
      <c r="B55" s="162"/>
    </row>
    <row r="56" spans="2:7" x14ac:dyDescent="0.3">
      <c r="B56" s="162"/>
    </row>
    <row r="57" spans="2:7" x14ac:dyDescent="0.3">
      <c r="B57" s="162"/>
    </row>
    <row r="58" spans="2:7" x14ac:dyDescent="0.3">
      <c r="B58" s="162"/>
    </row>
    <row r="59" spans="2:7" x14ac:dyDescent="0.3">
      <c r="B59" s="162"/>
    </row>
    <row r="60" spans="2:7" x14ac:dyDescent="0.3">
      <c r="B60" s="162"/>
    </row>
  </sheetData>
  <autoFilter ref="A3:H20" xr:uid="{37E387F8-5D54-49F8-9E1B-FBB109B9890D}">
    <sortState xmlns:xlrd2="http://schemas.microsoft.com/office/spreadsheetml/2017/richdata2" ref="A4:H18">
      <sortCondition ref="B3:B18"/>
    </sortState>
  </autoFilter>
  <dataValidations disablePrompts="1" count="3">
    <dataValidation type="list" allowBlank="1" showInputMessage="1" showErrorMessage="1" sqref="D5:D6 D31:D52 D21:D22 D8:D9 D11:D13" xr:uid="{0A850C1E-4746-4E03-B11C-C7975D3B1CAA}">
      <formula1>$T$3:$T$8</formula1>
    </dataValidation>
    <dataValidation type="list" allowBlank="1" showInputMessage="1" showErrorMessage="1" sqref="D7 D10" xr:uid="{25D27BA2-4CEA-4BCD-9BF4-82D93E10FBD9}">
      <formula1>$T$3:$T$14</formula1>
    </dataValidation>
    <dataValidation type="list" allowBlank="1" showInputMessage="1" showErrorMessage="1" sqref="D23:D30 D14:D20" xr:uid="{6645E4C3-E457-4530-B171-6DFD164EAEBA}">
      <formula1>$T$3:$T$13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0D12-67C2-478C-8642-A773B9709A5F}">
  <dimension ref="D3:H18"/>
  <sheetViews>
    <sheetView workbookViewId="0">
      <selection activeCell="G7" sqref="G7"/>
    </sheetView>
  </sheetViews>
  <sheetFormatPr defaultRowHeight="14.4" x14ac:dyDescent="0.3"/>
  <cols>
    <col min="5" max="5" width="24" customWidth="1"/>
    <col min="6" max="6" width="31.33203125" customWidth="1"/>
    <col min="7" max="7" width="13.44140625" bestFit="1" customWidth="1"/>
    <col min="8" max="8" width="17" customWidth="1"/>
  </cols>
  <sheetData>
    <row r="3" spans="4:8" x14ac:dyDescent="0.3">
      <c r="E3" t="s">
        <v>180</v>
      </c>
      <c r="F3" t="s">
        <v>181</v>
      </c>
      <c r="G3" s="114">
        <v>2710005.28</v>
      </c>
      <c r="H3" s="115">
        <f>G3</f>
        <v>2710005.28</v>
      </c>
    </row>
    <row r="4" spans="4:8" x14ac:dyDescent="0.3">
      <c r="G4" s="114"/>
      <c r="H4" s="115"/>
    </row>
    <row r="5" spans="4:8" x14ac:dyDescent="0.3">
      <c r="E5" t="s">
        <v>182</v>
      </c>
      <c r="F5" t="s">
        <v>183</v>
      </c>
      <c r="G5" s="114">
        <v>-2700000</v>
      </c>
      <c r="H5" s="145">
        <f>H3+G5</f>
        <v>10005.279999999795</v>
      </c>
    </row>
    <row r="6" spans="4:8" x14ac:dyDescent="0.3">
      <c r="F6" t="s">
        <v>190</v>
      </c>
      <c r="G6" s="114">
        <v>-3060509</v>
      </c>
      <c r="H6" s="145"/>
    </row>
    <row r="7" spans="4:8" x14ac:dyDescent="0.3">
      <c r="E7" t="s">
        <v>184</v>
      </c>
      <c r="F7" t="s">
        <v>185</v>
      </c>
      <c r="G7" s="114">
        <v>-1297.18</v>
      </c>
      <c r="H7" s="145">
        <f>H5+G7</f>
        <v>8708.0999999997948</v>
      </c>
    </row>
    <row r="8" spans="4:8" x14ac:dyDescent="0.3">
      <c r="D8" s="164">
        <v>45206</v>
      </c>
      <c r="F8" t="s">
        <v>186</v>
      </c>
      <c r="G8" s="114">
        <v>-18</v>
      </c>
      <c r="H8" s="145">
        <f t="shared" ref="H8:H11" si="0">H7+G8</f>
        <v>8690.0999999997948</v>
      </c>
    </row>
    <row r="9" spans="4:8" x14ac:dyDescent="0.3">
      <c r="F9" t="s">
        <v>187</v>
      </c>
      <c r="G9" s="114">
        <f>-482.76-18</f>
        <v>-500.76</v>
      </c>
      <c r="H9" s="145">
        <f t="shared" si="0"/>
        <v>8189.3399999997946</v>
      </c>
    </row>
    <row r="10" spans="4:8" x14ac:dyDescent="0.3">
      <c r="D10" s="164">
        <v>45271</v>
      </c>
      <c r="F10" t="s">
        <v>188</v>
      </c>
      <c r="G10" s="114">
        <v>400000</v>
      </c>
      <c r="H10" s="145">
        <f t="shared" si="0"/>
        <v>408189.33999999979</v>
      </c>
    </row>
    <row r="11" spans="4:8" x14ac:dyDescent="0.3">
      <c r="D11" s="164">
        <v>45274</v>
      </c>
      <c r="F11" t="s">
        <v>189</v>
      </c>
      <c r="G11" s="114">
        <v>-300000</v>
      </c>
      <c r="H11" s="145">
        <f t="shared" si="0"/>
        <v>108189.33999999979</v>
      </c>
    </row>
    <row r="12" spans="4:8" x14ac:dyDescent="0.3">
      <c r="G12" s="114"/>
    </row>
    <row r="13" spans="4:8" x14ac:dyDescent="0.3">
      <c r="G13" s="114"/>
    </row>
    <row r="14" spans="4:8" x14ac:dyDescent="0.3">
      <c r="G14" s="114"/>
    </row>
    <row r="15" spans="4:8" x14ac:dyDescent="0.3">
      <c r="G15" s="114"/>
    </row>
    <row r="16" spans="4:8" x14ac:dyDescent="0.3">
      <c r="G16" s="114"/>
    </row>
    <row r="17" spans="7:7" x14ac:dyDescent="0.3">
      <c r="G17" s="114"/>
    </row>
    <row r="18" spans="7:7" x14ac:dyDescent="0.3">
      <c r="G18" s="1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5538-FBE9-4945-9830-6692A80FEB2F}">
  <dimension ref="A1:V103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L12" sqref="L12"/>
    </sheetView>
  </sheetViews>
  <sheetFormatPr defaultRowHeight="14.4" x14ac:dyDescent="0.3"/>
  <cols>
    <col min="3" max="3" width="13.33203125" customWidth="1"/>
    <col min="4" max="4" width="21.33203125" customWidth="1"/>
    <col min="5" max="5" width="14.109375" customWidth="1"/>
    <col min="7" max="7" width="10.5546875" customWidth="1"/>
    <col min="8" max="8" width="15" customWidth="1"/>
    <col min="9" max="9" width="10.6640625" customWidth="1"/>
    <col min="10" max="10" width="13.6640625" customWidth="1"/>
    <col min="12" max="12" width="11.5546875" bestFit="1" customWidth="1"/>
    <col min="15" max="15" width="12" customWidth="1"/>
    <col min="16" max="16" width="7.6640625" customWidth="1"/>
    <col min="17" max="18" width="12.5546875" bestFit="1" customWidth="1"/>
  </cols>
  <sheetData>
    <row r="1" spans="1:22" ht="15" thickBot="1" x14ac:dyDescent="0.35">
      <c r="O1" t="s">
        <v>116</v>
      </c>
      <c r="P1">
        <v>80</v>
      </c>
      <c r="U1" t="s">
        <v>156</v>
      </c>
    </row>
    <row r="2" spans="1:22" ht="30.6" x14ac:dyDescent="0.3">
      <c r="B2" s="32" t="s">
        <v>16</v>
      </c>
      <c r="C2" s="33" t="s">
        <v>17</v>
      </c>
      <c r="D2" s="34" t="s">
        <v>18</v>
      </c>
      <c r="E2" s="33" t="s">
        <v>19</v>
      </c>
      <c r="F2" s="33" t="s">
        <v>20</v>
      </c>
      <c r="G2" s="33" t="s">
        <v>21</v>
      </c>
      <c r="H2" s="33" t="s">
        <v>22</v>
      </c>
      <c r="I2" s="33" t="s">
        <v>23</v>
      </c>
      <c r="J2" s="33" t="s">
        <v>24</v>
      </c>
      <c r="K2" s="80" t="s">
        <v>110</v>
      </c>
      <c r="L2" s="80" t="s">
        <v>111</v>
      </c>
      <c r="M2" s="80" t="s">
        <v>112</v>
      </c>
      <c r="N2" s="80" t="s">
        <v>113</v>
      </c>
      <c r="O2" s="80" t="s">
        <v>114</v>
      </c>
      <c r="P2" s="80" t="s">
        <v>115</v>
      </c>
      <c r="Q2" s="80" t="s">
        <v>117</v>
      </c>
      <c r="R2" s="80" t="s">
        <v>118</v>
      </c>
      <c r="S2" s="80" t="s">
        <v>251</v>
      </c>
      <c r="T2" s="80" t="s">
        <v>252</v>
      </c>
      <c r="U2" s="80" t="s">
        <v>20</v>
      </c>
      <c r="V2" s="80" t="s">
        <v>157</v>
      </c>
    </row>
    <row r="3" spans="1:22" x14ac:dyDescent="0.3">
      <c r="A3" t="e">
        <f>VLOOKUP(C3,Shipments!$D$2:$E$34,2,FALSE)</f>
        <v>#N/A</v>
      </c>
      <c r="B3" s="36">
        <v>31</v>
      </c>
      <c r="C3" s="149" t="s">
        <v>80</v>
      </c>
      <c r="D3" s="150" t="s">
        <v>29</v>
      </c>
      <c r="E3" s="69" t="s">
        <v>30</v>
      </c>
      <c r="F3" s="37">
        <v>0</v>
      </c>
      <c r="G3" s="40" t="s">
        <v>74</v>
      </c>
      <c r="H3" s="41" t="s">
        <v>74</v>
      </c>
      <c r="I3" s="39" t="s">
        <v>74</v>
      </c>
      <c r="J3" s="39" t="s">
        <v>74</v>
      </c>
      <c r="S3">
        <f>ROUNDUP(IF(M3=0,0,M3*(1+IF(M3&lt;20,0.15,0.12))),2)</f>
        <v>0</v>
      </c>
      <c r="T3">
        <f>S3*F3</f>
        <v>0</v>
      </c>
    </row>
    <row r="4" spans="1:22" x14ac:dyDescent="0.3">
      <c r="A4" t="e">
        <f>VLOOKUP(C4,Shipments!$D$2:$E$34,2,FALSE)</f>
        <v>#N/A</v>
      </c>
      <c r="B4" s="36">
        <v>35</v>
      </c>
      <c r="C4" s="45" t="s">
        <v>80</v>
      </c>
      <c r="D4" s="46" t="s">
        <v>29</v>
      </c>
      <c r="E4" s="39" t="s">
        <v>74</v>
      </c>
      <c r="F4" s="45"/>
      <c r="G4" s="47" t="s">
        <v>74</v>
      </c>
      <c r="H4" s="47" t="s">
        <v>74</v>
      </c>
      <c r="I4" s="47" t="s">
        <v>74</v>
      </c>
      <c r="J4" s="47" t="s">
        <v>74</v>
      </c>
      <c r="S4">
        <f t="shared" ref="S4:S67" si="0">ROUNDUP(IF(M4=0,0,M4*(1+IF(M4&lt;20,0.15,0.12))),2)</f>
        <v>0</v>
      </c>
      <c r="T4">
        <f t="shared" ref="T4:T67" si="1">S4*F4</f>
        <v>0</v>
      </c>
    </row>
    <row r="5" spans="1:22" x14ac:dyDescent="0.3">
      <c r="A5" t="str">
        <f>VLOOKUP(C5,Shipments!$D$2:$E$34,2,FALSE)</f>
        <v>FUEL FILTER</v>
      </c>
      <c r="B5" s="36">
        <v>33</v>
      </c>
      <c r="C5" s="66" t="s">
        <v>82</v>
      </c>
      <c r="D5" s="67" t="s">
        <v>32</v>
      </c>
      <c r="E5" s="68" t="s">
        <v>39</v>
      </c>
      <c r="F5" s="81">
        <v>4</v>
      </c>
      <c r="G5" s="113">
        <v>1273</v>
      </c>
      <c r="H5" s="41">
        <f t="shared" ref="H5:H36" si="2">G5*F5</f>
        <v>5092</v>
      </c>
      <c r="I5" s="42">
        <v>0.1</v>
      </c>
      <c r="J5" s="41">
        <f t="shared" ref="J5:J36" si="3">H5*I5</f>
        <v>509.20000000000005</v>
      </c>
      <c r="K5">
        <f t="shared" ref="K5:K36" si="4">0.9*G5</f>
        <v>1145.7</v>
      </c>
      <c r="L5">
        <f t="shared" ref="L5:L36" si="5">K5*F5</f>
        <v>4582.8</v>
      </c>
      <c r="M5">
        <f>VLOOKUP(C5,[1]OfferToClient24Feb!$C$2:$R$83,16,FALSE)</f>
        <v>18.32</v>
      </c>
      <c r="N5">
        <f>ROUNDUP(M5*F5,0)</f>
        <v>74</v>
      </c>
      <c r="O5" s="82">
        <v>73</v>
      </c>
      <c r="P5">
        <f t="shared" ref="P5:P20" si="6">O5-N5</f>
        <v>-1</v>
      </c>
      <c r="Q5">
        <f t="shared" ref="Q5:Q36" si="7">$P$1*O5</f>
        <v>5840</v>
      </c>
      <c r="R5">
        <f>Q5-L5</f>
        <v>1257.1999999999998</v>
      </c>
      <c r="S5">
        <f t="shared" si="0"/>
        <v>21.07</v>
      </c>
      <c r="T5">
        <f t="shared" si="1"/>
        <v>84.28</v>
      </c>
    </row>
    <row r="6" spans="1:22" x14ac:dyDescent="0.3">
      <c r="A6" t="str">
        <f>VLOOKUP(C6,Shipments!$D$2:$E$34,2,FALSE)</f>
        <v>FUEL FILTER</v>
      </c>
      <c r="B6" s="36">
        <v>37</v>
      </c>
      <c r="C6" s="45" t="s">
        <v>82</v>
      </c>
      <c r="D6" s="46" t="s">
        <v>32</v>
      </c>
      <c r="E6" s="39" t="s">
        <v>39</v>
      </c>
      <c r="F6" s="81">
        <v>12</v>
      </c>
      <c r="G6" s="113">
        <v>1273</v>
      </c>
      <c r="H6" s="41">
        <f t="shared" si="2"/>
        <v>15276</v>
      </c>
      <c r="I6" s="42">
        <v>0.1</v>
      </c>
      <c r="J6" s="41">
        <f t="shared" si="3"/>
        <v>1527.6000000000001</v>
      </c>
      <c r="K6">
        <f t="shared" si="4"/>
        <v>1145.7</v>
      </c>
      <c r="L6">
        <f t="shared" si="5"/>
        <v>13748.400000000001</v>
      </c>
      <c r="M6">
        <f>VLOOKUP(C6,[1]OfferToClient24Feb!$C$2:$R$83,16,FALSE)</f>
        <v>18.32</v>
      </c>
      <c r="N6">
        <f>ROUNDUP(M6*F6,0)</f>
        <v>220</v>
      </c>
      <c r="O6" s="82">
        <f>VLOOKUP(C6,[1]OfferToClient24Feb!$C$2:$T$83,18,FALSE)</f>
        <v>219.84</v>
      </c>
      <c r="P6">
        <f t="shared" si="6"/>
        <v>-0.15999999999999659</v>
      </c>
      <c r="Q6">
        <f t="shared" si="7"/>
        <v>17587.2</v>
      </c>
      <c r="R6">
        <f t="shared" ref="R6:R69" si="8">Q6-L6</f>
        <v>3838.7999999999993</v>
      </c>
      <c r="S6">
        <f t="shared" si="0"/>
        <v>21.07</v>
      </c>
      <c r="T6">
        <f t="shared" si="1"/>
        <v>252.84</v>
      </c>
    </row>
    <row r="7" spans="1:22" x14ac:dyDescent="0.3">
      <c r="A7" t="str">
        <f>VLOOKUP(C7,Shipments!$D$2:$E$34,2,FALSE)</f>
        <v>OIL FILTER</v>
      </c>
      <c r="B7" s="36">
        <v>1</v>
      </c>
      <c r="C7" s="45" t="s">
        <v>28</v>
      </c>
      <c r="D7" s="46" t="s">
        <v>29</v>
      </c>
      <c r="E7" s="39" t="s">
        <v>30</v>
      </c>
      <c r="F7" s="81">
        <v>12</v>
      </c>
      <c r="G7" s="113">
        <v>457</v>
      </c>
      <c r="H7" s="41">
        <f t="shared" si="2"/>
        <v>5484</v>
      </c>
      <c r="I7" s="42">
        <v>0.1</v>
      </c>
      <c r="J7" s="41">
        <f t="shared" si="3"/>
        <v>548.4</v>
      </c>
      <c r="K7">
        <f t="shared" si="4"/>
        <v>411.3</v>
      </c>
      <c r="L7">
        <f t="shared" si="5"/>
        <v>4935.6000000000004</v>
      </c>
      <c r="M7">
        <f>VLOOKUP(C7,[1]OfferToClient24Feb!$C$2:$R$83,16,FALSE)</f>
        <v>6.58</v>
      </c>
      <c r="N7">
        <f>ROUNDUP(M7*F7,2)</f>
        <v>78.959999999999994</v>
      </c>
      <c r="O7" s="82">
        <f>VLOOKUP(C7,[1]OfferToClient24Feb!$C$2:$T$83,18,FALSE)</f>
        <v>78.959999999999994</v>
      </c>
      <c r="P7">
        <f t="shared" si="6"/>
        <v>0</v>
      </c>
      <c r="Q7">
        <f t="shared" si="7"/>
        <v>6316.7999999999993</v>
      </c>
      <c r="R7">
        <f t="shared" si="8"/>
        <v>1381.1999999999989</v>
      </c>
      <c r="S7">
        <f t="shared" si="0"/>
        <v>7.5699999999999994</v>
      </c>
      <c r="T7">
        <f t="shared" si="1"/>
        <v>90.839999999999989</v>
      </c>
    </row>
    <row r="8" spans="1:22" x14ac:dyDescent="0.3">
      <c r="A8" t="str">
        <f>VLOOKUP(C8,Shipments!$D$2:$E$34,2,FALSE)</f>
        <v>OIL FILTER</v>
      </c>
      <c r="B8" s="36">
        <v>36</v>
      </c>
      <c r="C8" s="66" t="s">
        <v>28</v>
      </c>
      <c r="D8" s="67" t="s">
        <v>29</v>
      </c>
      <c r="E8" s="68" t="s">
        <v>30</v>
      </c>
      <c r="F8" s="81">
        <v>4</v>
      </c>
      <c r="G8" s="113">
        <v>457</v>
      </c>
      <c r="H8" s="41">
        <f t="shared" si="2"/>
        <v>1828</v>
      </c>
      <c r="I8" s="42">
        <v>0.1</v>
      </c>
      <c r="J8" s="41">
        <f t="shared" si="3"/>
        <v>182.8</v>
      </c>
      <c r="K8">
        <f t="shared" si="4"/>
        <v>411.3</v>
      </c>
      <c r="L8">
        <f t="shared" si="5"/>
        <v>1645.2</v>
      </c>
      <c r="M8">
        <v>6.58</v>
      </c>
      <c r="N8">
        <f>ROUNDUP(M8*F8,0)</f>
        <v>27</v>
      </c>
      <c r="O8" s="82">
        <v>26</v>
      </c>
      <c r="P8">
        <f t="shared" si="6"/>
        <v>-1</v>
      </c>
      <c r="Q8">
        <f t="shared" si="7"/>
        <v>2080</v>
      </c>
      <c r="R8">
        <f t="shared" si="8"/>
        <v>434.79999999999995</v>
      </c>
      <c r="S8">
        <f t="shared" si="0"/>
        <v>7.5699999999999994</v>
      </c>
      <c r="T8">
        <f t="shared" si="1"/>
        <v>30.279999999999998</v>
      </c>
    </row>
    <row r="9" spans="1:22" x14ac:dyDescent="0.3">
      <c r="A9" t="str">
        <f>VLOOKUP(C9,Shipments!$D$2:$E$34,2,FALSE)</f>
        <v>OIL FILTER</v>
      </c>
      <c r="B9" s="36">
        <v>7</v>
      </c>
      <c r="C9" s="45" t="s">
        <v>42</v>
      </c>
      <c r="D9" s="46" t="s">
        <v>29</v>
      </c>
      <c r="E9" s="39" t="s">
        <v>30</v>
      </c>
      <c r="F9" s="81">
        <v>120</v>
      </c>
      <c r="G9" s="113">
        <v>388</v>
      </c>
      <c r="H9" s="41">
        <f t="shared" si="2"/>
        <v>46560</v>
      </c>
      <c r="I9" s="42">
        <v>0.1</v>
      </c>
      <c r="J9" s="41">
        <f t="shared" si="3"/>
        <v>4656</v>
      </c>
      <c r="K9">
        <f t="shared" si="4"/>
        <v>349.2</v>
      </c>
      <c r="L9">
        <f t="shared" si="5"/>
        <v>41904</v>
      </c>
      <c r="M9">
        <f>VLOOKUP(C9,[1]OfferToClient24Feb!$C$2:$R$83,16,FALSE)</f>
        <v>5.59</v>
      </c>
      <c r="N9">
        <f>ROUNDUP(M9*F9,2)</f>
        <v>670.8</v>
      </c>
      <c r="O9" s="82">
        <f>VLOOKUP(C9,[1]OfferToClient24Feb!$C$2:$T$83,18,FALSE)</f>
        <v>670.8</v>
      </c>
      <c r="P9">
        <f t="shared" si="6"/>
        <v>0</v>
      </c>
      <c r="Q9">
        <f t="shared" si="7"/>
        <v>53664</v>
      </c>
      <c r="R9">
        <f t="shared" si="8"/>
        <v>11760</v>
      </c>
      <c r="S9">
        <f t="shared" si="0"/>
        <v>6.43</v>
      </c>
      <c r="T9">
        <f t="shared" si="1"/>
        <v>771.59999999999991</v>
      </c>
    </row>
    <row r="10" spans="1:22" x14ac:dyDescent="0.3">
      <c r="A10" t="str">
        <f>VLOOKUP(C10,Shipments!$D$2:$E$34,2,FALSE)</f>
        <v>OIL FILTER</v>
      </c>
      <c r="B10" s="36">
        <v>19</v>
      </c>
      <c r="C10" s="66" t="s">
        <v>42</v>
      </c>
      <c r="D10" s="67" t="s">
        <v>29</v>
      </c>
      <c r="E10" s="68" t="s">
        <v>30</v>
      </c>
      <c r="F10" s="81">
        <v>40</v>
      </c>
      <c r="G10" s="113">
        <v>388</v>
      </c>
      <c r="H10" s="41">
        <f t="shared" si="2"/>
        <v>15520</v>
      </c>
      <c r="I10" s="42">
        <v>0.1</v>
      </c>
      <c r="J10" s="41">
        <f t="shared" si="3"/>
        <v>1552</v>
      </c>
      <c r="K10">
        <f t="shared" si="4"/>
        <v>349.2</v>
      </c>
      <c r="L10">
        <f t="shared" si="5"/>
        <v>13968</v>
      </c>
      <c r="M10">
        <f>VLOOKUP(C10,[1]OfferToClient24Feb!$C$2:$R$83,16,FALSE)</f>
        <v>5.59</v>
      </c>
      <c r="N10">
        <f>ROUNDUP(M10*F10,2)</f>
        <v>223.6</v>
      </c>
      <c r="O10" s="82">
        <v>224</v>
      </c>
      <c r="P10">
        <f t="shared" si="6"/>
        <v>0.40000000000000568</v>
      </c>
      <c r="Q10">
        <f t="shared" si="7"/>
        <v>17920</v>
      </c>
      <c r="R10">
        <f t="shared" si="8"/>
        <v>3952</v>
      </c>
      <c r="S10">
        <f t="shared" si="0"/>
        <v>6.43</v>
      </c>
      <c r="T10">
        <f t="shared" si="1"/>
        <v>257.2</v>
      </c>
    </row>
    <row r="11" spans="1:22" x14ac:dyDescent="0.3">
      <c r="A11" t="str">
        <f>VLOOKUP(C11,Shipments!$D$2:$E$34,2,FALSE)</f>
        <v>HYDRAULIC FILTER</v>
      </c>
      <c r="B11" s="36">
        <v>30</v>
      </c>
      <c r="C11" s="66" t="s">
        <v>83</v>
      </c>
      <c r="D11" s="67" t="s">
        <v>92</v>
      </c>
      <c r="E11" s="68" t="s">
        <v>39</v>
      </c>
      <c r="F11" s="81">
        <v>20</v>
      </c>
      <c r="G11" s="113">
        <v>3505</v>
      </c>
      <c r="H11" s="41">
        <f t="shared" si="2"/>
        <v>70100</v>
      </c>
      <c r="I11" s="42">
        <v>0.1</v>
      </c>
      <c r="J11" s="41">
        <f t="shared" si="3"/>
        <v>7010</v>
      </c>
      <c r="K11">
        <f t="shared" si="4"/>
        <v>3154.5</v>
      </c>
      <c r="L11">
        <f t="shared" si="5"/>
        <v>63090</v>
      </c>
      <c r="M11">
        <f>VLOOKUP(C11,[1]OfferToClient24Feb!$C$2:$R$83,16,FALSE)</f>
        <v>50.44</v>
      </c>
      <c r="N11">
        <f>ROUNDUP(M11*F11,0)</f>
        <v>1009</v>
      </c>
      <c r="O11" s="82">
        <v>1009</v>
      </c>
      <c r="P11">
        <f t="shared" si="6"/>
        <v>0</v>
      </c>
      <c r="Q11">
        <f t="shared" si="7"/>
        <v>80720</v>
      </c>
      <c r="R11">
        <f t="shared" si="8"/>
        <v>17630</v>
      </c>
      <c r="S11">
        <f t="shared" si="0"/>
        <v>56.5</v>
      </c>
      <c r="T11">
        <f t="shared" si="1"/>
        <v>1130</v>
      </c>
    </row>
    <row r="12" spans="1:22" x14ac:dyDescent="0.3">
      <c r="A12" t="str">
        <f>VLOOKUP(C12,Shipments!$D$2:$E$34,2,FALSE)</f>
        <v>HYDRAULIC FILTER</v>
      </c>
      <c r="B12" s="36">
        <v>35</v>
      </c>
      <c r="C12" s="66" t="s">
        <v>83</v>
      </c>
      <c r="D12" s="67" t="s">
        <v>92</v>
      </c>
      <c r="E12" s="68" t="s">
        <v>39</v>
      </c>
      <c r="F12" s="81">
        <v>4</v>
      </c>
      <c r="G12" s="113">
        <v>3505</v>
      </c>
      <c r="H12" s="41">
        <f t="shared" si="2"/>
        <v>14020</v>
      </c>
      <c r="I12" s="42">
        <v>0.1</v>
      </c>
      <c r="J12" s="41">
        <f t="shared" si="3"/>
        <v>1402</v>
      </c>
      <c r="K12">
        <f t="shared" si="4"/>
        <v>3154.5</v>
      </c>
      <c r="L12">
        <f t="shared" si="5"/>
        <v>12618</v>
      </c>
      <c r="M12">
        <f>VLOOKUP(C12,[1]OfferToClient24Feb!$C$2:$R$83,16,FALSE)</f>
        <v>50.44</v>
      </c>
      <c r="N12">
        <f>ROUNDUP(M12*F12,0)</f>
        <v>202</v>
      </c>
      <c r="O12" s="82">
        <v>202</v>
      </c>
      <c r="P12">
        <f t="shared" si="6"/>
        <v>0</v>
      </c>
      <c r="Q12">
        <f t="shared" si="7"/>
        <v>16160</v>
      </c>
      <c r="R12">
        <f t="shared" si="8"/>
        <v>3542</v>
      </c>
      <c r="S12">
        <f t="shared" si="0"/>
        <v>56.5</v>
      </c>
      <c r="T12">
        <f t="shared" si="1"/>
        <v>226</v>
      </c>
    </row>
    <row r="13" spans="1:22" x14ac:dyDescent="0.3">
      <c r="A13" t="str">
        <f>VLOOKUP(C13,Shipments!$D$2:$E$34,2,FALSE)</f>
        <v>HYDRAULIC FILTER</v>
      </c>
      <c r="B13" s="36">
        <v>38</v>
      </c>
      <c r="C13" s="45" t="s">
        <v>83</v>
      </c>
      <c r="D13" s="46" t="s">
        <v>37</v>
      </c>
      <c r="E13" s="39" t="s">
        <v>33</v>
      </c>
      <c r="F13" s="81">
        <v>12</v>
      </c>
      <c r="G13" s="113">
        <v>3505</v>
      </c>
      <c r="H13" s="41">
        <f t="shared" si="2"/>
        <v>42060</v>
      </c>
      <c r="I13" s="42">
        <v>0.1</v>
      </c>
      <c r="J13" s="41">
        <f t="shared" si="3"/>
        <v>4206</v>
      </c>
      <c r="K13">
        <f t="shared" si="4"/>
        <v>3154.5</v>
      </c>
      <c r="L13">
        <f t="shared" si="5"/>
        <v>37854</v>
      </c>
      <c r="M13">
        <f>VLOOKUP(C13,[1]OfferToClient24Feb!$C$2:$R$83,16,FALSE)</f>
        <v>50.44</v>
      </c>
      <c r="N13">
        <f>ROUNDUP(M13*F13,0)</f>
        <v>606</v>
      </c>
      <c r="O13" s="82">
        <f>VLOOKUP(C13,[1]OfferToClient24Feb!$C$2:$T$83,18,FALSE)</f>
        <v>605.28</v>
      </c>
      <c r="P13">
        <f t="shared" si="6"/>
        <v>-0.72000000000002728</v>
      </c>
      <c r="Q13">
        <f t="shared" si="7"/>
        <v>48422.399999999994</v>
      </c>
      <c r="R13">
        <f t="shared" si="8"/>
        <v>10568.399999999994</v>
      </c>
      <c r="S13">
        <f t="shared" si="0"/>
        <v>56.5</v>
      </c>
      <c r="T13">
        <f t="shared" si="1"/>
        <v>678</v>
      </c>
    </row>
    <row r="14" spans="1:22" x14ac:dyDescent="0.3">
      <c r="A14" t="str">
        <f>VLOOKUP(C14,Shipments!$D$2:$E$34,2,FALSE)</f>
        <v>HYDRAULIC FILTER</v>
      </c>
      <c r="B14" s="36">
        <v>42</v>
      </c>
      <c r="C14" s="45" t="s">
        <v>83</v>
      </c>
      <c r="D14" s="46" t="s">
        <v>37</v>
      </c>
      <c r="E14" s="39" t="s">
        <v>33</v>
      </c>
      <c r="F14" s="81">
        <v>60</v>
      </c>
      <c r="G14" s="113">
        <v>3505</v>
      </c>
      <c r="H14" s="41">
        <f t="shared" si="2"/>
        <v>210300</v>
      </c>
      <c r="I14" s="42">
        <v>0.1</v>
      </c>
      <c r="J14" s="41">
        <f t="shared" si="3"/>
        <v>21030</v>
      </c>
      <c r="K14">
        <f t="shared" si="4"/>
        <v>3154.5</v>
      </c>
      <c r="L14">
        <f t="shared" si="5"/>
        <v>189270</v>
      </c>
      <c r="M14">
        <f>VLOOKUP(C14,[1]OfferToClient24Feb!$C$2:$R$83,16,FALSE)</f>
        <v>50.44</v>
      </c>
      <c r="N14">
        <f>ROUNDUP(M14*F14,0)</f>
        <v>3027</v>
      </c>
      <c r="O14" s="82">
        <v>3026</v>
      </c>
      <c r="P14">
        <f t="shared" si="6"/>
        <v>-1</v>
      </c>
      <c r="Q14">
        <f t="shared" si="7"/>
        <v>242080</v>
      </c>
      <c r="R14">
        <f t="shared" si="8"/>
        <v>52810</v>
      </c>
      <c r="S14">
        <f t="shared" si="0"/>
        <v>56.5</v>
      </c>
      <c r="T14">
        <f t="shared" si="1"/>
        <v>3390</v>
      </c>
    </row>
    <row r="15" spans="1:22" x14ac:dyDescent="0.3">
      <c r="A15" t="str">
        <f>VLOOKUP(C15,Shipments!$D$2:$E$34,2,FALSE)</f>
        <v>AC FILTER</v>
      </c>
      <c r="B15" s="36">
        <v>15</v>
      </c>
      <c r="C15" s="66" t="s">
        <v>68</v>
      </c>
      <c r="D15" s="67" t="s">
        <v>95</v>
      </c>
      <c r="E15" s="68" t="s">
        <v>39</v>
      </c>
      <c r="F15" s="81">
        <v>8</v>
      </c>
      <c r="G15" s="113">
        <v>1271</v>
      </c>
      <c r="H15" s="41">
        <f t="shared" si="2"/>
        <v>10168</v>
      </c>
      <c r="I15" s="42">
        <v>0.1</v>
      </c>
      <c r="J15" s="41">
        <f t="shared" si="3"/>
        <v>1016.8000000000001</v>
      </c>
      <c r="K15">
        <f t="shared" si="4"/>
        <v>1143.9000000000001</v>
      </c>
      <c r="L15">
        <f t="shared" si="5"/>
        <v>9151.2000000000007</v>
      </c>
      <c r="M15">
        <f>VLOOKUP(C15,[1]OfferToClient24Feb!$C$2:$R$83,16,FALSE)</f>
        <v>18.290000000000003</v>
      </c>
      <c r="N15">
        <f>ROUNDUP(M15*F15,2)</f>
        <v>146.32</v>
      </c>
      <c r="O15" s="82">
        <v>146</v>
      </c>
      <c r="P15">
        <f t="shared" si="6"/>
        <v>-0.31999999999999318</v>
      </c>
      <c r="Q15">
        <f t="shared" si="7"/>
        <v>11680</v>
      </c>
      <c r="R15">
        <f t="shared" si="8"/>
        <v>2528.7999999999993</v>
      </c>
      <c r="S15">
        <f t="shared" si="0"/>
        <v>21.040000000000003</v>
      </c>
      <c r="T15">
        <f t="shared" si="1"/>
        <v>168.32000000000002</v>
      </c>
    </row>
    <row r="16" spans="1:22" x14ac:dyDescent="0.3">
      <c r="A16" t="str">
        <f>VLOOKUP(C16,Shipments!$D$2:$E$34,2,FALSE)</f>
        <v>AC FILTER</v>
      </c>
      <c r="B16" s="36">
        <v>26</v>
      </c>
      <c r="C16" s="45" t="s">
        <v>68</v>
      </c>
      <c r="D16" s="46" t="s">
        <v>69</v>
      </c>
      <c r="E16" s="39" t="s">
        <v>33</v>
      </c>
      <c r="F16" s="81">
        <v>24</v>
      </c>
      <c r="G16" s="113">
        <v>1271</v>
      </c>
      <c r="H16" s="41">
        <f t="shared" si="2"/>
        <v>30504</v>
      </c>
      <c r="I16" s="42">
        <v>0.1</v>
      </c>
      <c r="J16" s="41">
        <f t="shared" si="3"/>
        <v>3050.4</v>
      </c>
      <c r="K16">
        <f t="shared" si="4"/>
        <v>1143.9000000000001</v>
      </c>
      <c r="L16">
        <f t="shared" si="5"/>
        <v>27453.600000000002</v>
      </c>
      <c r="M16">
        <f>VLOOKUP(C16,[1]OfferToClient24Feb!$C$2:$R$83,16,FALSE)</f>
        <v>18.290000000000003</v>
      </c>
      <c r="N16">
        <f>ROUNDUP(M16*F16,2)</f>
        <v>438.96</v>
      </c>
      <c r="O16" s="82">
        <f>VLOOKUP(C16,[1]OfferToClient24Feb!$C$2:$T$83,18,FALSE)</f>
        <v>438.96</v>
      </c>
      <c r="P16">
        <f t="shared" si="6"/>
        <v>0</v>
      </c>
      <c r="Q16">
        <f t="shared" si="7"/>
        <v>35116.799999999996</v>
      </c>
      <c r="R16">
        <f t="shared" si="8"/>
        <v>7663.1999999999935</v>
      </c>
      <c r="S16">
        <f t="shared" si="0"/>
        <v>21.040000000000003</v>
      </c>
      <c r="T16">
        <f t="shared" si="1"/>
        <v>504.96000000000004</v>
      </c>
    </row>
    <row r="17" spans="1:20" x14ac:dyDescent="0.3">
      <c r="A17" t="str">
        <f>VLOOKUP(C17,Shipments!$D$2:$E$34,2,FALSE)</f>
        <v>AIR FILTER IN</v>
      </c>
      <c r="B17" s="36">
        <v>8</v>
      </c>
      <c r="C17" s="66" t="s">
        <v>78</v>
      </c>
      <c r="D17" s="67" t="s">
        <v>94</v>
      </c>
      <c r="E17" s="68" t="s">
        <v>155</v>
      </c>
      <c r="F17" s="81">
        <v>10</v>
      </c>
      <c r="G17" s="113">
        <v>1010</v>
      </c>
      <c r="H17" s="41">
        <f t="shared" si="2"/>
        <v>10100</v>
      </c>
      <c r="I17" s="42">
        <v>0.1</v>
      </c>
      <c r="J17" s="41">
        <f t="shared" si="3"/>
        <v>1010</v>
      </c>
      <c r="K17">
        <f t="shared" si="4"/>
        <v>909</v>
      </c>
      <c r="L17">
        <f t="shared" si="5"/>
        <v>9090</v>
      </c>
      <c r="M17">
        <f>VLOOKUP(C17,[1]OfferToClient24Feb!$C$2:$R$83,16,FALSE)</f>
        <v>14.54</v>
      </c>
      <c r="N17">
        <f>ROUNDUP(M17*F17,2)</f>
        <v>145.4</v>
      </c>
      <c r="O17" s="82">
        <v>145</v>
      </c>
      <c r="P17">
        <f t="shared" si="6"/>
        <v>-0.40000000000000568</v>
      </c>
      <c r="Q17">
        <f t="shared" si="7"/>
        <v>11600</v>
      </c>
      <c r="R17">
        <f t="shared" si="8"/>
        <v>2510</v>
      </c>
      <c r="S17">
        <f t="shared" si="0"/>
        <v>16.73</v>
      </c>
      <c r="T17">
        <f t="shared" si="1"/>
        <v>167.3</v>
      </c>
    </row>
    <row r="18" spans="1:20" x14ac:dyDescent="0.3">
      <c r="A18" t="str">
        <f>VLOOKUP(C18,Shipments!$D$2:$E$34,2,FALSE)</f>
        <v>AIR FILTER IN</v>
      </c>
      <c r="B18" s="36">
        <v>34</v>
      </c>
      <c r="C18" s="48" t="s">
        <v>78</v>
      </c>
      <c r="D18" s="46" t="s">
        <v>57</v>
      </c>
      <c r="E18" s="39" t="s">
        <v>155</v>
      </c>
      <c r="F18" s="81">
        <v>30</v>
      </c>
      <c r="G18" s="113">
        <v>1010</v>
      </c>
      <c r="H18" s="41">
        <f t="shared" si="2"/>
        <v>30300</v>
      </c>
      <c r="I18" s="42">
        <v>0.1</v>
      </c>
      <c r="J18" s="41">
        <f t="shared" si="3"/>
        <v>3030</v>
      </c>
      <c r="K18">
        <f t="shared" si="4"/>
        <v>909</v>
      </c>
      <c r="L18">
        <f t="shared" si="5"/>
        <v>27270</v>
      </c>
      <c r="M18">
        <f>VLOOKUP(C18,[1]OfferToClient24Feb!$C$2:$R$83,16,FALSE)</f>
        <v>14.54</v>
      </c>
      <c r="N18">
        <f>ROUNDUP(M18*F18,0)</f>
        <v>437</v>
      </c>
      <c r="O18" s="82">
        <f>VLOOKUP(C18,[1]OfferToClient24Feb!$C$2:$T$83,18,FALSE)</f>
        <v>436.2</v>
      </c>
      <c r="P18">
        <f t="shared" si="6"/>
        <v>-0.80000000000001137</v>
      </c>
      <c r="Q18">
        <f t="shared" si="7"/>
        <v>34896</v>
      </c>
      <c r="R18">
        <f t="shared" si="8"/>
        <v>7626</v>
      </c>
      <c r="S18">
        <f t="shared" si="0"/>
        <v>16.73</v>
      </c>
      <c r="T18">
        <f t="shared" si="1"/>
        <v>501.90000000000003</v>
      </c>
    </row>
    <row r="19" spans="1:20" x14ac:dyDescent="0.3">
      <c r="A19" t="str">
        <f>VLOOKUP(C19,Shipments!$D$2:$E$34,2,FALSE)</f>
        <v>AIR FILTER OUT</v>
      </c>
      <c r="B19" s="36">
        <v>7</v>
      </c>
      <c r="C19" s="66" t="s">
        <v>76</v>
      </c>
      <c r="D19" s="67" t="s">
        <v>93</v>
      </c>
      <c r="E19" s="68" t="s">
        <v>77</v>
      </c>
      <c r="F19" s="81">
        <v>10</v>
      </c>
      <c r="G19" s="113">
        <v>1488</v>
      </c>
      <c r="H19" s="41">
        <f t="shared" si="2"/>
        <v>14880</v>
      </c>
      <c r="I19" s="42">
        <v>0.1</v>
      </c>
      <c r="J19" s="41">
        <f t="shared" si="3"/>
        <v>1488</v>
      </c>
      <c r="K19">
        <f t="shared" si="4"/>
        <v>1339.2</v>
      </c>
      <c r="L19">
        <f t="shared" si="5"/>
        <v>13392</v>
      </c>
      <c r="M19">
        <f>VLOOKUP(C19,[1]OfferToClient24Feb!$C$2:$R$83,16,FALSE)</f>
        <v>21.41</v>
      </c>
      <c r="N19">
        <f>ROUNDUP(M19*F19,2)</f>
        <v>214.1</v>
      </c>
      <c r="O19" s="82">
        <v>214</v>
      </c>
      <c r="P19">
        <f t="shared" si="6"/>
        <v>-9.9999999999994316E-2</v>
      </c>
      <c r="Q19">
        <f t="shared" si="7"/>
        <v>17120</v>
      </c>
      <c r="R19">
        <f t="shared" si="8"/>
        <v>3728</v>
      </c>
      <c r="S19">
        <f t="shared" si="0"/>
        <v>23.98</v>
      </c>
      <c r="T19">
        <f t="shared" si="1"/>
        <v>239.8</v>
      </c>
    </row>
    <row r="20" spans="1:20" x14ac:dyDescent="0.3">
      <c r="A20" t="str">
        <f>VLOOKUP(C20,Shipments!$D$2:$E$34,2,FALSE)</f>
        <v>AIR FILTER OUT</v>
      </c>
      <c r="B20" s="36">
        <v>33</v>
      </c>
      <c r="C20" s="48" t="s">
        <v>76</v>
      </c>
      <c r="D20" s="46" t="s">
        <v>54</v>
      </c>
      <c r="E20" s="39" t="s">
        <v>77</v>
      </c>
      <c r="F20" s="81">
        <v>30</v>
      </c>
      <c r="G20" s="113">
        <v>1488</v>
      </c>
      <c r="H20" s="41">
        <f t="shared" si="2"/>
        <v>44640</v>
      </c>
      <c r="I20" s="42">
        <v>0.1</v>
      </c>
      <c r="J20" s="41">
        <f t="shared" si="3"/>
        <v>4464</v>
      </c>
      <c r="K20">
        <f t="shared" si="4"/>
        <v>1339.2</v>
      </c>
      <c r="L20">
        <f t="shared" si="5"/>
        <v>40176</v>
      </c>
      <c r="M20">
        <f>VLOOKUP(C20,[1]OfferToClient24Feb!$C$2:$R$83,16,FALSE)</f>
        <v>21.41</v>
      </c>
      <c r="N20">
        <f>ROUNDUP(M20*F20,0)</f>
        <v>643</v>
      </c>
      <c r="O20" s="82">
        <f>VLOOKUP(C20,[1]OfferToClient24Feb!$C$2:$T$83,18,FALSE)</f>
        <v>642.29999999999995</v>
      </c>
      <c r="P20">
        <f t="shared" si="6"/>
        <v>-0.70000000000004547</v>
      </c>
      <c r="Q20">
        <f t="shared" si="7"/>
        <v>51384</v>
      </c>
      <c r="R20">
        <f t="shared" si="8"/>
        <v>11208</v>
      </c>
      <c r="S20">
        <f t="shared" si="0"/>
        <v>23.98</v>
      </c>
      <c r="T20">
        <f t="shared" si="1"/>
        <v>719.4</v>
      </c>
    </row>
    <row r="21" spans="1:20" x14ac:dyDescent="0.3">
      <c r="A21" t="e">
        <f>VLOOKUP(C21,Shipments!$D$2:$E$34,2,FALSE)</f>
        <v>#N/A</v>
      </c>
      <c r="B21" s="36">
        <v>6</v>
      </c>
      <c r="C21" s="45" t="s">
        <v>40</v>
      </c>
      <c r="D21" s="46" t="s">
        <v>41</v>
      </c>
      <c r="E21" s="39" t="s">
        <v>33</v>
      </c>
      <c r="F21" s="45">
        <v>0</v>
      </c>
      <c r="G21" s="113">
        <v>2520</v>
      </c>
      <c r="H21" s="41">
        <f t="shared" si="2"/>
        <v>0</v>
      </c>
      <c r="I21" s="42">
        <v>0.1</v>
      </c>
      <c r="J21" s="41">
        <f t="shared" si="3"/>
        <v>0</v>
      </c>
      <c r="K21">
        <f t="shared" si="4"/>
        <v>2268</v>
      </c>
      <c r="L21">
        <f t="shared" si="5"/>
        <v>0</v>
      </c>
      <c r="Q21">
        <f t="shared" si="7"/>
        <v>0</v>
      </c>
      <c r="R21">
        <f t="shared" si="8"/>
        <v>0</v>
      </c>
      <c r="S21">
        <f t="shared" si="0"/>
        <v>0</v>
      </c>
      <c r="T21">
        <f t="shared" si="1"/>
        <v>0</v>
      </c>
    </row>
    <row r="22" spans="1:20" x14ac:dyDescent="0.3">
      <c r="A22" t="e">
        <f>VLOOKUP(C22,Shipments!$D$2:$E$34,2,FALSE)</f>
        <v>#N/A</v>
      </c>
      <c r="B22" s="36">
        <v>41</v>
      </c>
      <c r="C22" s="66" t="s">
        <v>40</v>
      </c>
      <c r="D22" s="67" t="s">
        <v>41</v>
      </c>
      <c r="E22" s="68" t="s">
        <v>39</v>
      </c>
      <c r="F22" s="45">
        <v>0</v>
      </c>
      <c r="G22" s="113">
        <v>2520</v>
      </c>
      <c r="H22" s="41">
        <f t="shared" si="2"/>
        <v>0</v>
      </c>
      <c r="I22" s="42">
        <v>0.1</v>
      </c>
      <c r="J22" s="41">
        <f t="shared" si="3"/>
        <v>0</v>
      </c>
      <c r="K22">
        <f t="shared" si="4"/>
        <v>2268</v>
      </c>
      <c r="L22">
        <f t="shared" si="5"/>
        <v>0</v>
      </c>
      <c r="Q22">
        <f t="shared" si="7"/>
        <v>0</v>
      </c>
      <c r="R22">
        <f t="shared" si="8"/>
        <v>0</v>
      </c>
      <c r="S22">
        <f t="shared" si="0"/>
        <v>0</v>
      </c>
      <c r="T22">
        <f t="shared" si="1"/>
        <v>0</v>
      </c>
    </row>
    <row r="23" spans="1:20" x14ac:dyDescent="0.3">
      <c r="A23" t="str">
        <f>VLOOKUP(C23,Shipments!$D$2:$E$34,2,FALSE)</f>
        <v>HYDRAULIC FILTER</v>
      </c>
      <c r="B23" s="36">
        <v>6</v>
      </c>
      <c r="C23" s="66" t="s">
        <v>75</v>
      </c>
      <c r="D23" s="67" t="s">
        <v>92</v>
      </c>
      <c r="E23" s="68" t="s">
        <v>39</v>
      </c>
      <c r="F23" s="81">
        <v>20</v>
      </c>
      <c r="G23" s="113">
        <v>556</v>
      </c>
      <c r="H23" s="41">
        <f t="shared" si="2"/>
        <v>11120</v>
      </c>
      <c r="I23" s="42">
        <v>0.1</v>
      </c>
      <c r="J23" s="41">
        <f t="shared" si="3"/>
        <v>1112</v>
      </c>
      <c r="K23">
        <f t="shared" si="4"/>
        <v>500.40000000000003</v>
      </c>
      <c r="L23">
        <f t="shared" si="5"/>
        <v>10008</v>
      </c>
      <c r="M23">
        <f>VLOOKUP(C23,[1]OfferToClient24Feb!$C$2:$R$83,16,FALSE)</f>
        <v>8</v>
      </c>
      <c r="N23" s="114">
        <f>ROUNDUP(M23*F23,2)</f>
        <v>160</v>
      </c>
      <c r="O23" s="82">
        <v>160</v>
      </c>
      <c r="P23">
        <f t="shared" ref="P23:P54" si="9">O23-N23</f>
        <v>0</v>
      </c>
      <c r="Q23">
        <f t="shared" si="7"/>
        <v>12800</v>
      </c>
      <c r="R23">
        <f t="shared" si="8"/>
        <v>2792</v>
      </c>
      <c r="S23">
        <f t="shared" si="0"/>
        <v>9.1999999999999993</v>
      </c>
      <c r="T23">
        <f t="shared" si="1"/>
        <v>184</v>
      </c>
    </row>
    <row r="24" spans="1:20" x14ac:dyDescent="0.3">
      <c r="A24" t="str">
        <f>VLOOKUP(C24,Shipments!$D$2:$E$34,2,FALSE)</f>
        <v>HYDRAULIC FILTER</v>
      </c>
      <c r="B24" s="36">
        <v>32</v>
      </c>
      <c r="C24" s="45" t="s">
        <v>75</v>
      </c>
      <c r="D24" s="46" t="s">
        <v>37</v>
      </c>
      <c r="E24" s="39" t="s">
        <v>30</v>
      </c>
      <c r="F24" s="81">
        <v>60</v>
      </c>
      <c r="G24" s="113">
        <v>556</v>
      </c>
      <c r="H24" s="41">
        <f t="shared" si="2"/>
        <v>33360</v>
      </c>
      <c r="I24" s="42">
        <v>0.1</v>
      </c>
      <c r="J24" s="41">
        <f t="shared" si="3"/>
        <v>3336</v>
      </c>
      <c r="K24">
        <f t="shared" si="4"/>
        <v>500.40000000000003</v>
      </c>
      <c r="L24">
        <f t="shared" si="5"/>
        <v>30024.000000000004</v>
      </c>
      <c r="M24">
        <f>VLOOKUP(C24,[1]OfferToClient24Feb!$C$2:$R$83,16,FALSE)</f>
        <v>8</v>
      </c>
      <c r="N24">
        <f>ROUNDUP(M24*F24,0)</f>
        <v>480</v>
      </c>
      <c r="O24" s="82">
        <f>VLOOKUP(C24,[1]OfferToClient24Feb!$C$2:$T$83,18,FALSE)</f>
        <v>480</v>
      </c>
      <c r="P24">
        <f t="shared" si="9"/>
        <v>0</v>
      </c>
      <c r="Q24">
        <f t="shared" si="7"/>
        <v>38400</v>
      </c>
      <c r="R24">
        <f t="shared" si="8"/>
        <v>8375.9999999999964</v>
      </c>
      <c r="S24">
        <f t="shared" si="0"/>
        <v>9.1999999999999993</v>
      </c>
      <c r="T24">
        <f t="shared" si="1"/>
        <v>552</v>
      </c>
    </row>
    <row r="25" spans="1:20" x14ac:dyDescent="0.3">
      <c r="A25" t="str">
        <f>VLOOKUP(C25,Shipments!$D$2:$E$34,2,FALSE)</f>
        <v>FILTER 12U PQ416</v>
      </c>
      <c r="B25" s="36">
        <v>44</v>
      </c>
      <c r="C25" s="69" t="s">
        <v>102</v>
      </c>
      <c r="D25" s="67" t="s">
        <v>103</v>
      </c>
      <c r="E25" s="69" t="s">
        <v>39</v>
      </c>
      <c r="F25" s="81">
        <v>50</v>
      </c>
      <c r="G25" s="113">
        <v>3166</v>
      </c>
      <c r="H25" s="41">
        <f t="shared" si="2"/>
        <v>158300</v>
      </c>
      <c r="I25" s="42">
        <v>0.1</v>
      </c>
      <c r="J25" s="41">
        <f t="shared" si="3"/>
        <v>15830</v>
      </c>
      <c r="K25">
        <f t="shared" si="4"/>
        <v>2849.4</v>
      </c>
      <c r="L25">
        <f t="shared" si="5"/>
        <v>142470</v>
      </c>
      <c r="M25">
        <f>VLOOKUP(C25,[1]OfferToClient24Feb!$C$2:$R$83,16,FALSE)</f>
        <v>45.559999999999995</v>
      </c>
      <c r="N25">
        <f>ROUNDUP(M25*F25,0)</f>
        <v>2278</v>
      </c>
      <c r="O25" s="82">
        <v>2278</v>
      </c>
      <c r="P25">
        <f t="shared" si="9"/>
        <v>0</v>
      </c>
      <c r="Q25">
        <f t="shared" si="7"/>
        <v>182240</v>
      </c>
      <c r="R25">
        <f t="shared" si="8"/>
        <v>39770</v>
      </c>
      <c r="S25">
        <f t="shared" si="0"/>
        <v>51.03</v>
      </c>
      <c r="T25">
        <f t="shared" si="1"/>
        <v>2551.5</v>
      </c>
    </row>
    <row r="26" spans="1:20" x14ac:dyDescent="0.3">
      <c r="A26" t="str">
        <f>VLOOKUP(C26,Shipments!$D$2:$E$34,2,FALSE)</f>
        <v>HYD FILTER</v>
      </c>
      <c r="B26" s="36">
        <v>14</v>
      </c>
      <c r="C26" s="45" t="s">
        <v>52</v>
      </c>
      <c r="D26" s="46" t="s">
        <v>37</v>
      </c>
      <c r="E26" s="39" t="s">
        <v>39</v>
      </c>
      <c r="F26" s="81">
        <v>30</v>
      </c>
      <c r="G26" s="113">
        <v>3215</v>
      </c>
      <c r="H26" s="41">
        <f t="shared" si="2"/>
        <v>96450</v>
      </c>
      <c r="I26" s="42">
        <v>0.1</v>
      </c>
      <c r="J26" s="41">
        <f t="shared" si="3"/>
        <v>9645</v>
      </c>
      <c r="K26">
        <f t="shared" si="4"/>
        <v>2893.5</v>
      </c>
      <c r="L26">
        <f t="shared" si="5"/>
        <v>86805</v>
      </c>
      <c r="M26">
        <f>VLOOKUP(C26,[1]OfferToClient24Feb!$C$2:$R$83,16,FALSE)</f>
        <v>46.26</v>
      </c>
      <c r="N26">
        <f>ROUNDUP(M26*F26,2)</f>
        <v>1387.8</v>
      </c>
      <c r="O26" s="82">
        <f>VLOOKUP(C26,[1]OfferToClient24Feb!$C$2:$T$83,18,FALSE)</f>
        <v>1387.8</v>
      </c>
      <c r="P26">
        <f t="shared" si="9"/>
        <v>0</v>
      </c>
      <c r="Q26">
        <f t="shared" si="7"/>
        <v>111024</v>
      </c>
      <c r="R26">
        <f t="shared" si="8"/>
        <v>24219</v>
      </c>
      <c r="S26">
        <f t="shared" si="0"/>
        <v>51.82</v>
      </c>
      <c r="T26">
        <f t="shared" si="1"/>
        <v>1554.6</v>
      </c>
    </row>
    <row r="27" spans="1:20" x14ac:dyDescent="0.3">
      <c r="A27" t="str">
        <f>VLOOKUP(C27,Shipments!$D$2:$E$34,2,FALSE)</f>
        <v>FUEL FILTER</v>
      </c>
      <c r="B27" s="36">
        <v>28</v>
      </c>
      <c r="C27" s="66" t="s">
        <v>81</v>
      </c>
      <c r="D27" s="67" t="s">
        <v>32</v>
      </c>
      <c r="E27" s="68" t="s">
        <v>39</v>
      </c>
      <c r="F27" s="81">
        <v>20</v>
      </c>
      <c r="G27" s="113">
        <v>1678</v>
      </c>
      <c r="H27" s="41">
        <f t="shared" si="2"/>
        <v>33560</v>
      </c>
      <c r="I27" s="42">
        <v>0.1</v>
      </c>
      <c r="J27" s="41">
        <f t="shared" si="3"/>
        <v>3356</v>
      </c>
      <c r="K27">
        <f t="shared" si="4"/>
        <v>1510.2</v>
      </c>
      <c r="L27">
        <f t="shared" si="5"/>
        <v>30204</v>
      </c>
      <c r="M27">
        <f>VLOOKUP(C27,[1]OfferToClient24Feb!$C$2:$R$83,16,FALSE)</f>
        <v>24.150000000000002</v>
      </c>
      <c r="N27">
        <f t="shared" ref="N27:N32" si="10">ROUNDUP(M27*F27,0)</f>
        <v>483</v>
      </c>
      <c r="O27" s="82">
        <v>483</v>
      </c>
      <c r="P27">
        <f t="shared" si="9"/>
        <v>0</v>
      </c>
      <c r="Q27">
        <f t="shared" si="7"/>
        <v>38640</v>
      </c>
      <c r="R27">
        <f t="shared" si="8"/>
        <v>8436</v>
      </c>
      <c r="S27">
        <f t="shared" si="0"/>
        <v>27.05</v>
      </c>
      <c r="T27">
        <f t="shared" si="1"/>
        <v>541</v>
      </c>
    </row>
    <row r="28" spans="1:20" x14ac:dyDescent="0.3">
      <c r="A28" t="str">
        <f>VLOOKUP(C28,Shipments!$D$2:$E$34,2,FALSE)</f>
        <v>FUEL FILTER</v>
      </c>
      <c r="B28" s="36">
        <v>32</v>
      </c>
      <c r="C28" s="66" t="s">
        <v>81</v>
      </c>
      <c r="D28" s="67" t="s">
        <v>32</v>
      </c>
      <c r="E28" s="68" t="s">
        <v>39</v>
      </c>
      <c r="F28" s="81">
        <v>4</v>
      </c>
      <c r="G28" s="113">
        <v>1678</v>
      </c>
      <c r="H28" s="41">
        <f t="shared" si="2"/>
        <v>6712</v>
      </c>
      <c r="I28" s="42">
        <v>0.1</v>
      </c>
      <c r="J28" s="41">
        <f t="shared" si="3"/>
        <v>671.2</v>
      </c>
      <c r="K28">
        <f t="shared" si="4"/>
        <v>1510.2</v>
      </c>
      <c r="L28">
        <f t="shared" si="5"/>
        <v>6040.8</v>
      </c>
      <c r="M28">
        <f>VLOOKUP(C28,[1]OfferToClient24Feb!$C$2:$R$83,16,FALSE)</f>
        <v>24.150000000000002</v>
      </c>
      <c r="N28">
        <f t="shared" si="10"/>
        <v>97</v>
      </c>
      <c r="O28" s="82">
        <v>97</v>
      </c>
      <c r="P28">
        <f t="shared" si="9"/>
        <v>0</v>
      </c>
      <c r="Q28">
        <f t="shared" si="7"/>
        <v>7760</v>
      </c>
      <c r="R28">
        <f t="shared" si="8"/>
        <v>1719.1999999999998</v>
      </c>
      <c r="S28">
        <f t="shared" si="0"/>
        <v>27.05</v>
      </c>
      <c r="T28">
        <f t="shared" si="1"/>
        <v>108.2</v>
      </c>
    </row>
    <row r="29" spans="1:20" x14ac:dyDescent="0.3">
      <c r="A29" t="str">
        <f>VLOOKUP(C29,Shipments!$D$2:$E$34,2,FALSE)</f>
        <v>FUEL FILTER</v>
      </c>
      <c r="B29" s="36">
        <v>36</v>
      </c>
      <c r="C29" s="45" t="s">
        <v>81</v>
      </c>
      <c r="D29" s="46" t="s">
        <v>32</v>
      </c>
      <c r="E29" s="39" t="s">
        <v>33</v>
      </c>
      <c r="F29" s="81">
        <v>12</v>
      </c>
      <c r="G29" s="113">
        <v>1678</v>
      </c>
      <c r="H29" s="41">
        <f t="shared" si="2"/>
        <v>20136</v>
      </c>
      <c r="I29" s="42">
        <v>0.1</v>
      </c>
      <c r="J29" s="41">
        <f t="shared" si="3"/>
        <v>2013.6000000000001</v>
      </c>
      <c r="K29">
        <f t="shared" si="4"/>
        <v>1510.2</v>
      </c>
      <c r="L29">
        <f t="shared" si="5"/>
        <v>18122.400000000001</v>
      </c>
      <c r="M29">
        <f>VLOOKUP(C29,[1]OfferToClient24Feb!$C$2:$R$83,16,FALSE)</f>
        <v>24.150000000000002</v>
      </c>
      <c r="N29">
        <f t="shared" si="10"/>
        <v>290</v>
      </c>
      <c r="O29" s="82">
        <f>VLOOKUP(C29,[1]OfferToClient24Feb!$C$2:$T$83,18,FALSE)</f>
        <v>289.8</v>
      </c>
      <c r="P29">
        <f t="shared" si="9"/>
        <v>-0.19999999999998863</v>
      </c>
      <c r="Q29">
        <f t="shared" si="7"/>
        <v>23184</v>
      </c>
      <c r="R29">
        <f t="shared" si="8"/>
        <v>5061.5999999999985</v>
      </c>
      <c r="S29">
        <f t="shared" si="0"/>
        <v>27.05</v>
      </c>
      <c r="T29">
        <f t="shared" si="1"/>
        <v>324.60000000000002</v>
      </c>
    </row>
    <row r="30" spans="1:20" x14ac:dyDescent="0.3">
      <c r="A30" t="str">
        <f>VLOOKUP(C30,Shipments!$D$2:$E$34,2,FALSE)</f>
        <v>FUEL FILTER</v>
      </c>
      <c r="B30" s="36">
        <v>41</v>
      </c>
      <c r="C30" s="45" t="s">
        <v>81</v>
      </c>
      <c r="D30" s="46" t="s">
        <v>32</v>
      </c>
      <c r="E30" s="39" t="s">
        <v>33</v>
      </c>
      <c r="F30" s="81">
        <v>60</v>
      </c>
      <c r="G30" s="113">
        <v>1678</v>
      </c>
      <c r="H30" s="41">
        <f t="shared" si="2"/>
        <v>100680</v>
      </c>
      <c r="I30" s="42">
        <v>0.1</v>
      </c>
      <c r="J30" s="41">
        <f t="shared" si="3"/>
        <v>10068</v>
      </c>
      <c r="K30">
        <f t="shared" si="4"/>
        <v>1510.2</v>
      </c>
      <c r="L30">
        <f t="shared" si="5"/>
        <v>90612</v>
      </c>
      <c r="M30">
        <f>VLOOKUP(C30,[1]OfferToClient24Feb!$C$2:$R$83,16,FALSE)</f>
        <v>24.150000000000002</v>
      </c>
      <c r="N30">
        <f t="shared" si="10"/>
        <v>1449</v>
      </c>
      <c r="O30" s="82">
        <v>1449</v>
      </c>
      <c r="P30">
        <f t="shared" si="9"/>
        <v>0</v>
      </c>
      <c r="Q30">
        <f t="shared" si="7"/>
        <v>115920</v>
      </c>
      <c r="R30">
        <f t="shared" si="8"/>
        <v>25308</v>
      </c>
      <c r="S30">
        <f t="shared" si="0"/>
        <v>27.05</v>
      </c>
      <c r="T30">
        <f t="shared" si="1"/>
        <v>1623</v>
      </c>
    </row>
    <row r="31" spans="1:20" x14ac:dyDescent="0.3">
      <c r="A31" t="e">
        <f>VLOOKUP(C31,Shipments!$D$2:$E$34,2,FALSE)</f>
        <v>#N/A</v>
      </c>
      <c r="B31" s="36">
        <v>42</v>
      </c>
      <c r="C31" s="69" t="s">
        <v>98</v>
      </c>
      <c r="D31" s="67" t="s">
        <v>99</v>
      </c>
      <c r="E31" s="69" t="s">
        <v>39</v>
      </c>
      <c r="F31" s="81">
        <v>100</v>
      </c>
      <c r="G31" s="113">
        <v>3005</v>
      </c>
      <c r="H31" s="41">
        <f t="shared" si="2"/>
        <v>300500</v>
      </c>
      <c r="I31" s="42">
        <v>0.1</v>
      </c>
      <c r="J31" s="41">
        <f t="shared" si="3"/>
        <v>30050</v>
      </c>
      <c r="K31">
        <f t="shared" si="4"/>
        <v>2704.5</v>
      </c>
      <c r="L31">
        <f t="shared" si="5"/>
        <v>270450</v>
      </c>
      <c r="M31">
        <f>VLOOKUP(C31,[1]OfferToClient24Feb!$C$2:$R$83,16,FALSE)</f>
        <v>43.239999999999995</v>
      </c>
      <c r="N31">
        <f t="shared" si="10"/>
        <v>4324</v>
      </c>
      <c r="O31" s="82">
        <v>4324</v>
      </c>
      <c r="P31">
        <f t="shared" si="9"/>
        <v>0</v>
      </c>
      <c r="Q31">
        <f t="shared" si="7"/>
        <v>345920</v>
      </c>
      <c r="R31">
        <f t="shared" si="8"/>
        <v>75470</v>
      </c>
      <c r="S31">
        <f t="shared" si="0"/>
        <v>48.43</v>
      </c>
      <c r="T31">
        <f t="shared" si="1"/>
        <v>4843</v>
      </c>
    </row>
    <row r="32" spans="1:20" x14ac:dyDescent="0.3">
      <c r="A32" t="str">
        <f>VLOOKUP(C32,Shipments!$D$2:$E$34,2,FALSE)</f>
        <v>SAFETY ELEMENT</v>
      </c>
      <c r="B32" s="36">
        <v>43</v>
      </c>
      <c r="C32" s="69" t="s">
        <v>100</v>
      </c>
      <c r="D32" s="67" t="s">
        <v>101</v>
      </c>
      <c r="E32" s="69" t="s">
        <v>39</v>
      </c>
      <c r="F32" s="81">
        <v>100</v>
      </c>
      <c r="G32" s="113">
        <v>1689</v>
      </c>
      <c r="H32" s="41">
        <f t="shared" si="2"/>
        <v>168900</v>
      </c>
      <c r="I32" s="42">
        <v>0.1</v>
      </c>
      <c r="J32" s="41">
        <f t="shared" si="3"/>
        <v>16890</v>
      </c>
      <c r="K32">
        <f t="shared" si="4"/>
        <v>1520.1000000000001</v>
      </c>
      <c r="L32">
        <f t="shared" si="5"/>
        <v>152010</v>
      </c>
      <c r="M32">
        <f>VLOOKUP(C32,[1]OfferToClient24Feb!$C$2:$R$83,16,FALSE)</f>
        <v>24.310000000000002</v>
      </c>
      <c r="N32">
        <f t="shared" si="10"/>
        <v>2431</v>
      </c>
      <c r="O32" s="82">
        <f>VLOOKUP(C32,[1]OfferToClient24Feb!$C$2:$T$83,18,FALSE)</f>
        <v>2431</v>
      </c>
      <c r="P32">
        <f t="shared" si="9"/>
        <v>0</v>
      </c>
      <c r="Q32">
        <f t="shared" si="7"/>
        <v>194480</v>
      </c>
      <c r="R32">
        <f t="shared" si="8"/>
        <v>42470</v>
      </c>
      <c r="S32">
        <f t="shared" si="0"/>
        <v>27.23</v>
      </c>
      <c r="T32">
        <f t="shared" si="1"/>
        <v>2723</v>
      </c>
    </row>
    <row r="33" spans="1:20" x14ac:dyDescent="0.3">
      <c r="A33" t="str">
        <f>VLOOKUP(C33,Shipments!$D$2:$E$34,2,FALSE)</f>
        <v>FUEL FILTER</v>
      </c>
      <c r="B33" s="36">
        <v>12</v>
      </c>
      <c r="C33" s="66" t="s">
        <v>63</v>
      </c>
      <c r="D33" s="67" t="s">
        <v>32</v>
      </c>
      <c r="E33" s="68" t="s">
        <v>35</v>
      </c>
      <c r="F33" s="81">
        <v>4</v>
      </c>
      <c r="G33" s="113">
        <v>3761</v>
      </c>
      <c r="H33" s="41">
        <f t="shared" si="2"/>
        <v>15044</v>
      </c>
      <c r="I33" s="42">
        <v>0.1</v>
      </c>
      <c r="J33" s="41">
        <f t="shared" si="3"/>
        <v>1504.4</v>
      </c>
      <c r="K33">
        <f t="shared" si="4"/>
        <v>3384.9</v>
      </c>
      <c r="L33">
        <f t="shared" si="5"/>
        <v>13539.6</v>
      </c>
      <c r="M33">
        <f>VLOOKUP(C33,[1]OfferToClient24Feb!$C$2:$R$83,16,FALSE)</f>
        <v>54.12</v>
      </c>
      <c r="N33">
        <f t="shared" ref="N33:N42" si="11">ROUNDUP(M33*F33,2)</f>
        <v>216.48</v>
      </c>
      <c r="O33" s="82">
        <v>216</v>
      </c>
      <c r="P33">
        <f t="shared" si="9"/>
        <v>-0.47999999999998977</v>
      </c>
      <c r="Q33">
        <f t="shared" si="7"/>
        <v>17280</v>
      </c>
      <c r="R33">
        <f t="shared" si="8"/>
        <v>3740.3999999999996</v>
      </c>
      <c r="S33">
        <f t="shared" si="0"/>
        <v>60.62</v>
      </c>
      <c r="T33">
        <f t="shared" si="1"/>
        <v>242.48</v>
      </c>
    </row>
    <row r="34" spans="1:20" x14ac:dyDescent="0.3">
      <c r="A34" t="str">
        <f>VLOOKUP(C34,Shipments!$D$2:$E$34,2,FALSE)</f>
        <v>FUEL FILTER</v>
      </c>
      <c r="B34" s="36">
        <v>20</v>
      </c>
      <c r="C34" s="45" t="s">
        <v>63</v>
      </c>
      <c r="D34" s="46" t="s">
        <v>62</v>
      </c>
      <c r="E34" s="39" t="s">
        <v>35</v>
      </c>
      <c r="F34" s="81">
        <v>12</v>
      </c>
      <c r="G34" s="113">
        <v>3761</v>
      </c>
      <c r="H34" s="41">
        <f t="shared" si="2"/>
        <v>45132</v>
      </c>
      <c r="I34" s="42">
        <v>0.1</v>
      </c>
      <c r="J34" s="41">
        <f t="shared" si="3"/>
        <v>4513.2</v>
      </c>
      <c r="K34">
        <f t="shared" si="4"/>
        <v>3384.9</v>
      </c>
      <c r="L34">
        <f t="shared" si="5"/>
        <v>40618.800000000003</v>
      </c>
      <c r="M34">
        <f>VLOOKUP(C34,[1]OfferToClient24Feb!$C$2:$R$83,16,FALSE)</f>
        <v>54.12</v>
      </c>
      <c r="N34">
        <f t="shared" si="11"/>
        <v>649.44000000000005</v>
      </c>
      <c r="O34" s="82">
        <f>VLOOKUP(C34,[1]OfferToClient24Feb!$C$2:$T$83,18,FALSE)</f>
        <v>649.44000000000005</v>
      </c>
      <c r="P34">
        <f t="shared" si="9"/>
        <v>0</v>
      </c>
      <c r="Q34">
        <f t="shared" si="7"/>
        <v>51955.200000000004</v>
      </c>
      <c r="R34">
        <f t="shared" si="8"/>
        <v>11336.400000000001</v>
      </c>
      <c r="S34">
        <f t="shared" si="0"/>
        <v>60.62</v>
      </c>
      <c r="T34">
        <f t="shared" si="1"/>
        <v>727.43999999999994</v>
      </c>
    </row>
    <row r="35" spans="1:20" x14ac:dyDescent="0.3">
      <c r="A35" t="str">
        <f>VLOOKUP(C35,Shipments!$D$2:$E$34,2,FALSE)</f>
        <v>FUEL FILTER</v>
      </c>
      <c r="B35" s="36">
        <v>11</v>
      </c>
      <c r="C35" s="66" t="s">
        <v>61</v>
      </c>
      <c r="D35" s="67" t="s">
        <v>32</v>
      </c>
      <c r="E35" s="68" t="s">
        <v>33</v>
      </c>
      <c r="F35" s="81">
        <v>4</v>
      </c>
      <c r="G35" s="113">
        <v>4028</v>
      </c>
      <c r="H35" s="41">
        <f t="shared" si="2"/>
        <v>16112</v>
      </c>
      <c r="I35" s="42">
        <v>0.1</v>
      </c>
      <c r="J35" s="41">
        <f t="shared" si="3"/>
        <v>1611.2</v>
      </c>
      <c r="K35">
        <f t="shared" si="4"/>
        <v>3625.2000000000003</v>
      </c>
      <c r="L35">
        <f t="shared" si="5"/>
        <v>14500.800000000001</v>
      </c>
      <c r="M35">
        <f>VLOOKUP(C35,[1]OfferToClient24Feb!$C$2:$R$83,16,FALSE)</f>
        <v>57.96</v>
      </c>
      <c r="N35">
        <f t="shared" si="11"/>
        <v>231.84</v>
      </c>
      <c r="O35" s="82">
        <v>232</v>
      </c>
      <c r="P35">
        <f t="shared" si="9"/>
        <v>0.15999999999999659</v>
      </c>
      <c r="Q35">
        <f t="shared" si="7"/>
        <v>18560</v>
      </c>
      <c r="R35">
        <f t="shared" si="8"/>
        <v>4059.1999999999989</v>
      </c>
      <c r="S35">
        <f t="shared" si="0"/>
        <v>64.92</v>
      </c>
      <c r="T35">
        <f t="shared" si="1"/>
        <v>259.68</v>
      </c>
    </row>
    <row r="36" spans="1:20" x14ac:dyDescent="0.3">
      <c r="A36" t="str">
        <f>VLOOKUP(C36,Shipments!$D$2:$E$34,2,FALSE)</f>
        <v>FUEL FILTER</v>
      </c>
      <c r="B36" s="36">
        <v>19</v>
      </c>
      <c r="C36" s="45" t="s">
        <v>61</v>
      </c>
      <c r="D36" s="46" t="s">
        <v>62</v>
      </c>
      <c r="E36" s="39" t="s">
        <v>33</v>
      </c>
      <c r="F36" s="81">
        <v>12</v>
      </c>
      <c r="G36" s="113">
        <v>4028</v>
      </c>
      <c r="H36" s="41">
        <f t="shared" si="2"/>
        <v>48336</v>
      </c>
      <c r="I36" s="42">
        <v>0.1</v>
      </c>
      <c r="J36" s="41">
        <f t="shared" si="3"/>
        <v>4833.6000000000004</v>
      </c>
      <c r="K36">
        <f t="shared" si="4"/>
        <v>3625.2000000000003</v>
      </c>
      <c r="L36">
        <f t="shared" si="5"/>
        <v>43502.400000000001</v>
      </c>
      <c r="M36">
        <f>VLOOKUP(C36,[1]OfferToClient24Feb!$C$2:$R$83,16,FALSE)</f>
        <v>57.96</v>
      </c>
      <c r="N36">
        <f t="shared" si="11"/>
        <v>695.52</v>
      </c>
      <c r="O36" s="82">
        <f>VLOOKUP(C36,[1]OfferToClient24Feb!$C$2:$T$83,18,FALSE)</f>
        <v>695.52</v>
      </c>
      <c r="P36">
        <f t="shared" si="9"/>
        <v>0</v>
      </c>
      <c r="Q36">
        <f t="shared" si="7"/>
        <v>55641.599999999999</v>
      </c>
      <c r="R36">
        <f t="shared" si="8"/>
        <v>12139.199999999997</v>
      </c>
      <c r="S36">
        <f t="shared" si="0"/>
        <v>64.92</v>
      </c>
      <c r="T36">
        <f t="shared" si="1"/>
        <v>779.04</v>
      </c>
    </row>
    <row r="37" spans="1:20" x14ac:dyDescent="0.3">
      <c r="A37" t="str">
        <f>VLOOKUP(C37,Shipments!$D$2:$E$34,2,FALSE)</f>
        <v>FUEL FILTER</v>
      </c>
      <c r="B37" s="36">
        <v>10</v>
      </c>
      <c r="C37" s="66" t="s">
        <v>59</v>
      </c>
      <c r="D37" s="67" t="s">
        <v>32</v>
      </c>
      <c r="E37" s="68" t="s">
        <v>39</v>
      </c>
      <c r="F37" s="81">
        <v>4</v>
      </c>
      <c r="G37" s="113">
        <v>4181</v>
      </c>
      <c r="H37" s="41">
        <f t="shared" ref="H37:H68" si="12">G37*F37</f>
        <v>16724</v>
      </c>
      <c r="I37" s="42">
        <v>0.1</v>
      </c>
      <c r="J37" s="41">
        <f t="shared" ref="J37:J68" si="13">H37*I37</f>
        <v>1672.4</v>
      </c>
      <c r="K37">
        <f t="shared" ref="K37:K68" si="14">0.9*G37</f>
        <v>3762.9</v>
      </c>
      <c r="L37">
        <f t="shared" ref="L37:L68" si="15">K37*F37</f>
        <v>15051.6</v>
      </c>
      <c r="M37">
        <f>VLOOKUP(C37,[1]OfferToClient24Feb!$C$2:$R$83,16,FALSE)</f>
        <v>60.16</v>
      </c>
      <c r="N37">
        <f t="shared" si="11"/>
        <v>240.64</v>
      </c>
      <c r="O37" s="82">
        <v>241</v>
      </c>
      <c r="P37">
        <f t="shared" si="9"/>
        <v>0.36000000000001364</v>
      </c>
      <c r="Q37">
        <f t="shared" ref="Q37:Q68" si="16">$P$1*O37</f>
        <v>19280</v>
      </c>
      <c r="R37">
        <f t="shared" si="8"/>
        <v>4228.3999999999996</v>
      </c>
      <c r="S37">
        <f t="shared" si="0"/>
        <v>67.38000000000001</v>
      </c>
      <c r="T37">
        <f t="shared" si="1"/>
        <v>269.52000000000004</v>
      </c>
    </row>
    <row r="38" spans="1:20" x14ac:dyDescent="0.3">
      <c r="A38" t="str">
        <f>VLOOKUP(C38,Shipments!$D$2:$E$34,2,FALSE)</f>
        <v>FUEL FILTER</v>
      </c>
      <c r="B38" s="36">
        <v>18</v>
      </c>
      <c r="C38" s="48" t="s">
        <v>59</v>
      </c>
      <c r="D38" s="46" t="s">
        <v>60</v>
      </c>
      <c r="E38" s="39" t="s">
        <v>33</v>
      </c>
      <c r="F38" s="81">
        <v>12</v>
      </c>
      <c r="G38" s="113">
        <v>4181</v>
      </c>
      <c r="H38" s="41">
        <f t="shared" si="12"/>
        <v>50172</v>
      </c>
      <c r="I38" s="42">
        <v>0.1</v>
      </c>
      <c r="J38" s="41">
        <f t="shared" si="13"/>
        <v>5017.2000000000007</v>
      </c>
      <c r="K38">
        <f t="shared" si="14"/>
        <v>3762.9</v>
      </c>
      <c r="L38">
        <f t="shared" si="15"/>
        <v>45154.8</v>
      </c>
      <c r="M38">
        <v>60.16</v>
      </c>
      <c r="N38">
        <f t="shared" si="11"/>
        <v>721.92</v>
      </c>
      <c r="O38" s="82">
        <v>722</v>
      </c>
      <c r="P38">
        <f t="shared" si="9"/>
        <v>8.0000000000040927E-2</v>
      </c>
      <c r="Q38">
        <f t="shared" si="16"/>
        <v>57760</v>
      </c>
      <c r="R38">
        <f t="shared" si="8"/>
        <v>12605.199999999997</v>
      </c>
      <c r="S38">
        <f t="shared" si="0"/>
        <v>67.38000000000001</v>
      </c>
      <c r="T38">
        <f t="shared" si="1"/>
        <v>808.56000000000017</v>
      </c>
    </row>
    <row r="39" spans="1:20" x14ac:dyDescent="0.3">
      <c r="A39" t="str">
        <f>VLOOKUP(C39,Shipments!$D$2:$E$34,2,FALSE)</f>
        <v>OIL FILTER</v>
      </c>
      <c r="B39" s="36">
        <v>9</v>
      </c>
      <c r="C39" s="66" t="s">
        <v>58</v>
      </c>
      <c r="D39" s="67" t="s">
        <v>29</v>
      </c>
      <c r="E39" s="68" t="s">
        <v>39</v>
      </c>
      <c r="F39" s="81">
        <v>8</v>
      </c>
      <c r="G39" s="113">
        <v>1364</v>
      </c>
      <c r="H39" s="41">
        <f t="shared" si="12"/>
        <v>10912</v>
      </c>
      <c r="I39" s="42">
        <v>0.1</v>
      </c>
      <c r="J39" s="41">
        <f t="shared" si="13"/>
        <v>1091.2</v>
      </c>
      <c r="K39">
        <f t="shared" si="14"/>
        <v>1227.6000000000001</v>
      </c>
      <c r="L39">
        <f t="shared" si="15"/>
        <v>9820.8000000000011</v>
      </c>
      <c r="M39">
        <f>VLOOKUP(C39,[1]OfferToClient24Feb!$C$2:$R$83,16,FALSE)</f>
        <v>19.630000000000003</v>
      </c>
      <c r="N39">
        <f t="shared" si="11"/>
        <v>157.04</v>
      </c>
      <c r="O39" s="82">
        <v>157</v>
      </c>
      <c r="P39">
        <f t="shared" si="9"/>
        <v>-3.9999999999992042E-2</v>
      </c>
      <c r="Q39">
        <f t="shared" si="16"/>
        <v>12560</v>
      </c>
      <c r="R39">
        <f t="shared" si="8"/>
        <v>2739.1999999999989</v>
      </c>
      <c r="S39">
        <f t="shared" si="0"/>
        <v>22.580000000000002</v>
      </c>
      <c r="T39">
        <f t="shared" si="1"/>
        <v>180.64000000000001</v>
      </c>
    </row>
    <row r="40" spans="1:20" x14ac:dyDescent="0.3">
      <c r="A40" t="str">
        <f>VLOOKUP(C40,Shipments!$D$2:$E$34,2,FALSE)</f>
        <v>OIL FILTER</v>
      </c>
      <c r="B40" s="36">
        <v>17</v>
      </c>
      <c r="C40" s="45" t="s">
        <v>58</v>
      </c>
      <c r="D40" s="46" t="s">
        <v>29</v>
      </c>
      <c r="E40" s="39" t="s">
        <v>30</v>
      </c>
      <c r="F40" s="81">
        <v>24</v>
      </c>
      <c r="G40" s="113">
        <v>1364</v>
      </c>
      <c r="H40" s="41">
        <f t="shared" si="12"/>
        <v>32736</v>
      </c>
      <c r="I40" s="42">
        <v>0.1</v>
      </c>
      <c r="J40" s="41">
        <f t="shared" si="13"/>
        <v>3273.6000000000004</v>
      </c>
      <c r="K40">
        <f t="shared" si="14"/>
        <v>1227.6000000000001</v>
      </c>
      <c r="L40">
        <f t="shared" si="15"/>
        <v>29462.400000000001</v>
      </c>
      <c r="M40">
        <f>VLOOKUP(C40,[1]OfferToClient24Feb!$C$2:$R$83,16,FALSE)</f>
        <v>19.630000000000003</v>
      </c>
      <c r="N40">
        <f t="shared" si="11"/>
        <v>471.12</v>
      </c>
      <c r="O40" s="82">
        <f>VLOOKUP(C40,[1]OfferToClient24Feb!$C$2:$T$83,18,FALSE)</f>
        <v>471.12</v>
      </c>
      <c r="P40">
        <f t="shared" si="9"/>
        <v>0</v>
      </c>
      <c r="Q40">
        <f t="shared" si="16"/>
        <v>37689.599999999999</v>
      </c>
      <c r="R40">
        <f t="shared" si="8"/>
        <v>8227.1999999999971</v>
      </c>
      <c r="S40">
        <f t="shared" si="0"/>
        <v>22.580000000000002</v>
      </c>
      <c r="T40">
        <f t="shared" si="1"/>
        <v>541.92000000000007</v>
      </c>
    </row>
    <row r="41" spans="1:20" x14ac:dyDescent="0.3">
      <c r="A41" t="str">
        <f>VLOOKUP(C41,Shipments!$D$2:$E$34,2,FALSE)</f>
        <v>FUEL FILTER</v>
      </c>
      <c r="B41" s="36">
        <v>3</v>
      </c>
      <c r="C41" s="45" t="s">
        <v>34</v>
      </c>
      <c r="D41" s="46" t="s">
        <v>32</v>
      </c>
      <c r="E41" s="39" t="s">
        <v>35</v>
      </c>
      <c r="F41" s="81">
        <v>6</v>
      </c>
      <c r="G41" s="113">
        <v>4699</v>
      </c>
      <c r="H41" s="41">
        <f t="shared" si="12"/>
        <v>28194</v>
      </c>
      <c r="I41" s="42">
        <v>0.1</v>
      </c>
      <c r="J41" s="41">
        <f t="shared" si="13"/>
        <v>2819.4</v>
      </c>
      <c r="K41">
        <f t="shared" si="14"/>
        <v>4229.1000000000004</v>
      </c>
      <c r="L41">
        <f t="shared" si="15"/>
        <v>25374.600000000002</v>
      </c>
      <c r="M41">
        <f>VLOOKUP(C41,[1]OfferToClient24Feb!$C$2:$R$83,16,FALSE)</f>
        <v>52.18</v>
      </c>
      <c r="N41">
        <f t="shared" si="11"/>
        <v>313.08</v>
      </c>
      <c r="O41" s="82">
        <f>VLOOKUP(C41,[1]OfferToClient24Feb!$C$2:$T$83,18,FALSE)</f>
        <v>313.08</v>
      </c>
      <c r="P41">
        <f t="shared" si="9"/>
        <v>0</v>
      </c>
      <c r="Q41">
        <f t="shared" si="16"/>
        <v>25046.399999999998</v>
      </c>
      <c r="R41">
        <f t="shared" si="8"/>
        <v>-328.20000000000437</v>
      </c>
      <c r="S41">
        <f t="shared" si="0"/>
        <v>58.449999999999996</v>
      </c>
      <c r="T41">
        <f t="shared" si="1"/>
        <v>350.7</v>
      </c>
    </row>
    <row r="42" spans="1:20" x14ac:dyDescent="0.3">
      <c r="A42" t="str">
        <f>VLOOKUP(C42,Shipments!$D$2:$E$34,2,FALSE)</f>
        <v>FUEL FILTER</v>
      </c>
      <c r="B42" s="36">
        <v>3</v>
      </c>
      <c r="C42" s="66" t="s">
        <v>34</v>
      </c>
      <c r="D42" s="67" t="s">
        <v>32</v>
      </c>
      <c r="E42" s="68" t="s">
        <v>35</v>
      </c>
      <c r="F42" s="81">
        <v>0</v>
      </c>
      <c r="G42" s="113">
        <v>4699</v>
      </c>
      <c r="H42" s="41">
        <f t="shared" si="12"/>
        <v>0</v>
      </c>
      <c r="I42" s="42">
        <v>0.1</v>
      </c>
      <c r="J42" s="41">
        <f t="shared" si="13"/>
        <v>0</v>
      </c>
      <c r="K42">
        <f t="shared" si="14"/>
        <v>4229.1000000000004</v>
      </c>
      <c r="L42">
        <f t="shared" si="15"/>
        <v>0</v>
      </c>
      <c r="M42">
        <f>VLOOKUP(C42,[1]OfferToClient24Feb!$C$2:$R$83,16,FALSE)</f>
        <v>52.18</v>
      </c>
      <c r="N42">
        <f t="shared" si="11"/>
        <v>0</v>
      </c>
      <c r="P42">
        <f t="shared" si="9"/>
        <v>0</v>
      </c>
      <c r="Q42">
        <f t="shared" si="16"/>
        <v>0</v>
      </c>
      <c r="R42">
        <f t="shared" si="8"/>
        <v>0</v>
      </c>
      <c r="S42">
        <f t="shared" si="0"/>
        <v>58.449999999999996</v>
      </c>
      <c r="T42">
        <f t="shared" si="1"/>
        <v>0</v>
      </c>
    </row>
    <row r="43" spans="1:20" x14ac:dyDescent="0.3">
      <c r="A43" t="str">
        <f>VLOOKUP(C43,Shipments!$D$2:$E$34,2,FALSE)</f>
        <v>FUEL FILTER</v>
      </c>
      <c r="B43" s="36">
        <v>29</v>
      </c>
      <c r="C43" s="45" t="s">
        <v>34</v>
      </c>
      <c r="D43" s="46" t="s">
        <v>32</v>
      </c>
      <c r="E43" s="39" t="s">
        <v>35</v>
      </c>
      <c r="F43" s="81">
        <v>60</v>
      </c>
      <c r="G43" s="113">
        <v>4699</v>
      </c>
      <c r="H43" s="41">
        <f t="shared" si="12"/>
        <v>281940</v>
      </c>
      <c r="I43" s="42">
        <v>0.1</v>
      </c>
      <c r="J43" s="41">
        <f t="shared" si="13"/>
        <v>28194</v>
      </c>
      <c r="K43">
        <f t="shared" si="14"/>
        <v>4229.1000000000004</v>
      </c>
      <c r="L43">
        <f t="shared" si="15"/>
        <v>253746.00000000003</v>
      </c>
      <c r="M43">
        <v>52.18</v>
      </c>
      <c r="N43">
        <f>ROUNDUP(M43*F43,0)</f>
        <v>3131</v>
      </c>
      <c r="O43" s="82">
        <v>3131</v>
      </c>
      <c r="P43">
        <f t="shared" si="9"/>
        <v>0</v>
      </c>
      <c r="Q43">
        <f t="shared" si="16"/>
        <v>250480</v>
      </c>
      <c r="R43">
        <f t="shared" si="8"/>
        <v>-3266.0000000000291</v>
      </c>
      <c r="S43">
        <f t="shared" si="0"/>
        <v>58.449999999999996</v>
      </c>
      <c r="T43">
        <f t="shared" si="1"/>
        <v>3506.9999999999995</v>
      </c>
    </row>
    <row r="44" spans="1:20" x14ac:dyDescent="0.3">
      <c r="A44" t="str">
        <f>VLOOKUP(C44,Shipments!$D$2:$E$34,2,FALSE)</f>
        <v>FUEL FILTER</v>
      </c>
      <c r="B44" s="36">
        <v>38</v>
      </c>
      <c r="C44" s="66" t="s">
        <v>34</v>
      </c>
      <c r="D44" s="67" t="s">
        <v>32</v>
      </c>
      <c r="E44" s="68" t="s">
        <v>35</v>
      </c>
      <c r="F44" s="81">
        <v>2</v>
      </c>
      <c r="G44" s="113">
        <v>4699</v>
      </c>
      <c r="H44" s="41">
        <f t="shared" si="12"/>
        <v>9398</v>
      </c>
      <c r="I44" s="42">
        <v>0.1</v>
      </c>
      <c r="J44" s="41">
        <f t="shared" si="13"/>
        <v>939.80000000000007</v>
      </c>
      <c r="K44">
        <f t="shared" si="14"/>
        <v>4229.1000000000004</v>
      </c>
      <c r="L44">
        <f t="shared" si="15"/>
        <v>8458.2000000000007</v>
      </c>
      <c r="M44">
        <f>VLOOKUP(C44,[1]OfferToClient24Feb!$C$2:$R$83,16,FALSE)</f>
        <v>52.18</v>
      </c>
      <c r="N44">
        <f>ROUNDUP(M44*F44,0)</f>
        <v>105</v>
      </c>
      <c r="O44" s="82">
        <v>104</v>
      </c>
      <c r="P44">
        <f t="shared" si="9"/>
        <v>-1</v>
      </c>
      <c r="Q44">
        <f t="shared" si="16"/>
        <v>8320</v>
      </c>
      <c r="R44">
        <f t="shared" si="8"/>
        <v>-138.20000000000073</v>
      </c>
      <c r="S44">
        <f t="shared" si="0"/>
        <v>58.449999999999996</v>
      </c>
      <c r="T44">
        <f t="shared" si="1"/>
        <v>116.89999999999999</v>
      </c>
    </row>
    <row r="45" spans="1:20" x14ac:dyDescent="0.3">
      <c r="A45" t="str">
        <f>VLOOKUP(C45,Shipments!$D$2:$E$34,2,FALSE)</f>
        <v>FUEL FILTER</v>
      </c>
      <c r="B45" s="36">
        <v>2</v>
      </c>
      <c r="C45" s="45" t="s">
        <v>31</v>
      </c>
      <c r="D45" s="46" t="s">
        <v>32</v>
      </c>
      <c r="E45" s="39" t="s">
        <v>33</v>
      </c>
      <c r="F45" s="81">
        <v>6</v>
      </c>
      <c r="G45" s="113">
        <v>2852</v>
      </c>
      <c r="H45" s="41">
        <f t="shared" si="12"/>
        <v>17112</v>
      </c>
      <c r="I45" s="42">
        <v>0.1</v>
      </c>
      <c r="J45" s="41">
        <f t="shared" si="13"/>
        <v>1711.2</v>
      </c>
      <c r="K45">
        <f t="shared" si="14"/>
        <v>2566.8000000000002</v>
      </c>
      <c r="L45">
        <f t="shared" si="15"/>
        <v>15400.800000000001</v>
      </c>
      <c r="M45">
        <f>VLOOKUP(C45,[1]OfferToClient24Feb!$C$2:$R$83,16,FALSE)</f>
        <v>41.04</v>
      </c>
      <c r="N45">
        <f>ROUNDUP(M45*F45,2)</f>
        <v>246.24</v>
      </c>
      <c r="O45" s="82">
        <v>246</v>
      </c>
      <c r="P45">
        <f t="shared" si="9"/>
        <v>-0.24000000000000909</v>
      </c>
      <c r="Q45">
        <f t="shared" si="16"/>
        <v>19680</v>
      </c>
      <c r="R45">
        <f t="shared" si="8"/>
        <v>4279.1999999999989</v>
      </c>
      <c r="S45">
        <f t="shared" si="0"/>
        <v>45.97</v>
      </c>
      <c r="T45">
        <f t="shared" si="1"/>
        <v>275.82</v>
      </c>
    </row>
    <row r="46" spans="1:20" x14ac:dyDescent="0.3">
      <c r="A46" t="str">
        <f>VLOOKUP(C46,Shipments!$D$2:$E$34,2,FALSE)</f>
        <v>FUEL FILTER</v>
      </c>
      <c r="B46" s="36">
        <v>2</v>
      </c>
      <c r="C46" s="66" t="s">
        <v>31</v>
      </c>
      <c r="D46" s="67" t="s">
        <v>32</v>
      </c>
      <c r="E46" s="68" t="s">
        <v>33</v>
      </c>
      <c r="F46" s="81">
        <v>20</v>
      </c>
      <c r="G46" s="113">
        <v>2852</v>
      </c>
      <c r="H46" s="41">
        <f t="shared" si="12"/>
        <v>57040</v>
      </c>
      <c r="I46" s="42">
        <v>0.1</v>
      </c>
      <c r="J46" s="41">
        <f t="shared" si="13"/>
        <v>5704</v>
      </c>
      <c r="K46">
        <f t="shared" si="14"/>
        <v>2566.8000000000002</v>
      </c>
      <c r="L46">
        <f t="shared" si="15"/>
        <v>51336</v>
      </c>
      <c r="M46">
        <f>VLOOKUP(C46,[1]OfferToClient24Feb!$C$2:$R$83,16,FALSE)</f>
        <v>41.04</v>
      </c>
      <c r="N46">
        <f>ROUNDUP(M46*F46,2)</f>
        <v>820.8</v>
      </c>
      <c r="O46" s="82">
        <v>821</v>
      </c>
      <c r="P46">
        <f t="shared" si="9"/>
        <v>0.20000000000004547</v>
      </c>
      <c r="Q46">
        <f t="shared" si="16"/>
        <v>65680</v>
      </c>
      <c r="R46">
        <f t="shared" si="8"/>
        <v>14344</v>
      </c>
      <c r="S46">
        <f t="shared" si="0"/>
        <v>45.97</v>
      </c>
      <c r="T46">
        <f t="shared" si="1"/>
        <v>919.4</v>
      </c>
    </row>
    <row r="47" spans="1:20" x14ac:dyDescent="0.3">
      <c r="A47" t="str">
        <f>VLOOKUP(C47,Shipments!$D$2:$E$34,2,FALSE)</f>
        <v>FUEL FILTER</v>
      </c>
      <c r="B47" s="36">
        <v>28</v>
      </c>
      <c r="C47" s="45" t="s">
        <v>31</v>
      </c>
      <c r="D47" s="46" t="s">
        <v>32</v>
      </c>
      <c r="E47" s="39" t="s">
        <v>33</v>
      </c>
      <c r="F47" s="81">
        <v>60</v>
      </c>
      <c r="G47" s="113">
        <v>2852</v>
      </c>
      <c r="H47" s="41">
        <f t="shared" si="12"/>
        <v>171120</v>
      </c>
      <c r="I47" s="42">
        <v>0.1</v>
      </c>
      <c r="J47" s="41">
        <f t="shared" si="13"/>
        <v>17112</v>
      </c>
      <c r="K47">
        <f t="shared" si="14"/>
        <v>2566.8000000000002</v>
      </c>
      <c r="L47">
        <f t="shared" si="15"/>
        <v>154008</v>
      </c>
      <c r="M47">
        <f>VLOOKUP(C47,[1]OfferToClient24Feb!$C$2:$R$83,16,FALSE)</f>
        <v>41.04</v>
      </c>
      <c r="N47">
        <f>ROUNDUP(M47*F47,0)</f>
        <v>2463</v>
      </c>
      <c r="O47" s="82">
        <v>2462</v>
      </c>
      <c r="P47">
        <f t="shared" si="9"/>
        <v>-1</v>
      </c>
      <c r="Q47">
        <f t="shared" si="16"/>
        <v>196960</v>
      </c>
      <c r="R47">
        <f t="shared" si="8"/>
        <v>42952</v>
      </c>
      <c r="S47">
        <f t="shared" si="0"/>
        <v>45.97</v>
      </c>
      <c r="T47">
        <f t="shared" si="1"/>
        <v>2758.2</v>
      </c>
    </row>
    <row r="48" spans="1:20" x14ac:dyDescent="0.3">
      <c r="A48" t="str">
        <f>VLOOKUP(C48,Shipments!$D$2:$E$34,2,FALSE)</f>
        <v>FUEL FILTER</v>
      </c>
      <c r="B48" s="36">
        <v>37</v>
      </c>
      <c r="C48" s="66" t="s">
        <v>31</v>
      </c>
      <c r="D48" s="67" t="s">
        <v>32</v>
      </c>
      <c r="E48" s="68" t="s">
        <v>33</v>
      </c>
      <c r="F48" s="81">
        <v>2</v>
      </c>
      <c r="G48" s="113">
        <v>2852</v>
      </c>
      <c r="H48" s="41">
        <f t="shared" si="12"/>
        <v>5704</v>
      </c>
      <c r="I48" s="42">
        <v>0.1</v>
      </c>
      <c r="J48" s="41">
        <f t="shared" si="13"/>
        <v>570.4</v>
      </c>
      <c r="K48">
        <f t="shared" si="14"/>
        <v>2566.8000000000002</v>
      </c>
      <c r="L48">
        <f t="shared" si="15"/>
        <v>5133.6000000000004</v>
      </c>
      <c r="M48">
        <f>VLOOKUP(C48,[1]OfferToClient24Feb!$C$2:$R$83,16,FALSE)</f>
        <v>41.04</v>
      </c>
      <c r="N48">
        <f>ROUNDUP(M48*F48,0)</f>
        <v>83</v>
      </c>
      <c r="O48" s="82">
        <v>82</v>
      </c>
      <c r="P48">
        <f t="shared" si="9"/>
        <v>-1</v>
      </c>
      <c r="Q48">
        <f t="shared" si="16"/>
        <v>6560</v>
      </c>
      <c r="R48">
        <f t="shared" si="8"/>
        <v>1426.3999999999996</v>
      </c>
      <c r="S48">
        <f t="shared" si="0"/>
        <v>45.97</v>
      </c>
      <c r="T48">
        <f t="shared" si="1"/>
        <v>91.94</v>
      </c>
    </row>
    <row r="49" spans="1:20" x14ac:dyDescent="0.3">
      <c r="A49" t="e">
        <f>VLOOKUP(C49,Shipments!$D$2:$E$34,2,FALSE)</f>
        <v>#N/A</v>
      </c>
      <c r="B49" s="36">
        <v>1</v>
      </c>
      <c r="C49" s="66" t="s">
        <v>70</v>
      </c>
      <c r="D49" s="67" t="s">
        <v>29</v>
      </c>
      <c r="E49" s="68" t="s">
        <v>33</v>
      </c>
      <c r="F49" s="45">
        <v>0</v>
      </c>
      <c r="G49" s="113">
        <v>1612</v>
      </c>
      <c r="H49" s="41">
        <f t="shared" si="12"/>
        <v>0</v>
      </c>
      <c r="I49" s="42">
        <v>0.1</v>
      </c>
      <c r="J49" s="41">
        <f t="shared" si="13"/>
        <v>0</v>
      </c>
      <c r="K49">
        <f t="shared" si="14"/>
        <v>1450.8</v>
      </c>
      <c r="L49">
        <f t="shared" si="15"/>
        <v>0</v>
      </c>
      <c r="M49">
        <f>VLOOKUP(C49,[1]OfferToClient24Feb!$C$2:$R$83,16,FALSE)</f>
        <v>0</v>
      </c>
      <c r="N49">
        <f t="shared" ref="N49:N55" si="17">ROUNDUP(M49*F49,2)</f>
        <v>0</v>
      </c>
      <c r="O49">
        <v>0</v>
      </c>
      <c r="P49">
        <f t="shared" si="9"/>
        <v>0</v>
      </c>
      <c r="Q49">
        <f t="shared" si="16"/>
        <v>0</v>
      </c>
      <c r="R49">
        <f t="shared" si="8"/>
        <v>0</v>
      </c>
      <c r="S49">
        <f t="shared" si="0"/>
        <v>0</v>
      </c>
      <c r="T49">
        <f t="shared" si="1"/>
        <v>0</v>
      </c>
    </row>
    <row r="50" spans="1:20" x14ac:dyDescent="0.3">
      <c r="A50" t="e">
        <f>VLOOKUP(C50,Shipments!$D$2:$E$34,2,FALSE)</f>
        <v>#N/A</v>
      </c>
      <c r="B50" s="36">
        <v>27</v>
      </c>
      <c r="C50" s="48" t="s">
        <v>70</v>
      </c>
      <c r="D50" s="46" t="s">
        <v>29</v>
      </c>
      <c r="E50" s="39" t="s">
        <v>33</v>
      </c>
      <c r="F50" s="45">
        <v>0</v>
      </c>
      <c r="G50" s="113">
        <v>1612</v>
      </c>
      <c r="H50" s="41">
        <f t="shared" si="12"/>
        <v>0</v>
      </c>
      <c r="I50" s="42">
        <v>0.1</v>
      </c>
      <c r="J50" s="41">
        <f t="shared" si="13"/>
        <v>0</v>
      </c>
      <c r="K50">
        <f t="shared" si="14"/>
        <v>1450.8</v>
      </c>
      <c r="L50">
        <f t="shared" si="15"/>
        <v>0</v>
      </c>
      <c r="M50">
        <f>VLOOKUP(C50,[1]OfferToClient24Feb!$C$2:$R$83,16,FALSE)</f>
        <v>0</v>
      </c>
      <c r="N50">
        <f t="shared" si="17"/>
        <v>0</v>
      </c>
      <c r="O50">
        <v>0</v>
      </c>
      <c r="P50">
        <f t="shared" si="9"/>
        <v>0</v>
      </c>
      <c r="Q50">
        <f t="shared" si="16"/>
        <v>0</v>
      </c>
      <c r="R50">
        <f t="shared" si="8"/>
        <v>0</v>
      </c>
      <c r="S50">
        <f t="shared" si="0"/>
        <v>0</v>
      </c>
      <c r="T50">
        <f t="shared" si="1"/>
        <v>0</v>
      </c>
    </row>
    <row r="51" spans="1:20" x14ac:dyDescent="0.3">
      <c r="A51" t="str">
        <f>VLOOKUP(C51,Shipments!$D$2:$E$34,2,FALSE)</f>
        <v>HYD FILTER</v>
      </c>
      <c r="B51" s="36">
        <v>12</v>
      </c>
      <c r="C51" s="45" t="s">
        <v>49</v>
      </c>
      <c r="D51" s="46" t="s">
        <v>37</v>
      </c>
      <c r="E51" s="39" t="s">
        <v>33</v>
      </c>
      <c r="F51" s="81">
        <v>60</v>
      </c>
      <c r="G51" s="113">
        <v>1984</v>
      </c>
      <c r="H51" s="41">
        <f t="shared" si="12"/>
        <v>119040</v>
      </c>
      <c r="I51" s="42">
        <v>0.1</v>
      </c>
      <c r="J51" s="41">
        <f t="shared" si="13"/>
        <v>11904</v>
      </c>
      <c r="K51">
        <f t="shared" si="14"/>
        <v>1785.6000000000001</v>
      </c>
      <c r="L51">
        <f t="shared" si="15"/>
        <v>107136.00000000001</v>
      </c>
      <c r="M51">
        <f>VLOOKUP(C51,[1]OfferToClient24Feb!$C$2:$R$83,16,FALSE)</f>
        <v>23.92</v>
      </c>
      <c r="N51">
        <f t="shared" si="17"/>
        <v>1435.2</v>
      </c>
      <c r="O51" s="82">
        <v>1435</v>
      </c>
      <c r="P51">
        <f t="shared" si="9"/>
        <v>-0.20000000000004547</v>
      </c>
      <c r="Q51">
        <f t="shared" si="16"/>
        <v>114800</v>
      </c>
      <c r="R51">
        <f t="shared" si="8"/>
        <v>7663.9999999999854</v>
      </c>
      <c r="S51">
        <f t="shared" si="0"/>
        <v>26.8</v>
      </c>
      <c r="T51">
        <f t="shared" si="1"/>
        <v>1608</v>
      </c>
    </row>
    <row r="52" spans="1:20" x14ac:dyDescent="0.3">
      <c r="A52" t="str">
        <f>VLOOKUP(C52,Shipments!$D$2:$E$34,2,FALSE)</f>
        <v>HYD FILTER</v>
      </c>
      <c r="B52" s="36">
        <v>14</v>
      </c>
      <c r="C52" s="66" t="s">
        <v>49</v>
      </c>
      <c r="D52" s="67" t="s">
        <v>92</v>
      </c>
      <c r="E52" s="68" t="s">
        <v>39</v>
      </c>
      <c r="F52" s="81">
        <v>4</v>
      </c>
      <c r="G52" s="113">
        <v>1984</v>
      </c>
      <c r="H52" s="41">
        <f t="shared" si="12"/>
        <v>7936</v>
      </c>
      <c r="I52" s="42">
        <v>0.1</v>
      </c>
      <c r="J52" s="41">
        <f t="shared" si="13"/>
        <v>793.6</v>
      </c>
      <c r="K52">
        <f t="shared" si="14"/>
        <v>1785.6000000000001</v>
      </c>
      <c r="L52">
        <f t="shared" si="15"/>
        <v>7142.4000000000005</v>
      </c>
      <c r="M52">
        <f>VLOOKUP(C52,[1]OfferToClient24Feb!$C$2:$R$83,16,FALSE)</f>
        <v>23.92</v>
      </c>
      <c r="N52">
        <f t="shared" si="17"/>
        <v>95.68</v>
      </c>
      <c r="O52" s="82">
        <v>96</v>
      </c>
      <c r="P52">
        <f t="shared" si="9"/>
        <v>0.31999999999999318</v>
      </c>
      <c r="Q52">
        <f t="shared" si="16"/>
        <v>7680</v>
      </c>
      <c r="R52">
        <f t="shared" si="8"/>
        <v>537.59999999999945</v>
      </c>
      <c r="S52">
        <f t="shared" si="0"/>
        <v>26.8</v>
      </c>
      <c r="T52">
        <f t="shared" si="1"/>
        <v>107.2</v>
      </c>
    </row>
    <row r="53" spans="1:20" x14ac:dyDescent="0.3">
      <c r="A53" t="str">
        <f>VLOOKUP(C53,Shipments!$D$2:$E$34,2,FALSE)</f>
        <v>HYD FILTER</v>
      </c>
      <c r="B53" s="36">
        <v>22</v>
      </c>
      <c r="C53" s="45" t="s">
        <v>49</v>
      </c>
      <c r="D53" s="46" t="s">
        <v>64</v>
      </c>
      <c r="E53" s="39" t="s">
        <v>33</v>
      </c>
      <c r="F53" s="81">
        <v>12</v>
      </c>
      <c r="G53" s="113">
        <v>1984</v>
      </c>
      <c r="H53" s="41">
        <f t="shared" si="12"/>
        <v>23808</v>
      </c>
      <c r="I53" s="42">
        <v>0.1</v>
      </c>
      <c r="J53" s="41">
        <f t="shared" si="13"/>
        <v>2380.8000000000002</v>
      </c>
      <c r="K53">
        <f t="shared" si="14"/>
        <v>1785.6000000000001</v>
      </c>
      <c r="L53">
        <f t="shared" si="15"/>
        <v>21427.200000000001</v>
      </c>
      <c r="M53">
        <f>VLOOKUP(C53,[1]OfferToClient24Feb!$C$2:$R$83,16,FALSE)</f>
        <v>23.92</v>
      </c>
      <c r="N53">
        <f t="shared" si="17"/>
        <v>287.04000000000002</v>
      </c>
      <c r="O53" s="82">
        <v>287</v>
      </c>
      <c r="P53">
        <f t="shared" si="9"/>
        <v>-4.0000000000020464E-2</v>
      </c>
      <c r="Q53">
        <f t="shared" si="16"/>
        <v>22960</v>
      </c>
      <c r="R53">
        <f t="shared" si="8"/>
        <v>1532.7999999999993</v>
      </c>
      <c r="S53">
        <f t="shared" si="0"/>
        <v>26.8</v>
      </c>
      <c r="T53">
        <f t="shared" si="1"/>
        <v>321.60000000000002</v>
      </c>
    </row>
    <row r="54" spans="1:20" x14ac:dyDescent="0.3">
      <c r="A54" t="str">
        <f>VLOOKUP(C54,Shipments!$D$2:$E$34,2,FALSE)</f>
        <v>HYD FILTER</v>
      </c>
      <c r="B54" s="36">
        <v>25</v>
      </c>
      <c r="C54" s="66" t="s">
        <v>49</v>
      </c>
      <c r="D54" s="67" t="s">
        <v>92</v>
      </c>
      <c r="E54" s="68" t="s">
        <v>39</v>
      </c>
      <c r="F54" s="81">
        <v>10</v>
      </c>
      <c r="G54" s="113">
        <v>1984</v>
      </c>
      <c r="H54" s="41">
        <f t="shared" si="12"/>
        <v>19840</v>
      </c>
      <c r="I54" s="42">
        <v>0.1</v>
      </c>
      <c r="J54" s="41">
        <f t="shared" si="13"/>
        <v>1984</v>
      </c>
      <c r="K54">
        <f t="shared" si="14"/>
        <v>1785.6000000000001</v>
      </c>
      <c r="L54">
        <f t="shared" si="15"/>
        <v>17856</v>
      </c>
      <c r="M54">
        <f>VLOOKUP(C54,[1]OfferToClient24Feb!$C$2:$R$83,16,FALSE)</f>
        <v>23.92</v>
      </c>
      <c r="N54">
        <f t="shared" si="17"/>
        <v>239.2</v>
      </c>
      <c r="O54" s="82">
        <v>239</v>
      </c>
      <c r="P54">
        <f t="shared" si="9"/>
        <v>-0.19999999999998863</v>
      </c>
      <c r="Q54">
        <f t="shared" si="16"/>
        <v>19120</v>
      </c>
      <c r="R54">
        <f t="shared" si="8"/>
        <v>1264</v>
      </c>
      <c r="S54">
        <f t="shared" si="0"/>
        <v>26.8</v>
      </c>
      <c r="T54">
        <f t="shared" si="1"/>
        <v>268</v>
      </c>
    </row>
    <row r="55" spans="1:20" x14ac:dyDescent="0.3">
      <c r="A55" t="str">
        <f>VLOOKUP(C55,Shipments!$D$2:$E$34,2,FALSE)</f>
        <v>HYD FILTER</v>
      </c>
      <c r="B55" s="36">
        <v>5</v>
      </c>
      <c r="C55" s="45" t="s">
        <v>38</v>
      </c>
      <c r="D55" s="46" t="s">
        <v>37</v>
      </c>
      <c r="E55" s="39" t="s">
        <v>39</v>
      </c>
      <c r="F55" s="81">
        <v>3</v>
      </c>
      <c r="G55" s="113">
        <v>4712</v>
      </c>
      <c r="H55" s="41">
        <f t="shared" si="12"/>
        <v>14136</v>
      </c>
      <c r="I55" s="42">
        <v>0.1</v>
      </c>
      <c r="J55" s="41">
        <f t="shared" si="13"/>
        <v>1413.6000000000001</v>
      </c>
      <c r="K55">
        <f t="shared" si="14"/>
        <v>4240.8</v>
      </c>
      <c r="L55">
        <f t="shared" si="15"/>
        <v>12722.400000000001</v>
      </c>
      <c r="M55">
        <f>VLOOKUP(C55,[1]OfferToClient24Feb!$C$2:$R$83,16,FALSE)</f>
        <v>67.800000000000011</v>
      </c>
      <c r="N55">
        <f t="shared" si="17"/>
        <v>203.4</v>
      </c>
      <c r="O55" s="82">
        <v>203</v>
      </c>
      <c r="P55">
        <f t="shared" ref="P55:P82" si="18">O55-N55</f>
        <v>-0.40000000000000568</v>
      </c>
      <c r="Q55">
        <f t="shared" si="16"/>
        <v>16240</v>
      </c>
      <c r="R55">
        <f t="shared" si="8"/>
        <v>3517.5999999999985</v>
      </c>
      <c r="S55">
        <f t="shared" si="0"/>
        <v>75.940000000000012</v>
      </c>
      <c r="T55">
        <f t="shared" si="1"/>
        <v>227.82000000000005</v>
      </c>
    </row>
    <row r="56" spans="1:20" x14ac:dyDescent="0.3">
      <c r="A56" t="str">
        <f>VLOOKUP(C56,Shipments!$D$2:$E$34,2,FALSE)</f>
        <v>HYD FILTER</v>
      </c>
      <c r="B56" s="36">
        <v>40</v>
      </c>
      <c r="C56" s="66" t="s">
        <v>38</v>
      </c>
      <c r="D56" s="67" t="s">
        <v>92</v>
      </c>
      <c r="E56" s="68" t="s">
        <v>39</v>
      </c>
      <c r="F56" s="81">
        <v>1</v>
      </c>
      <c r="G56" s="113">
        <v>4712</v>
      </c>
      <c r="H56" s="41">
        <f t="shared" si="12"/>
        <v>4712</v>
      </c>
      <c r="I56" s="42">
        <v>0.1</v>
      </c>
      <c r="J56" s="41">
        <f t="shared" si="13"/>
        <v>471.20000000000005</v>
      </c>
      <c r="K56">
        <f t="shared" si="14"/>
        <v>4240.8</v>
      </c>
      <c r="L56">
        <f t="shared" si="15"/>
        <v>4240.8</v>
      </c>
      <c r="M56">
        <f>VLOOKUP(C56,[1]OfferToClient24Feb!$C$2:$R$83,16,FALSE)</f>
        <v>67.800000000000011</v>
      </c>
      <c r="N56">
        <f>ROUNDUP(M56*F56,0)</f>
        <v>68</v>
      </c>
      <c r="O56" s="82">
        <v>68</v>
      </c>
      <c r="P56">
        <f t="shared" si="18"/>
        <v>0</v>
      </c>
      <c r="Q56">
        <f t="shared" si="16"/>
        <v>5440</v>
      </c>
      <c r="R56">
        <f t="shared" si="8"/>
        <v>1199.1999999999998</v>
      </c>
      <c r="S56">
        <f t="shared" si="0"/>
        <v>75.940000000000012</v>
      </c>
      <c r="T56">
        <f t="shared" si="1"/>
        <v>75.940000000000012</v>
      </c>
    </row>
    <row r="57" spans="1:20" x14ac:dyDescent="0.3">
      <c r="A57" t="str">
        <f>VLOOKUP(C57,Shipments!$D$2:$E$34,2,FALSE)</f>
        <v>HYD FILTER</v>
      </c>
      <c r="B57" s="36">
        <v>46</v>
      </c>
      <c r="C57" s="66" t="s">
        <v>38</v>
      </c>
      <c r="D57" s="67" t="s">
        <v>106</v>
      </c>
      <c r="E57" s="69" t="s">
        <v>39</v>
      </c>
      <c r="F57" s="81">
        <v>20</v>
      </c>
      <c r="G57" s="113">
        <v>4712</v>
      </c>
      <c r="H57" s="41">
        <f t="shared" si="12"/>
        <v>94240</v>
      </c>
      <c r="I57" s="42">
        <v>0.1</v>
      </c>
      <c r="J57" s="41">
        <f t="shared" si="13"/>
        <v>9424</v>
      </c>
      <c r="K57">
        <f t="shared" si="14"/>
        <v>4240.8</v>
      </c>
      <c r="L57">
        <f t="shared" si="15"/>
        <v>84816</v>
      </c>
      <c r="M57">
        <f>VLOOKUP(C57,[1]OfferToClient24Feb!$C$2:$R$83,16,FALSE)</f>
        <v>67.800000000000011</v>
      </c>
      <c r="N57">
        <f>ROUNDUP(M57*F57,0)</f>
        <v>1356</v>
      </c>
      <c r="O57" s="82">
        <v>1356</v>
      </c>
      <c r="P57">
        <f t="shared" si="18"/>
        <v>0</v>
      </c>
      <c r="Q57">
        <f t="shared" si="16"/>
        <v>108480</v>
      </c>
      <c r="R57">
        <f t="shared" si="8"/>
        <v>23664</v>
      </c>
      <c r="S57">
        <f t="shared" si="0"/>
        <v>75.940000000000012</v>
      </c>
      <c r="T57">
        <f t="shared" si="1"/>
        <v>1518.8000000000002</v>
      </c>
    </row>
    <row r="58" spans="1:20" x14ac:dyDescent="0.3">
      <c r="A58" t="str">
        <f>VLOOKUP(C58,Shipments!$D$2:$E$34,2,FALSE)</f>
        <v>AIR FILTER ASSY</v>
      </c>
      <c r="B58" s="36">
        <v>13</v>
      </c>
      <c r="C58" s="66" t="s">
        <v>66</v>
      </c>
      <c r="D58" s="67" t="s">
        <v>67</v>
      </c>
      <c r="E58" s="68" t="s">
        <v>39</v>
      </c>
      <c r="F58" s="81">
        <v>4</v>
      </c>
      <c r="G58" s="113">
        <v>12114</v>
      </c>
      <c r="H58" s="41">
        <f t="shared" si="12"/>
        <v>48456</v>
      </c>
      <c r="I58" s="42">
        <v>0.1</v>
      </c>
      <c r="J58" s="41">
        <f t="shared" si="13"/>
        <v>4845.6000000000004</v>
      </c>
      <c r="K58">
        <f t="shared" si="14"/>
        <v>10902.6</v>
      </c>
      <c r="L58">
        <f t="shared" si="15"/>
        <v>43610.400000000001</v>
      </c>
      <c r="M58">
        <f>VLOOKUP(C58,[1]OfferToClient24Feb!$C$2:$R$83,16,FALSE)</f>
        <v>174.29999999999998</v>
      </c>
      <c r="N58">
        <f t="shared" ref="N58:N68" si="19">ROUNDUP(M58*F58,2)</f>
        <v>697.2</v>
      </c>
      <c r="O58" s="82">
        <v>697</v>
      </c>
      <c r="P58">
        <f t="shared" si="18"/>
        <v>-0.20000000000004547</v>
      </c>
      <c r="Q58">
        <f t="shared" si="16"/>
        <v>55760</v>
      </c>
      <c r="R58">
        <f t="shared" si="8"/>
        <v>12149.599999999999</v>
      </c>
      <c r="S58">
        <f t="shared" si="0"/>
        <v>195.22</v>
      </c>
      <c r="T58">
        <f t="shared" si="1"/>
        <v>780.88</v>
      </c>
    </row>
    <row r="59" spans="1:20" x14ac:dyDescent="0.3">
      <c r="A59" t="str">
        <f>VLOOKUP(C59,Shipments!$D$2:$E$34,2,FALSE)</f>
        <v>AIR FILTER ASSY</v>
      </c>
      <c r="B59" s="36">
        <v>25</v>
      </c>
      <c r="C59" s="45" t="s">
        <v>66</v>
      </c>
      <c r="D59" s="46" t="s">
        <v>67</v>
      </c>
      <c r="E59" s="39" t="s">
        <v>33</v>
      </c>
      <c r="F59" s="81">
        <v>12</v>
      </c>
      <c r="G59" s="113">
        <v>12114</v>
      </c>
      <c r="H59" s="41">
        <f t="shared" si="12"/>
        <v>145368</v>
      </c>
      <c r="I59" s="42">
        <v>0.1</v>
      </c>
      <c r="J59" s="41">
        <f t="shared" si="13"/>
        <v>14536.800000000001</v>
      </c>
      <c r="K59">
        <f t="shared" si="14"/>
        <v>10902.6</v>
      </c>
      <c r="L59">
        <f t="shared" si="15"/>
        <v>130831.20000000001</v>
      </c>
      <c r="M59">
        <f>VLOOKUP(C59,[1]OfferToClient24Feb!$C$2:$R$83,16,FALSE)</f>
        <v>174.29999999999998</v>
      </c>
      <c r="N59">
        <f t="shared" si="19"/>
        <v>2091.6</v>
      </c>
      <c r="O59" s="82">
        <v>2092</v>
      </c>
      <c r="P59">
        <f t="shared" si="18"/>
        <v>0.40000000000009095</v>
      </c>
      <c r="Q59">
        <f t="shared" si="16"/>
        <v>167360</v>
      </c>
      <c r="R59">
        <f t="shared" si="8"/>
        <v>36528.799999999988</v>
      </c>
      <c r="S59">
        <f t="shared" si="0"/>
        <v>195.22</v>
      </c>
      <c r="T59">
        <f t="shared" si="1"/>
        <v>2342.64</v>
      </c>
    </row>
    <row r="60" spans="1:20" x14ac:dyDescent="0.3">
      <c r="A60" t="str">
        <f>VLOOKUP(C60,Shipments!$D$2:$E$34,2,FALSE)</f>
        <v>AIR FILTER OUTER</v>
      </c>
      <c r="B60" s="36">
        <v>15</v>
      </c>
      <c r="C60" s="45" t="s">
        <v>53</v>
      </c>
      <c r="D60" s="46" t="s">
        <v>54</v>
      </c>
      <c r="E60" s="39" t="s">
        <v>55</v>
      </c>
      <c r="F60" s="81">
        <v>60</v>
      </c>
      <c r="G60" s="113">
        <v>2951</v>
      </c>
      <c r="H60" s="41">
        <f t="shared" si="12"/>
        <v>177060</v>
      </c>
      <c r="I60" s="42">
        <v>0.1</v>
      </c>
      <c r="J60" s="41">
        <f t="shared" si="13"/>
        <v>17706</v>
      </c>
      <c r="K60">
        <f t="shared" si="14"/>
        <v>2655.9</v>
      </c>
      <c r="L60">
        <f t="shared" si="15"/>
        <v>159354</v>
      </c>
      <c r="M60">
        <f>VLOOKUP(C60,[1]OfferToClient24Feb!$C$2:$R$83,16,FALSE)</f>
        <v>42.46</v>
      </c>
      <c r="N60">
        <f t="shared" si="19"/>
        <v>2547.6</v>
      </c>
      <c r="O60" s="82">
        <v>2548</v>
      </c>
      <c r="P60">
        <f t="shared" si="18"/>
        <v>0.40000000000009095</v>
      </c>
      <c r="Q60">
        <f t="shared" si="16"/>
        <v>203840</v>
      </c>
      <c r="R60">
        <f t="shared" si="8"/>
        <v>44486</v>
      </c>
      <c r="S60">
        <f t="shared" si="0"/>
        <v>47.559999999999995</v>
      </c>
      <c r="T60">
        <f t="shared" si="1"/>
        <v>2853.6</v>
      </c>
    </row>
    <row r="61" spans="1:20" x14ac:dyDescent="0.3">
      <c r="A61" t="str">
        <f>VLOOKUP(C61,Shipments!$D$2:$E$34,2,FALSE)</f>
        <v>AIR FILTER OUTER</v>
      </c>
      <c r="B61" s="36">
        <v>22</v>
      </c>
      <c r="C61" s="66" t="s">
        <v>53</v>
      </c>
      <c r="D61" s="67" t="s">
        <v>93</v>
      </c>
      <c r="E61" s="68" t="s">
        <v>55</v>
      </c>
      <c r="F61" s="81">
        <v>20</v>
      </c>
      <c r="G61" s="113">
        <v>2951</v>
      </c>
      <c r="H61" s="41">
        <f t="shared" si="12"/>
        <v>59020</v>
      </c>
      <c r="I61" s="42">
        <v>0.1</v>
      </c>
      <c r="J61" s="41">
        <f t="shared" si="13"/>
        <v>5902</v>
      </c>
      <c r="K61">
        <f t="shared" si="14"/>
        <v>2655.9</v>
      </c>
      <c r="L61">
        <f t="shared" si="15"/>
        <v>53118</v>
      </c>
      <c r="M61">
        <f>VLOOKUP(C61,[1]OfferToClient24Feb!$C$2:$R$83,16,FALSE)</f>
        <v>42.46</v>
      </c>
      <c r="N61">
        <f t="shared" si="19"/>
        <v>849.2</v>
      </c>
      <c r="O61" s="82">
        <v>849</v>
      </c>
      <c r="P61">
        <f t="shared" si="18"/>
        <v>-0.20000000000004547</v>
      </c>
      <c r="Q61">
        <f t="shared" si="16"/>
        <v>67920</v>
      </c>
      <c r="R61">
        <f t="shared" si="8"/>
        <v>14802</v>
      </c>
      <c r="S61">
        <f t="shared" si="0"/>
        <v>47.559999999999995</v>
      </c>
      <c r="T61">
        <f t="shared" si="1"/>
        <v>951.19999999999993</v>
      </c>
    </row>
    <row r="62" spans="1:20" x14ac:dyDescent="0.3">
      <c r="A62" t="str">
        <f>VLOOKUP(C62,Shipments!$D$2:$E$34,2,FALSE)</f>
        <v>AIR FILTER INNER</v>
      </c>
      <c r="B62" s="36">
        <v>16</v>
      </c>
      <c r="C62" s="45" t="s">
        <v>56</v>
      </c>
      <c r="D62" s="46" t="s">
        <v>57</v>
      </c>
      <c r="E62" s="39" t="s">
        <v>55</v>
      </c>
      <c r="F62" s="81">
        <v>60</v>
      </c>
      <c r="G62" s="113">
        <v>1228</v>
      </c>
      <c r="H62" s="41">
        <f t="shared" si="12"/>
        <v>73680</v>
      </c>
      <c r="I62" s="42">
        <v>0.1</v>
      </c>
      <c r="J62" s="41">
        <f t="shared" si="13"/>
        <v>7368</v>
      </c>
      <c r="K62">
        <f t="shared" si="14"/>
        <v>1105.2</v>
      </c>
      <c r="L62">
        <f t="shared" si="15"/>
        <v>66312</v>
      </c>
      <c r="M62">
        <f>VLOOKUP(C62,[1]OfferToClient24Feb!$C$2:$R$83,16,FALSE)</f>
        <v>17.670000000000002</v>
      </c>
      <c r="N62">
        <f t="shared" si="19"/>
        <v>1060.2</v>
      </c>
      <c r="O62" s="82">
        <v>1060</v>
      </c>
      <c r="P62">
        <f t="shared" si="18"/>
        <v>-0.20000000000004547</v>
      </c>
      <c r="Q62">
        <f t="shared" si="16"/>
        <v>84800</v>
      </c>
      <c r="R62">
        <f t="shared" si="8"/>
        <v>18488</v>
      </c>
      <c r="S62">
        <f t="shared" si="0"/>
        <v>20.330000000000002</v>
      </c>
      <c r="T62">
        <f t="shared" si="1"/>
        <v>1219.8000000000002</v>
      </c>
    </row>
    <row r="63" spans="1:20" x14ac:dyDescent="0.3">
      <c r="A63" t="str">
        <f>VLOOKUP(C63,Shipments!$D$2:$E$34,2,FALSE)</f>
        <v>AIR FILTER INNER</v>
      </c>
      <c r="B63" s="36">
        <v>23</v>
      </c>
      <c r="C63" s="66" t="s">
        <v>56</v>
      </c>
      <c r="D63" s="67" t="s">
        <v>94</v>
      </c>
      <c r="E63" s="68" t="s">
        <v>55</v>
      </c>
      <c r="F63" s="81">
        <v>20</v>
      </c>
      <c r="G63" s="113">
        <v>1228</v>
      </c>
      <c r="H63" s="41">
        <f t="shared" si="12"/>
        <v>24560</v>
      </c>
      <c r="I63" s="42">
        <v>0.1</v>
      </c>
      <c r="J63" s="41">
        <f t="shared" si="13"/>
        <v>2456</v>
      </c>
      <c r="K63">
        <f t="shared" si="14"/>
        <v>1105.2</v>
      </c>
      <c r="L63">
        <f t="shared" si="15"/>
        <v>22104</v>
      </c>
      <c r="M63">
        <f>VLOOKUP(C63,[1]OfferToClient24Feb!$C$2:$R$83,16,FALSE)</f>
        <v>17.670000000000002</v>
      </c>
      <c r="N63">
        <f t="shared" si="19"/>
        <v>353.4</v>
      </c>
      <c r="O63" s="82">
        <v>353</v>
      </c>
      <c r="P63">
        <f t="shared" si="18"/>
        <v>-0.39999999999997726</v>
      </c>
      <c r="Q63">
        <f t="shared" si="16"/>
        <v>28240</v>
      </c>
      <c r="R63">
        <f t="shared" si="8"/>
        <v>6136</v>
      </c>
      <c r="S63">
        <f t="shared" si="0"/>
        <v>20.330000000000002</v>
      </c>
      <c r="T63">
        <f t="shared" si="1"/>
        <v>406.6</v>
      </c>
    </row>
    <row r="64" spans="1:20" x14ac:dyDescent="0.3">
      <c r="A64" t="e">
        <f>VLOOKUP(C64,Shipments!$D$2:$E$34,2,FALSE)</f>
        <v>#N/A</v>
      </c>
      <c r="B64" s="36">
        <v>10</v>
      </c>
      <c r="C64" s="48" t="s">
        <v>46</v>
      </c>
      <c r="D64" s="46" t="s">
        <v>37</v>
      </c>
      <c r="E64" s="39" t="s">
        <v>33</v>
      </c>
      <c r="F64" s="45">
        <v>0</v>
      </c>
      <c r="G64" s="47">
        <v>6887</v>
      </c>
      <c r="H64" s="41">
        <f t="shared" si="12"/>
        <v>0</v>
      </c>
      <c r="I64" s="42">
        <v>0.1</v>
      </c>
      <c r="J64" s="41">
        <f t="shared" si="13"/>
        <v>0</v>
      </c>
      <c r="K64">
        <f t="shared" si="14"/>
        <v>6198.3</v>
      </c>
      <c r="L64">
        <f t="shared" si="15"/>
        <v>0</v>
      </c>
      <c r="M64">
        <f>VLOOKUP(C64,[1]OfferToClient24Feb!$C$2:$R$83,16,FALSE)</f>
        <v>0</v>
      </c>
      <c r="N64">
        <f t="shared" si="19"/>
        <v>0</v>
      </c>
      <c r="P64">
        <f t="shared" si="18"/>
        <v>0</v>
      </c>
      <c r="Q64">
        <f t="shared" si="16"/>
        <v>0</v>
      </c>
      <c r="R64">
        <f t="shared" si="8"/>
        <v>0</v>
      </c>
      <c r="S64">
        <f t="shared" si="0"/>
        <v>0</v>
      </c>
      <c r="T64">
        <f t="shared" si="1"/>
        <v>0</v>
      </c>
    </row>
    <row r="65" spans="1:20" x14ac:dyDescent="0.3">
      <c r="A65" t="e">
        <f>VLOOKUP(C65,Shipments!$D$2:$E$34,2,FALSE)</f>
        <v>#N/A</v>
      </c>
      <c r="B65" s="36">
        <v>16</v>
      </c>
      <c r="C65" s="66" t="s">
        <v>46</v>
      </c>
      <c r="D65" s="67" t="s">
        <v>92</v>
      </c>
      <c r="E65" s="68" t="s">
        <v>39</v>
      </c>
      <c r="F65" s="45">
        <v>0</v>
      </c>
      <c r="G65" s="113">
        <v>6887</v>
      </c>
      <c r="H65" s="41">
        <f t="shared" si="12"/>
        <v>0</v>
      </c>
      <c r="I65" s="42">
        <v>0.1</v>
      </c>
      <c r="J65" s="41">
        <f t="shared" si="13"/>
        <v>0</v>
      </c>
      <c r="K65">
        <f t="shared" si="14"/>
        <v>6198.3</v>
      </c>
      <c r="L65">
        <f t="shared" si="15"/>
        <v>0</v>
      </c>
      <c r="M65">
        <f>VLOOKUP(C65,[1]OfferToClient24Feb!$C$2:$R$83,16,FALSE)</f>
        <v>0</v>
      </c>
      <c r="N65">
        <f t="shared" si="19"/>
        <v>0</v>
      </c>
      <c r="P65">
        <f t="shared" si="18"/>
        <v>0</v>
      </c>
      <c r="Q65">
        <f t="shared" si="16"/>
        <v>0</v>
      </c>
      <c r="R65">
        <f t="shared" si="8"/>
        <v>0</v>
      </c>
      <c r="S65">
        <f t="shared" si="0"/>
        <v>0</v>
      </c>
      <c r="T65">
        <f t="shared" si="1"/>
        <v>0</v>
      </c>
    </row>
    <row r="66" spans="1:20" x14ac:dyDescent="0.3">
      <c r="A66" t="e">
        <f>VLOOKUP(C66,Shipments!$D$2:$E$34,2,FALSE)</f>
        <v>#N/A</v>
      </c>
      <c r="B66" s="36">
        <v>21</v>
      </c>
      <c r="C66" s="48" t="s">
        <v>46</v>
      </c>
      <c r="D66" s="46" t="s">
        <v>37</v>
      </c>
      <c r="E66" s="39" t="s">
        <v>33</v>
      </c>
      <c r="F66" s="45">
        <v>0</v>
      </c>
      <c r="G66" s="113">
        <v>6887</v>
      </c>
      <c r="H66" s="41">
        <f t="shared" si="12"/>
        <v>0</v>
      </c>
      <c r="I66" s="42">
        <v>0.1</v>
      </c>
      <c r="J66" s="41">
        <f t="shared" si="13"/>
        <v>0</v>
      </c>
      <c r="K66">
        <f t="shared" si="14"/>
        <v>6198.3</v>
      </c>
      <c r="L66">
        <f t="shared" si="15"/>
        <v>0</v>
      </c>
      <c r="M66">
        <f>VLOOKUP(C66,[1]OfferToClient24Feb!$C$2:$R$83,16,FALSE)</f>
        <v>0</v>
      </c>
      <c r="N66">
        <f t="shared" si="19"/>
        <v>0</v>
      </c>
      <c r="P66">
        <f t="shared" si="18"/>
        <v>0</v>
      </c>
      <c r="Q66">
        <f t="shared" si="16"/>
        <v>0</v>
      </c>
      <c r="R66">
        <f t="shared" si="8"/>
        <v>0</v>
      </c>
      <c r="S66">
        <f t="shared" si="0"/>
        <v>0</v>
      </c>
      <c r="T66">
        <f t="shared" si="1"/>
        <v>0</v>
      </c>
    </row>
    <row r="67" spans="1:20" x14ac:dyDescent="0.3">
      <c r="A67" t="e">
        <f>VLOOKUP(C67,Shipments!$D$2:$E$34,2,FALSE)</f>
        <v>#N/A</v>
      </c>
      <c r="B67" s="36">
        <v>24</v>
      </c>
      <c r="C67" s="66" t="s">
        <v>46</v>
      </c>
      <c r="D67" s="67" t="s">
        <v>92</v>
      </c>
      <c r="E67" s="68" t="s">
        <v>39</v>
      </c>
      <c r="F67" s="45">
        <v>0</v>
      </c>
      <c r="G67" s="113">
        <v>6887</v>
      </c>
      <c r="H67" s="41">
        <f t="shared" si="12"/>
        <v>0</v>
      </c>
      <c r="I67" s="42">
        <v>0.1</v>
      </c>
      <c r="J67" s="41">
        <f t="shared" si="13"/>
        <v>0</v>
      </c>
      <c r="K67">
        <f t="shared" si="14"/>
        <v>6198.3</v>
      </c>
      <c r="L67">
        <f t="shared" si="15"/>
        <v>0</v>
      </c>
      <c r="M67">
        <f>VLOOKUP(C67,[1]OfferToClient24Feb!$C$2:$R$83,16,FALSE)</f>
        <v>0</v>
      </c>
      <c r="N67">
        <f t="shared" si="19"/>
        <v>0</v>
      </c>
      <c r="P67">
        <f t="shared" si="18"/>
        <v>0</v>
      </c>
      <c r="Q67">
        <f t="shared" si="16"/>
        <v>0</v>
      </c>
      <c r="R67">
        <f t="shared" si="8"/>
        <v>0</v>
      </c>
      <c r="S67">
        <f t="shared" si="0"/>
        <v>0</v>
      </c>
      <c r="T67">
        <f t="shared" si="1"/>
        <v>0</v>
      </c>
    </row>
    <row r="68" spans="1:20" x14ac:dyDescent="0.3">
      <c r="A68" t="str">
        <f>VLOOKUP(C68,Shipments!$D$2:$E$34,2,FALSE)</f>
        <v>HYD FILTER</v>
      </c>
      <c r="B68" s="36">
        <v>4</v>
      </c>
      <c r="C68" s="45" t="s">
        <v>36</v>
      </c>
      <c r="D68" s="46" t="s">
        <v>37</v>
      </c>
      <c r="E68" s="39" t="s">
        <v>33</v>
      </c>
      <c r="F68" s="81">
        <v>6</v>
      </c>
      <c r="G68" s="113">
        <v>3439</v>
      </c>
      <c r="H68" s="41">
        <f t="shared" si="12"/>
        <v>20634</v>
      </c>
      <c r="I68" s="42">
        <v>0.1</v>
      </c>
      <c r="J68" s="41">
        <f t="shared" si="13"/>
        <v>2063.4</v>
      </c>
      <c r="K68">
        <f t="shared" si="14"/>
        <v>3095.1</v>
      </c>
      <c r="L68">
        <f t="shared" si="15"/>
        <v>18570.599999999999</v>
      </c>
      <c r="M68">
        <f>VLOOKUP(C68,[1]OfferToClient24Feb!$C$2:$R$83,16,FALSE)</f>
        <v>49.489999999999995</v>
      </c>
      <c r="N68">
        <f t="shared" si="19"/>
        <v>296.94</v>
      </c>
      <c r="O68" s="82">
        <v>297</v>
      </c>
      <c r="P68">
        <f t="shared" si="18"/>
        <v>6.0000000000002274E-2</v>
      </c>
      <c r="Q68">
        <f t="shared" si="16"/>
        <v>23760</v>
      </c>
      <c r="R68">
        <f t="shared" si="8"/>
        <v>5189.4000000000015</v>
      </c>
      <c r="S68">
        <f t="shared" ref="S68:S91" si="20">ROUNDUP(IF(M68=0,0,M68*(1+IF(M68&lt;20,0.15,0.12))),2)</f>
        <v>55.43</v>
      </c>
      <c r="T68">
        <f t="shared" ref="T68:T91" si="21">S68*F68</f>
        <v>332.58</v>
      </c>
    </row>
    <row r="69" spans="1:20" x14ac:dyDescent="0.3">
      <c r="A69" t="str">
        <f>VLOOKUP(C69,Shipments!$D$2:$E$34,2,FALSE)</f>
        <v>HYD FILTER</v>
      </c>
      <c r="B69" s="36">
        <v>39</v>
      </c>
      <c r="C69" s="66" t="s">
        <v>36</v>
      </c>
      <c r="D69" s="67" t="s">
        <v>92</v>
      </c>
      <c r="E69" s="68" t="s">
        <v>39</v>
      </c>
      <c r="F69" s="81">
        <v>2</v>
      </c>
      <c r="G69" s="113">
        <v>3439</v>
      </c>
      <c r="H69" s="41">
        <f t="shared" ref="H69:H82" si="22">G69*F69</f>
        <v>6878</v>
      </c>
      <c r="I69" s="42">
        <v>0.1</v>
      </c>
      <c r="J69" s="41">
        <f t="shared" ref="J69:J82" si="23">H69*I69</f>
        <v>687.80000000000007</v>
      </c>
      <c r="K69">
        <f t="shared" ref="K69:K82" si="24">0.9*G69</f>
        <v>3095.1</v>
      </c>
      <c r="L69">
        <f t="shared" ref="L69:L82" si="25">K69*F69</f>
        <v>6190.2</v>
      </c>
      <c r="M69">
        <f>VLOOKUP(C69,[1]OfferToClient24Feb!$C$2:$R$83,16,FALSE)</f>
        <v>49.489999999999995</v>
      </c>
      <c r="N69">
        <f>ROUNDUP(M69*F69,0)</f>
        <v>99</v>
      </c>
      <c r="O69" s="82">
        <v>99</v>
      </c>
      <c r="P69">
        <f t="shared" si="18"/>
        <v>0</v>
      </c>
      <c r="Q69">
        <f t="shared" ref="Q69:Q91" si="26">$P$1*O69</f>
        <v>7920</v>
      </c>
      <c r="R69">
        <f t="shared" si="8"/>
        <v>1729.8000000000002</v>
      </c>
      <c r="S69">
        <f t="shared" si="20"/>
        <v>55.43</v>
      </c>
      <c r="T69">
        <f t="shared" si="21"/>
        <v>110.86</v>
      </c>
    </row>
    <row r="70" spans="1:20" x14ac:dyDescent="0.3">
      <c r="A70" t="str">
        <f>VLOOKUP(C70,Shipments!$D$2:$E$34,2,FALSE)</f>
        <v>FUEL FILTER W/SP</v>
      </c>
      <c r="B70" s="36">
        <v>8</v>
      </c>
      <c r="C70" s="45" t="s">
        <v>43</v>
      </c>
      <c r="D70" s="46" t="s">
        <v>44</v>
      </c>
      <c r="E70" s="39" t="s">
        <v>30</v>
      </c>
      <c r="F70" s="81">
        <v>60</v>
      </c>
      <c r="G70" s="113">
        <v>1545</v>
      </c>
      <c r="H70" s="41">
        <f t="shared" si="22"/>
        <v>92700</v>
      </c>
      <c r="I70" s="42">
        <v>0.1</v>
      </c>
      <c r="J70" s="41">
        <f t="shared" si="23"/>
        <v>9270</v>
      </c>
      <c r="K70">
        <f t="shared" si="24"/>
        <v>1390.5</v>
      </c>
      <c r="L70">
        <f t="shared" si="25"/>
        <v>83430</v>
      </c>
      <c r="M70">
        <f>VLOOKUP(C70,[1]OfferToClient24Feb!$C$2:$R$83,16,FALSE)</f>
        <v>22.23</v>
      </c>
      <c r="N70">
        <f>ROUNDUP(M70*F70,2)</f>
        <v>1333.8</v>
      </c>
      <c r="O70" s="82">
        <v>1334</v>
      </c>
      <c r="P70">
        <f t="shared" si="18"/>
        <v>0.20000000000004547</v>
      </c>
      <c r="Q70">
        <f t="shared" si="26"/>
        <v>106720</v>
      </c>
      <c r="R70">
        <f t="shared" ref="R70:R91" si="27">Q70-L70</f>
        <v>23290</v>
      </c>
      <c r="S70">
        <f t="shared" si="20"/>
        <v>24.900000000000002</v>
      </c>
      <c r="T70">
        <f t="shared" si="21"/>
        <v>1494.0000000000002</v>
      </c>
    </row>
    <row r="71" spans="1:20" x14ac:dyDescent="0.3">
      <c r="A71" t="str">
        <f>VLOOKUP(C71,Shipments!$D$2:$E$34,2,FALSE)</f>
        <v>FUEL FILTER W/SP</v>
      </c>
      <c r="B71" s="36">
        <v>21</v>
      </c>
      <c r="C71" s="66" t="s">
        <v>43</v>
      </c>
      <c r="D71" s="67" t="s">
        <v>32</v>
      </c>
      <c r="E71" s="68" t="s">
        <v>30</v>
      </c>
      <c r="F71" s="81">
        <v>40</v>
      </c>
      <c r="G71" s="113">
        <v>1545</v>
      </c>
      <c r="H71" s="41">
        <f t="shared" si="22"/>
        <v>61800</v>
      </c>
      <c r="I71" s="42">
        <v>0.1</v>
      </c>
      <c r="J71" s="41">
        <f t="shared" si="23"/>
        <v>6180</v>
      </c>
      <c r="K71">
        <f t="shared" si="24"/>
        <v>1390.5</v>
      </c>
      <c r="L71">
        <f t="shared" si="25"/>
        <v>55620</v>
      </c>
      <c r="M71">
        <f>VLOOKUP(C71,[1]OfferToClient24Feb!$C$2:$R$83,16,FALSE)</f>
        <v>22.23</v>
      </c>
      <c r="N71">
        <f>ROUNDUP(M71*F71,2)</f>
        <v>889.2</v>
      </c>
      <c r="O71" s="82">
        <v>889</v>
      </c>
      <c r="P71">
        <f t="shared" si="18"/>
        <v>-0.20000000000004547</v>
      </c>
      <c r="Q71">
        <f t="shared" si="26"/>
        <v>71120</v>
      </c>
      <c r="R71">
        <f t="shared" si="27"/>
        <v>15500</v>
      </c>
      <c r="S71">
        <f t="shared" si="20"/>
        <v>24.900000000000002</v>
      </c>
      <c r="T71">
        <f t="shared" si="21"/>
        <v>996.00000000000011</v>
      </c>
    </row>
    <row r="72" spans="1:20" x14ac:dyDescent="0.3">
      <c r="A72" t="str">
        <f>VLOOKUP(C72,Shipments!$D$2:$E$34,2,FALSE)</f>
        <v>FUEL FILTER</v>
      </c>
      <c r="B72" s="36">
        <v>9</v>
      </c>
      <c r="C72" s="45" t="s">
        <v>45</v>
      </c>
      <c r="D72" s="46" t="s">
        <v>32</v>
      </c>
      <c r="E72" s="39" t="s">
        <v>30</v>
      </c>
      <c r="F72" s="81">
        <v>60</v>
      </c>
      <c r="G72" s="113">
        <v>1398</v>
      </c>
      <c r="H72" s="41">
        <f t="shared" si="22"/>
        <v>83880</v>
      </c>
      <c r="I72" s="42">
        <v>0.1</v>
      </c>
      <c r="J72" s="41">
        <f t="shared" si="23"/>
        <v>8388</v>
      </c>
      <c r="K72">
        <f t="shared" si="24"/>
        <v>1258.2</v>
      </c>
      <c r="L72">
        <f t="shared" si="25"/>
        <v>75492</v>
      </c>
      <c r="M72">
        <v>20.12</v>
      </c>
      <c r="N72">
        <f>ROUNDUP(M72*F72,2)</f>
        <v>1207.2</v>
      </c>
      <c r="O72" s="82">
        <v>1207</v>
      </c>
      <c r="P72">
        <f t="shared" si="18"/>
        <v>-0.20000000000004547</v>
      </c>
      <c r="Q72">
        <f t="shared" si="26"/>
        <v>96560</v>
      </c>
      <c r="R72">
        <f t="shared" si="27"/>
        <v>21068</v>
      </c>
      <c r="S72">
        <f t="shared" si="20"/>
        <v>22.540000000000003</v>
      </c>
      <c r="T72">
        <f t="shared" si="21"/>
        <v>1352.4</v>
      </c>
    </row>
    <row r="73" spans="1:20" x14ac:dyDescent="0.3">
      <c r="A73" t="str">
        <f>VLOOKUP(C73,Shipments!$D$2:$E$34,2,FALSE)</f>
        <v>FUEL FILTER</v>
      </c>
      <c r="B73" s="36">
        <v>20</v>
      </c>
      <c r="C73" s="66" t="s">
        <v>45</v>
      </c>
      <c r="D73" s="67" t="s">
        <v>32</v>
      </c>
      <c r="E73" s="68" t="s">
        <v>30</v>
      </c>
      <c r="F73" s="81">
        <v>40</v>
      </c>
      <c r="G73" s="113">
        <v>1398</v>
      </c>
      <c r="H73" s="41">
        <f t="shared" si="22"/>
        <v>55920</v>
      </c>
      <c r="I73" s="42">
        <v>0.1</v>
      </c>
      <c r="J73" s="41">
        <f t="shared" si="23"/>
        <v>5592</v>
      </c>
      <c r="K73">
        <f t="shared" si="24"/>
        <v>1258.2</v>
      </c>
      <c r="L73">
        <f t="shared" si="25"/>
        <v>50328</v>
      </c>
      <c r="M73">
        <f>VLOOKUP(C73,[1]OfferToClient24Feb!$C$2:$R$83,16,FALSE)</f>
        <v>20.12</v>
      </c>
      <c r="N73">
        <f>ROUNDUP(M73*F73,2)</f>
        <v>804.8</v>
      </c>
      <c r="O73" s="82">
        <v>805</v>
      </c>
      <c r="P73">
        <f t="shared" si="18"/>
        <v>0.20000000000004547</v>
      </c>
      <c r="Q73">
        <f t="shared" si="26"/>
        <v>64400</v>
      </c>
      <c r="R73">
        <f t="shared" si="27"/>
        <v>14072</v>
      </c>
      <c r="S73">
        <f t="shared" si="20"/>
        <v>22.540000000000003</v>
      </c>
      <c r="T73">
        <f t="shared" si="21"/>
        <v>901.60000000000014</v>
      </c>
    </row>
    <row r="74" spans="1:20" x14ac:dyDescent="0.3">
      <c r="A74" t="str">
        <f>VLOOKUP(C74,Shipments!$D$2:$E$34,2,FALSE)</f>
        <v>HYDRAULIC FILTER</v>
      </c>
      <c r="B74" s="36">
        <v>5</v>
      </c>
      <c r="C74" s="66" t="s">
        <v>73</v>
      </c>
      <c r="D74" s="67" t="s">
        <v>92</v>
      </c>
      <c r="E74" s="68" t="s">
        <v>30</v>
      </c>
      <c r="F74" s="81">
        <v>20</v>
      </c>
      <c r="G74" s="113">
        <v>788</v>
      </c>
      <c r="H74" s="41">
        <f t="shared" si="22"/>
        <v>15760</v>
      </c>
      <c r="I74" s="42">
        <v>0.1</v>
      </c>
      <c r="J74" s="41">
        <f t="shared" si="23"/>
        <v>1576</v>
      </c>
      <c r="K74">
        <f t="shared" si="24"/>
        <v>709.2</v>
      </c>
      <c r="L74">
        <f t="shared" si="25"/>
        <v>14184</v>
      </c>
      <c r="M74">
        <f>VLOOKUP(C74,[1]OfferToClient24Feb!$C$2:$R$83,16,FALSE)</f>
        <v>11.34</v>
      </c>
      <c r="N74">
        <f>ROUNDUP(M74*F74,2)</f>
        <v>226.8</v>
      </c>
      <c r="O74" s="82">
        <v>227</v>
      </c>
      <c r="P74">
        <f t="shared" si="18"/>
        <v>0.19999999999998863</v>
      </c>
      <c r="Q74">
        <f t="shared" si="26"/>
        <v>18160</v>
      </c>
      <c r="R74">
        <f t="shared" si="27"/>
        <v>3976</v>
      </c>
      <c r="S74">
        <f t="shared" si="20"/>
        <v>13.049999999999999</v>
      </c>
      <c r="T74">
        <f t="shared" si="21"/>
        <v>261</v>
      </c>
    </row>
    <row r="75" spans="1:20" x14ac:dyDescent="0.3">
      <c r="A75" t="str">
        <f>VLOOKUP(C75,Shipments!$D$2:$E$34,2,FALSE)</f>
        <v>HYDRAULIC FILTER</v>
      </c>
      <c r="B75" s="36">
        <v>31</v>
      </c>
      <c r="C75" s="45" t="s">
        <v>73</v>
      </c>
      <c r="D75" s="46" t="s">
        <v>48</v>
      </c>
      <c r="E75" s="39" t="s">
        <v>30</v>
      </c>
      <c r="F75" s="81">
        <v>60</v>
      </c>
      <c r="G75" s="113">
        <v>788</v>
      </c>
      <c r="H75" s="41">
        <f t="shared" si="22"/>
        <v>47280</v>
      </c>
      <c r="I75" s="42">
        <v>0.1</v>
      </c>
      <c r="J75" s="41">
        <f t="shared" si="23"/>
        <v>4728</v>
      </c>
      <c r="K75">
        <f t="shared" si="24"/>
        <v>709.2</v>
      </c>
      <c r="L75">
        <f t="shared" si="25"/>
        <v>42552</v>
      </c>
      <c r="M75">
        <f>VLOOKUP(C75,[1]OfferToClient24Feb!$C$2:$R$83,16,FALSE)</f>
        <v>11.34</v>
      </c>
      <c r="N75">
        <f>ROUNDUP(M75*F75,0)</f>
        <v>681</v>
      </c>
      <c r="O75" s="82">
        <v>680</v>
      </c>
      <c r="P75">
        <f t="shared" si="18"/>
        <v>-1</v>
      </c>
      <c r="Q75">
        <f t="shared" si="26"/>
        <v>54400</v>
      </c>
      <c r="R75">
        <f t="shared" si="27"/>
        <v>11848</v>
      </c>
      <c r="S75">
        <f t="shared" si="20"/>
        <v>13.049999999999999</v>
      </c>
      <c r="T75">
        <f t="shared" si="21"/>
        <v>782.99999999999989</v>
      </c>
    </row>
    <row r="76" spans="1:20" x14ac:dyDescent="0.3">
      <c r="A76" t="str">
        <f>VLOOKUP(C76,Shipments!$D$2:$E$34,2,FALSE)</f>
        <v xml:space="preserve">AIR FILTER </v>
      </c>
      <c r="B76" s="36">
        <v>29</v>
      </c>
      <c r="C76" s="66" t="s">
        <v>84</v>
      </c>
      <c r="D76" s="67" t="s">
        <v>97</v>
      </c>
      <c r="E76" s="68" t="s">
        <v>33</v>
      </c>
      <c r="F76" s="81">
        <v>20</v>
      </c>
      <c r="G76" s="113">
        <v>1052</v>
      </c>
      <c r="H76" s="41">
        <f t="shared" si="22"/>
        <v>21040</v>
      </c>
      <c r="I76" s="42">
        <v>0.1</v>
      </c>
      <c r="J76" s="41">
        <f t="shared" si="23"/>
        <v>2104</v>
      </c>
      <c r="K76">
        <f t="shared" si="24"/>
        <v>946.80000000000007</v>
      </c>
      <c r="L76">
        <f t="shared" si="25"/>
        <v>18936</v>
      </c>
      <c r="M76">
        <f>VLOOKUP(C76,[1]OfferToClient24Feb!$C$2:$R$83,16,FALSE)</f>
        <v>15.14</v>
      </c>
      <c r="N76">
        <f>ROUNDUP(M76*F76,0)</f>
        <v>303</v>
      </c>
      <c r="O76" s="82">
        <v>303</v>
      </c>
      <c r="P76">
        <f t="shared" si="18"/>
        <v>0</v>
      </c>
      <c r="Q76">
        <f t="shared" si="26"/>
        <v>24240</v>
      </c>
      <c r="R76">
        <f t="shared" si="27"/>
        <v>5304</v>
      </c>
      <c r="S76">
        <f t="shared" si="20"/>
        <v>17.420000000000002</v>
      </c>
      <c r="T76">
        <f t="shared" si="21"/>
        <v>348.40000000000003</v>
      </c>
    </row>
    <row r="77" spans="1:20" x14ac:dyDescent="0.3">
      <c r="A77" t="str">
        <f>VLOOKUP(C77,Shipments!$D$2:$E$34,2,FALSE)</f>
        <v xml:space="preserve">AIR FILTER </v>
      </c>
      <c r="B77" s="36">
        <v>34</v>
      </c>
      <c r="C77" s="66" t="s">
        <v>84</v>
      </c>
      <c r="D77" s="67" t="s">
        <v>41</v>
      </c>
      <c r="E77" s="68" t="s">
        <v>33</v>
      </c>
      <c r="F77" s="81">
        <v>4</v>
      </c>
      <c r="G77" s="113">
        <v>1052</v>
      </c>
      <c r="H77" s="41">
        <f t="shared" si="22"/>
        <v>4208</v>
      </c>
      <c r="I77" s="42">
        <v>0.1</v>
      </c>
      <c r="J77" s="41">
        <f t="shared" si="23"/>
        <v>420.8</v>
      </c>
      <c r="K77">
        <f t="shared" si="24"/>
        <v>946.80000000000007</v>
      </c>
      <c r="L77">
        <f t="shared" si="25"/>
        <v>3787.2000000000003</v>
      </c>
      <c r="M77">
        <f>VLOOKUP(C77,[1]OfferToClient24Feb!$C$2:$R$83,16,FALSE)</f>
        <v>15.14</v>
      </c>
      <c r="N77">
        <f>ROUNDUP(M77*F77,0)</f>
        <v>61</v>
      </c>
      <c r="O77" s="82">
        <v>61</v>
      </c>
      <c r="P77">
        <f t="shared" si="18"/>
        <v>0</v>
      </c>
      <c r="Q77">
        <f t="shared" si="26"/>
        <v>4880</v>
      </c>
      <c r="R77">
        <f t="shared" si="27"/>
        <v>1092.7999999999997</v>
      </c>
      <c r="S77">
        <f t="shared" si="20"/>
        <v>17.420000000000002</v>
      </c>
      <c r="T77">
        <f t="shared" si="21"/>
        <v>69.680000000000007</v>
      </c>
    </row>
    <row r="78" spans="1:20" x14ac:dyDescent="0.3">
      <c r="A78" t="str">
        <f>VLOOKUP(C78,Shipments!$D$2:$E$34,2,FALSE)</f>
        <v xml:space="preserve">AIR FILTER </v>
      </c>
      <c r="B78" s="36">
        <v>39</v>
      </c>
      <c r="C78" s="45" t="s">
        <v>84</v>
      </c>
      <c r="D78" s="46" t="s">
        <v>41</v>
      </c>
      <c r="E78" s="39" t="s">
        <v>33</v>
      </c>
      <c r="F78" s="81">
        <v>12</v>
      </c>
      <c r="G78" s="113">
        <v>1052</v>
      </c>
      <c r="H78" s="41">
        <f t="shared" si="22"/>
        <v>12624</v>
      </c>
      <c r="I78" s="42">
        <v>0.1</v>
      </c>
      <c r="J78" s="41">
        <f t="shared" si="23"/>
        <v>1262.4000000000001</v>
      </c>
      <c r="K78">
        <f t="shared" si="24"/>
        <v>946.80000000000007</v>
      </c>
      <c r="L78">
        <f t="shared" si="25"/>
        <v>11361.6</v>
      </c>
      <c r="M78">
        <v>15.14</v>
      </c>
      <c r="N78">
        <f>ROUNDUP(M78*F78,0)</f>
        <v>182</v>
      </c>
      <c r="O78" s="82">
        <v>182</v>
      </c>
      <c r="P78">
        <f t="shared" si="18"/>
        <v>0</v>
      </c>
      <c r="Q78">
        <f t="shared" si="26"/>
        <v>14560</v>
      </c>
      <c r="R78">
        <f t="shared" si="27"/>
        <v>3198.3999999999996</v>
      </c>
      <c r="S78">
        <f t="shared" si="20"/>
        <v>17.420000000000002</v>
      </c>
      <c r="T78">
        <f t="shared" si="21"/>
        <v>209.04000000000002</v>
      </c>
    </row>
    <row r="79" spans="1:20" x14ac:dyDescent="0.3">
      <c r="A79" t="str">
        <f>VLOOKUP(C79,Shipments!$D$2:$E$34,2,FALSE)</f>
        <v xml:space="preserve">AIR FILTER </v>
      </c>
      <c r="B79" s="36">
        <v>43</v>
      </c>
      <c r="C79" s="45" t="s">
        <v>84</v>
      </c>
      <c r="D79" s="46" t="s">
        <v>41</v>
      </c>
      <c r="E79" s="39" t="s">
        <v>33</v>
      </c>
      <c r="F79" s="81">
        <v>60</v>
      </c>
      <c r="G79" s="113">
        <v>1052</v>
      </c>
      <c r="H79" s="41">
        <f t="shared" si="22"/>
        <v>63120</v>
      </c>
      <c r="I79" s="42">
        <v>0.1</v>
      </c>
      <c r="J79" s="41">
        <f t="shared" si="23"/>
        <v>6312</v>
      </c>
      <c r="K79">
        <f t="shared" si="24"/>
        <v>946.80000000000007</v>
      </c>
      <c r="L79">
        <f t="shared" si="25"/>
        <v>56808.000000000007</v>
      </c>
      <c r="M79">
        <f>VLOOKUP(C79,[1]OfferToClient24Feb!$C$2:$R$83,16,FALSE)</f>
        <v>15.14</v>
      </c>
      <c r="N79">
        <f>ROUNDUP(M79*F79,0)</f>
        <v>909</v>
      </c>
      <c r="O79" s="82">
        <v>908</v>
      </c>
      <c r="P79">
        <f t="shared" si="18"/>
        <v>-1</v>
      </c>
      <c r="Q79">
        <f t="shared" si="26"/>
        <v>72640</v>
      </c>
      <c r="R79">
        <f t="shared" si="27"/>
        <v>15831.999999999993</v>
      </c>
      <c r="S79">
        <f t="shared" si="20"/>
        <v>17.420000000000002</v>
      </c>
      <c r="T79">
        <f t="shared" si="21"/>
        <v>1045.2</v>
      </c>
    </row>
    <row r="80" spans="1:20" x14ac:dyDescent="0.3">
      <c r="A80" t="str">
        <f>VLOOKUP(C80,Shipments!$D$2:$E$34,2,FALSE)</f>
        <v>HAMMER HYD. FILTER</v>
      </c>
      <c r="B80" s="36">
        <v>13</v>
      </c>
      <c r="C80" s="45" t="s">
        <v>50</v>
      </c>
      <c r="D80" s="46" t="s">
        <v>51</v>
      </c>
      <c r="E80" s="39" t="s">
        <v>33</v>
      </c>
      <c r="F80" s="81">
        <v>60</v>
      </c>
      <c r="G80" s="113">
        <v>7722</v>
      </c>
      <c r="H80" s="41">
        <f t="shared" si="22"/>
        <v>463320</v>
      </c>
      <c r="I80" s="42">
        <v>0.1</v>
      </c>
      <c r="J80" s="41">
        <f t="shared" si="23"/>
        <v>46332</v>
      </c>
      <c r="K80">
        <f t="shared" si="24"/>
        <v>6949.8</v>
      </c>
      <c r="L80">
        <f t="shared" si="25"/>
        <v>416988</v>
      </c>
      <c r="M80">
        <f>VLOOKUP(C80,[1]OfferToClient24Feb!$C$2:$R$83,16,FALSE)</f>
        <v>111.11</v>
      </c>
      <c r="N80">
        <f>ROUNDUP(M80*F80,2)</f>
        <v>6666.6</v>
      </c>
      <c r="O80" s="82">
        <v>6667</v>
      </c>
      <c r="P80">
        <f t="shared" si="18"/>
        <v>0.3999999999996362</v>
      </c>
      <c r="Q80">
        <f t="shared" si="26"/>
        <v>533360</v>
      </c>
      <c r="R80">
        <f t="shared" si="27"/>
        <v>116372</v>
      </c>
      <c r="S80">
        <f t="shared" si="20"/>
        <v>124.45</v>
      </c>
      <c r="T80">
        <f t="shared" si="21"/>
        <v>7467</v>
      </c>
    </row>
    <row r="81" spans="1:20" x14ac:dyDescent="0.3">
      <c r="A81" t="str">
        <f>VLOOKUP(C81,Shipments!$D$2:$E$34,2,FALSE)</f>
        <v>HAMMER HYD. FILTER</v>
      </c>
      <c r="B81" s="36">
        <v>17</v>
      </c>
      <c r="C81" s="68" t="s">
        <v>50</v>
      </c>
      <c r="D81" s="67" t="s">
        <v>92</v>
      </c>
      <c r="E81" s="68" t="s">
        <v>33</v>
      </c>
      <c r="F81" s="81">
        <v>4</v>
      </c>
      <c r="G81" s="113">
        <v>7722</v>
      </c>
      <c r="H81" s="41">
        <f t="shared" si="22"/>
        <v>30888</v>
      </c>
      <c r="I81" s="42">
        <v>0.1</v>
      </c>
      <c r="J81" s="41">
        <f t="shared" si="23"/>
        <v>3088.8</v>
      </c>
      <c r="K81">
        <f t="shared" si="24"/>
        <v>6949.8</v>
      </c>
      <c r="L81">
        <f t="shared" si="25"/>
        <v>27799.200000000001</v>
      </c>
      <c r="M81">
        <f>VLOOKUP(C81,[1]OfferToClient24Feb!$C$2:$R$83,16,FALSE)</f>
        <v>111.11</v>
      </c>
      <c r="N81">
        <f>ROUNDUP(M81*F81,2)</f>
        <v>444.44</v>
      </c>
      <c r="O81" s="82">
        <v>444</v>
      </c>
      <c r="P81">
        <f t="shared" si="18"/>
        <v>-0.43999999999999773</v>
      </c>
      <c r="Q81">
        <f t="shared" si="26"/>
        <v>35520</v>
      </c>
      <c r="R81">
        <f t="shared" si="27"/>
        <v>7720.7999999999993</v>
      </c>
      <c r="S81">
        <f t="shared" si="20"/>
        <v>124.45</v>
      </c>
      <c r="T81">
        <f t="shared" si="21"/>
        <v>497.8</v>
      </c>
    </row>
    <row r="82" spans="1:20" x14ac:dyDescent="0.3">
      <c r="A82" t="str">
        <f>VLOOKUP(C82,Shipments!$D$2:$E$34,2,FALSE)</f>
        <v>HAMMER HYD. FILTER</v>
      </c>
      <c r="B82" s="36">
        <v>23</v>
      </c>
      <c r="C82" s="45" t="s">
        <v>50</v>
      </c>
      <c r="D82" s="46" t="s">
        <v>37</v>
      </c>
      <c r="E82" s="39" t="s">
        <v>33</v>
      </c>
      <c r="F82" s="81">
        <v>12</v>
      </c>
      <c r="G82" s="113">
        <v>7722</v>
      </c>
      <c r="H82" s="41">
        <f t="shared" si="22"/>
        <v>92664</v>
      </c>
      <c r="I82" s="42">
        <v>0.1</v>
      </c>
      <c r="J82" s="41">
        <f t="shared" si="23"/>
        <v>9266.4</v>
      </c>
      <c r="K82">
        <f t="shared" si="24"/>
        <v>6949.8</v>
      </c>
      <c r="L82">
        <f t="shared" si="25"/>
        <v>83397.600000000006</v>
      </c>
      <c r="M82">
        <f>VLOOKUP(C82,[1]OfferToClient24Feb!$C$2:$R$83,16,FALSE)</f>
        <v>111.11</v>
      </c>
      <c r="N82">
        <f>ROUNDUP(M82*F82,2)</f>
        <v>1333.32</v>
      </c>
      <c r="O82" s="82">
        <v>1333</v>
      </c>
      <c r="P82">
        <f t="shared" si="18"/>
        <v>-0.31999999999993634</v>
      </c>
      <c r="Q82">
        <f t="shared" si="26"/>
        <v>106640</v>
      </c>
      <c r="R82">
        <f t="shared" si="27"/>
        <v>23242.399999999994</v>
      </c>
      <c r="S82">
        <f t="shared" si="20"/>
        <v>124.45</v>
      </c>
      <c r="T82">
        <f t="shared" si="21"/>
        <v>1493.4</v>
      </c>
    </row>
    <row r="83" spans="1:20" x14ac:dyDescent="0.3">
      <c r="A83" t="e">
        <f>VLOOKUP(C83,Shipments!$D$2:$E$34,2,FALSE)</f>
        <v>#N/A</v>
      </c>
      <c r="B83" s="36">
        <v>27</v>
      </c>
      <c r="C83" s="66" t="s">
        <v>85</v>
      </c>
      <c r="D83" s="67" t="s">
        <v>29</v>
      </c>
      <c r="E83" s="69" t="s">
        <v>30</v>
      </c>
      <c r="F83" s="45">
        <v>0</v>
      </c>
      <c r="G83" s="47" t="s">
        <v>74</v>
      </c>
      <c r="H83" s="41" t="s">
        <v>74</v>
      </c>
      <c r="I83" s="47" t="s">
        <v>74</v>
      </c>
      <c r="J83" s="47" t="s">
        <v>74</v>
      </c>
      <c r="Q83">
        <f t="shared" si="26"/>
        <v>0</v>
      </c>
      <c r="R83">
        <f t="shared" si="27"/>
        <v>0</v>
      </c>
      <c r="S83">
        <f t="shared" si="20"/>
        <v>0</v>
      </c>
      <c r="T83">
        <f t="shared" si="21"/>
        <v>0</v>
      </c>
    </row>
    <row r="84" spans="1:20" x14ac:dyDescent="0.3">
      <c r="A84" t="e">
        <f>VLOOKUP(C84,Shipments!$D$2:$E$34,2,FALSE)</f>
        <v>#N/A</v>
      </c>
      <c r="B84" s="36">
        <v>40</v>
      </c>
      <c r="C84" s="45" t="s">
        <v>85</v>
      </c>
      <c r="D84" s="46" t="s">
        <v>29</v>
      </c>
      <c r="E84" s="39" t="s">
        <v>74</v>
      </c>
      <c r="F84" s="45">
        <v>0</v>
      </c>
      <c r="G84" s="47" t="s">
        <v>74</v>
      </c>
      <c r="H84" s="47" t="s">
        <v>74</v>
      </c>
      <c r="I84" s="47" t="s">
        <v>74</v>
      </c>
      <c r="J84" s="47" t="s">
        <v>74</v>
      </c>
      <c r="Q84">
        <f t="shared" si="26"/>
        <v>0</v>
      </c>
      <c r="R84">
        <f t="shared" si="27"/>
        <v>0</v>
      </c>
      <c r="S84">
        <f t="shared" si="20"/>
        <v>0</v>
      </c>
      <c r="T84">
        <f t="shared" si="21"/>
        <v>0</v>
      </c>
    </row>
    <row r="85" spans="1:20" x14ac:dyDescent="0.3">
      <c r="A85" t="str">
        <f>VLOOKUP(C85,Shipments!$D$2:$E$34,2,FALSE)</f>
        <v>RETURN HYD. FILTER</v>
      </c>
      <c r="B85" s="36">
        <v>11</v>
      </c>
      <c r="C85" s="45" t="s">
        <v>47</v>
      </c>
      <c r="D85" s="46" t="s">
        <v>48</v>
      </c>
      <c r="E85" s="39" t="s">
        <v>35</v>
      </c>
      <c r="F85" s="81">
        <v>30</v>
      </c>
      <c r="G85" s="113">
        <v>6798</v>
      </c>
      <c r="H85" s="41">
        <f t="shared" ref="H85:H91" si="28">G85*F85</f>
        <v>203940</v>
      </c>
      <c r="I85" s="42">
        <v>0.1</v>
      </c>
      <c r="J85" s="41">
        <f t="shared" ref="J85:J91" si="29">H85*I85</f>
        <v>20394</v>
      </c>
      <c r="K85">
        <f t="shared" ref="K85:K91" si="30">0.9*G85</f>
        <v>6118.2</v>
      </c>
      <c r="L85">
        <f t="shared" ref="L85:L91" si="31">K85*F85</f>
        <v>183546</v>
      </c>
      <c r="M85">
        <f>VLOOKUP(C85,[1]OfferToClient24Feb!$C$2:$R$83,16,FALSE)</f>
        <v>97.820000000000007</v>
      </c>
      <c r="N85">
        <f>ROUNDUP(M85*F85,2)</f>
        <v>2934.6</v>
      </c>
      <c r="O85" s="82">
        <v>2935</v>
      </c>
      <c r="P85">
        <f t="shared" ref="P85:P91" si="32">O85-N85</f>
        <v>0.40000000000009095</v>
      </c>
      <c r="Q85">
        <f t="shared" si="26"/>
        <v>234800</v>
      </c>
      <c r="R85">
        <f t="shared" si="27"/>
        <v>51254</v>
      </c>
      <c r="S85">
        <f t="shared" si="20"/>
        <v>109.56</v>
      </c>
      <c r="T85">
        <f t="shared" si="21"/>
        <v>3286.8</v>
      </c>
    </row>
    <row r="86" spans="1:20" x14ac:dyDescent="0.3">
      <c r="A86" t="str">
        <f>VLOOKUP(C86,Shipments!$D$2:$E$34,2,FALSE)</f>
        <v>RETURN HYD. FILTER</v>
      </c>
      <c r="B86" s="36">
        <v>26</v>
      </c>
      <c r="C86" s="68" t="s">
        <v>47</v>
      </c>
      <c r="D86" s="67" t="s">
        <v>96</v>
      </c>
      <c r="E86" s="68" t="s">
        <v>35</v>
      </c>
      <c r="F86" s="81">
        <v>10</v>
      </c>
      <c r="G86" s="113">
        <v>6798</v>
      </c>
      <c r="H86" s="41">
        <f t="shared" si="28"/>
        <v>67980</v>
      </c>
      <c r="I86" s="42">
        <v>0.1</v>
      </c>
      <c r="J86" s="41">
        <f t="shared" si="29"/>
        <v>6798</v>
      </c>
      <c r="K86">
        <f t="shared" si="30"/>
        <v>6118.2</v>
      </c>
      <c r="L86">
        <f t="shared" si="31"/>
        <v>61182</v>
      </c>
      <c r="M86">
        <v>97.82</v>
      </c>
      <c r="N86">
        <f>ROUNDUP(M86*F86,2)</f>
        <v>978.2</v>
      </c>
      <c r="O86" s="82">
        <v>978</v>
      </c>
      <c r="P86">
        <f t="shared" si="32"/>
        <v>-0.20000000000004547</v>
      </c>
      <c r="Q86">
        <f t="shared" si="26"/>
        <v>78240</v>
      </c>
      <c r="R86">
        <f t="shared" si="27"/>
        <v>17058</v>
      </c>
      <c r="S86">
        <f t="shared" si="20"/>
        <v>109.56</v>
      </c>
      <c r="T86">
        <f t="shared" si="21"/>
        <v>1095.5999999999999</v>
      </c>
    </row>
    <row r="87" spans="1:20" x14ac:dyDescent="0.3">
      <c r="A87" t="e">
        <f>VLOOKUP(C87,Shipments!$D$2:$E$34,2,FALSE)</f>
        <v>#N/A</v>
      </c>
      <c r="B87" s="36">
        <v>18</v>
      </c>
      <c r="C87" s="66" t="s">
        <v>65</v>
      </c>
      <c r="D87" s="67" t="s">
        <v>96</v>
      </c>
      <c r="E87" s="68" t="s">
        <v>35</v>
      </c>
      <c r="F87" s="81">
        <v>4</v>
      </c>
      <c r="G87" s="113">
        <v>6395</v>
      </c>
      <c r="H87" s="41">
        <f t="shared" si="28"/>
        <v>25580</v>
      </c>
      <c r="I87" s="42">
        <v>0.1</v>
      </c>
      <c r="J87" s="41">
        <f t="shared" si="29"/>
        <v>2558</v>
      </c>
      <c r="K87">
        <f t="shared" si="30"/>
        <v>5755.5</v>
      </c>
      <c r="L87">
        <f t="shared" si="31"/>
        <v>23022</v>
      </c>
      <c r="M87">
        <f>VLOOKUP(C87,[1]OfferToClient24Feb!$C$2:$R$83,16,FALSE)</f>
        <v>92.02000000000001</v>
      </c>
      <c r="N87">
        <f>ROUNDUP(M87*F87,2)</f>
        <v>368.08</v>
      </c>
      <c r="O87" s="82">
        <v>368</v>
      </c>
      <c r="P87">
        <f t="shared" si="32"/>
        <v>-7.9999999999984084E-2</v>
      </c>
      <c r="Q87">
        <f t="shared" si="26"/>
        <v>29440</v>
      </c>
      <c r="R87">
        <f t="shared" si="27"/>
        <v>6418</v>
      </c>
      <c r="S87">
        <f t="shared" si="20"/>
        <v>103.07000000000001</v>
      </c>
      <c r="T87">
        <f t="shared" si="21"/>
        <v>412.28000000000003</v>
      </c>
    </row>
    <row r="88" spans="1:20" x14ac:dyDescent="0.3">
      <c r="A88" t="e">
        <f>VLOOKUP(C88,Shipments!$D$2:$E$34,2,FALSE)</f>
        <v>#N/A</v>
      </c>
      <c r="B88" s="36">
        <v>24</v>
      </c>
      <c r="C88" s="45" t="s">
        <v>65</v>
      </c>
      <c r="D88" s="46" t="s">
        <v>48</v>
      </c>
      <c r="E88" s="39" t="s">
        <v>35</v>
      </c>
      <c r="F88" s="81">
        <v>12</v>
      </c>
      <c r="G88" s="113">
        <v>6395</v>
      </c>
      <c r="H88" s="41">
        <f t="shared" si="28"/>
        <v>76740</v>
      </c>
      <c r="I88" s="42">
        <v>0.1</v>
      </c>
      <c r="J88" s="41">
        <f t="shared" si="29"/>
        <v>7674</v>
      </c>
      <c r="K88">
        <f t="shared" si="30"/>
        <v>5755.5</v>
      </c>
      <c r="L88">
        <f t="shared" si="31"/>
        <v>69066</v>
      </c>
      <c r="M88">
        <f>VLOOKUP(C88,[1]OfferToClient24Feb!$C$2:$R$83,16,FALSE)</f>
        <v>92.02000000000001</v>
      </c>
      <c r="N88">
        <f>ROUNDUP(M88*F88,2)</f>
        <v>1104.24</v>
      </c>
      <c r="O88" s="82">
        <f>VLOOKUP(C88,[1]OfferToClient24Feb!$C$2:$T$83,18,FALSE)</f>
        <v>1104.24</v>
      </c>
      <c r="P88">
        <f t="shared" si="32"/>
        <v>0</v>
      </c>
      <c r="Q88">
        <f t="shared" si="26"/>
        <v>88339.199999999997</v>
      </c>
      <c r="R88">
        <f t="shared" si="27"/>
        <v>19273.199999999997</v>
      </c>
      <c r="S88">
        <f t="shared" si="20"/>
        <v>103.07000000000001</v>
      </c>
      <c r="T88">
        <f t="shared" si="21"/>
        <v>1236.8400000000001</v>
      </c>
    </row>
    <row r="89" spans="1:20" x14ac:dyDescent="0.3">
      <c r="A89" t="str">
        <f>VLOOKUP(C89,Shipments!$D$2:$E$34,2,FALSE)</f>
        <v>HYDRAULIC FILTER</v>
      </c>
      <c r="B89" s="36">
        <v>4</v>
      </c>
      <c r="C89" s="66" t="s">
        <v>71</v>
      </c>
      <c r="D89" s="67" t="s">
        <v>92</v>
      </c>
      <c r="E89" s="68" t="s">
        <v>30</v>
      </c>
      <c r="F89" s="81">
        <v>20</v>
      </c>
      <c r="G89" s="113">
        <v>684</v>
      </c>
      <c r="H89" s="41">
        <f t="shared" si="28"/>
        <v>13680</v>
      </c>
      <c r="I89" s="42">
        <v>0.1</v>
      </c>
      <c r="J89" s="41">
        <f t="shared" si="29"/>
        <v>1368</v>
      </c>
      <c r="K89">
        <f t="shared" si="30"/>
        <v>615.6</v>
      </c>
      <c r="L89">
        <f t="shared" si="31"/>
        <v>12312</v>
      </c>
      <c r="M89">
        <f>VLOOKUP(C89,[1]OfferToClient24Feb!$C$2:$R$83,16,FALSE)</f>
        <v>9.01</v>
      </c>
      <c r="N89">
        <f>ROUNDUP(M89*F89,2)</f>
        <v>180.2</v>
      </c>
      <c r="O89" s="82">
        <v>180</v>
      </c>
      <c r="P89">
        <f t="shared" si="32"/>
        <v>-0.19999999999998863</v>
      </c>
      <c r="Q89">
        <f t="shared" si="26"/>
        <v>14400</v>
      </c>
      <c r="R89">
        <f t="shared" si="27"/>
        <v>2088</v>
      </c>
      <c r="S89">
        <f t="shared" si="20"/>
        <v>10.37</v>
      </c>
      <c r="T89">
        <f t="shared" si="21"/>
        <v>207.39999999999998</v>
      </c>
    </row>
    <row r="90" spans="1:20" x14ac:dyDescent="0.3">
      <c r="A90" t="str">
        <f>VLOOKUP(C90,Shipments!$D$2:$E$34,2,FALSE)</f>
        <v>HYDRAULIC FILTER</v>
      </c>
      <c r="B90" s="36">
        <v>30</v>
      </c>
      <c r="C90" s="48" t="s">
        <v>71</v>
      </c>
      <c r="D90" s="46" t="s">
        <v>72</v>
      </c>
      <c r="E90" s="39" t="s">
        <v>30</v>
      </c>
      <c r="F90" s="81">
        <v>60</v>
      </c>
      <c r="G90" s="113">
        <v>684</v>
      </c>
      <c r="H90" s="41">
        <f t="shared" si="28"/>
        <v>41040</v>
      </c>
      <c r="I90" s="42">
        <v>0.1</v>
      </c>
      <c r="J90" s="41">
        <f t="shared" si="29"/>
        <v>4104</v>
      </c>
      <c r="K90">
        <f t="shared" si="30"/>
        <v>615.6</v>
      </c>
      <c r="L90">
        <f t="shared" si="31"/>
        <v>36936</v>
      </c>
      <c r="M90">
        <f>VLOOKUP(C90,[1]OfferToClient24Feb!$C$2:$R$83,16,FALSE)</f>
        <v>9.01</v>
      </c>
      <c r="N90">
        <f>ROUNDUP(M90*F90,0)</f>
        <v>541</v>
      </c>
      <c r="O90" s="82">
        <f>VLOOKUP(C90,[1]OfferToClient24Feb!$C$2:$T$83,18,FALSE)</f>
        <v>540.6</v>
      </c>
      <c r="P90">
        <f t="shared" si="32"/>
        <v>-0.39999999999997726</v>
      </c>
      <c r="Q90">
        <f t="shared" si="26"/>
        <v>43248</v>
      </c>
      <c r="R90">
        <f t="shared" si="27"/>
        <v>6312</v>
      </c>
      <c r="S90">
        <f t="shared" si="20"/>
        <v>10.37</v>
      </c>
      <c r="T90">
        <f t="shared" si="21"/>
        <v>622.19999999999993</v>
      </c>
    </row>
    <row r="91" spans="1:20" x14ac:dyDescent="0.3">
      <c r="A91" t="str">
        <f>VLOOKUP(C91,Shipments!$D$2:$E$34,2,FALSE)</f>
        <v>FILTER - TRANSMISSION 15</v>
      </c>
      <c r="B91" s="36">
        <v>45</v>
      </c>
      <c r="C91" s="69" t="s">
        <v>104</v>
      </c>
      <c r="D91" s="67" t="s">
        <v>105</v>
      </c>
      <c r="E91" s="69" t="s">
        <v>35</v>
      </c>
      <c r="F91" s="81">
        <v>50</v>
      </c>
      <c r="G91" s="113">
        <v>1897</v>
      </c>
      <c r="H91" s="41">
        <f t="shared" si="28"/>
        <v>94850</v>
      </c>
      <c r="I91" s="42">
        <v>0.1</v>
      </c>
      <c r="J91" s="41">
        <f t="shared" si="29"/>
        <v>9485</v>
      </c>
      <c r="K91">
        <f t="shared" si="30"/>
        <v>1707.3</v>
      </c>
      <c r="L91">
        <f t="shared" si="31"/>
        <v>85365</v>
      </c>
      <c r="M91">
        <f>VLOOKUP(C91,[1]OfferToClient24Feb!$C$2:$R$83,16,FALSE)</f>
        <v>23.57</v>
      </c>
      <c r="N91">
        <f>ROUNDUP(M91*F91,0)</f>
        <v>1179</v>
      </c>
      <c r="O91" s="82">
        <v>1179</v>
      </c>
      <c r="P91">
        <f t="shared" si="32"/>
        <v>0</v>
      </c>
      <c r="Q91">
        <f t="shared" si="26"/>
        <v>94320</v>
      </c>
      <c r="R91">
        <f t="shared" si="27"/>
        <v>8955</v>
      </c>
      <c r="S91">
        <f t="shared" si="20"/>
        <v>26.400000000000002</v>
      </c>
      <c r="T91">
        <f t="shared" si="21"/>
        <v>1320</v>
      </c>
    </row>
    <row r="93" spans="1:20" x14ac:dyDescent="0.3">
      <c r="F93">
        <f>SUM(F3:F92)</f>
        <v>2024</v>
      </c>
      <c r="L93" s="83">
        <f>SUM(L3:L92)</f>
        <v>4239547.2000000011</v>
      </c>
      <c r="N93">
        <f>SUM(N3:N92)</f>
        <v>66096.199999999983</v>
      </c>
      <c r="O93">
        <f>SUM(O3:O92)</f>
        <v>66083.94</v>
      </c>
      <c r="P93">
        <f>SUM(P3:P92)</f>
        <v>-12.260000000000161</v>
      </c>
      <c r="Q93" s="83">
        <f>SUM(Q3:Q92)</f>
        <v>5286715.2</v>
      </c>
      <c r="R93" s="83">
        <f>SUM(R3:R92)</f>
        <v>1047168.0000000001</v>
      </c>
      <c r="T93">
        <f>SUM(T3:T91)</f>
        <v>74272.01999999999</v>
      </c>
    </row>
    <row r="94" spans="1:20" x14ac:dyDescent="0.3">
      <c r="N94">
        <f>N93-66084</f>
        <v>12.199999999982538</v>
      </c>
    </row>
    <row r="95" spans="1:20" x14ac:dyDescent="0.3">
      <c r="S95" t="s">
        <v>131</v>
      </c>
      <c r="T95">
        <f>T93-O93</f>
        <v>8188.0799999999872</v>
      </c>
    </row>
    <row r="96" spans="1:20" x14ac:dyDescent="0.3">
      <c r="H96" t="s">
        <v>119</v>
      </c>
      <c r="I96" t="s">
        <v>120</v>
      </c>
      <c r="J96" s="84">
        <f>L93</f>
        <v>4239547.2000000011</v>
      </c>
      <c r="L96" s="84">
        <f t="shared" ref="L96:L101" si="33">J96</f>
        <v>4239547.2000000011</v>
      </c>
      <c r="T96">
        <f>80*T95</f>
        <v>655046.39999999898</v>
      </c>
    </row>
    <row r="97" spans="9:12" x14ac:dyDescent="0.3">
      <c r="I97" t="s">
        <v>121</v>
      </c>
      <c r="J97" s="83">
        <f>0.1%*J96</f>
        <v>4239.5472000000009</v>
      </c>
      <c r="L97" s="84">
        <f t="shared" si="33"/>
        <v>4239.5472000000009</v>
      </c>
    </row>
    <row r="98" spans="9:12" x14ac:dyDescent="0.3">
      <c r="I98" t="s">
        <v>122</v>
      </c>
      <c r="J98" s="83">
        <v>25000</v>
      </c>
      <c r="L98" s="84">
        <f t="shared" si="33"/>
        <v>25000</v>
      </c>
    </row>
    <row r="99" spans="9:12" x14ac:dyDescent="0.3">
      <c r="I99" t="s">
        <v>123</v>
      </c>
      <c r="J99" s="83">
        <v>200000</v>
      </c>
      <c r="L99" s="84">
        <f t="shared" si="33"/>
        <v>200000</v>
      </c>
    </row>
    <row r="100" spans="9:12" x14ac:dyDescent="0.3">
      <c r="I100" t="s">
        <v>124</v>
      </c>
      <c r="J100">
        <v>100000</v>
      </c>
      <c r="L100" s="84">
        <f t="shared" si="33"/>
        <v>100000</v>
      </c>
    </row>
    <row r="101" spans="9:12" x14ac:dyDescent="0.3">
      <c r="I101" t="s">
        <v>126</v>
      </c>
      <c r="J101" s="84">
        <f>SUM(J96:J100)</f>
        <v>4568786.747200001</v>
      </c>
      <c r="L101" s="84">
        <f t="shared" si="33"/>
        <v>4568786.747200001</v>
      </c>
    </row>
    <row r="102" spans="9:12" x14ac:dyDescent="0.3">
      <c r="I102" t="s">
        <v>125</v>
      </c>
      <c r="J102" s="85">
        <f>81*O93</f>
        <v>5352799.1400000006</v>
      </c>
      <c r="L102" s="84">
        <f>$P$1*T93</f>
        <v>5941761.5999999996</v>
      </c>
    </row>
    <row r="103" spans="9:12" x14ac:dyDescent="0.3">
      <c r="I103" t="s">
        <v>130</v>
      </c>
      <c r="J103" s="84">
        <f>J102-J101</f>
        <v>784012.39279999956</v>
      </c>
      <c r="L103" s="84">
        <f>L102-L101</f>
        <v>1372974.8527999986</v>
      </c>
    </row>
  </sheetData>
  <autoFilter ref="B2:Q91" xr:uid="{9B965538-FBE9-4945-9830-6692A80FEB2F}">
    <sortState xmlns:xlrd2="http://schemas.microsoft.com/office/spreadsheetml/2017/richdata2" ref="B3:Q91">
      <sortCondition ref="C2:C91"/>
    </sortState>
  </autoFilter>
  <conditionalFormatting sqref="R5:R91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6661-4E81-4185-8393-51246D43869B}">
  <dimension ref="B2:N49"/>
  <sheetViews>
    <sheetView workbookViewId="0">
      <pane xSplit="4" ySplit="2" topLeftCell="E33" activePane="bottomRight" state="frozen"/>
      <selection pane="topRight" activeCell="E1" sqref="E1"/>
      <selection pane="bottomLeft" activeCell="A3" sqref="A3"/>
      <selection pane="bottomRight" activeCell="E44" sqref="E44"/>
    </sheetView>
  </sheetViews>
  <sheetFormatPr defaultRowHeight="14.4" x14ac:dyDescent="0.3"/>
  <cols>
    <col min="3" max="3" width="13.33203125" customWidth="1"/>
    <col min="4" max="4" width="21.33203125" customWidth="1"/>
    <col min="5" max="5" width="13.109375" customWidth="1"/>
    <col min="7" max="7" width="10.5546875" hidden="1" customWidth="1"/>
    <col min="8" max="8" width="15" hidden="1" customWidth="1"/>
    <col min="9" max="9" width="10.6640625" hidden="1" customWidth="1"/>
    <col min="10" max="10" width="13.6640625" hidden="1" customWidth="1"/>
    <col min="11" max="11" width="0" hidden="1" customWidth="1"/>
    <col min="12" max="12" width="10" hidden="1" customWidth="1"/>
    <col min="14" max="14" width="10.6640625" customWidth="1"/>
  </cols>
  <sheetData>
    <row r="2" spans="2:14" ht="20.399999999999999" x14ac:dyDescent="0.3">
      <c r="B2" s="109" t="s">
        <v>16</v>
      </c>
      <c r="C2" s="110" t="s">
        <v>17</v>
      </c>
      <c r="D2" s="111" t="s">
        <v>18</v>
      </c>
      <c r="E2" s="110" t="s">
        <v>19</v>
      </c>
      <c r="F2" s="110" t="s">
        <v>20</v>
      </c>
      <c r="G2" s="110" t="s">
        <v>21</v>
      </c>
      <c r="H2" s="110" t="s">
        <v>22</v>
      </c>
      <c r="I2" s="110" t="s">
        <v>23</v>
      </c>
      <c r="J2" s="110" t="s">
        <v>24</v>
      </c>
      <c r="K2" s="110" t="s">
        <v>110</v>
      </c>
      <c r="L2" s="110" t="s">
        <v>111</v>
      </c>
      <c r="M2" s="110" t="s">
        <v>112</v>
      </c>
      <c r="N2" s="112" t="s">
        <v>113</v>
      </c>
    </row>
    <row r="3" spans="2:14" x14ac:dyDescent="0.3">
      <c r="B3" s="87">
        <v>1</v>
      </c>
      <c r="C3" s="88" t="s">
        <v>28</v>
      </c>
      <c r="D3" s="89" t="s">
        <v>29</v>
      </c>
      <c r="E3" s="90" t="s">
        <v>30</v>
      </c>
      <c r="F3" s="88">
        <f>12+4</f>
        <v>16</v>
      </c>
      <c r="G3" s="91">
        <v>457</v>
      </c>
      <c r="H3" s="92">
        <f t="shared" ref="H3:H37" si="0">G3*F3</f>
        <v>7312</v>
      </c>
      <c r="I3" s="93">
        <v>0.1</v>
      </c>
      <c r="J3" s="92">
        <f t="shared" ref="J3:J37" si="1">H3*I3</f>
        <v>731.2</v>
      </c>
      <c r="K3" s="94">
        <f t="shared" ref="K3:K15" si="2">0.9*G3</f>
        <v>411.3</v>
      </c>
      <c r="L3" s="94">
        <f t="shared" ref="L3:L37" si="3">K3*F3</f>
        <v>6580.8</v>
      </c>
      <c r="M3" s="94">
        <f>VLOOKUP(C3,[1]OfferToClient24Feb!$C$2:$R$83,16,FALSE)</f>
        <v>6.58</v>
      </c>
      <c r="N3" s="95">
        <f t="shared" ref="N3:N37" si="4">ROUNDUP(M3*F3,0)</f>
        <v>106</v>
      </c>
    </row>
    <row r="4" spans="2:14" x14ac:dyDescent="0.3">
      <c r="B4" s="87">
        <v>2</v>
      </c>
      <c r="C4" s="88" t="s">
        <v>31</v>
      </c>
      <c r="D4" s="89" t="s">
        <v>32</v>
      </c>
      <c r="E4" s="90" t="s">
        <v>33</v>
      </c>
      <c r="F4" s="88">
        <f>6+20+60+2</f>
        <v>88</v>
      </c>
      <c r="G4" s="91">
        <v>2852</v>
      </c>
      <c r="H4" s="92">
        <f t="shared" si="0"/>
        <v>250976</v>
      </c>
      <c r="I4" s="93">
        <v>0.1</v>
      </c>
      <c r="J4" s="92">
        <f t="shared" si="1"/>
        <v>25097.600000000002</v>
      </c>
      <c r="K4" s="94">
        <f t="shared" si="2"/>
        <v>2566.8000000000002</v>
      </c>
      <c r="L4" s="94">
        <f t="shared" si="3"/>
        <v>225878.40000000002</v>
      </c>
      <c r="M4" s="94">
        <f>VLOOKUP(C4,[1]OfferToClient24Feb!$C$2:$R$83,16,FALSE)</f>
        <v>41.04</v>
      </c>
      <c r="N4" s="95">
        <f t="shared" si="4"/>
        <v>3612</v>
      </c>
    </row>
    <row r="5" spans="2:14" x14ac:dyDescent="0.3">
      <c r="B5" s="87">
        <v>3</v>
      </c>
      <c r="C5" s="88" t="s">
        <v>34</v>
      </c>
      <c r="D5" s="89" t="s">
        <v>32</v>
      </c>
      <c r="E5" s="90" t="s">
        <v>35</v>
      </c>
      <c r="F5" s="88">
        <f>6+60+2</f>
        <v>68</v>
      </c>
      <c r="G5" s="91">
        <v>4699</v>
      </c>
      <c r="H5" s="92">
        <f t="shared" si="0"/>
        <v>319532</v>
      </c>
      <c r="I5" s="93">
        <v>0.1</v>
      </c>
      <c r="J5" s="92">
        <f t="shared" si="1"/>
        <v>31953.200000000001</v>
      </c>
      <c r="K5" s="94">
        <f t="shared" si="2"/>
        <v>4229.1000000000004</v>
      </c>
      <c r="L5" s="94">
        <f t="shared" si="3"/>
        <v>287578.80000000005</v>
      </c>
      <c r="M5" s="94">
        <f>VLOOKUP(C5,[1]OfferToClient24Feb!$C$2:$R$83,16,FALSE)</f>
        <v>52.18</v>
      </c>
      <c r="N5" s="95">
        <f t="shared" si="4"/>
        <v>3549</v>
      </c>
    </row>
    <row r="6" spans="2:14" x14ac:dyDescent="0.3">
      <c r="B6" s="87">
        <v>4</v>
      </c>
      <c r="C6" s="88" t="s">
        <v>36</v>
      </c>
      <c r="D6" s="89" t="s">
        <v>37</v>
      </c>
      <c r="E6" s="90" t="s">
        <v>33</v>
      </c>
      <c r="F6" s="88">
        <f>6+2</f>
        <v>8</v>
      </c>
      <c r="G6" s="91">
        <v>3439</v>
      </c>
      <c r="H6" s="92">
        <f t="shared" si="0"/>
        <v>27512</v>
      </c>
      <c r="I6" s="93">
        <v>0.1</v>
      </c>
      <c r="J6" s="92">
        <f t="shared" si="1"/>
        <v>2751.2000000000003</v>
      </c>
      <c r="K6" s="94">
        <f t="shared" si="2"/>
        <v>3095.1</v>
      </c>
      <c r="L6" s="94">
        <f t="shared" si="3"/>
        <v>24760.799999999999</v>
      </c>
      <c r="M6" s="94">
        <f>VLOOKUP(C6,[1]OfferToClient24Feb!$C$2:$R$83,16,FALSE)</f>
        <v>49.489999999999995</v>
      </c>
      <c r="N6" s="95">
        <f t="shared" si="4"/>
        <v>396</v>
      </c>
    </row>
    <row r="7" spans="2:14" x14ac:dyDescent="0.3">
      <c r="B7" s="87">
        <v>5</v>
      </c>
      <c r="C7" s="96" t="s">
        <v>71</v>
      </c>
      <c r="D7" s="97" t="s">
        <v>92</v>
      </c>
      <c r="E7" s="98" t="s">
        <v>30</v>
      </c>
      <c r="F7" s="88">
        <f>20+60</f>
        <v>80</v>
      </c>
      <c r="G7" s="91">
        <v>684</v>
      </c>
      <c r="H7" s="92">
        <f t="shared" si="0"/>
        <v>54720</v>
      </c>
      <c r="I7" s="93">
        <v>0.1</v>
      </c>
      <c r="J7" s="92">
        <f t="shared" si="1"/>
        <v>5472</v>
      </c>
      <c r="K7" s="94">
        <f t="shared" si="2"/>
        <v>615.6</v>
      </c>
      <c r="L7" s="94">
        <f t="shared" si="3"/>
        <v>49248</v>
      </c>
      <c r="M7" s="94">
        <f>VLOOKUP(C7,[1]OfferToClient24Feb!$C$2:$R$83,16,FALSE)</f>
        <v>9.01</v>
      </c>
      <c r="N7" s="95">
        <f t="shared" si="4"/>
        <v>721</v>
      </c>
    </row>
    <row r="8" spans="2:14" x14ac:dyDescent="0.3">
      <c r="B8" s="87">
        <v>6</v>
      </c>
      <c r="C8" s="88" t="s">
        <v>38</v>
      </c>
      <c r="D8" s="89" t="s">
        <v>37</v>
      </c>
      <c r="E8" s="90" t="s">
        <v>39</v>
      </c>
      <c r="F8" s="88">
        <f>3+1+20</f>
        <v>24</v>
      </c>
      <c r="G8" s="91">
        <v>4712</v>
      </c>
      <c r="H8" s="92">
        <f t="shared" si="0"/>
        <v>113088</v>
      </c>
      <c r="I8" s="93">
        <v>0.1</v>
      </c>
      <c r="J8" s="92">
        <f t="shared" si="1"/>
        <v>11308.800000000001</v>
      </c>
      <c r="K8" s="94">
        <f t="shared" si="2"/>
        <v>4240.8</v>
      </c>
      <c r="L8" s="94">
        <f t="shared" si="3"/>
        <v>101779.20000000001</v>
      </c>
      <c r="M8" s="94">
        <f>VLOOKUP(C8,[1]OfferToClient24Feb!$C$2:$R$83,16,FALSE)</f>
        <v>67.800000000000011</v>
      </c>
      <c r="N8" s="95">
        <f t="shared" si="4"/>
        <v>1628</v>
      </c>
    </row>
    <row r="9" spans="2:14" x14ac:dyDescent="0.3">
      <c r="B9" s="87">
        <v>7</v>
      </c>
      <c r="C9" s="96" t="s">
        <v>73</v>
      </c>
      <c r="D9" s="97" t="s">
        <v>92</v>
      </c>
      <c r="E9" s="98" t="s">
        <v>30</v>
      </c>
      <c r="F9" s="88">
        <f>20+60</f>
        <v>80</v>
      </c>
      <c r="G9" s="91">
        <v>788</v>
      </c>
      <c r="H9" s="92">
        <f t="shared" si="0"/>
        <v>63040</v>
      </c>
      <c r="I9" s="93">
        <v>0.1</v>
      </c>
      <c r="J9" s="92">
        <f t="shared" si="1"/>
        <v>6304</v>
      </c>
      <c r="K9" s="94">
        <f t="shared" si="2"/>
        <v>709.2</v>
      </c>
      <c r="L9" s="94">
        <f t="shared" si="3"/>
        <v>56736</v>
      </c>
      <c r="M9" s="94">
        <f>VLOOKUP(C9,[1]OfferToClient24Feb!$C$2:$R$83,16,FALSE)</f>
        <v>11.34</v>
      </c>
      <c r="N9" s="95">
        <f t="shared" si="4"/>
        <v>908</v>
      </c>
    </row>
    <row r="10" spans="2:14" x14ac:dyDescent="0.3">
      <c r="B10" s="87">
        <v>8</v>
      </c>
      <c r="C10" s="96" t="s">
        <v>75</v>
      </c>
      <c r="D10" s="97" t="s">
        <v>92</v>
      </c>
      <c r="E10" s="98" t="s">
        <v>39</v>
      </c>
      <c r="F10" s="88">
        <f>20+60</f>
        <v>80</v>
      </c>
      <c r="G10" s="91">
        <v>556</v>
      </c>
      <c r="H10" s="92">
        <f t="shared" si="0"/>
        <v>44480</v>
      </c>
      <c r="I10" s="93">
        <v>0.1</v>
      </c>
      <c r="J10" s="92">
        <f t="shared" si="1"/>
        <v>4448</v>
      </c>
      <c r="K10" s="94">
        <f t="shared" si="2"/>
        <v>500.40000000000003</v>
      </c>
      <c r="L10" s="94">
        <f t="shared" si="3"/>
        <v>40032</v>
      </c>
      <c r="M10" s="94">
        <f>VLOOKUP(C10,[1]OfferToClient24Feb!$C$2:$R$83,16,FALSE)</f>
        <v>8</v>
      </c>
      <c r="N10" s="95">
        <f t="shared" si="4"/>
        <v>640</v>
      </c>
    </row>
    <row r="11" spans="2:14" x14ac:dyDescent="0.3">
      <c r="B11" s="87">
        <v>9</v>
      </c>
      <c r="C11" s="88" t="s">
        <v>42</v>
      </c>
      <c r="D11" s="89" t="s">
        <v>29</v>
      </c>
      <c r="E11" s="90" t="s">
        <v>30</v>
      </c>
      <c r="F11" s="88">
        <f>120+40</f>
        <v>160</v>
      </c>
      <c r="G11" s="91">
        <v>388</v>
      </c>
      <c r="H11" s="92">
        <f t="shared" si="0"/>
        <v>62080</v>
      </c>
      <c r="I11" s="93">
        <v>0.1</v>
      </c>
      <c r="J11" s="92">
        <f t="shared" si="1"/>
        <v>6208</v>
      </c>
      <c r="K11" s="94">
        <f t="shared" si="2"/>
        <v>349.2</v>
      </c>
      <c r="L11" s="94">
        <f t="shared" si="3"/>
        <v>55872</v>
      </c>
      <c r="M11" s="94">
        <f>VLOOKUP(C11,[1]OfferToClient24Feb!$C$2:$R$83,16,FALSE)</f>
        <v>5.59</v>
      </c>
      <c r="N11" s="95">
        <f t="shared" si="4"/>
        <v>895</v>
      </c>
    </row>
    <row r="12" spans="2:14" x14ac:dyDescent="0.3">
      <c r="B12" s="87">
        <v>10</v>
      </c>
      <c r="C12" s="96" t="s">
        <v>76</v>
      </c>
      <c r="D12" s="97" t="s">
        <v>93</v>
      </c>
      <c r="E12" s="98" t="s">
        <v>77</v>
      </c>
      <c r="F12" s="88">
        <f>10+30</f>
        <v>40</v>
      </c>
      <c r="G12" s="91">
        <v>1488</v>
      </c>
      <c r="H12" s="92">
        <f t="shared" si="0"/>
        <v>59520</v>
      </c>
      <c r="I12" s="93">
        <v>0.1</v>
      </c>
      <c r="J12" s="92">
        <f t="shared" si="1"/>
        <v>5952</v>
      </c>
      <c r="K12" s="94">
        <f t="shared" si="2"/>
        <v>1339.2</v>
      </c>
      <c r="L12" s="94">
        <f t="shared" si="3"/>
        <v>53568</v>
      </c>
      <c r="M12" s="94">
        <f>VLOOKUP(C12,[1]OfferToClient24Feb!$C$2:$R$83,16,FALSE)</f>
        <v>21.41</v>
      </c>
      <c r="N12" s="95">
        <f t="shared" si="4"/>
        <v>857</v>
      </c>
    </row>
    <row r="13" spans="2:14" x14ac:dyDescent="0.3">
      <c r="B13" s="87">
        <v>11</v>
      </c>
      <c r="C13" s="96" t="s">
        <v>78</v>
      </c>
      <c r="D13" s="97" t="s">
        <v>94</v>
      </c>
      <c r="E13" s="98" t="s">
        <v>79</v>
      </c>
      <c r="F13" s="88">
        <f>10+30</f>
        <v>40</v>
      </c>
      <c r="G13" s="91">
        <v>1010</v>
      </c>
      <c r="H13" s="92">
        <f t="shared" si="0"/>
        <v>40400</v>
      </c>
      <c r="I13" s="93">
        <v>0.1</v>
      </c>
      <c r="J13" s="92">
        <f t="shared" si="1"/>
        <v>4040</v>
      </c>
      <c r="K13" s="94">
        <f t="shared" si="2"/>
        <v>909</v>
      </c>
      <c r="L13" s="94">
        <f t="shared" si="3"/>
        <v>36360</v>
      </c>
      <c r="M13" s="94">
        <f>VLOOKUP(C13,[1]OfferToClient24Feb!$C$2:$R$83,16,FALSE)</f>
        <v>14.54</v>
      </c>
      <c r="N13" s="95">
        <f t="shared" si="4"/>
        <v>582</v>
      </c>
    </row>
    <row r="14" spans="2:14" x14ac:dyDescent="0.3">
      <c r="B14" s="87">
        <v>12</v>
      </c>
      <c r="C14" s="88" t="s">
        <v>43</v>
      </c>
      <c r="D14" s="89" t="s">
        <v>44</v>
      </c>
      <c r="E14" s="90" t="s">
        <v>30</v>
      </c>
      <c r="F14" s="88">
        <f>60+40</f>
        <v>100</v>
      </c>
      <c r="G14" s="91">
        <v>1545</v>
      </c>
      <c r="H14" s="92">
        <f t="shared" si="0"/>
        <v>154500</v>
      </c>
      <c r="I14" s="93">
        <v>0.1</v>
      </c>
      <c r="J14" s="92">
        <f t="shared" si="1"/>
        <v>15450</v>
      </c>
      <c r="K14" s="94">
        <f t="shared" si="2"/>
        <v>1390.5</v>
      </c>
      <c r="L14" s="94">
        <f t="shared" si="3"/>
        <v>139050</v>
      </c>
      <c r="M14" s="94">
        <f>VLOOKUP(C14,[1]OfferToClient24Feb!$C$2:$R$83,16,FALSE)</f>
        <v>22.23</v>
      </c>
      <c r="N14" s="95">
        <f t="shared" si="4"/>
        <v>2223</v>
      </c>
    </row>
    <row r="15" spans="2:14" x14ac:dyDescent="0.3">
      <c r="B15" s="87">
        <v>13</v>
      </c>
      <c r="C15" s="96" t="s">
        <v>58</v>
      </c>
      <c r="D15" s="97" t="s">
        <v>29</v>
      </c>
      <c r="E15" s="98" t="s">
        <v>39</v>
      </c>
      <c r="F15" s="88">
        <f>8+24</f>
        <v>32</v>
      </c>
      <c r="G15" s="91">
        <v>1364</v>
      </c>
      <c r="H15" s="92">
        <f t="shared" si="0"/>
        <v>43648</v>
      </c>
      <c r="I15" s="93">
        <v>0.1</v>
      </c>
      <c r="J15" s="92">
        <f t="shared" si="1"/>
        <v>4364.8</v>
      </c>
      <c r="K15" s="94">
        <f t="shared" si="2"/>
        <v>1227.6000000000001</v>
      </c>
      <c r="L15" s="94">
        <f t="shared" si="3"/>
        <v>39283.200000000004</v>
      </c>
      <c r="M15" s="94">
        <f>VLOOKUP(C15,[1]OfferToClient24Feb!$C$2:$R$83,16,FALSE)</f>
        <v>19.630000000000003</v>
      </c>
      <c r="N15" s="95">
        <f t="shared" si="4"/>
        <v>629</v>
      </c>
    </row>
    <row r="16" spans="2:14" x14ac:dyDescent="0.3">
      <c r="B16" s="87">
        <v>14</v>
      </c>
      <c r="C16" s="88" t="s">
        <v>45</v>
      </c>
      <c r="D16" s="89" t="s">
        <v>32</v>
      </c>
      <c r="E16" s="90" t="s">
        <v>30</v>
      </c>
      <c r="F16" s="88">
        <f>60+40</f>
        <v>100</v>
      </c>
      <c r="G16" s="91">
        <v>1398</v>
      </c>
      <c r="H16" s="92">
        <f t="shared" si="0"/>
        <v>139800</v>
      </c>
      <c r="I16" s="93">
        <v>0.1</v>
      </c>
      <c r="J16" s="92">
        <f t="shared" si="1"/>
        <v>13980</v>
      </c>
      <c r="K16" s="94"/>
      <c r="L16" s="94">
        <f t="shared" si="3"/>
        <v>0</v>
      </c>
      <c r="M16" s="94">
        <v>20.12</v>
      </c>
      <c r="N16" s="95">
        <f t="shared" si="4"/>
        <v>2012</v>
      </c>
    </row>
    <row r="17" spans="2:14" x14ac:dyDescent="0.3">
      <c r="B17" s="87">
        <v>15</v>
      </c>
      <c r="C17" s="96" t="s">
        <v>59</v>
      </c>
      <c r="D17" s="97" t="s">
        <v>32</v>
      </c>
      <c r="E17" s="98" t="s">
        <v>39</v>
      </c>
      <c r="F17" s="88">
        <f>4+12</f>
        <v>16</v>
      </c>
      <c r="G17" s="91">
        <v>4181</v>
      </c>
      <c r="H17" s="92">
        <f t="shared" si="0"/>
        <v>66896</v>
      </c>
      <c r="I17" s="93">
        <v>0.1</v>
      </c>
      <c r="J17" s="92">
        <f t="shared" si="1"/>
        <v>6689.6</v>
      </c>
      <c r="K17" s="94">
        <f t="shared" ref="K17:K37" si="5">0.9*G17</f>
        <v>3762.9</v>
      </c>
      <c r="L17" s="94">
        <f t="shared" si="3"/>
        <v>60206.400000000001</v>
      </c>
      <c r="M17" s="94">
        <f>VLOOKUP(C17,[1]OfferToClient24Feb!$C$2:$R$83,16,FALSE)</f>
        <v>60.16</v>
      </c>
      <c r="N17" s="95">
        <f t="shared" si="4"/>
        <v>963</v>
      </c>
    </row>
    <row r="18" spans="2:14" x14ac:dyDescent="0.3">
      <c r="B18" s="87">
        <v>16</v>
      </c>
      <c r="C18" s="96" t="s">
        <v>61</v>
      </c>
      <c r="D18" s="89" t="s">
        <v>62</v>
      </c>
      <c r="E18" s="98" t="s">
        <v>33</v>
      </c>
      <c r="F18" s="88">
        <f>4+12</f>
        <v>16</v>
      </c>
      <c r="G18" s="91">
        <v>4028</v>
      </c>
      <c r="H18" s="92">
        <f t="shared" si="0"/>
        <v>64448</v>
      </c>
      <c r="I18" s="93">
        <v>0.1</v>
      </c>
      <c r="J18" s="92">
        <f t="shared" si="1"/>
        <v>6444.8</v>
      </c>
      <c r="K18" s="94">
        <f t="shared" si="5"/>
        <v>3625.2000000000003</v>
      </c>
      <c r="L18" s="94">
        <f t="shared" si="3"/>
        <v>58003.200000000004</v>
      </c>
      <c r="M18" s="94">
        <f>VLOOKUP(C18,[1]OfferToClient24Feb!$C$2:$R$83,16,FALSE)</f>
        <v>57.96</v>
      </c>
      <c r="N18" s="95">
        <f t="shared" si="4"/>
        <v>928</v>
      </c>
    </row>
    <row r="19" spans="2:14" x14ac:dyDescent="0.3">
      <c r="B19" s="87">
        <v>17</v>
      </c>
      <c r="C19" s="88" t="s">
        <v>47</v>
      </c>
      <c r="D19" s="89" t="s">
        <v>48</v>
      </c>
      <c r="E19" s="90" t="s">
        <v>35</v>
      </c>
      <c r="F19" s="88">
        <f>30+10</f>
        <v>40</v>
      </c>
      <c r="G19" s="91">
        <v>6798</v>
      </c>
      <c r="H19" s="92">
        <f t="shared" si="0"/>
        <v>271920</v>
      </c>
      <c r="I19" s="93">
        <v>0.1</v>
      </c>
      <c r="J19" s="92">
        <f t="shared" si="1"/>
        <v>27192</v>
      </c>
      <c r="K19" s="94">
        <f t="shared" si="5"/>
        <v>6118.2</v>
      </c>
      <c r="L19" s="94">
        <f t="shared" si="3"/>
        <v>244728</v>
      </c>
      <c r="M19" s="94">
        <f>VLOOKUP(C19,[1]OfferToClient24Feb!$C$2:$R$83,16,FALSE)</f>
        <v>97.820000000000007</v>
      </c>
      <c r="N19" s="95">
        <f t="shared" si="4"/>
        <v>3913</v>
      </c>
    </row>
    <row r="20" spans="2:14" x14ac:dyDescent="0.3">
      <c r="B20" s="87">
        <v>18</v>
      </c>
      <c r="C20" s="96" t="s">
        <v>63</v>
      </c>
      <c r="D20" s="97" t="s">
        <v>32</v>
      </c>
      <c r="E20" s="98" t="s">
        <v>35</v>
      </c>
      <c r="F20" s="88">
        <f>4+12</f>
        <v>16</v>
      </c>
      <c r="G20" s="91">
        <v>3761</v>
      </c>
      <c r="H20" s="92">
        <f t="shared" si="0"/>
        <v>60176</v>
      </c>
      <c r="I20" s="93">
        <v>0.1</v>
      </c>
      <c r="J20" s="92">
        <f t="shared" si="1"/>
        <v>6017.6</v>
      </c>
      <c r="K20" s="94">
        <f t="shared" si="5"/>
        <v>3384.9</v>
      </c>
      <c r="L20" s="94">
        <f t="shared" si="3"/>
        <v>54158.400000000001</v>
      </c>
      <c r="M20" s="94">
        <f>VLOOKUP(C20,[1]OfferToClient24Feb!$C$2:$R$83,16,FALSE)</f>
        <v>54.12</v>
      </c>
      <c r="N20" s="95">
        <f t="shared" si="4"/>
        <v>866</v>
      </c>
    </row>
    <row r="21" spans="2:14" x14ac:dyDescent="0.3">
      <c r="B21" s="87">
        <v>19</v>
      </c>
      <c r="C21" s="88" t="s">
        <v>49</v>
      </c>
      <c r="D21" s="89" t="s">
        <v>37</v>
      </c>
      <c r="E21" s="90" t="s">
        <v>33</v>
      </c>
      <c r="F21" s="88">
        <f>60+4+12+10</f>
        <v>86</v>
      </c>
      <c r="G21" s="91">
        <v>1984</v>
      </c>
      <c r="H21" s="92">
        <f t="shared" si="0"/>
        <v>170624</v>
      </c>
      <c r="I21" s="93">
        <v>0.1</v>
      </c>
      <c r="J21" s="92">
        <f t="shared" si="1"/>
        <v>17062.400000000001</v>
      </c>
      <c r="K21" s="94">
        <f t="shared" si="5"/>
        <v>1785.6000000000001</v>
      </c>
      <c r="L21" s="94">
        <f t="shared" si="3"/>
        <v>153561.60000000001</v>
      </c>
      <c r="M21" s="94">
        <f>VLOOKUP(C21,[1]OfferToClient24Feb!$C$2:$R$83,16,FALSE)</f>
        <v>23.92</v>
      </c>
      <c r="N21" s="95">
        <f t="shared" si="4"/>
        <v>2058</v>
      </c>
    </row>
    <row r="22" spans="2:14" x14ac:dyDescent="0.3">
      <c r="B22" s="87">
        <v>20</v>
      </c>
      <c r="C22" s="96" t="s">
        <v>66</v>
      </c>
      <c r="D22" s="97" t="s">
        <v>67</v>
      </c>
      <c r="E22" s="98" t="s">
        <v>39</v>
      </c>
      <c r="F22" s="88">
        <f>4+12</f>
        <v>16</v>
      </c>
      <c r="G22" s="91">
        <v>12114</v>
      </c>
      <c r="H22" s="92">
        <f t="shared" si="0"/>
        <v>193824</v>
      </c>
      <c r="I22" s="93">
        <v>0.1</v>
      </c>
      <c r="J22" s="92">
        <f t="shared" si="1"/>
        <v>19382.400000000001</v>
      </c>
      <c r="K22" s="94">
        <f t="shared" si="5"/>
        <v>10902.6</v>
      </c>
      <c r="L22" s="94">
        <f t="shared" si="3"/>
        <v>174441.60000000001</v>
      </c>
      <c r="M22" s="94">
        <f>VLOOKUP(C22,[1]OfferToClient24Feb!$C$2:$R$83,16,FALSE)</f>
        <v>174.29999999999998</v>
      </c>
      <c r="N22" s="95">
        <f t="shared" si="4"/>
        <v>2789</v>
      </c>
    </row>
    <row r="23" spans="2:14" x14ac:dyDescent="0.3">
      <c r="B23" s="87">
        <v>21</v>
      </c>
      <c r="C23" s="88" t="s">
        <v>50</v>
      </c>
      <c r="D23" s="89" t="s">
        <v>51</v>
      </c>
      <c r="E23" s="90" t="s">
        <v>33</v>
      </c>
      <c r="F23" s="88">
        <f>60+4+12</f>
        <v>76</v>
      </c>
      <c r="G23" s="91">
        <v>7722</v>
      </c>
      <c r="H23" s="92">
        <f t="shared" si="0"/>
        <v>586872</v>
      </c>
      <c r="I23" s="93">
        <v>0.1</v>
      </c>
      <c r="J23" s="92">
        <f t="shared" si="1"/>
        <v>58687.200000000004</v>
      </c>
      <c r="K23" s="94">
        <f t="shared" si="5"/>
        <v>6949.8</v>
      </c>
      <c r="L23" s="94">
        <f t="shared" si="3"/>
        <v>528184.80000000005</v>
      </c>
      <c r="M23" s="94">
        <f>VLOOKUP(C23,[1]OfferToClient24Feb!$C$2:$R$83,16,FALSE)</f>
        <v>111.11</v>
      </c>
      <c r="N23" s="95">
        <f t="shared" si="4"/>
        <v>8445</v>
      </c>
    </row>
    <row r="24" spans="2:14" x14ac:dyDescent="0.3">
      <c r="B24" s="87">
        <v>22</v>
      </c>
      <c r="C24" s="88" t="s">
        <v>52</v>
      </c>
      <c r="D24" s="89" t="s">
        <v>37</v>
      </c>
      <c r="E24" s="90" t="s">
        <v>39</v>
      </c>
      <c r="F24" s="88">
        <v>30</v>
      </c>
      <c r="G24" s="91">
        <v>3215</v>
      </c>
      <c r="H24" s="92">
        <f t="shared" si="0"/>
        <v>96450</v>
      </c>
      <c r="I24" s="93">
        <v>0.1</v>
      </c>
      <c r="J24" s="92">
        <f t="shared" si="1"/>
        <v>9645</v>
      </c>
      <c r="K24" s="94">
        <f t="shared" si="5"/>
        <v>2893.5</v>
      </c>
      <c r="L24" s="94">
        <f t="shared" si="3"/>
        <v>86805</v>
      </c>
      <c r="M24" s="94">
        <f>VLOOKUP(C24,[1]OfferToClient24Feb!$C$2:$R$83,16,FALSE)</f>
        <v>46.26</v>
      </c>
      <c r="N24" s="95">
        <f t="shared" si="4"/>
        <v>1388</v>
      </c>
    </row>
    <row r="25" spans="2:14" x14ac:dyDescent="0.3">
      <c r="B25" s="87">
        <v>23</v>
      </c>
      <c r="C25" s="96" t="s">
        <v>68</v>
      </c>
      <c r="D25" s="97" t="s">
        <v>95</v>
      </c>
      <c r="E25" s="98" t="s">
        <v>39</v>
      </c>
      <c r="F25" s="88">
        <f>8+24</f>
        <v>32</v>
      </c>
      <c r="G25" s="91">
        <v>1271</v>
      </c>
      <c r="H25" s="92">
        <f t="shared" si="0"/>
        <v>40672</v>
      </c>
      <c r="I25" s="93">
        <v>0.1</v>
      </c>
      <c r="J25" s="92">
        <f t="shared" si="1"/>
        <v>4067.2000000000003</v>
      </c>
      <c r="K25" s="94">
        <f t="shared" si="5"/>
        <v>1143.9000000000001</v>
      </c>
      <c r="L25" s="94">
        <f t="shared" si="3"/>
        <v>36604.800000000003</v>
      </c>
      <c r="M25" s="94">
        <f>VLOOKUP(C25,[1]OfferToClient24Feb!$C$2:$R$83,16,FALSE)</f>
        <v>18.290000000000003</v>
      </c>
      <c r="N25" s="95">
        <f t="shared" si="4"/>
        <v>586</v>
      </c>
    </row>
    <row r="26" spans="2:14" x14ac:dyDescent="0.3">
      <c r="B26" s="87">
        <v>24</v>
      </c>
      <c r="C26" s="88" t="s">
        <v>53</v>
      </c>
      <c r="D26" s="89" t="s">
        <v>54</v>
      </c>
      <c r="E26" s="90" t="s">
        <v>55</v>
      </c>
      <c r="F26" s="88">
        <f>60+20</f>
        <v>80</v>
      </c>
      <c r="G26" s="91">
        <v>2951</v>
      </c>
      <c r="H26" s="92">
        <f t="shared" si="0"/>
        <v>236080</v>
      </c>
      <c r="I26" s="93">
        <v>0.1</v>
      </c>
      <c r="J26" s="92">
        <f t="shared" si="1"/>
        <v>23608</v>
      </c>
      <c r="K26" s="94">
        <f t="shared" si="5"/>
        <v>2655.9</v>
      </c>
      <c r="L26" s="94">
        <f t="shared" si="3"/>
        <v>212472</v>
      </c>
      <c r="M26" s="94">
        <f>VLOOKUP(C26,[1]OfferToClient24Feb!$C$2:$R$83,16,FALSE)</f>
        <v>42.46</v>
      </c>
      <c r="N26" s="95">
        <f t="shared" si="4"/>
        <v>3397</v>
      </c>
    </row>
    <row r="27" spans="2:14" x14ac:dyDescent="0.3">
      <c r="B27" s="87">
        <v>25</v>
      </c>
      <c r="C27" s="88" t="s">
        <v>56</v>
      </c>
      <c r="D27" s="89" t="s">
        <v>57</v>
      </c>
      <c r="E27" s="90" t="s">
        <v>55</v>
      </c>
      <c r="F27" s="88">
        <f>60+20</f>
        <v>80</v>
      </c>
      <c r="G27" s="91">
        <v>1228</v>
      </c>
      <c r="H27" s="92">
        <f t="shared" si="0"/>
        <v>98240</v>
      </c>
      <c r="I27" s="93">
        <v>0.1</v>
      </c>
      <c r="J27" s="92">
        <f t="shared" si="1"/>
        <v>9824</v>
      </c>
      <c r="K27" s="94">
        <f t="shared" si="5"/>
        <v>1105.2</v>
      </c>
      <c r="L27" s="94">
        <f t="shared" si="3"/>
        <v>88416</v>
      </c>
      <c r="M27" s="94">
        <f>VLOOKUP(C27,[1]OfferToClient24Feb!$C$2:$R$83,16,FALSE)</f>
        <v>17.670000000000002</v>
      </c>
      <c r="N27" s="95">
        <f t="shared" si="4"/>
        <v>1414</v>
      </c>
    </row>
    <row r="28" spans="2:14" x14ac:dyDescent="0.3">
      <c r="B28" s="87">
        <v>26</v>
      </c>
      <c r="C28" s="96" t="s">
        <v>65</v>
      </c>
      <c r="D28" s="97" t="s">
        <v>96</v>
      </c>
      <c r="E28" s="98" t="s">
        <v>35</v>
      </c>
      <c r="F28" s="88">
        <f>4+12</f>
        <v>16</v>
      </c>
      <c r="G28" s="91">
        <v>6395</v>
      </c>
      <c r="H28" s="92">
        <f t="shared" si="0"/>
        <v>102320</v>
      </c>
      <c r="I28" s="93">
        <v>0.1</v>
      </c>
      <c r="J28" s="92">
        <f t="shared" si="1"/>
        <v>10232</v>
      </c>
      <c r="K28" s="94">
        <f t="shared" si="5"/>
        <v>5755.5</v>
      </c>
      <c r="L28" s="94">
        <f t="shared" si="3"/>
        <v>92088</v>
      </c>
      <c r="M28" s="94">
        <f>VLOOKUP(C28,[1]OfferToClient24Feb!$C$2:$R$83,16,FALSE)</f>
        <v>92.02000000000001</v>
      </c>
      <c r="N28" s="95">
        <f t="shared" si="4"/>
        <v>1473</v>
      </c>
    </row>
    <row r="29" spans="2:14" x14ac:dyDescent="0.3">
      <c r="B29" s="87">
        <v>27</v>
      </c>
      <c r="C29" s="96" t="s">
        <v>81</v>
      </c>
      <c r="D29" s="97" t="s">
        <v>32</v>
      </c>
      <c r="E29" s="98" t="s">
        <v>39</v>
      </c>
      <c r="F29" s="88">
        <f>20+4+12+60</f>
        <v>96</v>
      </c>
      <c r="G29" s="91">
        <v>1678</v>
      </c>
      <c r="H29" s="92">
        <f t="shared" si="0"/>
        <v>161088</v>
      </c>
      <c r="I29" s="93">
        <v>0.1</v>
      </c>
      <c r="J29" s="92">
        <f t="shared" si="1"/>
        <v>16108.800000000001</v>
      </c>
      <c r="K29" s="94">
        <f t="shared" si="5"/>
        <v>1510.2</v>
      </c>
      <c r="L29" s="94">
        <f t="shared" si="3"/>
        <v>144979.20000000001</v>
      </c>
      <c r="M29" s="94">
        <f>VLOOKUP(C29,[1]OfferToClient24Feb!$C$2:$R$83,16,FALSE)</f>
        <v>24.150000000000002</v>
      </c>
      <c r="N29" s="95">
        <f t="shared" si="4"/>
        <v>2319</v>
      </c>
    </row>
    <row r="30" spans="2:14" x14ac:dyDescent="0.3">
      <c r="B30" s="87">
        <v>28</v>
      </c>
      <c r="C30" s="96" t="s">
        <v>84</v>
      </c>
      <c r="D30" s="97" t="s">
        <v>97</v>
      </c>
      <c r="E30" s="98" t="s">
        <v>33</v>
      </c>
      <c r="F30" s="88">
        <f>20+4+12+60</f>
        <v>96</v>
      </c>
      <c r="G30" s="91">
        <v>1052</v>
      </c>
      <c r="H30" s="92">
        <f t="shared" si="0"/>
        <v>100992</v>
      </c>
      <c r="I30" s="93">
        <v>0.1</v>
      </c>
      <c r="J30" s="92">
        <f t="shared" si="1"/>
        <v>10099.200000000001</v>
      </c>
      <c r="K30" s="94">
        <f t="shared" si="5"/>
        <v>946.80000000000007</v>
      </c>
      <c r="L30" s="94">
        <f t="shared" si="3"/>
        <v>90892.800000000003</v>
      </c>
      <c r="M30" s="94">
        <f>VLOOKUP(C30,[1]OfferToClient24Feb!$C$2:$R$83,16,FALSE)</f>
        <v>15.14</v>
      </c>
      <c r="N30" s="95">
        <f t="shared" si="4"/>
        <v>1454</v>
      </c>
    </row>
    <row r="31" spans="2:14" x14ac:dyDescent="0.3">
      <c r="B31" s="87">
        <v>29</v>
      </c>
      <c r="C31" s="96" t="s">
        <v>83</v>
      </c>
      <c r="D31" s="97" t="s">
        <v>92</v>
      </c>
      <c r="E31" s="98" t="s">
        <v>39</v>
      </c>
      <c r="F31" s="88">
        <f>20+4</f>
        <v>24</v>
      </c>
      <c r="G31" s="91">
        <v>3505</v>
      </c>
      <c r="H31" s="92">
        <f t="shared" si="0"/>
        <v>84120</v>
      </c>
      <c r="I31" s="93">
        <v>0.1</v>
      </c>
      <c r="J31" s="92">
        <f t="shared" si="1"/>
        <v>8412</v>
      </c>
      <c r="K31" s="94">
        <f t="shared" si="5"/>
        <v>3154.5</v>
      </c>
      <c r="L31" s="94">
        <f t="shared" si="3"/>
        <v>75708</v>
      </c>
      <c r="M31" s="94">
        <f>VLOOKUP(C31,[1]OfferToClient24Feb!$C$2:$R$83,16,FALSE)</f>
        <v>50.44</v>
      </c>
      <c r="N31" s="95">
        <f t="shared" si="4"/>
        <v>1211</v>
      </c>
    </row>
    <row r="32" spans="2:14" x14ac:dyDescent="0.3">
      <c r="B32" s="87">
        <v>30</v>
      </c>
      <c r="C32" s="96" t="s">
        <v>82</v>
      </c>
      <c r="D32" s="97" t="s">
        <v>32</v>
      </c>
      <c r="E32" s="98" t="s">
        <v>39</v>
      </c>
      <c r="F32" s="88">
        <f>4+12</f>
        <v>16</v>
      </c>
      <c r="G32" s="91">
        <v>1273</v>
      </c>
      <c r="H32" s="92">
        <f t="shared" si="0"/>
        <v>20368</v>
      </c>
      <c r="I32" s="93">
        <v>0.1</v>
      </c>
      <c r="J32" s="92">
        <f t="shared" si="1"/>
        <v>2036.8000000000002</v>
      </c>
      <c r="K32" s="94">
        <f t="shared" si="5"/>
        <v>1145.7</v>
      </c>
      <c r="L32" s="94">
        <f t="shared" si="3"/>
        <v>18331.2</v>
      </c>
      <c r="M32" s="94">
        <f>VLOOKUP(C32,[1]OfferToClient24Feb!$C$2:$R$83,16,FALSE)</f>
        <v>18.32</v>
      </c>
      <c r="N32" s="95">
        <f t="shared" si="4"/>
        <v>294</v>
      </c>
    </row>
    <row r="33" spans="2:14" x14ac:dyDescent="0.3">
      <c r="B33" s="87">
        <v>31</v>
      </c>
      <c r="C33" s="88" t="s">
        <v>83</v>
      </c>
      <c r="D33" s="89" t="s">
        <v>37</v>
      </c>
      <c r="E33" s="90" t="s">
        <v>33</v>
      </c>
      <c r="F33" s="88">
        <f>12+60</f>
        <v>72</v>
      </c>
      <c r="G33" s="91">
        <v>3505</v>
      </c>
      <c r="H33" s="92">
        <f t="shared" si="0"/>
        <v>252360</v>
      </c>
      <c r="I33" s="93">
        <v>0.1</v>
      </c>
      <c r="J33" s="92">
        <f t="shared" si="1"/>
        <v>25236</v>
      </c>
      <c r="K33" s="94">
        <f t="shared" si="5"/>
        <v>3154.5</v>
      </c>
      <c r="L33" s="94">
        <f t="shared" si="3"/>
        <v>227124</v>
      </c>
      <c r="M33" s="94">
        <f>VLOOKUP(C33,[1]OfferToClient24Feb!$C$2:$R$83,16,FALSE)</f>
        <v>50.44</v>
      </c>
      <c r="N33" s="95">
        <f t="shared" si="4"/>
        <v>3632</v>
      </c>
    </row>
    <row r="34" spans="2:14" x14ac:dyDescent="0.3">
      <c r="B34" s="87">
        <v>32</v>
      </c>
      <c r="C34" s="99" t="s">
        <v>98</v>
      </c>
      <c r="D34" s="97" t="s">
        <v>99</v>
      </c>
      <c r="E34" s="99" t="s">
        <v>39</v>
      </c>
      <c r="F34" s="88">
        <v>100</v>
      </c>
      <c r="G34" s="91">
        <v>3005</v>
      </c>
      <c r="H34" s="92">
        <f t="shared" si="0"/>
        <v>300500</v>
      </c>
      <c r="I34" s="93">
        <v>0.1</v>
      </c>
      <c r="J34" s="92">
        <f t="shared" si="1"/>
        <v>30050</v>
      </c>
      <c r="K34" s="94">
        <f t="shared" si="5"/>
        <v>2704.5</v>
      </c>
      <c r="L34" s="94">
        <f t="shared" si="3"/>
        <v>270450</v>
      </c>
      <c r="M34" s="94">
        <f>VLOOKUP(C34,[1]OfferToClient24Feb!$C$2:$R$83,16,FALSE)</f>
        <v>43.239999999999995</v>
      </c>
      <c r="N34" s="95">
        <f t="shared" si="4"/>
        <v>4324</v>
      </c>
    </row>
    <row r="35" spans="2:14" x14ac:dyDescent="0.3">
      <c r="B35" s="87">
        <v>33</v>
      </c>
      <c r="C35" s="99" t="s">
        <v>100</v>
      </c>
      <c r="D35" s="97" t="s">
        <v>101</v>
      </c>
      <c r="E35" s="99" t="s">
        <v>39</v>
      </c>
      <c r="F35" s="88">
        <v>100</v>
      </c>
      <c r="G35" s="91">
        <v>1689</v>
      </c>
      <c r="H35" s="92">
        <f t="shared" si="0"/>
        <v>168900</v>
      </c>
      <c r="I35" s="93">
        <v>0.1</v>
      </c>
      <c r="J35" s="92">
        <f t="shared" si="1"/>
        <v>16890</v>
      </c>
      <c r="K35" s="94">
        <f t="shared" si="5"/>
        <v>1520.1000000000001</v>
      </c>
      <c r="L35" s="94">
        <f t="shared" si="3"/>
        <v>152010</v>
      </c>
      <c r="M35" s="94">
        <f>VLOOKUP(C35,[1]OfferToClient24Feb!$C$2:$R$83,16,FALSE)</f>
        <v>24.310000000000002</v>
      </c>
      <c r="N35" s="95">
        <f t="shared" si="4"/>
        <v>2431</v>
      </c>
    </row>
    <row r="36" spans="2:14" x14ac:dyDescent="0.3">
      <c r="B36" s="87">
        <v>34</v>
      </c>
      <c r="C36" s="99" t="s">
        <v>102</v>
      </c>
      <c r="D36" s="97" t="s">
        <v>103</v>
      </c>
      <c r="E36" s="99" t="s">
        <v>39</v>
      </c>
      <c r="F36" s="88">
        <v>50</v>
      </c>
      <c r="G36" s="91">
        <v>3166</v>
      </c>
      <c r="H36" s="92">
        <f t="shared" si="0"/>
        <v>158300</v>
      </c>
      <c r="I36" s="93">
        <v>0.1</v>
      </c>
      <c r="J36" s="92">
        <f t="shared" si="1"/>
        <v>15830</v>
      </c>
      <c r="K36" s="94">
        <f t="shared" si="5"/>
        <v>2849.4</v>
      </c>
      <c r="L36" s="94">
        <f t="shared" si="3"/>
        <v>142470</v>
      </c>
      <c r="M36" s="94">
        <f>VLOOKUP(C36,[1]OfferToClient24Feb!$C$2:$R$83,16,FALSE)</f>
        <v>45.559999999999995</v>
      </c>
      <c r="N36" s="95">
        <f t="shared" si="4"/>
        <v>2278</v>
      </c>
    </row>
    <row r="37" spans="2:14" x14ac:dyDescent="0.3">
      <c r="B37" s="100">
        <v>35</v>
      </c>
      <c r="C37" s="101" t="s">
        <v>104</v>
      </c>
      <c r="D37" s="102" t="s">
        <v>105</v>
      </c>
      <c r="E37" s="101" t="s">
        <v>35</v>
      </c>
      <c r="F37" s="103">
        <v>50</v>
      </c>
      <c r="G37" s="104">
        <v>1897</v>
      </c>
      <c r="H37" s="105">
        <f t="shared" si="0"/>
        <v>94850</v>
      </c>
      <c r="I37" s="106">
        <v>0.1</v>
      </c>
      <c r="J37" s="105">
        <f t="shared" si="1"/>
        <v>9485</v>
      </c>
      <c r="K37" s="107">
        <f t="shared" si="5"/>
        <v>1707.3</v>
      </c>
      <c r="L37" s="107">
        <f t="shared" si="3"/>
        <v>85365</v>
      </c>
      <c r="M37" s="107">
        <f>VLOOKUP(C37,[1]OfferToClient24Feb!$C$2:$R$83,16,FALSE)</f>
        <v>23.57</v>
      </c>
      <c r="N37" s="108">
        <f t="shared" si="4"/>
        <v>1179</v>
      </c>
    </row>
    <row r="39" spans="2:14" x14ac:dyDescent="0.3">
      <c r="F39">
        <f>SUM(F3:F38)</f>
        <v>2024</v>
      </c>
      <c r="L39" s="86">
        <f>SUM(L3:L38)</f>
        <v>4113727.2</v>
      </c>
      <c r="N39">
        <f>SUM(N3:N38)</f>
        <v>66100</v>
      </c>
    </row>
    <row r="40" spans="2:14" x14ac:dyDescent="0.3">
      <c r="N40">
        <f>N39-66084</f>
        <v>16</v>
      </c>
    </row>
    <row r="42" spans="2:14" x14ac:dyDescent="0.3">
      <c r="H42" t="s">
        <v>119</v>
      </c>
      <c r="I42" t="s">
        <v>120</v>
      </c>
      <c r="J42" s="84">
        <f>L39</f>
        <v>4113727.2</v>
      </c>
    </row>
    <row r="43" spans="2:14" x14ac:dyDescent="0.3">
      <c r="I43" t="s">
        <v>121</v>
      </c>
      <c r="J43" s="83">
        <f>0.01%*J42</f>
        <v>411.37272000000002</v>
      </c>
    </row>
    <row r="44" spans="2:14" x14ac:dyDescent="0.3">
      <c r="I44" t="s">
        <v>122</v>
      </c>
      <c r="J44" s="83">
        <v>25000</v>
      </c>
    </row>
    <row r="45" spans="2:14" x14ac:dyDescent="0.3">
      <c r="I45" t="s">
        <v>123</v>
      </c>
      <c r="J45" s="83">
        <v>200000</v>
      </c>
    </row>
    <row r="46" spans="2:14" x14ac:dyDescent="0.3">
      <c r="I46" t="s">
        <v>124</v>
      </c>
      <c r="J46">
        <v>100000</v>
      </c>
    </row>
    <row r="47" spans="2:14" x14ac:dyDescent="0.3">
      <c r="I47" t="s">
        <v>126</v>
      </c>
      <c r="J47" s="84">
        <f>SUM(J42:J46)</f>
        <v>4439138.5727200005</v>
      </c>
    </row>
    <row r="48" spans="2:14" x14ac:dyDescent="0.3">
      <c r="I48" t="s">
        <v>125</v>
      </c>
      <c r="J48" s="85" t="e">
        <f>81*#REF!</f>
        <v>#REF!</v>
      </c>
    </row>
    <row r="49" spans="9:10" x14ac:dyDescent="0.3">
      <c r="I49" t="s">
        <v>127</v>
      </c>
      <c r="J49" s="84" t="e">
        <f>J48-J47</f>
        <v>#REF!</v>
      </c>
    </row>
  </sheetData>
  <autoFilter ref="B2:N37" xr:uid="{9B965538-FBE9-4945-9830-6692A80FEB2F}">
    <sortState xmlns:xlrd2="http://schemas.microsoft.com/office/spreadsheetml/2017/richdata2" ref="B3:N37">
      <sortCondition ref="B2:B37"/>
    </sortState>
  </autoFilter>
  <sortState xmlns:xlrd2="http://schemas.microsoft.com/office/spreadsheetml/2017/richdata2" ref="A3:N37">
    <sortCondition ref="C3:C37"/>
    <sortCondition ref="B3:B37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1EF0-7688-4CA8-8260-63771950B2C3}">
  <dimension ref="B1:U48"/>
  <sheetViews>
    <sheetView workbookViewId="0">
      <pane xSplit="4" ySplit="2" topLeftCell="G26" activePane="bottomRight" state="frozen"/>
      <selection pane="topRight" activeCell="E1" sqref="E1"/>
      <selection pane="bottomLeft" activeCell="A3" sqref="A3"/>
      <selection pane="bottomRight" activeCell="K46" sqref="K46"/>
    </sheetView>
  </sheetViews>
  <sheetFormatPr defaultRowHeight="14.4" x14ac:dyDescent="0.3"/>
  <cols>
    <col min="3" max="3" width="13.33203125" customWidth="1"/>
    <col min="4" max="4" width="21.33203125" customWidth="1"/>
    <col min="5" max="5" width="14.109375" customWidth="1"/>
    <col min="6" max="6" width="10.44140625" customWidth="1"/>
    <col min="8" max="8" width="9.33203125" customWidth="1"/>
    <col min="9" max="9" width="12.88671875" customWidth="1"/>
    <col min="10" max="10" width="8.5546875" customWidth="1"/>
    <col min="11" max="11" width="11.44140625" customWidth="1"/>
    <col min="12" max="12" width="9.109375" customWidth="1"/>
    <col min="13" max="13" width="12.5546875" bestFit="1" customWidth="1"/>
    <col min="14" max="14" width="10" bestFit="1" customWidth="1"/>
    <col min="15" max="15" width="9.5546875" customWidth="1"/>
    <col min="18" max="18" width="12" customWidth="1"/>
    <col min="19" max="19" width="7.6640625" customWidth="1"/>
    <col min="20" max="21" width="12.5546875" bestFit="1" customWidth="1"/>
  </cols>
  <sheetData>
    <row r="1" spans="2:21" ht="15" thickBot="1" x14ac:dyDescent="0.35">
      <c r="R1" t="s">
        <v>116</v>
      </c>
      <c r="S1">
        <v>80</v>
      </c>
    </row>
    <row r="2" spans="2:21" ht="30.6" x14ac:dyDescent="0.3">
      <c r="B2" s="32" t="s">
        <v>16</v>
      </c>
      <c r="C2" s="33" t="s">
        <v>17</v>
      </c>
      <c r="D2" s="34" t="s">
        <v>18</v>
      </c>
      <c r="E2" s="33" t="s">
        <v>19</v>
      </c>
      <c r="F2" s="33" t="s">
        <v>128</v>
      </c>
      <c r="G2" s="33" t="s">
        <v>20</v>
      </c>
      <c r="H2" s="33" t="s">
        <v>21</v>
      </c>
      <c r="I2" s="33" t="s">
        <v>22</v>
      </c>
      <c r="J2" s="33" t="s">
        <v>23</v>
      </c>
      <c r="K2" s="33" t="s">
        <v>24</v>
      </c>
      <c r="L2" s="80" t="s">
        <v>110</v>
      </c>
      <c r="M2" s="80" t="s">
        <v>129</v>
      </c>
      <c r="N2" s="80" t="s">
        <v>111</v>
      </c>
      <c r="O2" s="80" t="s">
        <v>112</v>
      </c>
      <c r="P2" s="80"/>
      <c r="Q2" s="80" t="s">
        <v>113</v>
      </c>
      <c r="R2" s="80" t="s">
        <v>114</v>
      </c>
      <c r="S2" s="80" t="s">
        <v>115</v>
      </c>
      <c r="T2" s="80" t="s">
        <v>117</v>
      </c>
      <c r="U2" s="80" t="s">
        <v>118</v>
      </c>
    </row>
    <row r="3" spans="2:21" x14ac:dyDescent="0.3">
      <c r="B3" s="36">
        <v>33</v>
      </c>
      <c r="C3" s="66" t="s">
        <v>82</v>
      </c>
      <c r="D3" s="67" t="s">
        <v>32</v>
      </c>
      <c r="E3" s="68" t="s">
        <v>39</v>
      </c>
      <c r="F3" s="68">
        <f>16</f>
        <v>16</v>
      </c>
      <c r="G3" s="81">
        <v>4</v>
      </c>
      <c r="H3" s="113">
        <v>1273</v>
      </c>
      <c r="I3" s="41">
        <f t="shared" ref="I3:I36" si="0">H3*G3</f>
        <v>5092</v>
      </c>
      <c r="J3" s="42">
        <v>0.1</v>
      </c>
      <c r="K3" s="41">
        <f t="shared" ref="K3:K36" si="1">I3*J3</f>
        <v>509.20000000000005</v>
      </c>
      <c r="L3">
        <f t="shared" ref="L3:L36" si="2">0.9*H3</f>
        <v>1145.7</v>
      </c>
      <c r="M3" s="114">
        <f>L3*F3</f>
        <v>18331.2</v>
      </c>
      <c r="N3">
        <f t="shared" ref="N3:N36" si="3">L3*G3</f>
        <v>4582.8</v>
      </c>
      <c r="O3">
        <f>VLOOKUP(C3,[1]OfferToClient24Feb!$C$2:$R$83,16,FALSE)</f>
        <v>18.32</v>
      </c>
      <c r="P3">
        <f>O3*F3</f>
        <v>293.12</v>
      </c>
      <c r="Q3">
        <f t="shared" ref="Q3:Q36" si="4">ROUNDUP(O3*G3,0)</f>
        <v>74</v>
      </c>
      <c r="R3" s="82">
        <v>73</v>
      </c>
      <c r="S3">
        <f t="shared" ref="S3:S36" si="5">R3-Q3</f>
        <v>-1</v>
      </c>
      <c r="T3">
        <f t="shared" ref="T3:T36" si="6">$S$1*R3</f>
        <v>5840</v>
      </c>
      <c r="U3">
        <f>T3-N3</f>
        <v>1257.1999999999998</v>
      </c>
    </row>
    <row r="4" spans="2:21" x14ac:dyDescent="0.3">
      <c r="B4" s="36">
        <v>1</v>
      </c>
      <c r="C4" s="45" t="s">
        <v>28</v>
      </c>
      <c r="D4" s="46" t="s">
        <v>29</v>
      </c>
      <c r="E4" s="39" t="s">
        <v>30</v>
      </c>
      <c r="F4" s="39">
        <v>16</v>
      </c>
      <c r="G4" s="81">
        <v>12</v>
      </c>
      <c r="H4" s="113">
        <v>457</v>
      </c>
      <c r="I4" s="41">
        <f t="shared" si="0"/>
        <v>5484</v>
      </c>
      <c r="J4" s="42">
        <v>0.1</v>
      </c>
      <c r="K4" s="41">
        <f t="shared" si="1"/>
        <v>548.4</v>
      </c>
      <c r="L4">
        <f t="shared" si="2"/>
        <v>411.3</v>
      </c>
      <c r="M4" s="114">
        <f t="shared" ref="M4" si="7">L4*F4</f>
        <v>6580.8</v>
      </c>
      <c r="N4">
        <f t="shared" si="3"/>
        <v>4935.6000000000004</v>
      </c>
      <c r="O4">
        <f>VLOOKUP(C4,[1]OfferToClient24Feb!$C$2:$R$83,16,FALSE)</f>
        <v>6.58</v>
      </c>
      <c r="P4">
        <f t="shared" ref="P4" si="8">O4*F4</f>
        <v>105.28</v>
      </c>
      <c r="Q4">
        <f t="shared" si="4"/>
        <v>79</v>
      </c>
      <c r="R4" s="82">
        <f>VLOOKUP(C4,[1]OfferToClient24Feb!$C$2:$T$83,18,FALSE)</f>
        <v>78.959999999999994</v>
      </c>
      <c r="S4">
        <f t="shared" si="5"/>
        <v>-4.0000000000006253E-2</v>
      </c>
      <c r="T4">
        <f t="shared" si="6"/>
        <v>6316.7999999999993</v>
      </c>
      <c r="U4">
        <f t="shared" ref="U4:U27" si="9">T4-N4</f>
        <v>1381.1999999999989</v>
      </c>
    </row>
    <row r="5" spans="2:21" x14ac:dyDescent="0.3">
      <c r="B5" s="36">
        <v>7</v>
      </c>
      <c r="C5" s="45" t="s">
        <v>42</v>
      </c>
      <c r="D5" s="46" t="s">
        <v>29</v>
      </c>
      <c r="E5" s="39" t="s">
        <v>30</v>
      </c>
      <c r="F5" s="39">
        <v>160</v>
      </c>
      <c r="G5" s="81">
        <v>120</v>
      </c>
      <c r="H5" s="113">
        <v>388</v>
      </c>
      <c r="I5" s="41">
        <f t="shared" si="0"/>
        <v>46560</v>
      </c>
      <c r="J5" s="42">
        <v>0.1</v>
      </c>
      <c r="K5" s="41">
        <f t="shared" si="1"/>
        <v>4656</v>
      </c>
      <c r="L5">
        <f t="shared" si="2"/>
        <v>349.2</v>
      </c>
      <c r="M5" s="114">
        <f t="shared" ref="M5:M36" si="10">L5*F5</f>
        <v>55872</v>
      </c>
      <c r="N5">
        <f t="shared" si="3"/>
        <v>41904</v>
      </c>
      <c r="O5">
        <f>VLOOKUP(C5,[1]OfferToClient24Feb!$C$2:$R$83,16,FALSE)</f>
        <v>5.59</v>
      </c>
      <c r="P5">
        <f t="shared" ref="P5:P36" si="11">O5*F5</f>
        <v>894.4</v>
      </c>
      <c r="Q5">
        <f t="shared" si="4"/>
        <v>671</v>
      </c>
      <c r="R5" s="82">
        <f>VLOOKUP(C5,[1]OfferToClient24Feb!$C$2:$T$83,18,FALSE)</f>
        <v>670.8</v>
      </c>
      <c r="S5">
        <f t="shared" si="5"/>
        <v>-0.20000000000004547</v>
      </c>
      <c r="T5">
        <f t="shared" si="6"/>
        <v>53664</v>
      </c>
      <c r="U5">
        <f t="shared" si="9"/>
        <v>11760</v>
      </c>
    </row>
    <row r="6" spans="2:21" x14ac:dyDescent="0.3">
      <c r="B6" s="36">
        <v>30</v>
      </c>
      <c r="C6" s="66" t="s">
        <v>83</v>
      </c>
      <c r="D6" s="67" t="s">
        <v>92</v>
      </c>
      <c r="E6" s="68" t="s">
        <v>39</v>
      </c>
      <c r="F6" s="68">
        <f>20+4+12+60</f>
        <v>96</v>
      </c>
      <c r="G6" s="81">
        <v>20</v>
      </c>
      <c r="H6" s="113">
        <v>3505</v>
      </c>
      <c r="I6" s="41">
        <f t="shared" si="0"/>
        <v>70100</v>
      </c>
      <c r="J6" s="42">
        <v>0.1</v>
      </c>
      <c r="K6" s="41">
        <f t="shared" si="1"/>
        <v>7010</v>
      </c>
      <c r="L6">
        <f t="shared" si="2"/>
        <v>3154.5</v>
      </c>
      <c r="M6" s="114">
        <f t="shared" si="10"/>
        <v>302832</v>
      </c>
      <c r="N6">
        <f t="shared" si="3"/>
        <v>63090</v>
      </c>
      <c r="O6">
        <f>VLOOKUP(C6,[1]OfferToClient24Feb!$C$2:$R$83,16,FALSE)</f>
        <v>50.44</v>
      </c>
      <c r="P6">
        <f t="shared" si="11"/>
        <v>4842.24</v>
      </c>
      <c r="Q6">
        <f t="shared" si="4"/>
        <v>1009</v>
      </c>
      <c r="R6" s="82">
        <v>1009</v>
      </c>
      <c r="S6">
        <f t="shared" si="5"/>
        <v>0</v>
      </c>
      <c r="T6">
        <f t="shared" si="6"/>
        <v>80720</v>
      </c>
      <c r="U6">
        <f t="shared" si="9"/>
        <v>17630</v>
      </c>
    </row>
    <row r="7" spans="2:21" x14ac:dyDescent="0.3">
      <c r="B7" s="36">
        <v>15</v>
      </c>
      <c r="C7" s="66" t="s">
        <v>68</v>
      </c>
      <c r="D7" s="67" t="s">
        <v>95</v>
      </c>
      <c r="E7" s="68" t="s">
        <v>39</v>
      </c>
      <c r="F7" s="68">
        <v>32</v>
      </c>
      <c r="G7" s="81">
        <v>8</v>
      </c>
      <c r="H7" s="113">
        <v>1271</v>
      </c>
      <c r="I7" s="41">
        <f t="shared" si="0"/>
        <v>10168</v>
      </c>
      <c r="J7" s="42">
        <v>0.1</v>
      </c>
      <c r="K7" s="41">
        <f t="shared" si="1"/>
        <v>1016.8000000000001</v>
      </c>
      <c r="L7">
        <f t="shared" si="2"/>
        <v>1143.9000000000001</v>
      </c>
      <c r="M7" s="114">
        <f t="shared" si="10"/>
        <v>36604.800000000003</v>
      </c>
      <c r="N7">
        <f t="shared" si="3"/>
        <v>9151.2000000000007</v>
      </c>
      <c r="O7">
        <f>VLOOKUP(C7,[1]OfferToClient24Feb!$C$2:$R$83,16,FALSE)</f>
        <v>18.290000000000003</v>
      </c>
      <c r="P7">
        <f t="shared" si="11"/>
        <v>585.28000000000009</v>
      </c>
      <c r="Q7">
        <f t="shared" si="4"/>
        <v>147</v>
      </c>
      <c r="R7" s="82">
        <v>146</v>
      </c>
      <c r="S7">
        <f t="shared" si="5"/>
        <v>-1</v>
      </c>
      <c r="T7">
        <f t="shared" si="6"/>
        <v>11680</v>
      </c>
      <c r="U7">
        <f t="shared" si="9"/>
        <v>2528.7999999999993</v>
      </c>
    </row>
    <row r="8" spans="2:21" x14ac:dyDescent="0.3">
      <c r="B8" s="36">
        <v>8</v>
      </c>
      <c r="C8" s="66" t="s">
        <v>78</v>
      </c>
      <c r="D8" s="67" t="s">
        <v>94</v>
      </c>
      <c r="E8" s="68" t="s">
        <v>79</v>
      </c>
      <c r="F8" s="68">
        <v>40</v>
      </c>
      <c r="G8" s="81">
        <v>10</v>
      </c>
      <c r="H8" s="113">
        <v>1010</v>
      </c>
      <c r="I8" s="41">
        <f t="shared" si="0"/>
        <v>10100</v>
      </c>
      <c r="J8" s="42">
        <v>0.1</v>
      </c>
      <c r="K8" s="41">
        <f t="shared" si="1"/>
        <v>1010</v>
      </c>
      <c r="L8">
        <f t="shared" si="2"/>
        <v>909</v>
      </c>
      <c r="M8" s="114">
        <f t="shared" si="10"/>
        <v>36360</v>
      </c>
      <c r="N8">
        <f t="shared" si="3"/>
        <v>9090</v>
      </c>
      <c r="O8">
        <f>VLOOKUP(C8,[1]OfferToClient24Feb!$C$2:$R$83,16,FALSE)</f>
        <v>14.54</v>
      </c>
      <c r="P8">
        <f t="shared" si="11"/>
        <v>581.59999999999991</v>
      </c>
      <c r="Q8">
        <f t="shared" si="4"/>
        <v>146</v>
      </c>
      <c r="R8" s="82">
        <v>145</v>
      </c>
      <c r="S8">
        <f t="shared" si="5"/>
        <v>-1</v>
      </c>
      <c r="T8">
        <f t="shared" si="6"/>
        <v>11600</v>
      </c>
      <c r="U8">
        <f t="shared" si="9"/>
        <v>2510</v>
      </c>
    </row>
    <row r="9" spans="2:21" x14ac:dyDescent="0.3">
      <c r="B9" s="36">
        <v>7</v>
      </c>
      <c r="C9" s="66" t="s">
        <v>76</v>
      </c>
      <c r="D9" s="67" t="s">
        <v>93</v>
      </c>
      <c r="E9" s="68" t="s">
        <v>77</v>
      </c>
      <c r="F9" s="68">
        <v>40</v>
      </c>
      <c r="G9" s="81">
        <v>10</v>
      </c>
      <c r="H9" s="113">
        <v>1488</v>
      </c>
      <c r="I9" s="41">
        <f t="shared" si="0"/>
        <v>14880</v>
      </c>
      <c r="J9" s="42">
        <v>0.1</v>
      </c>
      <c r="K9" s="41">
        <f t="shared" si="1"/>
        <v>1488</v>
      </c>
      <c r="L9">
        <f t="shared" si="2"/>
        <v>1339.2</v>
      </c>
      <c r="M9" s="114">
        <f t="shared" si="10"/>
        <v>53568</v>
      </c>
      <c r="N9">
        <f t="shared" si="3"/>
        <v>13392</v>
      </c>
      <c r="O9">
        <f>VLOOKUP(C9,[1]OfferToClient24Feb!$C$2:$R$83,16,FALSE)</f>
        <v>21.41</v>
      </c>
      <c r="P9">
        <f t="shared" si="11"/>
        <v>856.4</v>
      </c>
      <c r="Q9">
        <f t="shared" si="4"/>
        <v>215</v>
      </c>
      <c r="R9" s="82">
        <v>214</v>
      </c>
      <c r="S9">
        <f t="shared" si="5"/>
        <v>-1</v>
      </c>
      <c r="T9">
        <f t="shared" si="6"/>
        <v>17120</v>
      </c>
      <c r="U9">
        <f t="shared" si="9"/>
        <v>3728</v>
      </c>
    </row>
    <row r="10" spans="2:21" x14ac:dyDescent="0.3">
      <c r="B10" s="36">
        <v>6</v>
      </c>
      <c r="C10" s="66" t="s">
        <v>75</v>
      </c>
      <c r="D10" s="67" t="s">
        <v>92</v>
      </c>
      <c r="E10" s="68" t="s">
        <v>39</v>
      </c>
      <c r="F10" s="68">
        <v>80</v>
      </c>
      <c r="G10" s="81">
        <v>20</v>
      </c>
      <c r="H10" s="113">
        <v>556</v>
      </c>
      <c r="I10" s="41">
        <f t="shared" si="0"/>
        <v>11120</v>
      </c>
      <c r="J10" s="42">
        <v>0.1</v>
      </c>
      <c r="K10" s="41">
        <f t="shared" si="1"/>
        <v>1112</v>
      </c>
      <c r="L10">
        <f t="shared" si="2"/>
        <v>500.40000000000003</v>
      </c>
      <c r="M10" s="114">
        <f t="shared" si="10"/>
        <v>40032</v>
      </c>
      <c r="N10">
        <f t="shared" si="3"/>
        <v>10008</v>
      </c>
      <c r="O10">
        <f>VLOOKUP(C10,[1]OfferToClient24Feb!$C$2:$R$83,16,FALSE)</f>
        <v>8</v>
      </c>
      <c r="P10">
        <f t="shared" si="11"/>
        <v>640</v>
      </c>
      <c r="Q10">
        <f t="shared" si="4"/>
        <v>160</v>
      </c>
      <c r="R10" s="82">
        <v>160</v>
      </c>
      <c r="S10">
        <f t="shared" si="5"/>
        <v>0</v>
      </c>
      <c r="T10">
        <f t="shared" si="6"/>
        <v>12800</v>
      </c>
      <c r="U10">
        <f t="shared" si="9"/>
        <v>2792</v>
      </c>
    </row>
    <row r="11" spans="2:21" x14ac:dyDescent="0.3">
      <c r="B11" s="36">
        <v>44</v>
      </c>
      <c r="C11" s="69" t="s">
        <v>102</v>
      </c>
      <c r="D11" s="67" t="s">
        <v>103</v>
      </c>
      <c r="E11" s="69" t="s">
        <v>39</v>
      </c>
      <c r="F11" s="69">
        <v>50</v>
      </c>
      <c r="G11" s="81">
        <v>50</v>
      </c>
      <c r="H11" s="113">
        <v>3166</v>
      </c>
      <c r="I11" s="41">
        <f t="shared" si="0"/>
        <v>158300</v>
      </c>
      <c r="J11" s="42">
        <v>0.1</v>
      </c>
      <c r="K11" s="41">
        <f t="shared" si="1"/>
        <v>15830</v>
      </c>
      <c r="L11">
        <f t="shared" si="2"/>
        <v>2849.4</v>
      </c>
      <c r="M11" s="114">
        <f t="shared" si="10"/>
        <v>142470</v>
      </c>
      <c r="N11">
        <f t="shared" si="3"/>
        <v>142470</v>
      </c>
      <c r="O11">
        <f>VLOOKUP(C11,[1]OfferToClient24Feb!$C$2:$R$83,16,FALSE)</f>
        <v>45.559999999999995</v>
      </c>
      <c r="P11">
        <f t="shared" si="11"/>
        <v>2277.9999999999995</v>
      </c>
      <c r="Q11">
        <f t="shared" si="4"/>
        <v>2278</v>
      </c>
      <c r="R11" s="82">
        <v>2278</v>
      </c>
      <c r="S11">
        <f t="shared" si="5"/>
        <v>0</v>
      </c>
      <c r="T11">
        <f t="shared" si="6"/>
        <v>182240</v>
      </c>
      <c r="U11">
        <f t="shared" si="9"/>
        <v>39770</v>
      </c>
    </row>
    <row r="12" spans="2:21" x14ac:dyDescent="0.3">
      <c r="B12" s="36">
        <v>14</v>
      </c>
      <c r="C12" s="45" t="s">
        <v>52</v>
      </c>
      <c r="D12" s="46" t="s">
        <v>37</v>
      </c>
      <c r="E12" s="39" t="s">
        <v>39</v>
      </c>
      <c r="F12" s="39">
        <v>30</v>
      </c>
      <c r="G12" s="81">
        <v>30</v>
      </c>
      <c r="H12" s="113">
        <v>3215</v>
      </c>
      <c r="I12" s="41">
        <f t="shared" si="0"/>
        <v>96450</v>
      </c>
      <c r="J12" s="42">
        <v>0.1</v>
      </c>
      <c r="K12" s="41">
        <f t="shared" si="1"/>
        <v>9645</v>
      </c>
      <c r="L12">
        <f t="shared" si="2"/>
        <v>2893.5</v>
      </c>
      <c r="M12" s="114">
        <f t="shared" si="10"/>
        <v>86805</v>
      </c>
      <c r="N12">
        <f t="shared" si="3"/>
        <v>86805</v>
      </c>
      <c r="O12">
        <f>VLOOKUP(C12,[1]OfferToClient24Feb!$C$2:$R$83,16,FALSE)</f>
        <v>46.26</v>
      </c>
      <c r="P12">
        <f t="shared" si="11"/>
        <v>1387.8</v>
      </c>
      <c r="Q12">
        <f t="shared" si="4"/>
        <v>1388</v>
      </c>
      <c r="R12" s="82">
        <f>VLOOKUP(C12,[1]OfferToClient24Feb!$C$2:$T$83,18,FALSE)</f>
        <v>1387.8</v>
      </c>
      <c r="S12">
        <f t="shared" si="5"/>
        <v>-0.20000000000004547</v>
      </c>
      <c r="T12">
        <f t="shared" si="6"/>
        <v>111024</v>
      </c>
      <c r="U12">
        <f t="shared" si="9"/>
        <v>24219</v>
      </c>
    </row>
    <row r="13" spans="2:21" x14ac:dyDescent="0.3">
      <c r="B13" s="36">
        <v>28</v>
      </c>
      <c r="C13" s="66" t="s">
        <v>81</v>
      </c>
      <c r="D13" s="67" t="s">
        <v>32</v>
      </c>
      <c r="E13" s="68" t="s">
        <v>39</v>
      </c>
      <c r="F13" s="68">
        <f>20+4+12+60</f>
        <v>96</v>
      </c>
      <c r="G13" s="81">
        <v>20</v>
      </c>
      <c r="H13" s="113">
        <v>1678</v>
      </c>
      <c r="I13" s="41">
        <f t="shared" si="0"/>
        <v>33560</v>
      </c>
      <c r="J13" s="42">
        <v>0.1</v>
      </c>
      <c r="K13" s="41">
        <f t="shared" si="1"/>
        <v>3356</v>
      </c>
      <c r="L13">
        <f t="shared" si="2"/>
        <v>1510.2</v>
      </c>
      <c r="M13" s="114">
        <f t="shared" si="10"/>
        <v>144979.20000000001</v>
      </c>
      <c r="N13">
        <f t="shared" si="3"/>
        <v>30204</v>
      </c>
      <c r="O13">
        <f>VLOOKUP(C13,[1]OfferToClient24Feb!$C$2:$R$83,16,FALSE)</f>
        <v>24.150000000000002</v>
      </c>
      <c r="P13">
        <f t="shared" si="11"/>
        <v>2318.4</v>
      </c>
      <c r="Q13">
        <f t="shared" si="4"/>
        <v>483</v>
      </c>
      <c r="R13" s="82">
        <v>483</v>
      </c>
      <c r="S13">
        <f t="shared" si="5"/>
        <v>0</v>
      </c>
      <c r="T13">
        <f t="shared" si="6"/>
        <v>38640</v>
      </c>
      <c r="U13">
        <f t="shared" si="9"/>
        <v>8436</v>
      </c>
    </row>
    <row r="14" spans="2:21" x14ac:dyDescent="0.3">
      <c r="B14" s="36">
        <v>42</v>
      </c>
      <c r="C14" s="69" t="s">
        <v>98</v>
      </c>
      <c r="D14" s="67" t="s">
        <v>99</v>
      </c>
      <c r="E14" s="69" t="s">
        <v>39</v>
      </c>
      <c r="F14" s="69">
        <v>100</v>
      </c>
      <c r="G14" s="81">
        <v>100</v>
      </c>
      <c r="H14" s="113">
        <v>3005</v>
      </c>
      <c r="I14" s="41">
        <f t="shared" si="0"/>
        <v>300500</v>
      </c>
      <c r="J14" s="42">
        <v>0.1</v>
      </c>
      <c r="K14" s="41">
        <f t="shared" si="1"/>
        <v>30050</v>
      </c>
      <c r="L14">
        <f t="shared" si="2"/>
        <v>2704.5</v>
      </c>
      <c r="M14" s="114">
        <f t="shared" si="10"/>
        <v>270450</v>
      </c>
      <c r="N14">
        <f t="shared" si="3"/>
        <v>270450</v>
      </c>
      <c r="O14">
        <f>VLOOKUP(C14,[1]OfferToClient24Feb!$C$2:$R$83,16,FALSE)</f>
        <v>43.239999999999995</v>
      </c>
      <c r="P14">
        <f t="shared" si="11"/>
        <v>4323.9999999999991</v>
      </c>
      <c r="Q14">
        <f t="shared" si="4"/>
        <v>4324</v>
      </c>
      <c r="R14" s="82">
        <v>4324</v>
      </c>
      <c r="S14">
        <f t="shared" si="5"/>
        <v>0</v>
      </c>
      <c r="T14">
        <f t="shared" si="6"/>
        <v>345920</v>
      </c>
      <c r="U14">
        <f t="shared" si="9"/>
        <v>75470</v>
      </c>
    </row>
    <row r="15" spans="2:21" x14ac:dyDescent="0.3">
      <c r="B15" s="36">
        <v>43</v>
      </c>
      <c r="C15" s="69" t="s">
        <v>100</v>
      </c>
      <c r="D15" s="67" t="s">
        <v>101</v>
      </c>
      <c r="E15" s="69" t="s">
        <v>39</v>
      </c>
      <c r="F15" s="69">
        <v>100</v>
      </c>
      <c r="G15" s="81">
        <v>100</v>
      </c>
      <c r="H15" s="113">
        <v>1689</v>
      </c>
      <c r="I15" s="41">
        <f t="shared" si="0"/>
        <v>168900</v>
      </c>
      <c r="J15" s="42">
        <v>0.1</v>
      </c>
      <c r="K15" s="41">
        <f t="shared" si="1"/>
        <v>16890</v>
      </c>
      <c r="L15">
        <f t="shared" si="2"/>
        <v>1520.1000000000001</v>
      </c>
      <c r="M15" s="114">
        <f t="shared" si="10"/>
        <v>152010</v>
      </c>
      <c r="N15">
        <f t="shared" si="3"/>
        <v>152010</v>
      </c>
      <c r="O15">
        <f>VLOOKUP(C15,[1]OfferToClient24Feb!$C$2:$R$83,16,FALSE)</f>
        <v>24.310000000000002</v>
      </c>
      <c r="P15">
        <f t="shared" si="11"/>
        <v>2431</v>
      </c>
      <c r="Q15">
        <f t="shared" si="4"/>
        <v>2431</v>
      </c>
      <c r="R15" s="82">
        <f>VLOOKUP(C15,[1]OfferToClient24Feb!$C$2:$T$83,18,FALSE)</f>
        <v>2431</v>
      </c>
      <c r="S15">
        <f t="shared" si="5"/>
        <v>0</v>
      </c>
      <c r="T15">
        <f t="shared" si="6"/>
        <v>194480</v>
      </c>
      <c r="U15">
        <f t="shared" si="9"/>
        <v>42470</v>
      </c>
    </row>
    <row r="16" spans="2:21" x14ac:dyDescent="0.3">
      <c r="B16" s="36">
        <v>12</v>
      </c>
      <c r="C16" s="66" t="s">
        <v>63</v>
      </c>
      <c r="D16" s="67" t="s">
        <v>32</v>
      </c>
      <c r="E16" s="68" t="s">
        <v>35</v>
      </c>
      <c r="F16" s="68">
        <v>16</v>
      </c>
      <c r="G16" s="81">
        <v>4</v>
      </c>
      <c r="H16" s="113">
        <v>3761</v>
      </c>
      <c r="I16" s="41">
        <f t="shared" si="0"/>
        <v>15044</v>
      </c>
      <c r="J16" s="42">
        <v>0.1</v>
      </c>
      <c r="K16" s="41">
        <f t="shared" si="1"/>
        <v>1504.4</v>
      </c>
      <c r="L16">
        <f t="shared" si="2"/>
        <v>3384.9</v>
      </c>
      <c r="M16" s="114">
        <f t="shared" si="10"/>
        <v>54158.400000000001</v>
      </c>
      <c r="N16">
        <f t="shared" si="3"/>
        <v>13539.6</v>
      </c>
      <c r="O16">
        <f>VLOOKUP(C16,[1]OfferToClient24Feb!$C$2:$R$83,16,FALSE)</f>
        <v>54.12</v>
      </c>
      <c r="P16">
        <f t="shared" si="11"/>
        <v>865.92</v>
      </c>
      <c r="Q16">
        <f t="shared" si="4"/>
        <v>217</v>
      </c>
      <c r="R16" s="82">
        <v>216</v>
      </c>
      <c r="S16">
        <f t="shared" si="5"/>
        <v>-1</v>
      </c>
      <c r="T16">
        <f t="shared" si="6"/>
        <v>17280</v>
      </c>
      <c r="U16">
        <f t="shared" si="9"/>
        <v>3740.3999999999996</v>
      </c>
    </row>
    <row r="17" spans="2:21" x14ac:dyDescent="0.3">
      <c r="B17" s="36">
        <v>11</v>
      </c>
      <c r="C17" s="66" t="s">
        <v>61</v>
      </c>
      <c r="D17" s="67" t="s">
        <v>32</v>
      </c>
      <c r="E17" s="68" t="s">
        <v>33</v>
      </c>
      <c r="F17" s="68">
        <v>16</v>
      </c>
      <c r="G17" s="81">
        <v>4</v>
      </c>
      <c r="H17" s="113">
        <v>4028</v>
      </c>
      <c r="I17" s="41">
        <f t="shared" si="0"/>
        <v>16112</v>
      </c>
      <c r="J17" s="42">
        <v>0.1</v>
      </c>
      <c r="K17" s="41">
        <f t="shared" si="1"/>
        <v>1611.2</v>
      </c>
      <c r="L17">
        <f t="shared" si="2"/>
        <v>3625.2000000000003</v>
      </c>
      <c r="M17" s="114">
        <f t="shared" si="10"/>
        <v>58003.200000000004</v>
      </c>
      <c r="N17">
        <f t="shared" si="3"/>
        <v>14500.800000000001</v>
      </c>
      <c r="O17">
        <f>VLOOKUP(C17,[1]OfferToClient24Feb!$C$2:$R$83,16,FALSE)</f>
        <v>57.96</v>
      </c>
      <c r="P17">
        <f t="shared" si="11"/>
        <v>927.36</v>
      </c>
      <c r="Q17">
        <f t="shared" si="4"/>
        <v>232</v>
      </c>
      <c r="R17" s="82">
        <v>232</v>
      </c>
      <c r="S17">
        <f t="shared" si="5"/>
        <v>0</v>
      </c>
      <c r="T17">
        <f t="shared" si="6"/>
        <v>18560</v>
      </c>
      <c r="U17">
        <f t="shared" si="9"/>
        <v>4059.1999999999989</v>
      </c>
    </row>
    <row r="18" spans="2:21" x14ac:dyDescent="0.3">
      <c r="B18" s="36">
        <v>10</v>
      </c>
      <c r="C18" s="66" t="s">
        <v>59</v>
      </c>
      <c r="D18" s="67" t="s">
        <v>32</v>
      </c>
      <c r="E18" s="68" t="s">
        <v>39</v>
      </c>
      <c r="F18" s="68">
        <v>16</v>
      </c>
      <c r="G18" s="81">
        <v>4</v>
      </c>
      <c r="H18" s="113">
        <v>4181</v>
      </c>
      <c r="I18" s="41">
        <f t="shared" si="0"/>
        <v>16724</v>
      </c>
      <c r="J18" s="42">
        <v>0.1</v>
      </c>
      <c r="K18" s="41">
        <f t="shared" si="1"/>
        <v>1672.4</v>
      </c>
      <c r="L18">
        <f t="shared" si="2"/>
        <v>3762.9</v>
      </c>
      <c r="M18" s="114">
        <f t="shared" si="10"/>
        <v>60206.400000000001</v>
      </c>
      <c r="N18">
        <f t="shared" si="3"/>
        <v>15051.6</v>
      </c>
      <c r="O18">
        <f>VLOOKUP(C18,[1]OfferToClient24Feb!$C$2:$R$83,16,FALSE)</f>
        <v>60.16</v>
      </c>
      <c r="P18">
        <f t="shared" si="11"/>
        <v>962.56</v>
      </c>
      <c r="Q18">
        <f t="shared" si="4"/>
        <v>241</v>
      </c>
      <c r="R18" s="82">
        <v>241</v>
      </c>
      <c r="S18">
        <f t="shared" si="5"/>
        <v>0</v>
      </c>
      <c r="T18">
        <f t="shared" si="6"/>
        <v>19280</v>
      </c>
      <c r="U18">
        <f t="shared" si="9"/>
        <v>4228.3999999999996</v>
      </c>
    </row>
    <row r="19" spans="2:21" x14ac:dyDescent="0.3">
      <c r="B19" s="36">
        <v>9</v>
      </c>
      <c r="C19" s="66" t="s">
        <v>58</v>
      </c>
      <c r="D19" s="67" t="s">
        <v>29</v>
      </c>
      <c r="E19" s="68" t="s">
        <v>39</v>
      </c>
      <c r="F19" s="68">
        <v>32</v>
      </c>
      <c r="G19" s="81">
        <v>8</v>
      </c>
      <c r="H19" s="113">
        <v>1364</v>
      </c>
      <c r="I19" s="41">
        <f t="shared" si="0"/>
        <v>10912</v>
      </c>
      <c r="J19" s="42">
        <v>0.1</v>
      </c>
      <c r="K19" s="41">
        <f t="shared" si="1"/>
        <v>1091.2</v>
      </c>
      <c r="L19">
        <f t="shared" si="2"/>
        <v>1227.6000000000001</v>
      </c>
      <c r="M19" s="114">
        <f t="shared" si="10"/>
        <v>39283.200000000004</v>
      </c>
      <c r="N19">
        <f t="shared" si="3"/>
        <v>9820.8000000000011</v>
      </c>
      <c r="O19">
        <f>VLOOKUP(C19,[1]OfferToClient24Feb!$C$2:$R$83,16,FALSE)</f>
        <v>19.630000000000003</v>
      </c>
      <c r="P19">
        <f t="shared" si="11"/>
        <v>628.16000000000008</v>
      </c>
      <c r="Q19">
        <f t="shared" si="4"/>
        <v>158</v>
      </c>
      <c r="R19" s="82">
        <v>157</v>
      </c>
      <c r="S19">
        <f t="shared" si="5"/>
        <v>-1</v>
      </c>
      <c r="T19">
        <f t="shared" si="6"/>
        <v>12560</v>
      </c>
      <c r="U19">
        <f t="shared" si="9"/>
        <v>2739.1999999999989</v>
      </c>
    </row>
    <row r="20" spans="2:21" x14ac:dyDescent="0.3">
      <c r="B20" s="36">
        <v>3</v>
      </c>
      <c r="C20" s="45" t="s">
        <v>34</v>
      </c>
      <c r="D20" s="46" t="s">
        <v>32</v>
      </c>
      <c r="E20" s="39" t="s">
        <v>35</v>
      </c>
      <c r="F20" s="39">
        <f>6+60+2</f>
        <v>68</v>
      </c>
      <c r="G20" s="81">
        <v>6</v>
      </c>
      <c r="H20" s="113">
        <v>4699</v>
      </c>
      <c r="I20" s="41">
        <f t="shared" si="0"/>
        <v>28194</v>
      </c>
      <c r="J20" s="42">
        <v>0.1</v>
      </c>
      <c r="K20" s="41">
        <f t="shared" si="1"/>
        <v>2819.4</v>
      </c>
      <c r="L20">
        <f t="shared" si="2"/>
        <v>4229.1000000000004</v>
      </c>
      <c r="M20" s="114">
        <f t="shared" si="10"/>
        <v>287578.80000000005</v>
      </c>
      <c r="N20">
        <f t="shared" si="3"/>
        <v>25374.600000000002</v>
      </c>
      <c r="O20">
        <f>VLOOKUP(C20,[1]OfferToClient24Feb!$C$2:$R$83,16,FALSE)</f>
        <v>52.18</v>
      </c>
      <c r="P20">
        <f t="shared" si="11"/>
        <v>3548.24</v>
      </c>
      <c r="Q20">
        <f t="shared" si="4"/>
        <v>314</v>
      </c>
      <c r="R20" s="82">
        <f>VLOOKUP(C20,[1]OfferToClient24Feb!$C$2:$T$83,18,FALSE)</f>
        <v>313.08</v>
      </c>
      <c r="S20">
        <f t="shared" si="5"/>
        <v>-0.92000000000001592</v>
      </c>
      <c r="T20">
        <f t="shared" si="6"/>
        <v>25046.399999999998</v>
      </c>
      <c r="U20">
        <f t="shared" si="9"/>
        <v>-328.20000000000437</v>
      </c>
    </row>
    <row r="21" spans="2:21" x14ac:dyDescent="0.3">
      <c r="B21" s="36">
        <v>2</v>
      </c>
      <c r="C21" s="45" t="s">
        <v>31</v>
      </c>
      <c r="D21" s="46" t="s">
        <v>32</v>
      </c>
      <c r="E21" s="39" t="s">
        <v>33</v>
      </c>
      <c r="F21" s="39">
        <v>88</v>
      </c>
      <c r="G21" s="81">
        <v>6</v>
      </c>
      <c r="H21" s="113">
        <v>2852</v>
      </c>
      <c r="I21" s="41">
        <f t="shared" si="0"/>
        <v>17112</v>
      </c>
      <c r="J21" s="42">
        <v>0.1</v>
      </c>
      <c r="K21" s="41">
        <f t="shared" si="1"/>
        <v>1711.2</v>
      </c>
      <c r="L21">
        <f t="shared" si="2"/>
        <v>2566.8000000000002</v>
      </c>
      <c r="M21" s="114">
        <f t="shared" si="10"/>
        <v>225878.40000000002</v>
      </c>
      <c r="N21">
        <f t="shared" si="3"/>
        <v>15400.800000000001</v>
      </c>
      <c r="O21">
        <f>VLOOKUP(C21,[1]OfferToClient24Feb!$C$2:$R$83,16,FALSE)</f>
        <v>41.04</v>
      </c>
      <c r="P21">
        <f t="shared" si="11"/>
        <v>3611.52</v>
      </c>
      <c r="Q21">
        <f t="shared" si="4"/>
        <v>247</v>
      </c>
      <c r="R21" s="82">
        <v>246</v>
      </c>
      <c r="S21">
        <f t="shared" si="5"/>
        <v>-1</v>
      </c>
      <c r="T21">
        <f t="shared" si="6"/>
        <v>19680</v>
      </c>
      <c r="U21">
        <f t="shared" si="9"/>
        <v>4279.1999999999989</v>
      </c>
    </row>
    <row r="22" spans="2:21" x14ac:dyDescent="0.3">
      <c r="B22" s="36">
        <v>12</v>
      </c>
      <c r="C22" s="45" t="s">
        <v>49</v>
      </c>
      <c r="D22" s="46" t="s">
        <v>37</v>
      </c>
      <c r="E22" s="39" t="s">
        <v>33</v>
      </c>
      <c r="F22" s="39">
        <f>60+4+12+10</f>
        <v>86</v>
      </c>
      <c r="G22" s="81">
        <v>60</v>
      </c>
      <c r="H22" s="113">
        <v>1984</v>
      </c>
      <c r="I22" s="41">
        <f t="shared" si="0"/>
        <v>119040</v>
      </c>
      <c r="J22" s="42">
        <v>0.1</v>
      </c>
      <c r="K22" s="41">
        <f t="shared" si="1"/>
        <v>11904</v>
      </c>
      <c r="L22">
        <f t="shared" si="2"/>
        <v>1785.6000000000001</v>
      </c>
      <c r="M22" s="114">
        <f t="shared" si="10"/>
        <v>153561.60000000001</v>
      </c>
      <c r="N22">
        <f t="shared" si="3"/>
        <v>107136.00000000001</v>
      </c>
      <c r="O22">
        <f>VLOOKUP(C22,[1]OfferToClient24Feb!$C$2:$R$83,16,FALSE)</f>
        <v>23.92</v>
      </c>
      <c r="P22">
        <f t="shared" si="11"/>
        <v>2057.1200000000003</v>
      </c>
      <c r="Q22">
        <f t="shared" si="4"/>
        <v>1436</v>
      </c>
      <c r="R22" s="82">
        <v>1435</v>
      </c>
      <c r="S22">
        <f t="shared" si="5"/>
        <v>-1</v>
      </c>
      <c r="T22">
        <f t="shared" si="6"/>
        <v>114800</v>
      </c>
      <c r="U22">
        <f t="shared" si="9"/>
        <v>7663.9999999999854</v>
      </c>
    </row>
    <row r="23" spans="2:21" x14ac:dyDescent="0.3">
      <c r="B23" s="36">
        <v>5</v>
      </c>
      <c r="C23" s="45" t="s">
        <v>38</v>
      </c>
      <c r="D23" s="46" t="s">
        <v>37</v>
      </c>
      <c r="E23" s="39" t="s">
        <v>39</v>
      </c>
      <c r="F23" s="39">
        <v>24</v>
      </c>
      <c r="G23" s="81">
        <v>3</v>
      </c>
      <c r="H23" s="113">
        <v>4712</v>
      </c>
      <c r="I23" s="41">
        <f t="shared" si="0"/>
        <v>14136</v>
      </c>
      <c r="J23" s="42">
        <v>0.1</v>
      </c>
      <c r="K23" s="41">
        <f t="shared" si="1"/>
        <v>1413.6000000000001</v>
      </c>
      <c r="L23">
        <f t="shared" si="2"/>
        <v>4240.8</v>
      </c>
      <c r="M23" s="114">
        <f t="shared" si="10"/>
        <v>101779.20000000001</v>
      </c>
      <c r="N23">
        <f t="shared" si="3"/>
        <v>12722.400000000001</v>
      </c>
      <c r="O23">
        <f>VLOOKUP(C23,[1]OfferToClient24Feb!$C$2:$R$83,16,FALSE)</f>
        <v>67.800000000000011</v>
      </c>
      <c r="P23">
        <f t="shared" si="11"/>
        <v>1627.2000000000003</v>
      </c>
      <c r="Q23">
        <f t="shared" si="4"/>
        <v>204</v>
      </c>
      <c r="R23" s="82">
        <v>203</v>
      </c>
      <c r="S23">
        <f t="shared" si="5"/>
        <v>-1</v>
      </c>
      <c r="T23">
        <f t="shared" si="6"/>
        <v>16240</v>
      </c>
      <c r="U23">
        <f t="shared" si="9"/>
        <v>3517.5999999999985</v>
      </c>
    </row>
    <row r="24" spans="2:21" x14ac:dyDescent="0.3">
      <c r="B24" s="36">
        <v>13</v>
      </c>
      <c r="C24" s="66" t="s">
        <v>66</v>
      </c>
      <c r="D24" s="67" t="s">
        <v>67</v>
      </c>
      <c r="E24" s="68" t="s">
        <v>39</v>
      </c>
      <c r="F24" s="68">
        <v>16</v>
      </c>
      <c r="G24" s="81">
        <v>4</v>
      </c>
      <c r="H24" s="113">
        <v>12114</v>
      </c>
      <c r="I24" s="41">
        <f t="shared" si="0"/>
        <v>48456</v>
      </c>
      <c r="J24" s="42">
        <v>0.1</v>
      </c>
      <c r="K24" s="41">
        <f t="shared" si="1"/>
        <v>4845.6000000000004</v>
      </c>
      <c r="L24">
        <f t="shared" si="2"/>
        <v>10902.6</v>
      </c>
      <c r="M24" s="114">
        <f t="shared" si="10"/>
        <v>174441.60000000001</v>
      </c>
      <c r="N24">
        <f t="shared" si="3"/>
        <v>43610.400000000001</v>
      </c>
      <c r="O24">
        <f>VLOOKUP(C24,[1]OfferToClient24Feb!$C$2:$R$83,16,FALSE)</f>
        <v>174.29999999999998</v>
      </c>
      <c r="P24">
        <f t="shared" si="11"/>
        <v>2788.7999999999997</v>
      </c>
      <c r="Q24">
        <f t="shared" si="4"/>
        <v>698</v>
      </c>
      <c r="R24" s="82">
        <v>697</v>
      </c>
      <c r="S24">
        <f t="shared" si="5"/>
        <v>-1</v>
      </c>
      <c r="T24">
        <f t="shared" si="6"/>
        <v>55760</v>
      </c>
      <c r="U24">
        <f t="shared" si="9"/>
        <v>12149.599999999999</v>
      </c>
    </row>
    <row r="25" spans="2:21" x14ac:dyDescent="0.3">
      <c r="B25" s="36">
        <v>15</v>
      </c>
      <c r="C25" s="45" t="s">
        <v>53</v>
      </c>
      <c r="D25" s="46" t="s">
        <v>54</v>
      </c>
      <c r="E25" s="39" t="s">
        <v>55</v>
      </c>
      <c r="F25" s="39">
        <v>80</v>
      </c>
      <c r="G25" s="81">
        <v>60</v>
      </c>
      <c r="H25" s="113">
        <v>2951</v>
      </c>
      <c r="I25" s="41">
        <f t="shared" si="0"/>
        <v>177060</v>
      </c>
      <c r="J25" s="42">
        <v>0.1</v>
      </c>
      <c r="K25" s="41">
        <f t="shared" si="1"/>
        <v>17706</v>
      </c>
      <c r="L25">
        <f t="shared" si="2"/>
        <v>2655.9</v>
      </c>
      <c r="M25" s="114">
        <f t="shared" si="10"/>
        <v>212472</v>
      </c>
      <c r="N25">
        <f t="shared" si="3"/>
        <v>159354</v>
      </c>
      <c r="O25">
        <f>VLOOKUP(C25,[1]OfferToClient24Feb!$C$2:$R$83,16,FALSE)</f>
        <v>42.46</v>
      </c>
      <c r="P25">
        <f t="shared" si="11"/>
        <v>3396.8</v>
      </c>
      <c r="Q25">
        <f t="shared" si="4"/>
        <v>2548</v>
      </c>
      <c r="R25" s="82">
        <v>2548</v>
      </c>
      <c r="S25">
        <f t="shared" si="5"/>
        <v>0</v>
      </c>
      <c r="T25">
        <f t="shared" si="6"/>
        <v>203840</v>
      </c>
      <c r="U25">
        <f t="shared" si="9"/>
        <v>44486</v>
      </c>
    </row>
    <row r="26" spans="2:21" x14ac:dyDescent="0.3">
      <c r="B26" s="36">
        <v>16</v>
      </c>
      <c r="C26" s="45" t="s">
        <v>56</v>
      </c>
      <c r="D26" s="46" t="s">
        <v>57</v>
      </c>
      <c r="E26" s="39" t="s">
        <v>55</v>
      </c>
      <c r="F26" s="39">
        <v>80</v>
      </c>
      <c r="G26" s="81">
        <v>60</v>
      </c>
      <c r="H26" s="113">
        <v>1228</v>
      </c>
      <c r="I26" s="41">
        <f t="shared" si="0"/>
        <v>73680</v>
      </c>
      <c r="J26" s="42">
        <v>0.1</v>
      </c>
      <c r="K26" s="41">
        <f t="shared" si="1"/>
        <v>7368</v>
      </c>
      <c r="L26">
        <f t="shared" si="2"/>
        <v>1105.2</v>
      </c>
      <c r="M26" s="114">
        <f t="shared" si="10"/>
        <v>88416</v>
      </c>
      <c r="N26">
        <f t="shared" si="3"/>
        <v>66312</v>
      </c>
      <c r="O26">
        <f>VLOOKUP(C26,[1]OfferToClient24Feb!$C$2:$R$83,16,FALSE)</f>
        <v>17.670000000000002</v>
      </c>
      <c r="P26">
        <f t="shared" si="11"/>
        <v>1413.6000000000001</v>
      </c>
      <c r="Q26">
        <f t="shared" si="4"/>
        <v>1061</v>
      </c>
      <c r="R26" s="82">
        <v>1060</v>
      </c>
      <c r="S26">
        <f t="shared" si="5"/>
        <v>-1</v>
      </c>
      <c r="T26">
        <f t="shared" si="6"/>
        <v>84800</v>
      </c>
      <c r="U26">
        <f t="shared" si="9"/>
        <v>18488</v>
      </c>
    </row>
    <row r="27" spans="2:21" x14ac:dyDescent="0.3">
      <c r="B27" s="36">
        <v>4</v>
      </c>
      <c r="C27" s="45" t="s">
        <v>36</v>
      </c>
      <c r="D27" s="46" t="s">
        <v>37</v>
      </c>
      <c r="E27" s="39" t="s">
        <v>33</v>
      </c>
      <c r="F27" s="39">
        <v>8</v>
      </c>
      <c r="G27" s="81">
        <v>6</v>
      </c>
      <c r="H27" s="113">
        <v>3439</v>
      </c>
      <c r="I27" s="41">
        <f t="shared" si="0"/>
        <v>20634</v>
      </c>
      <c r="J27" s="42">
        <v>0.1</v>
      </c>
      <c r="K27" s="41">
        <f t="shared" si="1"/>
        <v>2063.4</v>
      </c>
      <c r="L27">
        <f t="shared" si="2"/>
        <v>3095.1</v>
      </c>
      <c r="M27" s="114">
        <f t="shared" si="10"/>
        <v>24760.799999999999</v>
      </c>
      <c r="N27">
        <f t="shared" si="3"/>
        <v>18570.599999999999</v>
      </c>
      <c r="O27">
        <f>VLOOKUP(C27,[1]OfferToClient24Feb!$C$2:$R$83,16,FALSE)</f>
        <v>49.489999999999995</v>
      </c>
      <c r="P27">
        <f t="shared" si="11"/>
        <v>395.91999999999996</v>
      </c>
      <c r="Q27">
        <f t="shared" si="4"/>
        <v>297</v>
      </c>
      <c r="R27" s="82">
        <v>297</v>
      </c>
      <c r="S27">
        <f t="shared" si="5"/>
        <v>0</v>
      </c>
      <c r="T27">
        <f t="shared" si="6"/>
        <v>23760</v>
      </c>
      <c r="U27">
        <f t="shared" si="9"/>
        <v>5189.4000000000015</v>
      </c>
    </row>
    <row r="28" spans="2:21" x14ac:dyDescent="0.3">
      <c r="B28" s="36">
        <v>8</v>
      </c>
      <c r="C28" s="45" t="s">
        <v>43</v>
      </c>
      <c r="D28" s="46" t="s">
        <v>44</v>
      </c>
      <c r="E28" s="39" t="s">
        <v>30</v>
      </c>
      <c r="F28" s="39">
        <v>100</v>
      </c>
      <c r="G28" s="81">
        <v>60</v>
      </c>
      <c r="H28" s="113">
        <v>1545</v>
      </c>
      <c r="I28" s="41">
        <f t="shared" si="0"/>
        <v>92700</v>
      </c>
      <c r="J28" s="42">
        <v>0.1</v>
      </c>
      <c r="K28" s="41">
        <f t="shared" si="1"/>
        <v>9270</v>
      </c>
      <c r="L28">
        <f t="shared" si="2"/>
        <v>1390.5</v>
      </c>
      <c r="M28" s="114">
        <f t="shared" si="10"/>
        <v>139050</v>
      </c>
      <c r="N28">
        <f t="shared" si="3"/>
        <v>83430</v>
      </c>
      <c r="O28">
        <f>VLOOKUP(C28,[1]OfferToClient24Feb!$C$2:$R$83,16,FALSE)</f>
        <v>22.23</v>
      </c>
      <c r="P28">
        <f t="shared" si="11"/>
        <v>2223</v>
      </c>
      <c r="Q28">
        <f t="shared" si="4"/>
        <v>1334</v>
      </c>
      <c r="R28" s="82">
        <v>1334</v>
      </c>
      <c r="S28">
        <f t="shared" si="5"/>
        <v>0</v>
      </c>
      <c r="T28">
        <f t="shared" si="6"/>
        <v>106720</v>
      </c>
      <c r="U28">
        <f t="shared" ref="U28:U36" si="12">T28-N28</f>
        <v>23290</v>
      </c>
    </row>
    <row r="29" spans="2:21" x14ac:dyDescent="0.3">
      <c r="B29" s="36">
        <v>9</v>
      </c>
      <c r="C29" s="45" t="s">
        <v>45</v>
      </c>
      <c r="D29" s="46" t="s">
        <v>32</v>
      </c>
      <c r="E29" s="39" t="s">
        <v>30</v>
      </c>
      <c r="F29" s="39">
        <v>100</v>
      </c>
      <c r="G29" s="81">
        <v>60</v>
      </c>
      <c r="H29" s="113">
        <v>1398</v>
      </c>
      <c r="I29" s="41">
        <f t="shared" si="0"/>
        <v>83880</v>
      </c>
      <c r="J29" s="42">
        <v>0.1</v>
      </c>
      <c r="K29" s="41">
        <f t="shared" si="1"/>
        <v>8388</v>
      </c>
      <c r="L29">
        <f t="shared" si="2"/>
        <v>1258.2</v>
      </c>
      <c r="M29" s="114">
        <f t="shared" si="10"/>
        <v>125820</v>
      </c>
      <c r="N29">
        <f t="shared" si="3"/>
        <v>75492</v>
      </c>
      <c r="O29">
        <v>20.12</v>
      </c>
      <c r="P29">
        <f t="shared" si="11"/>
        <v>2012</v>
      </c>
      <c r="Q29">
        <f t="shared" si="4"/>
        <v>1208</v>
      </c>
      <c r="R29" s="82">
        <v>1207</v>
      </c>
      <c r="S29">
        <f t="shared" si="5"/>
        <v>-1</v>
      </c>
      <c r="T29">
        <f t="shared" si="6"/>
        <v>96560</v>
      </c>
      <c r="U29">
        <f t="shared" si="12"/>
        <v>21068</v>
      </c>
    </row>
    <row r="30" spans="2:21" x14ac:dyDescent="0.3">
      <c r="B30" s="36">
        <v>5</v>
      </c>
      <c r="C30" s="66" t="s">
        <v>73</v>
      </c>
      <c r="D30" s="67" t="s">
        <v>92</v>
      </c>
      <c r="E30" s="68" t="s">
        <v>30</v>
      </c>
      <c r="F30" s="68">
        <v>80</v>
      </c>
      <c r="G30" s="81">
        <v>20</v>
      </c>
      <c r="H30" s="113">
        <v>788</v>
      </c>
      <c r="I30" s="41">
        <f t="shared" si="0"/>
        <v>15760</v>
      </c>
      <c r="J30" s="42">
        <v>0.1</v>
      </c>
      <c r="K30" s="41">
        <f t="shared" si="1"/>
        <v>1576</v>
      </c>
      <c r="L30">
        <f t="shared" si="2"/>
        <v>709.2</v>
      </c>
      <c r="M30" s="114">
        <f t="shared" si="10"/>
        <v>56736</v>
      </c>
      <c r="N30">
        <f t="shared" si="3"/>
        <v>14184</v>
      </c>
      <c r="O30">
        <f>VLOOKUP(C30,[1]OfferToClient24Feb!$C$2:$R$83,16,FALSE)</f>
        <v>11.34</v>
      </c>
      <c r="P30">
        <f t="shared" si="11"/>
        <v>907.2</v>
      </c>
      <c r="Q30">
        <f t="shared" si="4"/>
        <v>227</v>
      </c>
      <c r="R30" s="82">
        <v>227</v>
      </c>
      <c r="S30">
        <f t="shared" si="5"/>
        <v>0</v>
      </c>
      <c r="T30">
        <f t="shared" si="6"/>
        <v>18160</v>
      </c>
      <c r="U30">
        <f t="shared" si="12"/>
        <v>3976</v>
      </c>
    </row>
    <row r="31" spans="2:21" x14ac:dyDescent="0.3">
      <c r="B31" s="36">
        <v>29</v>
      </c>
      <c r="C31" s="66" t="s">
        <v>84</v>
      </c>
      <c r="D31" s="67" t="s">
        <v>97</v>
      </c>
      <c r="E31" s="68" t="s">
        <v>33</v>
      </c>
      <c r="F31" s="68">
        <f>20+4+12+60</f>
        <v>96</v>
      </c>
      <c r="G31" s="81">
        <v>20</v>
      </c>
      <c r="H31" s="113">
        <v>1052</v>
      </c>
      <c r="I31" s="41">
        <f t="shared" si="0"/>
        <v>21040</v>
      </c>
      <c r="J31" s="42">
        <v>0.1</v>
      </c>
      <c r="K31" s="41">
        <f t="shared" si="1"/>
        <v>2104</v>
      </c>
      <c r="L31">
        <f t="shared" si="2"/>
        <v>946.80000000000007</v>
      </c>
      <c r="M31" s="114">
        <f t="shared" si="10"/>
        <v>90892.800000000003</v>
      </c>
      <c r="N31">
        <f t="shared" si="3"/>
        <v>18936</v>
      </c>
      <c r="O31">
        <f>VLOOKUP(C31,[1]OfferToClient24Feb!$C$2:$R$83,16,FALSE)</f>
        <v>15.14</v>
      </c>
      <c r="P31">
        <f t="shared" si="11"/>
        <v>1453.44</v>
      </c>
      <c r="Q31">
        <f t="shared" si="4"/>
        <v>303</v>
      </c>
      <c r="R31" s="82">
        <v>303</v>
      </c>
      <c r="S31">
        <f t="shared" si="5"/>
        <v>0</v>
      </c>
      <c r="T31">
        <f t="shared" si="6"/>
        <v>24240</v>
      </c>
      <c r="U31">
        <f t="shared" si="12"/>
        <v>5304</v>
      </c>
    </row>
    <row r="32" spans="2:21" x14ac:dyDescent="0.3">
      <c r="B32" s="36">
        <v>13</v>
      </c>
      <c r="C32" s="45" t="s">
        <v>50</v>
      </c>
      <c r="D32" s="46" t="s">
        <v>51</v>
      </c>
      <c r="E32" s="39" t="s">
        <v>33</v>
      </c>
      <c r="F32" s="39">
        <f>60+4+12</f>
        <v>76</v>
      </c>
      <c r="G32" s="81">
        <v>60</v>
      </c>
      <c r="H32" s="113">
        <v>7722</v>
      </c>
      <c r="I32" s="41">
        <f t="shared" si="0"/>
        <v>463320</v>
      </c>
      <c r="J32" s="42">
        <v>0.1</v>
      </c>
      <c r="K32" s="41">
        <f t="shared" si="1"/>
        <v>46332</v>
      </c>
      <c r="L32">
        <f t="shared" si="2"/>
        <v>6949.8</v>
      </c>
      <c r="M32" s="114">
        <f t="shared" si="10"/>
        <v>528184.80000000005</v>
      </c>
      <c r="N32">
        <f t="shared" si="3"/>
        <v>416988</v>
      </c>
      <c r="O32">
        <f>VLOOKUP(C32,[1]OfferToClient24Feb!$C$2:$R$83,16,FALSE)</f>
        <v>111.11</v>
      </c>
      <c r="P32">
        <f t="shared" si="11"/>
        <v>8444.36</v>
      </c>
      <c r="Q32">
        <f t="shared" si="4"/>
        <v>6667</v>
      </c>
      <c r="R32" s="82">
        <v>6667</v>
      </c>
      <c r="S32">
        <f t="shared" si="5"/>
        <v>0</v>
      </c>
      <c r="T32">
        <f t="shared" si="6"/>
        <v>533360</v>
      </c>
      <c r="U32">
        <f t="shared" si="12"/>
        <v>116372</v>
      </c>
    </row>
    <row r="33" spans="2:21" x14ac:dyDescent="0.3">
      <c r="B33" s="36">
        <v>11</v>
      </c>
      <c r="C33" s="45" t="s">
        <v>47</v>
      </c>
      <c r="D33" s="46" t="s">
        <v>48</v>
      </c>
      <c r="E33" s="39" t="s">
        <v>35</v>
      </c>
      <c r="F33" s="39">
        <v>40</v>
      </c>
      <c r="G33" s="81">
        <v>30</v>
      </c>
      <c r="H33" s="113">
        <v>6798</v>
      </c>
      <c r="I33" s="41">
        <f t="shared" si="0"/>
        <v>203940</v>
      </c>
      <c r="J33" s="42">
        <v>0.1</v>
      </c>
      <c r="K33" s="41">
        <f t="shared" si="1"/>
        <v>20394</v>
      </c>
      <c r="L33">
        <f t="shared" si="2"/>
        <v>6118.2</v>
      </c>
      <c r="M33" s="114">
        <f t="shared" si="10"/>
        <v>244728</v>
      </c>
      <c r="N33">
        <f t="shared" si="3"/>
        <v>183546</v>
      </c>
      <c r="O33">
        <f>VLOOKUP(C33,[1]OfferToClient24Feb!$C$2:$R$83,16,FALSE)</f>
        <v>97.820000000000007</v>
      </c>
      <c r="P33">
        <f t="shared" si="11"/>
        <v>3912.8</v>
      </c>
      <c r="Q33">
        <f t="shared" si="4"/>
        <v>2935</v>
      </c>
      <c r="R33" s="82">
        <v>2935</v>
      </c>
      <c r="S33">
        <f t="shared" si="5"/>
        <v>0</v>
      </c>
      <c r="T33">
        <f t="shared" si="6"/>
        <v>234800</v>
      </c>
      <c r="U33">
        <f t="shared" si="12"/>
        <v>51254</v>
      </c>
    </row>
    <row r="34" spans="2:21" x14ac:dyDescent="0.3">
      <c r="B34" s="36">
        <v>18</v>
      </c>
      <c r="C34" s="66" t="s">
        <v>65</v>
      </c>
      <c r="D34" s="67" t="s">
        <v>96</v>
      </c>
      <c r="E34" s="68" t="s">
        <v>35</v>
      </c>
      <c r="F34" s="68">
        <v>16</v>
      </c>
      <c r="G34" s="81">
        <v>4</v>
      </c>
      <c r="H34" s="113">
        <v>6395</v>
      </c>
      <c r="I34" s="41">
        <f t="shared" si="0"/>
        <v>25580</v>
      </c>
      <c r="J34" s="42">
        <v>0.1</v>
      </c>
      <c r="K34" s="41">
        <f t="shared" si="1"/>
        <v>2558</v>
      </c>
      <c r="L34">
        <f t="shared" si="2"/>
        <v>5755.5</v>
      </c>
      <c r="M34" s="114">
        <f t="shared" si="10"/>
        <v>92088</v>
      </c>
      <c r="N34">
        <f t="shared" si="3"/>
        <v>23022</v>
      </c>
      <c r="O34">
        <f>VLOOKUP(C34,[1]OfferToClient24Feb!$C$2:$R$83,16,FALSE)</f>
        <v>92.02000000000001</v>
      </c>
      <c r="P34">
        <f t="shared" si="11"/>
        <v>1472.3200000000002</v>
      </c>
      <c r="Q34">
        <f t="shared" si="4"/>
        <v>369</v>
      </c>
      <c r="R34" s="82">
        <v>368</v>
      </c>
      <c r="S34">
        <f t="shared" si="5"/>
        <v>-1</v>
      </c>
      <c r="T34">
        <f t="shared" si="6"/>
        <v>29440</v>
      </c>
      <c r="U34">
        <f t="shared" si="12"/>
        <v>6418</v>
      </c>
    </row>
    <row r="35" spans="2:21" x14ac:dyDescent="0.3">
      <c r="B35" s="36">
        <v>4</v>
      </c>
      <c r="C35" s="66" t="s">
        <v>71</v>
      </c>
      <c r="D35" s="67" t="s">
        <v>92</v>
      </c>
      <c r="E35" s="68" t="s">
        <v>30</v>
      </c>
      <c r="F35" s="68">
        <v>80</v>
      </c>
      <c r="G35" s="81">
        <v>20</v>
      </c>
      <c r="H35" s="113">
        <v>684</v>
      </c>
      <c r="I35" s="41">
        <f t="shared" si="0"/>
        <v>13680</v>
      </c>
      <c r="J35" s="42">
        <v>0.1</v>
      </c>
      <c r="K35" s="41">
        <f t="shared" si="1"/>
        <v>1368</v>
      </c>
      <c r="L35">
        <f t="shared" si="2"/>
        <v>615.6</v>
      </c>
      <c r="M35" s="114">
        <f t="shared" si="10"/>
        <v>49248</v>
      </c>
      <c r="N35">
        <f t="shared" si="3"/>
        <v>12312</v>
      </c>
      <c r="O35">
        <f>VLOOKUP(C35,[1]OfferToClient24Feb!$C$2:$R$83,16,FALSE)</f>
        <v>9.01</v>
      </c>
      <c r="P35">
        <f t="shared" si="11"/>
        <v>720.8</v>
      </c>
      <c r="Q35">
        <f t="shared" si="4"/>
        <v>181</v>
      </c>
      <c r="R35" s="82">
        <v>180</v>
      </c>
      <c r="S35">
        <f t="shared" si="5"/>
        <v>-1</v>
      </c>
      <c r="T35">
        <f t="shared" si="6"/>
        <v>14400</v>
      </c>
      <c r="U35">
        <f t="shared" si="12"/>
        <v>2088</v>
      </c>
    </row>
    <row r="36" spans="2:21" x14ac:dyDescent="0.3">
      <c r="B36" s="36">
        <v>45</v>
      </c>
      <c r="C36" s="69" t="s">
        <v>104</v>
      </c>
      <c r="D36" s="67" t="s">
        <v>105</v>
      </c>
      <c r="E36" s="69" t="s">
        <v>35</v>
      </c>
      <c r="F36" s="69">
        <v>50</v>
      </c>
      <c r="G36" s="81">
        <v>50</v>
      </c>
      <c r="H36" s="113">
        <v>1897</v>
      </c>
      <c r="I36" s="41">
        <f t="shared" si="0"/>
        <v>94850</v>
      </c>
      <c r="J36" s="42">
        <v>0.1</v>
      </c>
      <c r="K36" s="41">
        <f t="shared" si="1"/>
        <v>9485</v>
      </c>
      <c r="L36">
        <f t="shared" si="2"/>
        <v>1707.3</v>
      </c>
      <c r="M36" s="114">
        <f t="shared" si="10"/>
        <v>85365</v>
      </c>
      <c r="N36">
        <f t="shared" si="3"/>
        <v>85365</v>
      </c>
      <c r="O36">
        <f>VLOOKUP(C36,[1]OfferToClient24Feb!$C$2:$R$83,16,FALSE)</f>
        <v>23.57</v>
      </c>
      <c r="P36">
        <f t="shared" si="11"/>
        <v>1178.5</v>
      </c>
      <c r="Q36">
        <f t="shared" si="4"/>
        <v>1179</v>
      </c>
      <c r="R36" s="82">
        <v>1179</v>
      </c>
      <c r="S36">
        <f t="shared" si="5"/>
        <v>0</v>
      </c>
      <c r="T36">
        <f t="shared" si="6"/>
        <v>94320</v>
      </c>
      <c r="U36">
        <f t="shared" si="12"/>
        <v>8955</v>
      </c>
    </row>
    <row r="38" spans="2:21" x14ac:dyDescent="0.3">
      <c r="F38">
        <f>SUM(F3:F37)</f>
        <v>2024</v>
      </c>
      <c r="G38">
        <f>SUM(G3:G37)</f>
        <v>1053</v>
      </c>
      <c r="M38" s="114">
        <f>SUM(M3:M37)</f>
        <v>4239547.2</v>
      </c>
      <c r="N38" s="83">
        <f>SUM(N3:N37)</f>
        <v>2252761.2000000002</v>
      </c>
      <c r="P38">
        <f t="shared" ref="P38:U38" si="13">SUM(P3:P37)</f>
        <v>66085.14</v>
      </c>
      <c r="Q38">
        <f t="shared" si="13"/>
        <v>35461</v>
      </c>
      <c r="R38">
        <f t="shared" si="13"/>
        <v>35445.64</v>
      </c>
      <c r="S38">
        <f t="shared" si="13"/>
        <v>-15.360000000000113</v>
      </c>
      <c r="T38" s="83">
        <f t="shared" si="13"/>
        <v>2835651.2</v>
      </c>
      <c r="U38" s="83">
        <f t="shared" si="13"/>
        <v>582890</v>
      </c>
    </row>
    <row r="39" spans="2:21" x14ac:dyDescent="0.3">
      <c r="Q39">
        <f>Q38-66084</f>
        <v>-30623</v>
      </c>
    </row>
    <row r="41" spans="2:21" x14ac:dyDescent="0.3">
      <c r="I41" t="s">
        <v>119</v>
      </c>
      <c r="J41" t="s">
        <v>120</v>
      </c>
      <c r="K41" s="84">
        <f>N38</f>
        <v>2252761.2000000002</v>
      </c>
    </row>
    <row r="42" spans="2:21" x14ac:dyDescent="0.3">
      <c r="J42" t="s">
        <v>121</v>
      </c>
      <c r="K42" s="83">
        <f>0.01%*K41</f>
        <v>225.27612000000002</v>
      </c>
    </row>
    <row r="43" spans="2:21" x14ac:dyDescent="0.3">
      <c r="J43" t="s">
        <v>122</v>
      </c>
      <c r="K43" s="83">
        <v>25000</v>
      </c>
      <c r="N43">
        <v>74272.020000000019</v>
      </c>
      <c r="O43">
        <f>N43-N45</f>
        <v>41229.520000000019</v>
      </c>
      <c r="P43">
        <f>80*O43</f>
        <v>3298361.6000000015</v>
      </c>
    </row>
    <row r="44" spans="2:21" x14ac:dyDescent="0.3">
      <c r="J44" t="s">
        <v>123</v>
      </c>
      <c r="K44" s="83">
        <v>119066</v>
      </c>
      <c r="N44">
        <f>N43/2</f>
        <v>37136.010000000009</v>
      </c>
    </row>
    <row r="45" spans="2:21" x14ac:dyDescent="0.3">
      <c r="J45" t="s">
        <v>124</v>
      </c>
      <c r="K45">
        <v>0</v>
      </c>
      <c r="N45">
        <v>33042.5</v>
      </c>
    </row>
    <row r="46" spans="2:21" x14ac:dyDescent="0.3">
      <c r="J46" t="s">
        <v>126</v>
      </c>
      <c r="K46" s="84">
        <f>SUM(K41:K45)</f>
        <v>2397052.4761200002</v>
      </c>
    </row>
    <row r="47" spans="2:21" x14ac:dyDescent="0.3">
      <c r="J47" t="s">
        <v>125</v>
      </c>
      <c r="K47" s="85">
        <f>81*R38</f>
        <v>2871096.84</v>
      </c>
    </row>
    <row r="48" spans="2:21" x14ac:dyDescent="0.3">
      <c r="J48" t="s">
        <v>127</v>
      </c>
      <c r="K48" s="84">
        <f>K47-K46</f>
        <v>474044.36387999961</v>
      </c>
    </row>
  </sheetData>
  <autoFilter ref="B2:T36" xr:uid="{9B965538-FBE9-4945-9830-6692A80FEB2F}">
    <sortState xmlns:xlrd2="http://schemas.microsoft.com/office/spreadsheetml/2017/richdata2" ref="B3:T36">
      <sortCondition ref="C2:C36"/>
    </sortState>
  </autoFilter>
  <conditionalFormatting sqref="U3:U3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5EC0-6CCF-4E34-B193-30341AE72A30}">
  <dimension ref="B1:R92"/>
  <sheetViews>
    <sheetView workbookViewId="0">
      <pane xSplit="5" ySplit="2" topLeftCell="F24" activePane="bottomRight" state="frozen"/>
      <selection pane="topRight" activeCell="F1" sqref="F1"/>
      <selection pane="bottomLeft" activeCell="A3" sqref="A3"/>
      <selection pane="bottomRight" activeCell="L42" sqref="L42"/>
    </sheetView>
  </sheetViews>
  <sheetFormatPr defaultRowHeight="14.4" x14ac:dyDescent="0.3"/>
  <cols>
    <col min="2" max="2" width="7.6640625" customWidth="1"/>
    <col min="3" max="3" width="14" customWidth="1"/>
    <col min="4" max="4" width="13" style="116" customWidth="1"/>
    <col min="5" max="5" width="19.88671875" customWidth="1"/>
    <col min="6" max="6" width="6.6640625" customWidth="1"/>
    <col min="7" max="7" width="7.44140625" customWidth="1"/>
    <col min="10" max="10" width="11.33203125" bestFit="1" customWidth="1"/>
    <col min="11" max="11" width="10.33203125" bestFit="1" customWidth="1"/>
    <col min="12" max="12" width="23.33203125" customWidth="1"/>
    <col min="13" max="13" width="10.109375" customWidth="1"/>
    <col min="14" max="14" width="17.5546875" customWidth="1"/>
    <col min="15" max="16" width="10.33203125" customWidth="1"/>
    <col min="18" max="18" width="10.33203125" bestFit="1" customWidth="1"/>
  </cols>
  <sheetData>
    <row r="1" spans="2:18" x14ac:dyDescent="0.3">
      <c r="K1" s="230" t="s">
        <v>163</v>
      </c>
      <c r="L1" s="230"/>
      <c r="M1" s="230" t="s">
        <v>166</v>
      </c>
      <c r="N1" s="230"/>
      <c r="Q1" t="s">
        <v>164</v>
      </c>
    </row>
    <row r="2" spans="2:18" ht="57.6" x14ac:dyDescent="0.3">
      <c r="B2" s="136" t="s">
        <v>137</v>
      </c>
      <c r="C2" s="137" t="s">
        <v>19</v>
      </c>
      <c r="D2" s="138" t="s">
        <v>132</v>
      </c>
      <c r="E2" s="139" t="s">
        <v>18</v>
      </c>
      <c r="F2" s="139" t="s">
        <v>134</v>
      </c>
      <c r="G2" s="152" t="s">
        <v>158</v>
      </c>
      <c r="H2" s="140" t="s">
        <v>162</v>
      </c>
      <c r="I2" s="147" t="s">
        <v>153</v>
      </c>
      <c r="J2" s="156" t="s">
        <v>161</v>
      </c>
      <c r="K2" s="140" t="s">
        <v>133</v>
      </c>
      <c r="L2" s="141" t="s">
        <v>136</v>
      </c>
      <c r="M2" s="140" t="s">
        <v>133</v>
      </c>
      <c r="N2" s="141" t="s">
        <v>136</v>
      </c>
      <c r="O2" s="146" t="s">
        <v>152</v>
      </c>
      <c r="P2" s="147" t="s">
        <v>154</v>
      </c>
      <c r="Q2" s="147" t="s">
        <v>133</v>
      </c>
      <c r="R2" s="147" t="s">
        <v>165</v>
      </c>
    </row>
    <row r="3" spans="2:18" x14ac:dyDescent="0.3">
      <c r="B3" s="130"/>
      <c r="C3" s="131" t="s">
        <v>39</v>
      </c>
      <c r="D3" s="132" t="s">
        <v>82</v>
      </c>
      <c r="E3" s="133" t="s">
        <v>32</v>
      </c>
      <c r="F3" s="131" t="s">
        <v>135</v>
      </c>
      <c r="G3" s="131">
        <f>VLOOKUP(D3,Sheet1!$F$5:$G$44,2,FALSE)</f>
        <v>16</v>
      </c>
      <c r="H3" s="151">
        <f>VLOOKUP(D3,Data!$C$2:$T$93,17,FALSE)</f>
        <v>21.07</v>
      </c>
      <c r="I3" s="145">
        <f t="shared" ref="I3:I34" si="0">ROUNDUP((L3-O3)/K3,2)</f>
        <v>21.07</v>
      </c>
      <c r="J3" s="157">
        <f t="shared" ref="J3:J36" si="1">ROUNDUP(H3*G3,2)</f>
        <v>337.12</v>
      </c>
      <c r="K3" s="134">
        <v>16</v>
      </c>
      <c r="L3" s="135">
        <f t="shared" ref="L3:L34" si="2">ROUNDUP(K3*H3,2)</f>
        <v>337.12</v>
      </c>
      <c r="M3" s="160"/>
      <c r="N3" s="160"/>
      <c r="O3" s="114">
        <f t="shared" ref="O3:O34" si="3">ROUNDUP(L3*$T$2/$L$39,2)</f>
        <v>0</v>
      </c>
      <c r="P3" s="145">
        <f t="shared" ref="P3:P34" si="4">I3*K3</f>
        <v>337.12</v>
      </c>
      <c r="Q3" s="83">
        <f>G3-K3-M3</f>
        <v>0</v>
      </c>
      <c r="R3" s="114">
        <f t="shared" ref="R3:R36" si="5">Q3*H3</f>
        <v>0</v>
      </c>
    </row>
    <row r="4" spans="2:18" x14ac:dyDescent="0.3">
      <c r="B4" s="124"/>
      <c r="C4" s="90" t="s">
        <v>30</v>
      </c>
      <c r="D4" s="89" t="s">
        <v>28</v>
      </c>
      <c r="E4" s="89" t="s">
        <v>29</v>
      </c>
      <c r="F4" s="98" t="s">
        <v>135</v>
      </c>
      <c r="G4" s="131">
        <f>VLOOKUP(D4,Sheet1!$F$5:$G$44,2,FALSE)</f>
        <v>16</v>
      </c>
      <c r="H4" s="151">
        <f>VLOOKUP(D4,Data!$C$2:$T$93,17,FALSE)</f>
        <v>7.5699999999999994</v>
      </c>
      <c r="I4" s="145">
        <f t="shared" si="0"/>
        <v>7.57</v>
      </c>
      <c r="J4" s="157">
        <f t="shared" si="1"/>
        <v>121.12</v>
      </c>
      <c r="K4" s="122">
        <v>16</v>
      </c>
      <c r="L4" s="123">
        <f t="shared" si="2"/>
        <v>121.12</v>
      </c>
      <c r="M4" s="160"/>
      <c r="N4" s="123">
        <f t="shared" ref="N4:N25" si="6">ROUNDUP(M4*$H4,2)</f>
        <v>0</v>
      </c>
      <c r="O4" s="114">
        <f t="shared" si="3"/>
        <v>0</v>
      </c>
      <c r="P4" s="145">
        <f t="shared" si="4"/>
        <v>121.12</v>
      </c>
      <c r="Q4" s="83">
        <f t="shared" ref="Q4:Q36" si="7">G4-K4-M4</f>
        <v>0</v>
      </c>
      <c r="R4" s="114">
        <f t="shared" si="5"/>
        <v>0</v>
      </c>
    </row>
    <row r="5" spans="2:18" x14ac:dyDescent="0.3">
      <c r="B5" s="124"/>
      <c r="C5" s="90" t="s">
        <v>30</v>
      </c>
      <c r="D5" s="89" t="s">
        <v>42</v>
      </c>
      <c r="E5" s="89" t="s">
        <v>29</v>
      </c>
      <c r="F5" s="98" t="s">
        <v>135</v>
      </c>
      <c r="G5" s="131">
        <f>VLOOKUP(D5,Sheet1!$F$5:$G$44,2,FALSE)</f>
        <v>160</v>
      </c>
      <c r="H5" s="151">
        <f>VLOOKUP(D5,Data!$C$2:$T$93,17,FALSE)</f>
        <v>6.43</v>
      </c>
      <c r="I5" s="145">
        <f t="shared" si="0"/>
        <v>6.43</v>
      </c>
      <c r="J5" s="157">
        <f t="shared" si="1"/>
        <v>1028.8</v>
      </c>
      <c r="K5" s="122">
        <v>160</v>
      </c>
      <c r="L5" s="123">
        <f t="shared" si="2"/>
        <v>1028.8</v>
      </c>
      <c r="M5" s="160"/>
      <c r="N5" s="123">
        <f t="shared" si="6"/>
        <v>0</v>
      </c>
      <c r="O5" s="114">
        <f t="shared" si="3"/>
        <v>0</v>
      </c>
      <c r="P5" s="145">
        <f t="shared" si="4"/>
        <v>1028.8</v>
      </c>
      <c r="Q5" s="83">
        <f t="shared" si="7"/>
        <v>0</v>
      </c>
      <c r="R5" s="114">
        <f t="shared" si="5"/>
        <v>0</v>
      </c>
    </row>
    <row r="6" spans="2:18" x14ac:dyDescent="0.3">
      <c r="B6" s="124"/>
      <c r="C6" s="98" t="s">
        <v>39</v>
      </c>
      <c r="D6" s="118" t="s">
        <v>83</v>
      </c>
      <c r="E6" s="97" t="s">
        <v>92</v>
      </c>
      <c r="F6" s="98" t="s">
        <v>135</v>
      </c>
      <c r="G6" s="131">
        <f>VLOOKUP(D6,Sheet1!$F$5:$G$44,2,FALSE)</f>
        <v>96</v>
      </c>
      <c r="H6" s="151">
        <f>VLOOKUP(D6,Data!$C$2:$T$93,17,FALSE)</f>
        <v>56.5</v>
      </c>
      <c r="I6" s="145">
        <f t="shared" si="0"/>
        <v>56.5</v>
      </c>
      <c r="J6" s="157">
        <f t="shared" si="1"/>
        <v>5424</v>
      </c>
      <c r="K6" s="122">
        <v>96</v>
      </c>
      <c r="L6" s="123">
        <f t="shared" si="2"/>
        <v>5424</v>
      </c>
      <c r="M6" s="160"/>
      <c r="N6" s="123">
        <f t="shared" si="6"/>
        <v>0</v>
      </c>
      <c r="O6" s="114">
        <f t="shared" si="3"/>
        <v>0</v>
      </c>
      <c r="P6" s="145">
        <f t="shared" si="4"/>
        <v>5424</v>
      </c>
      <c r="Q6" s="83">
        <f t="shared" si="7"/>
        <v>0</v>
      </c>
      <c r="R6" s="114">
        <f t="shared" si="5"/>
        <v>0</v>
      </c>
    </row>
    <row r="7" spans="2:18" x14ac:dyDescent="0.3">
      <c r="B7" s="124"/>
      <c r="C7" s="98" t="s">
        <v>39</v>
      </c>
      <c r="D7" s="118" t="s">
        <v>68</v>
      </c>
      <c r="E7" s="97" t="s">
        <v>95</v>
      </c>
      <c r="F7" s="98" t="s">
        <v>135</v>
      </c>
      <c r="G7" s="131">
        <f>VLOOKUP(D7,Sheet1!$F$5:$G$44,2,FALSE)</f>
        <v>32</v>
      </c>
      <c r="H7" s="151">
        <f>VLOOKUP(D7,Data!$C$2:$T$93,17,FALSE)</f>
        <v>21.040000000000003</v>
      </c>
      <c r="I7" s="145">
        <f t="shared" si="0"/>
        <v>21.04</v>
      </c>
      <c r="J7" s="157">
        <f t="shared" si="1"/>
        <v>673.28</v>
      </c>
      <c r="K7" s="122">
        <v>32</v>
      </c>
      <c r="L7" s="123">
        <f t="shared" si="2"/>
        <v>673.28</v>
      </c>
      <c r="M7" s="160"/>
      <c r="N7" s="123">
        <f t="shared" si="6"/>
        <v>0</v>
      </c>
      <c r="O7" s="114">
        <f t="shared" si="3"/>
        <v>0</v>
      </c>
      <c r="P7" s="145">
        <f t="shared" si="4"/>
        <v>673.28</v>
      </c>
      <c r="Q7" s="83">
        <f t="shared" si="7"/>
        <v>0</v>
      </c>
      <c r="R7" s="114">
        <f t="shared" si="5"/>
        <v>0</v>
      </c>
    </row>
    <row r="8" spans="2:18" x14ac:dyDescent="0.3">
      <c r="B8" s="124"/>
      <c r="C8" s="98" t="s">
        <v>79</v>
      </c>
      <c r="D8" s="118" t="s">
        <v>78</v>
      </c>
      <c r="E8" s="97" t="s">
        <v>94</v>
      </c>
      <c r="F8" s="98" t="s">
        <v>135</v>
      </c>
      <c r="G8" s="131">
        <f>VLOOKUP(D8,Sheet1!$F$5:$G$44,2,FALSE)</f>
        <v>40</v>
      </c>
      <c r="H8" s="151">
        <f>VLOOKUP(D8,Data!$C$2:$T$93,17,FALSE)</f>
        <v>16.73</v>
      </c>
      <c r="I8" s="145">
        <f t="shared" si="0"/>
        <v>16.73</v>
      </c>
      <c r="J8" s="157">
        <f t="shared" si="1"/>
        <v>669.2</v>
      </c>
      <c r="K8" s="122">
        <v>40</v>
      </c>
      <c r="L8" s="123">
        <f t="shared" si="2"/>
        <v>669.2</v>
      </c>
      <c r="M8" s="160"/>
      <c r="N8" s="123">
        <f t="shared" si="6"/>
        <v>0</v>
      </c>
      <c r="O8" s="114">
        <f t="shared" si="3"/>
        <v>0</v>
      </c>
      <c r="P8" s="145">
        <f t="shared" si="4"/>
        <v>669.2</v>
      </c>
      <c r="Q8" s="83">
        <f t="shared" si="7"/>
        <v>0</v>
      </c>
      <c r="R8" s="114">
        <f t="shared" si="5"/>
        <v>0</v>
      </c>
    </row>
    <row r="9" spans="2:18" x14ac:dyDescent="0.3">
      <c r="B9" s="124"/>
      <c r="C9" s="98" t="s">
        <v>77</v>
      </c>
      <c r="D9" s="118" t="s">
        <v>76</v>
      </c>
      <c r="E9" s="97" t="s">
        <v>93</v>
      </c>
      <c r="F9" s="98" t="s">
        <v>135</v>
      </c>
      <c r="G9" s="131">
        <f>VLOOKUP(D9,Sheet1!$F$5:$G$44,2,FALSE)</f>
        <v>40</v>
      </c>
      <c r="H9" s="151">
        <f>VLOOKUP(D9,Data!$C$2:$T$93,17,FALSE)</f>
        <v>23.98</v>
      </c>
      <c r="I9" s="145">
        <f t="shared" si="0"/>
        <v>23.98</v>
      </c>
      <c r="J9" s="157">
        <f t="shared" si="1"/>
        <v>959.2</v>
      </c>
      <c r="K9" s="122">
        <v>40</v>
      </c>
      <c r="L9" s="123">
        <f t="shared" si="2"/>
        <v>959.2</v>
      </c>
      <c r="M9" s="160"/>
      <c r="N9" s="123">
        <f t="shared" si="6"/>
        <v>0</v>
      </c>
      <c r="O9" s="114">
        <f t="shared" si="3"/>
        <v>0</v>
      </c>
      <c r="P9" s="145">
        <f t="shared" si="4"/>
        <v>959.2</v>
      </c>
      <c r="Q9" s="83">
        <f t="shared" si="7"/>
        <v>0</v>
      </c>
      <c r="R9" s="114">
        <f t="shared" si="5"/>
        <v>0</v>
      </c>
    </row>
    <row r="10" spans="2:18" x14ac:dyDescent="0.3">
      <c r="B10" s="124"/>
      <c r="C10" s="98" t="s">
        <v>39</v>
      </c>
      <c r="D10" s="118" t="s">
        <v>75</v>
      </c>
      <c r="E10" s="97" t="s">
        <v>92</v>
      </c>
      <c r="F10" s="98" t="s">
        <v>135</v>
      </c>
      <c r="G10" s="131">
        <f>VLOOKUP(D10,Sheet1!$F$5:$G$44,2,FALSE)</f>
        <v>80</v>
      </c>
      <c r="H10" s="151">
        <f>VLOOKUP(D10,Data!$C$2:$T$93,17,FALSE)</f>
        <v>9.1999999999999993</v>
      </c>
      <c r="I10" s="145">
        <f t="shared" si="0"/>
        <v>9.1999999999999993</v>
      </c>
      <c r="J10" s="157">
        <f t="shared" si="1"/>
        <v>736</v>
      </c>
      <c r="K10" s="122">
        <v>80</v>
      </c>
      <c r="L10" s="123">
        <f t="shared" si="2"/>
        <v>736</v>
      </c>
      <c r="M10" s="160"/>
      <c r="N10" s="123">
        <f t="shared" si="6"/>
        <v>0</v>
      </c>
      <c r="O10" s="114">
        <f t="shared" si="3"/>
        <v>0</v>
      </c>
      <c r="P10" s="145">
        <f t="shared" si="4"/>
        <v>736</v>
      </c>
      <c r="Q10" s="83">
        <f t="shared" si="7"/>
        <v>0</v>
      </c>
      <c r="R10" s="114">
        <f t="shared" si="5"/>
        <v>0</v>
      </c>
    </row>
    <row r="11" spans="2:18" x14ac:dyDescent="0.3">
      <c r="B11" s="124"/>
      <c r="C11" s="99" t="s">
        <v>39</v>
      </c>
      <c r="D11" s="119" t="s">
        <v>102</v>
      </c>
      <c r="E11" s="97" t="s">
        <v>103</v>
      </c>
      <c r="F11" s="98" t="s">
        <v>135</v>
      </c>
      <c r="G11" s="131">
        <f>VLOOKUP(D11,Sheet1!$F$5:$G$44,2,FALSE)</f>
        <v>50</v>
      </c>
      <c r="H11" s="151">
        <f>VLOOKUP(D11,Data!$C$2:$T$93,17,FALSE)</f>
        <v>51.03</v>
      </c>
      <c r="I11" s="145">
        <f t="shared" si="0"/>
        <v>51.03</v>
      </c>
      <c r="J11" s="157">
        <f t="shared" si="1"/>
        <v>2551.5</v>
      </c>
      <c r="K11" s="122">
        <v>50</v>
      </c>
      <c r="L11" s="123">
        <f t="shared" si="2"/>
        <v>2551.5</v>
      </c>
      <c r="M11" s="160"/>
      <c r="N11" s="123">
        <f t="shared" si="6"/>
        <v>0</v>
      </c>
      <c r="O11" s="114">
        <f t="shared" si="3"/>
        <v>0</v>
      </c>
      <c r="P11" s="145">
        <f t="shared" si="4"/>
        <v>2551.5</v>
      </c>
      <c r="Q11" s="83">
        <f t="shared" si="7"/>
        <v>0</v>
      </c>
      <c r="R11" s="114">
        <f t="shared" si="5"/>
        <v>0</v>
      </c>
    </row>
    <row r="12" spans="2:18" x14ac:dyDescent="0.3">
      <c r="B12" s="124"/>
      <c r="C12" s="90" t="s">
        <v>39</v>
      </c>
      <c r="D12" s="89" t="s">
        <v>52</v>
      </c>
      <c r="E12" s="89" t="s">
        <v>37</v>
      </c>
      <c r="F12" s="98" t="s">
        <v>135</v>
      </c>
      <c r="G12" s="131">
        <f>VLOOKUP(D12,Sheet1!$F$5:$G$44,2,FALSE)</f>
        <v>30</v>
      </c>
      <c r="H12" s="151">
        <f>VLOOKUP(D12,Data!$C$2:$T$93,17,FALSE)</f>
        <v>51.82</v>
      </c>
      <c r="I12" s="145">
        <f t="shared" si="0"/>
        <v>51.82</v>
      </c>
      <c r="J12" s="157">
        <f t="shared" si="1"/>
        <v>1554.6</v>
      </c>
      <c r="K12" s="122">
        <v>30</v>
      </c>
      <c r="L12" s="123">
        <f t="shared" si="2"/>
        <v>1554.6</v>
      </c>
      <c r="M12" s="160"/>
      <c r="N12" s="123">
        <f t="shared" si="6"/>
        <v>0</v>
      </c>
      <c r="O12" s="114">
        <f t="shared" si="3"/>
        <v>0</v>
      </c>
      <c r="P12" s="145">
        <f t="shared" si="4"/>
        <v>1554.6</v>
      </c>
      <c r="Q12" s="83">
        <f t="shared" si="7"/>
        <v>0</v>
      </c>
      <c r="R12" s="114">
        <f t="shared" si="5"/>
        <v>0</v>
      </c>
    </row>
    <row r="13" spans="2:18" x14ac:dyDescent="0.3">
      <c r="B13" s="124"/>
      <c r="C13" s="98" t="s">
        <v>39</v>
      </c>
      <c r="D13" s="118" t="s">
        <v>81</v>
      </c>
      <c r="E13" s="97" t="s">
        <v>32</v>
      </c>
      <c r="F13" s="98" t="s">
        <v>135</v>
      </c>
      <c r="G13" s="131">
        <f>VLOOKUP(D13,Sheet1!$F$5:$G$44,2,FALSE)</f>
        <v>96</v>
      </c>
      <c r="H13" s="151">
        <f>VLOOKUP(D13,Data!$C$2:$T$93,17,FALSE)</f>
        <v>27.05</v>
      </c>
      <c r="I13" s="145">
        <f t="shared" si="0"/>
        <v>27.05</v>
      </c>
      <c r="J13" s="157">
        <f t="shared" si="1"/>
        <v>2596.8000000000002</v>
      </c>
      <c r="K13" s="122">
        <v>96</v>
      </c>
      <c r="L13" s="123">
        <f t="shared" si="2"/>
        <v>2596.8000000000002</v>
      </c>
      <c r="M13" s="160"/>
      <c r="N13" s="123">
        <f t="shared" si="6"/>
        <v>0</v>
      </c>
      <c r="O13" s="114">
        <f t="shared" si="3"/>
        <v>0</v>
      </c>
      <c r="P13" s="145">
        <f t="shared" si="4"/>
        <v>2596.8000000000002</v>
      </c>
      <c r="Q13" s="83">
        <f t="shared" si="7"/>
        <v>0</v>
      </c>
      <c r="R13" s="114">
        <f t="shared" si="5"/>
        <v>0</v>
      </c>
    </row>
    <row r="14" spans="2:18" x14ac:dyDescent="0.3">
      <c r="B14" s="124"/>
      <c r="C14" s="99" t="s">
        <v>39</v>
      </c>
      <c r="D14" s="119" t="s">
        <v>100</v>
      </c>
      <c r="E14" s="97" t="s">
        <v>101</v>
      </c>
      <c r="F14" s="98" t="s">
        <v>135</v>
      </c>
      <c r="G14" s="131">
        <f>VLOOKUP(D14,Sheet1!$F$5:$G$44,2,FALSE)</f>
        <v>100</v>
      </c>
      <c r="H14" s="151">
        <f>VLOOKUP(D14,Data!$C$2:$T$93,17,FALSE)</f>
        <v>27.23</v>
      </c>
      <c r="I14" s="145">
        <f t="shared" si="0"/>
        <v>27.23</v>
      </c>
      <c r="J14" s="157">
        <f t="shared" si="1"/>
        <v>2723</v>
      </c>
      <c r="K14" s="122">
        <v>100</v>
      </c>
      <c r="L14" s="123">
        <f t="shared" si="2"/>
        <v>2723</v>
      </c>
      <c r="M14" s="160"/>
      <c r="N14" s="123">
        <f t="shared" si="6"/>
        <v>0</v>
      </c>
      <c r="O14" s="114">
        <f t="shared" si="3"/>
        <v>0</v>
      </c>
      <c r="P14" s="145">
        <f t="shared" si="4"/>
        <v>2723</v>
      </c>
      <c r="Q14" s="83">
        <f t="shared" si="7"/>
        <v>0</v>
      </c>
      <c r="R14" s="114">
        <f t="shared" si="5"/>
        <v>0</v>
      </c>
    </row>
    <row r="15" spans="2:18" x14ac:dyDescent="0.3">
      <c r="B15" s="124"/>
      <c r="C15" s="98" t="s">
        <v>35</v>
      </c>
      <c r="D15" s="118" t="s">
        <v>63</v>
      </c>
      <c r="E15" s="97" t="s">
        <v>32</v>
      </c>
      <c r="F15" s="98" t="s">
        <v>135</v>
      </c>
      <c r="G15" s="131">
        <f>VLOOKUP(D15,Sheet1!$F$5:$G$44,2,FALSE)</f>
        <v>16</v>
      </c>
      <c r="H15" s="151">
        <f>VLOOKUP(D15,Data!$C$2:$T$93,17,FALSE)</f>
        <v>60.62</v>
      </c>
      <c r="I15" s="145">
        <f t="shared" si="0"/>
        <v>60.62</v>
      </c>
      <c r="J15" s="157">
        <f t="shared" si="1"/>
        <v>969.92</v>
      </c>
      <c r="K15" s="122">
        <v>16</v>
      </c>
      <c r="L15" s="123">
        <f t="shared" si="2"/>
        <v>969.92</v>
      </c>
      <c r="M15" s="160"/>
      <c r="N15" s="123">
        <f t="shared" si="6"/>
        <v>0</v>
      </c>
      <c r="O15" s="114">
        <f t="shared" si="3"/>
        <v>0</v>
      </c>
      <c r="P15" s="145">
        <f t="shared" si="4"/>
        <v>969.92</v>
      </c>
      <c r="Q15" s="83">
        <f t="shared" si="7"/>
        <v>0</v>
      </c>
      <c r="R15" s="114">
        <f t="shared" si="5"/>
        <v>0</v>
      </c>
    </row>
    <row r="16" spans="2:18" x14ac:dyDescent="0.3">
      <c r="B16" s="124"/>
      <c r="C16" s="98" t="s">
        <v>33</v>
      </c>
      <c r="D16" s="118" t="s">
        <v>61</v>
      </c>
      <c r="E16" s="97" t="s">
        <v>32</v>
      </c>
      <c r="F16" s="98" t="s">
        <v>135</v>
      </c>
      <c r="G16" s="131">
        <f>VLOOKUP(D16,Sheet1!$F$5:$G$44,2,FALSE)</f>
        <v>16</v>
      </c>
      <c r="H16" s="151">
        <f>VLOOKUP(D16,Data!$C$2:$T$93,17,FALSE)</f>
        <v>64.92</v>
      </c>
      <c r="I16" s="145">
        <f t="shared" si="0"/>
        <v>64.92</v>
      </c>
      <c r="J16" s="157">
        <f t="shared" si="1"/>
        <v>1038.72</v>
      </c>
      <c r="K16" s="122">
        <v>16</v>
      </c>
      <c r="L16" s="123">
        <f t="shared" si="2"/>
        <v>1038.72</v>
      </c>
      <c r="M16" s="160"/>
      <c r="N16" s="123">
        <f t="shared" si="6"/>
        <v>0</v>
      </c>
      <c r="O16" s="114">
        <f t="shared" si="3"/>
        <v>0</v>
      </c>
      <c r="P16" s="145">
        <f t="shared" si="4"/>
        <v>1038.72</v>
      </c>
      <c r="Q16" s="83">
        <f t="shared" si="7"/>
        <v>0</v>
      </c>
      <c r="R16" s="114">
        <f t="shared" si="5"/>
        <v>0</v>
      </c>
    </row>
    <row r="17" spans="2:18" x14ac:dyDescent="0.3">
      <c r="B17" s="124"/>
      <c r="C17" s="98" t="s">
        <v>39</v>
      </c>
      <c r="D17" s="118" t="s">
        <v>59</v>
      </c>
      <c r="E17" s="97" t="s">
        <v>32</v>
      </c>
      <c r="F17" s="98" t="s">
        <v>135</v>
      </c>
      <c r="G17" s="131">
        <f>VLOOKUP(D17,Sheet1!$F$5:$G$44,2,FALSE)</f>
        <v>16</v>
      </c>
      <c r="H17" s="151">
        <f>VLOOKUP(D17,Data!$C$2:$T$93,17,FALSE)</f>
        <v>67.38000000000001</v>
      </c>
      <c r="I17" s="145">
        <f t="shared" si="0"/>
        <v>67.38</v>
      </c>
      <c r="J17" s="157">
        <f t="shared" si="1"/>
        <v>1078.08</v>
      </c>
      <c r="K17" s="122">
        <v>16</v>
      </c>
      <c r="L17" s="123">
        <f t="shared" si="2"/>
        <v>1078.08</v>
      </c>
      <c r="M17" s="160"/>
      <c r="N17" s="123">
        <f t="shared" si="6"/>
        <v>0</v>
      </c>
      <c r="O17" s="114">
        <f t="shared" si="3"/>
        <v>0</v>
      </c>
      <c r="P17" s="145">
        <f t="shared" si="4"/>
        <v>1078.08</v>
      </c>
      <c r="Q17" s="83">
        <f t="shared" si="7"/>
        <v>0</v>
      </c>
      <c r="R17" s="114">
        <f t="shared" si="5"/>
        <v>0</v>
      </c>
    </row>
    <row r="18" spans="2:18" x14ac:dyDescent="0.3">
      <c r="B18" s="124"/>
      <c r="C18" s="98" t="s">
        <v>39</v>
      </c>
      <c r="D18" s="118" t="s">
        <v>58</v>
      </c>
      <c r="E18" s="97" t="s">
        <v>29</v>
      </c>
      <c r="F18" s="98" t="s">
        <v>135</v>
      </c>
      <c r="G18" s="131">
        <f>VLOOKUP(D18,Sheet1!$F$5:$G$44,2,FALSE)</f>
        <v>32</v>
      </c>
      <c r="H18" s="151">
        <f>VLOOKUP(D18,Data!$C$2:$T$93,17,FALSE)</f>
        <v>22.580000000000002</v>
      </c>
      <c r="I18" s="145">
        <f t="shared" si="0"/>
        <v>22.58</v>
      </c>
      <c r="J18" s="157">
        <f t="shared" si="1"/>
        <v>722.56</v>
      </c>
      <c r="K18" s="122">
        <v>32</v>
      </c>
      <c r="L18" s="123">
        <f t="shared" si="2"/>
        <v>722.56</v>
      </c>
      <c r="M18" s="160"/>
      <c r="N18" s="123">
        <f t="shared" si="6"/>
        <v>0</v>
      </c>
      <c r="O18" s="114">
        <f t="shared" si="3"/>
        <v>0</v>
      </c>
      <c r="P18" s="145">
        <f t="shared" si="4"/>
        <v>722.56</v>
      </c>
      <c r="Q18" s="83">
        <f t="shared" si="7"/>
        <v>0</v>
      </c>
      <c r="R18" s="114">
        <f t="shared" si="5"/>
        <v>0</v>
      </c>
    </row>
    <row r="19" spans="2:18" x14ac:dyDescent="0.3">
      <c r="B19" s="124"/>
      <c r="C19" s="90" t="s">
        <v>35</v>
      </c>
      <c r="D19" s="89" t="s">
        <v>34</v>
      </c>
      <c r="E19" s="89" t="s">
        <v>32</v>
      </c>
      <c r="F19" s="98" t="s">
        <v>135</v>
      </c>
      <c r="G19" s="131">
        <f>VLOOKUP(D19,Sheet1!$F$5:$G$44,2,FALSE)</f>
        <v>68</v>
      </c>
      <c r="H19" s="151">
        <f>VLOOKUP(D19,Data!$C$2:$T$93,17,FALSE)</f>
        <v>58.449999999999996</v>
      </c>
      <c r="I19" s="145">
        <f t="shared" si="0"/>
        <v>58.45</v>
      </c>
      <c r="J19" s="157">
        <f t="shared" si="1"/>
        <v>3974.6</v>
      </c>
      <c r="K19" s="122">
        <v>68</v>
      </c>
      <c r="L19" s="123">
        <f t="shared" si="2"/>
        <v>3974.6</v>
      </c>
      <c r="M19" s="160"/>
      <c r="N19" s="123">
        <f t="shared" si="6"/>
        <v>0</v>
      </c>
      <c r="O19" s="114">
        <f t="shared" si="3"/>
        <v>0</v>
      </c>
      <c r="P19" s="145">
        <f t="shared" si="4"/>
        <v>3974.6000000000004</v>
      </c>
      <c r="Q19" s="83">
        <f t="shared" si="7"/>
        <v>0</v>
      </c>
      <c r="R19" s="114">
        <f t="shared" si="5"/>
        <v>0</v>
      </c>
    </row>
    <row r="20" spans="2:18" x14ac:dyDescent="0.3">
      <c r="B20" s="124"/>
      <c r="C20" s="90" t="s">
        <v>33</v>
      </c>
      <c r="D20" s="89" t="s">
        <v>31</v>
      </c>
      <c r="E20" s="89" t="s">
        <v>32</v>
      </c>
      <c r="F20" s="98" t="s">
        <v>135</v>
      </c>
      <c r="G20" s="131">
        <f>VLOOKUP(D20,Sheet1!$F$5:$G$44,2,FALSE)</f>
        <v>88</v>
      </c>
      <c r="H20" s="151">
        <f>VLOOKUP(D20,Data!$C$2:$T$93,17,FALSE)</f>
        <v>45.97</v>
      </c>
      <c r="I20" s="145">
        <f t="shared" si="0"/>
        <v>45.97</v>
      </c>
      <c r="J20" s="157">
        <f t="shared" si="1"/>
        <v>4045.36</v>
      </c>
      <c r="K20" s="122">
        <v>88</v>
      </c>
      <c r="L20" s="123">
        <f t="shared" si="2"/>
        <v>4045.36</v>
      </c>
      <c r="M20" s="160"/>
      <c r="N20" s="123">
        <f t="shared" si="6"/>
        <v>0</v>
      </c>
      <c r="O20" s="114">
        <f t="shared" si="3"/>
        <v>0</v>
      </c>
      <c r="P20" s="145">
        <f t="shared" si="4"/>
        <v>4045.3599999999997</v>
      </c>
      <c r="Q20" s="83">
        <f t="shared" si="7"/>
        <v>0</v>
      </c>
      <c r="R20" s="114">
        <f t="shared" si="5"/>
        <v>0</v>
      </c>
    </row>
    <row r="21" spans="2:18" x14ac:dyDescent="0.3">
      <c r="B21" s="124"/>
      <c r="C21" s="90" t="s">
        <v>33</v>
      </c>
      <c r="D21" s="89" t="s">
        <v>49</v>
      </c>
      <c r="E21" s="89" t="s">
        <v>37</v>
      </c>
      <c r="F21" s="98" t="s">
        <v>135</v>
      </c>
      <c r="G21" s="131">
        <f>VLOOKUP(D21,Sheet1!$F$5:$G$44,2,FALSE)</f>
        <v>86</v>
      </c>
      <c r="H21" s="151">
        <f>VLOOKUP(D21,Data!$C$2:$T$93,17,FALSE)</f>
        <v>26.8</v>
      </c>
      <c r="I21" s="145">
        <f t="shared" si="0"/>
        <v>26.8</v>
      </c>
      <c r="J21" s="157">
        <f t="shared" si="1"/>
        <v>2304.8000000000002</v>
      </c>
      <c r="K21" s="122">
        <v>86</v>
      </c>
      <c r="L21" s="123">
        <f t="shared" si="2"/>
        <v>2304.8000000000002</v>
      </c>
      <c r="M21" s="160"/>
      <c r="N21" s="123">
        <f t="shared" si="6"/>
        <v>0</v>
      </c>
      <c r="O21" s="114">
        <f t="shared" si="3"/>
        <v>0</v>
      </c>
      <c r="P21" s="145">
        <f t="shared" si="4"/>
        <v>2304.8000000000002</v>
      </c>
      <c r="Q21" s="83">
        <f t="shared" si="7"/>
        <v>0</v>
      </c>
      <c r="R21" s="114">
        <f t="shared" si="5"/>
        <v>0</v>
      </c>
    </row>
    <row r="22" spans="2:18" x14ac:dyDescent="0.3">
      <c r="B22" s="124"/>
      <c r="C22" s="90" t="s">
        <v>39</v>
      </c>
      <c r="D22" s="89" t="s">
        <v>38</v>
      </c>
      <c r="E22" s="89" t="s">
        <v>37</v>
      </c>
      <c r="F22" s="98" t="s">
        <v>135</v>
      </c>
      <c r="G22" s="131">
        <f>VLOOKUP(D22,Sheet1!$F$5:$G$44,2,FALSE)</f>
        <v>24</v>
      </c>
      <c r="H22" s="151">
        <f>VLOOKUP(D22,Data!$C$2:$T$93,17,FALSE)</f>
        <v>75.940000000000012</v>
      </c>
      <c r="I22" s="145">
        <f t="shared" si="0"/>
        <v>75.94</v>
      </c>
      <c r="J22" s="157">
        <f t="shared" si="1"/>
        <v>1822.56</v>
      </c>
      <c r="K22" s="122">
        <v>24</v>
      </c>
      <c r="L22" s="123">
        <f t="shared" si="2"/>
        <v>1822.56</v>
      </c>
      <c r="M22" s="160"/>
      <c r="N22" s="123">
        <f t="shared" si="6"/>
        <v>0</v>
      </c>
      <c r="O22" s="114">
        <f t="shared" si="3"/>
        <v>0</v>
      </c>
      <c r="P22" s="145">
        <f t="shared" si="4"/>
        <v>1822.56</v>
      </c>
      <c r="Q22" s="83">
        <f t="shared" si="7"/>
        <v>0</v>
      </c>
      <c r="R22" s="114">
        <f t="shared" si="5"/>
        <v>0</v>
      </c>
    </row>
    <row r="23" spans="2:18" x14ac:dyDescent="0.3">
      <c r="B23" s="124"/>
      <c r="C23" s="98" t="s">
        <v>39</v>
      </c>
      <c r="D23" s="118" t="s">
        <v>66</v>
      </c>
      <c r="E23" s="97" t="s">
        <v>67</v>
      </c>
      <c r="F23" s="98" t="s">
        <v>135</v>
      </c>
      <c r="G23" s="131">
        <f>VLOOKUP(D23,Sheet1!$F$5:$G$44,2,FALSE)</f>
        <v>16</v>
      </c>
      <c r="H23" s="151">
        <f>VLOOKUP(D23,Data!$C$2:$T$93,17,FALSE)</f>
        <v>195.22</v>
      </c>
      <c r="I23" s="145">
        <f t="shared" si="0"/>
        <v>195.22</v>
      </c>
      <c r="J23" s="157">
        <f t="shared" si="1"/>
        <v>3123.52</v>
      </c>
      <c r="K23" s="122">
        <v>16</v>
      </c>
      <c r="L23" s="123">
        <f t="shared" si="2"/>
        <v>3123.52</v>
      </c>
      <c r="M23" s="160"/>
      <c r="N23" s="123">
        <f t="shared" si="6"/>
        <v>0</v>
      </c>
      <c r="O23" s="114">
        <f t="shared" si="3"/>
        <v>0</v>
      </c>
      <c r="P23" s="145">
        <f t="shared" si="4"/>
        <v>3123.52</v>
      </c>
      <c r="Q23" s="83">
        <f t="shared" si="7"/>
        <v>0</v>
      </c>
      <c r="R23" s="114">
        <f t="shared" si="5"/>
        <v>0</v>
      </c>
    </row>
    <row r="24" spans="2:18" x14ac:dyDescent="0.3">
      <c r="B24" s="124"/>
      <c r="C24" s="90" t="s">
        <v>55</v>
      </c>
      <c r="D24" s="89" t="s">
        <v>53</v>
      </c>
      <c r="E24" s="89" t="s">
        <v>54</v>
      </c>
      <c r="F24" s="98" t="s">
        <v>135</v>
      </c>
      <c r="G24" s="131">
        <f>VLOOKUP(D24,Sheet1!$F$5:$G$44,2,FALSE)</f>
        <v>80</v>
      </c>
      <c r="H24" s="151">
        <f>VLOOKUP(D24,Data!$C$2:$T$93,17,FALSE)</f>
        <v>47.559999999999995</v>
      </c>
      <c r="I24" s="145">
        <f t="shared" si="0"/>
        <v>47.56</v>
      </c>
      <c r="J24" s="157">
        <f t="shared" si="1"/>
        <v>3804.8</v>
      </c>
      <c r="K24" s="122">
        <v>80</v>
      </c>
      <c r="L24" s="123">
        <f t="shared" si="2"/>
        <v>3804.8</v>
      </c>
      <c r="M24" s="160"/>
      <c r="N24" s="123">
        <f t="shared" si="6"/>
        <v>0</v>
      </c>
      <c r="O24" s="114">
        <f t="shared" si="3"/>
        <v>0</v>
      </c>
      <c r="P24" s="145">
        <f t="shared" si="4"/>
        <v>3804.8</v>
      </c>
      <c r="Q24" s="83">
        <f t="shared" si="7"/>
        <v>0</v>
      </c>
      <c r="R24" s="114">
        <f t="shared" si="5"/>
        <v>0</v>
      </c>
    </row>
    <row r="25" spans="2:18" x14ac:dyDescent="0.3">
      <c r="B25" s="124"/>
      <c r="C25" s="90" t="s">
        <v>55</v>
      </c>
      <c r="D25" s="89" t="s">
        <v>56</v>
      </c>
      <c r="E25" s="89" t="s">
        <v>57</v>
      </c>
      <c r="F25" s="98" t="s">
        <v>135</v>
      </c>
      <c r="G25" s="131">
        <f>VLOOKUP(D25,Sheet1!$F$5:$G$44,2,FALSE)</f>
        <v>80</v>
      </c>
      <c r="H25" s="151">
        <f>VLOOKUP(D25,Data!$C$2:$T$93,17,FALSE)</f>
        <v>20.330000000000002</v>
      </c>
      <c r="I25" s="145">
        <f t="shared" si="0"/>
        <v>20.329999999999998</v>
      </c>
      <c r="J25" s="157">
        <f t="shared" si="1"/>
        <v>1626.4</v>
      </c>
      <c r="K25" s="122">
        <v>80</v>
      </c>
      <c r="L25" s="123">
        <f t="shared" si="2"/>
        <v>1626.4</v>
      </c>
      <c r="M25" s="160"/>
      <c r="N25" s="123">
        <f t="shared" si="6"/>
        <v>0</v>
      </c>
      <c r="O25" s="114">
        <f t="shared" si="3"/>
        <v>0</v>
      </c>
      <c r="P25" s="145">
        <f t="shared" si="4"/>
        <v>1626.3999999999999</v>
      </c>
      <c r="Q25" s="83">
        <f t="shared" si="7"/>
        <v>0</v>
      </c>
      <c r="R25" s="114">
        <f t="shared" si="5"/>
        <v>0</v>
      </c>
    </row>
    <row r="26" spans="2:18" x14ac:dyDescent="0.3">
      <c r="B26" s="124"/>
      <c r="C26" s="90" t="s">
        <v>33</v>
      </c>
      <c r="D26" s="89" t="s">
        <v>36</v>
      </c>
      <c r="E26" s="89" t="s">
        <v>37</v>
      </c>
      <c r="F26" s="98" t="s">
        <v>135</v>
      </c>
      <c r="G26" s="131">
        <f>VLOOKUP(D26,Sheet1!$F$5:$G$44,2,FALSE)</f>
        <v>8</v>
      </c>
      <c r="H26" s="151">
        <f>VLOOKUP(D26,Data!$C$2:$T$93,17,FALSE)</f>
        <v>55.43</v>
      </c>
      <c r="I26" s="145">
        <f t="shared" si="0"/>
        <v>55.43</v>
      </c>
      <c r="J26" s="157">
        <f t="shared" si="1"/>
        <v>443.44</v>
      </c>
      <c r="K26" s="122">
        <v>8</v>
      </c>
      <c r="L26" s="123">
        <f>ROUNDUP(K26*$H26,2)</f>
        <v>443.44</v>
      </c>
      <c r="M26" s="160"/>
      <c r="N26" s="123">
        <f>ROUNDUP(M26*$H26,2)</f>
        <v>0</v>
      </c>
      <c r="O26" s="114">
        <f t="shared" si="3"/>
        <v>0</v>
      </c>
      <c r="P26" s="145">
        <f t="shared" si="4"/>
        <v>443.44</v>
      </c>
      <c r="Q26" s="83">
        <f t="shared" si="7"/>
        <v>0</v>
      </c>
      <c r="R26" s="114">
        <f t="shared" si="5"/>
        <v>0</v>
      </c>
    </row>
    <row r="27" spans="2:18" x14ac:dyDescent="0.3">
      <c r="B27" s="124"/>
      <c r="C27" s="90" t="s">
        <v>30</v>
      </c>
      <c r="D27" s="89" t="s">
        <v>43</v>
      </c>
      <c r="E27" s="89" t="s">
        <v>44</v>
      </c>
      <c r="F27" s="98" t="s">
        <v>135</v>
      </c>
      <c r="G27" s="131">
        <f>VLOOKUP(D27,Sheet1!$F$5:$G$44,2,FALSE)</f>
        <v>100</v>
      </c>
      <c r="H27" s="151">
        <f>VLOOKUP(D27,Data!$C$2:$T$93,17,FALSE)</f>
        <v>24.900000000000002</v>
      </c>
      <c r="I27" s="145">
        <f t="shared" si="0"/>
        <v>24.9</v>
      </c>
      <c r="J27" s="157">
        <f t="shared" si="1"/>
        <v>2490</v>
      </c>
      <c r="K27" s="122">
        <v>100</v>
      </c>
      <c r="L27" s="123">
        <f t="shared" si="2"/>
        <v>2490</v>
      </c>
      <c r="M27" s="160"/>
      <c r="N27" s="123">
        <f t="shared" ref="N27:N33" si="8">ROUNDUP(M27*$H27,2)</f>
        <v>0</v>
      </c>
      <c r="O27" s="114">
        <f t="shared" si="3"/>
        <v>0</v>
      </c>
      <c r="P27" s="145">
        <f t="shared" si="4"/>
        <v>2490</v>
      </c>
      <c r="Q27" s="83">
        <f t="shared" si="7"/>
        <v>0</v>
      </c>
      <c r="R27" s="114">
        <f t="shared" si="5"/>
        <v>0</v>
      </c>
    </row>
    <row r="28" spans="2:18" x14ac:dyDescent="0.3">
      <c r="B28" s="124"/>
      <c r="C28" s="90" t="s">
        <v>30</v>
      </c>
      <c r="D28" s="89" t="s">
        <v>45</v>
      </c>
      <c r="E28" s="89" t="s">
        <v>32</v>
      </c>
      <c r="F28" s="98" t="s">
        <v>135</v>
      </c>
      <c r="G28" s="131">
        <f>VLOOKUP(D28,Sheet1!$F$5:$G$44,2,FALSE)</f>
        <v>100</v>
      </c>
      <c r="H28" s="151">
        <f>VLOOKUP(D28,Data!$C$2:$T$93,17,FALSE)</f>
        <v>22.540000000000003</v>
      </c>
      <c r="I28" s="145">
        <f t="shared" si="0"/>
        <v>22.54</v>
      </c>
      <c r="J28" s="157">
        <f t="shared" si="1"/>
        <v>2254</v>
      </c>
      <c r="K28" s="122">
        <v>100</v>
      </c>
      <c r="L28" s="123">
        <f t="shared" si="2"/>
        <v>2254</v>
      </c>
      <c r="M28" s="160"/>
      <c r="N28" s="123">
        <f t="shared" si="8"/>
        <v>0</v>
      </c>
      <c r="O28" s="114">
        <f t="shared" si="3"/>
        <v>0</v>
      </c>
      <c r="P28" s="145">
        <f t="shared" si="4"/>
        <v>2254</v>
      </c>
      <c r="Q28" s="83">
        <f t="shared" si="7"/>
        <v>0</v>
      </c>
      <c r="R28" s="114">
        <f t="shared" si="5"/>
        <v>0</v>
      </c>
    </row>
    <row r="29" spans="2:18" x14ac:dyDescent="0.3">
      <c r="B29" s="124"/>
      <c r="C29" s="98" t="s">
        <v>30</v>
      </c>
      <c r="D29" s="118" t="s">
        <v>73</v>
      </c>
      <c r="E29" s="97" t="s">
        <v>92</v>
      </c>
      <c r="F29" s="98" t="s">
        <v>135</v>
      </c>
      <c r="G29" s="131">
        <f>VLOOKUP(D29,Sheet1!$F$5:$G$44,2,FALSE)</f>
        <v>80</v>
      </c>
      <c r="H29" s="151">
        <f>VLOOKUP(D29,Data!$C$2:$T$93,17,FALSE)</f>
        <v>13.049999999999999</v>
      </c>
      <c r="I29" s="145">
        <f t="shared" si="0"/>
        <v>13.05</v>
      </c>
      <c r="J29" s="157">
        <f t="shared" si="1"/>
        <v>1044</v>
      </c>
      <c r="K29" s="122">
        <v>80</v>
      </c>
      <c r="L29" s="123">
        <f t="shared" si="2"/>
        <v>1044</v>
      </c>
      <c r="M29" s="160"/>
      <c r="N29" s="123">
        <f t="shared" si="8"/>
        <v>0</v>
      </c>
      <c r="O29" s="114">
        <f t="shared" si="3"/>
        <v>0</v>
      </c>
      <c r="P29" s="145">
        <f t="shared" si="4"/>
        <v>1044</v>
      </c>
      <c r="Q29" s="83">
        <f t="shared" si="7"/>
        <v>0</v>
      </c>
      <c r="R29" s="114">
        <f t="shared" si="5"/>
        <v>0</v>
      </c>
    </row>
    <row r="30" spans="2:18" x14ac:dyDescent="0.3">
      <c r="B30" s="124"/>
      <c r="C30" s="98" t="s">
        <v>33</v>
      </c>
      <c r="D30" s="118" t="s">
        <v>84</v>
      </c>
      <c r="E30" s="97" t="s">
        <v>97</v>
      </c>
      <c r="F30" s="98" t="s">
        <v>135</v>
      </c>
      <c r="G30" s="131">
        <f>VLOOKUP(D30,Sheet1!$F$5:$G$44,2,FALSE)</f>
        <v>96</v>
      </c>
      <c r="H30" s="151">
        <f>VLOOKUP(D30,Data!$C$2:$T$93,17,FALSE)</f>
        <v>17.420000000000002</v>
      </c>
      <c r="I30" s="145">
        <f t="shared" si="0"/>
        <v>17.420000000000002</v>
      </c>
      <c r="J30" s="157">
        <f t="shared" si="1"/>
        <v>1672.32</v>
      </c>
      <c r="K30" s="122">
        <v>14</v>
      </c>
      <c r="L30" s="123">
        <f t="shared" si="2"/>
        <v>243.88</v>
      </c>
      <c r="M30" s="160">
        <v>82</v>
      </c>
      <c r="N30" s="123">
        <f t="shared" si="8"/>
        <v>1428.44</v>
      </c>
      <c r="O30" s="114">
        <f t="shared" si="3"/>
        <v>0</v>
      </c>
      <c r="P30" s="145">
        <f t="shared" si="4"/>
        <v>243.88000000000002</v>
      </c>
      <c r="Q30" s="83">
        <f t="shared" si="7"/>
        <v>0</v>
      </c>
      <c r="R30" s="114">
        <f t="shared" si="5"/>
        <v>0</v>
      </c>
    </row>
    <row r="31" spans="2:18" x14ac:dyDescent="0.3">
      <c r="B31" s="124"/>
      <c r="C31" s="90" t="s">
        <v>33</v>
      </c>
      <c r="D31" s="89" t="s">
        <v>50</v>
      </c>
      <c r="E31" s="89" t="s">
        <v>51</v>
      </c>
      <c r="F31" s="98" t="s">
        <v>135</v>
      </c>
      <c r="G31" s="131">
        <f>VLOOKUP(D31,Sheet1!$F$5:$G$44,2,FALSE)</f>
        <v>76</v>
      </c>
      <c r="H31" s="151">
        <f>VLOOKUP(D31,Data!$C$2:$T$93,17,FALSE)</f>
        <v>124.45</v>
      </c>
      <c r="I31" s="145">
        <f t="shared" si="0"/>
        <v>124.45</v>
      </c>
      <c r="J31" s="157">
        <f t="shared" si="1"/>
        <v>9458.2000000000007</v>
      </c>
      <c r="K31" s="122">
        <v>76</v>
      </c>
      <c r="L31" s="123">
        <f t="shared" si="2"/>
        <v>9458.2000000000007</v>
      </c>
      <c r="M31" s="160"/>
      <c r="N31" s="123">
        <f t="shared" si="8"/>
        <v>0</v>
      </c>
      <c r="O31" s="114">
        <f t="shared" si="3"/>
        <v>0</v>
      </c>
      <c r="P31" s="145">
        <f t="shared" si="4"/>
        <v>9458.2000000000007</v>
      </c>
      <c r="Q31" s="83">
        <f t="shared" si="7"/>
        <v>0</v>
      </c>
      <c r="R31" s="114">
        <f t="shared" si="5"/>
        <v>0</v>
      </c>
    </row>
    <row r="32" spans="2:18" x14ac:dyDescent="0.3">
      <c r="B32" s="124"/>
      <c r="C32" s="90" t="s">
        <v>35</v>
      </c>
      <c r="D32" s="89" t="s">
        <v>47</v>
      </c>
      <c r="E32" s="89" t="s">
        <v>48</v>
      </c>
      <c r="F32" s="98" t="s">
        <v>135</v>
      </c>
      <c r="G32" s="131">
        <f>VLOOKUP(D32,Sheet1!$F$5:$G$44,2,FALSE)</f>
        <v>40</v>
      </c>
      <c r="H32" s="151">
        <f>VLOOKUP(D32,Data!$C$2:$T$93,17,FALSE)</f>
        <v>109.56</v>
      </c>
      <c r="I32" s="145">
        <f t="shared" si="0"/>
        <v>109.56</v>
      </c>
      <c r="J32" s="157">
        <f t="shared" si="1"/>
        <v>4382.3999999999996</v>
      </c>
      <c r="K32" s="122">
        <v>40</v>
      </c>
      <c r="L32" s="123">
        <f t="shared" si="2"/>
        <v>4382.3999999999996</v>
      </c>
      <c r="M32" s="160"/>
      <c r="N32" s="123">
        <f t="shared" si="8"/>
        <v>0</v>
      </c>
      <c r="O32" s="114">
        <f t="shared" si="3"/>
        <v>0</v>
      </c>
      <c r="P32" s="145">
        <f t="shared" si="4"/>
        <v>4382.3999999999996</v>
      </c>
      <c r="Q32" s="83">
        <f t="shared" si="7"/>
        <v>0</v>
      </c>
      <c r="R32" s="114">
        <f t="shared" si="5"/>
        <v>0</v>
      </c>
    </row>
    <row r="33" spans="2:18" x14ac:dyDescent="0.3">
      <c r="B33" s="124"/>
      <c r="C33" s="98" t="s">
        <v>30</v>
      </c>
      <c r="D33" s="118" t="s">
        <v>71</v>
      </c>
      <c r="E33" s="97" t="s">
        <v>92</v>
      </c>
      <c r="F33" s="98" t="s">
        <v>135</v>
      </c>
      <c r="G33" s="131">
        <f>VLOOKUP(D33,Sheet1!$F$5:$G$44,2,FALSE)</f>
        <v>80</v>
      </c>
      <c r="H33" s="151">
        <f>VLOOKUP(D33,Data!$C$2:$T$93,17,FALSE)</f>
        <v>10.37</v>
      </c>
      <c r="I33" s="145">
        <f t="shared" si="0"/>
        <v>10.37</v>
      </c>
      <c r="J33" s="157">
        <f t="shared" si="1"/>
        <v>829.6</v>
      </c>
      <c r="K33" s="122">
        <v>80</v>
      </c>
      <c r="L33" s="123">
        <f t="shared" si="2"/>
        <v>829.6</v>
      </c>
      <c r="M33" s="160"/>
      <c r="N33" s="123">
        <f t="shared" si="8"/>
        <v>0</v>
      </c>
      <c r="O33" s="114">
        <f t="shared" si="3"/>
        <v>0</v>
      </c>
      <c r="P33" s="145">
        <f t="shared" si="4"/>
        <v>829.59999999999991</v>
      </c>
      <c r="Q33" s="83">
        <f t="shared" si="7"/>
        <v>0</v>
      </c>
      <c r="R33" s="114">
        <f t="shared" si="5"/>
        <v>0</v>
      </c>
    </row>
    <row r="34" spans="2:18" x14ac:dyDescent="0.3">
      <c r="B34" s="124"/>
      <c r="C34" s="99" t="s">
        <v>35</v>
      </c>
      <c r="D34" s="119" t="s">
        <v>104</v>
      </c>
      <c r="E34" s="97" t="s">
        <v>105</v>
      </c>
      <c r="F34" s="98" t="s">
        <v>135</v>
      </c>
      <c r="G34" s="131">
        <f>VLOOKUP(D34,Sheet1!$F$5:$G$44,2,FALSE)</f>
        <v>50</v>
      </c>
      <c r="H34" s="151">
        <f>VLOOKUP(D34,Data!$C$2:$T$93,17,FALSE)</f>
        <v>26.400000000000002</v>
      </c>
      <c r="I34" s="145">
        <f t="shared" si="0"/>
        <v>26.4</v>
      </c>
      <c r="J34" s="157">
        <f t="shared" si="1"/>
        <v>1320</v>
      </c>
      <c r="K34" s="122">
        <v>50</v>
      </c>
      <c r="L34" s="123">
        <f t="shared" si="2"/>
        <v>1320</v>
      </c>
      <c r="M34" s="160"/>
      <c r="N34" s="123">
        <f t="shared" ref="N34:N36" si="9">ROUNDUP(M34*$H34,2)</f>
        <v>0</v>
      </c>
      <c r="O34" s="114">
        <f t="shared" si="3"/>
        <v>0</v>
      </c>
      <c r="P34" s="145">
        <f t="shared" si="4"/>
        <v>1320</v>
      </c>
      <c r="Q34" s="83">
        <f t="shared" si="7"/>
        <v>0</v>
      </c>
      <c r="R34" s="114">
        <f t="shared" si="5"/>
        <v>0</v>
      </c>
    </row>
    <row r="35" spans="2:18" x14ac:dyDescent="0.3">
      <c r="B35" s="124"/>
      <c r="C35" s="69" t="s">
        <v>39</v>
      </c>
      <c r="D35" s="69" t="s">
        <v>98</v>
      </c>
      <c r="E35" s="67" t="s">
        <v>99</v>
      </c>
      <c r="F35" s="98" t="s">
        <v>135</v>
      </c>
      <c r="G35" s="81">
        <v>100</v>
      </c>
      <c r="H35" s="151">
        <f>VLOOKUP(D35,Data!$C$2:$T$93,17,FALSE)</f>
        <v>48.43</v>
      </c>
      <c r="I35" s="145"/>
      <c r="J35" s="157">
        <f t="shared" si="1"/>
        <v>4843</v>
      </c>
      <c r="K35" s="122"/>
      <c r="L35" s="123">
        <f t="shared" ref="L35:L36" si="10">ROUNDUP(K35*H35,2)</f>
        <v>0</v>
      </c>
      <c r="M35" s="160">
        <v>100</v>
      </c>
      <c r="N35" s="123">
        <f t="shared" si="9"/>
        <v>4843</v>
      </c>
      <c r="O35" s="114"/>
      <c r="P35" s="145"/>
      <c r="Q35" s="83">
        <f t="shared" si="7"/>
        <v>0</v>
      </c>
      <c r="R35" s="114">
        <f t="shared" si="5"/>
        <v>0</v>
      </c>
    </row>
    <row r="36" spans="2:18" x14ac:dyDescent="0.3">
      <c r="B36" s="124"/>
      <c r="C36" s="68" t="s">
        <v>35</v>
      </c>
      <c r="D36" s="66" t="s">
        <v>65</v>
      </c>
      <c r="E36" s="67" t="s">
        <v>96</v>
      </c>
      <c r="F36" s="98"/>
      <c r="G36" s="131">
        <v>16</v>
      </c>
      <c r="H36" s="151">
        <f>VLOOKUP(D36,Data!$C$2:$T$93,17,FALSE)</f>
        <v>103.07000000000001</v>
      </c>
      <c r="I36" s="145"/>
      <c r="J36" s="157">
        <f t="shared" si="1"/>
        <v>1649.12</v>
      </c>
      <c r="K36" s="122"/>
      <c r="L36" s="123">
        <f t="shared" si="10"/>
        <v>0</v>
      </c>
      <c r="M36" s="160">
        <v>16</v>
      </c>
      <c r="N36" s="123">
        <f t="shared" si="9"/>
        <v>1649.12</v>
      </c>
      <c r="O36" s="114"/>
      <c r="P36" s="145"/>
      <c r="Q36" s="83">
        <f t="shared" si="7"/>
        <v>0</v>
      </c>
      <c r="R36" s="114">
        <f t="shared" si="5"/>
        <v>0</v>
      </c>
    </row>
    <row r="37" spans="2:18" x14ac:dyDescent="0.3">
      <c r="B37" s="124"/>
      <c r="C37" s="39"/>
      <c r="D37" s="45"/>
      <c r="E37" s="46"/>
      <c r="F37" s="98"/>
      <c r="G37" s="131"/>
      <c r="H37" s="122"/>
      <c r="I37" s="145"/>
      <c r="J37" s="158"/>
      <c r="K37" s="122"/>
      <c r="L37" s="123"/>
      <c r="M37" s="160"/>
      <c r="N37" s="160"/>
      <c r="O37" s="114"/>
      <c r="P37" s="145"/>
    </row>
    <row r="38" spans="2:18" x14ac:dyDescent="0.3">
      <c r="B38" s="124"/>
      <c r="C38" s="117"/>
      <c r="D38" s="119"/>
      <c r="E38" s="117"/>
      <c r="F38" s="117"/>
      <c r="G38" s="117"/>
      <c r="H38" s="125"/>
      <c r="J38" s="159"/>
      <c r="K38" s="125"/>
      <c r="L38" s="126"/>
      <c r="M38" s="161"/>
      <c r="N38" s="161"/>
    </row>
    <row r="39" spans="2:18" x14ac:dyDescent="0.3">
      <c r="B39" s="127"/>
      <c r="C39" s="121"/>
      <c r="D39" s="120"/>
      <c r="E39" s="121"/>
      <c r="F39" s="121"/>
      <c r="G39" s="148">
        <f>SUM(G3:G38)</f>
        <v>2024</v>
      </c>
      <c r="H39" s="128"/>
      <c r="J39" s="129">
        <f t="shared" ref="J39:R39" si="11">SUM(J3:J38)</f>
        <v>74272.02</v>
      </c>
      <c r="K39" s="148">
        <f t="shared" si="11"/>
        <v>1826</v>
      </c>
      <c r="L39" s="129">
        <f t="shared" si="11"/>
        <v>66351.460000000006</v>
      </c>
      <c r="M39" s="129"/>
      <c r="N39" s="129">
        <f>SUM(N3:N37)</f>
        <v>7920.56</v>
      </c>
      <c r="O39" s="129">
        <f t="shared" si="11"/>
        <v>0</v>
      </c>
      <c r="P39" s="129">
        <f t="shared" si="11"/>
        <v>66351.460000000006</v>
      </c>
      <c r="Q39" s="148">
        <f t="shared" si="11"/>
        <v>0</v>
      </c>
      <c r="R39" s="129">
        <f t="shared" si="11"/>
        <v>0</v>
      </c>
    </row>
    <row r="40" spans="2:18" x14ac:dyDescent="0.3">
      <c r="L40" s="114"/>
      <c r="M40" s="114"/>
      <c r="N40" s="114"/>
    </row>
    <row r="41" spans="2:18" x14ac:dyDescent="0.3">
      <c r="L41" s="114"/>
      <c r="M41" s="114"/>
      <c r="N41" s="114"/>
      <c r="P41">
        <v>550</v>
      </c>
    </row>
    <row r="42" spans="2:18" x14ac:dyDescent="0.3">
      <c r="L42" s="114"/>
      <c r="M42" s="114"/>
      <c r="N42" s="114"/>
      <c r="P42" s="145">
        <f>P41+P39</f>
        <v>66901.460000000006</v>
      </c>
    </row>
    <row r="43" spans="2:18" x14ac:dyDescent="0.3">
      <c r="J43" t="s">
        <v>167</v>
      </c>
      <c r="L43" s="114"/>
      <c r="M43" s="114"/>
      <c r="N43" s="114"/>
      <c r="O43" s="145">
        <f>O39-P43</f>
        <v>-550</v>
      </c>
      <c r="P43" s="145">
        <f>P42-L39</f>
        <v>550</v>
      </c>
    </row>
    <row r="44" spans="2:18" x14ac:dyDescent="0.3">
      <c r="L44" s="114"/>
      <c r="M44" s="114"/>
      <c r="N44" s="114"/>
    </row>
    <row r="45" spans="2:18" x14ac:dyDescent="0.3">
      <c r="L45" s="114"/>
      <c r="M45" s="114"/>
      <c r="N45" s="114"/>
    </row>
    <row r="46" spans="2:18" x14ac:dyDescent="0.3">
      <c r="L46" s="114"/>
      <c r="M46" s="114"/>
      <c r="N46" s="114"/>
    </row>
    <row r="47" spans="2:18" x14ac:dyDescent="0.3">
      <c r="L47" s="114"/>
      <c r="M47" s="114"/>
      <c r="N47" s="114"/>
    </row>
    <row r="48" spans="2:18" x14ac:dyDescent="0.3">
      <c r="L48" s="114"/>
      <c r="M48" s="114"/>
      <c r="N48" s="114"/>
    </row>
    <row r="49" spans="12:14" x14ac:dyDescent="0.3">
      <c r="L49" s="114"/>
      <c r="M49" s="114"/>
      <c r="N49" s="114"/>
    </row>
    <row r="50" spans="12:14" x14ac:dyDescent="0.3">
      <c r="L50" s="114"/>
      <c r="M50" s="114"/>
      <c r="N50" s="114"/>
    </row>
    <row r="51" spans="12:14" x14ac:dyDescent="0.3">
      <c r="L51" s="114"/>
      <c r="M51" s="114"/>
      <c r="N51" s="114"/>
    </row>
    <row r="52" spans="12:14" x14ac:dyDescent="0.3">
      <c r="L52" s="114"/>
      <c r="M52" s="114"/>
      <c r="N52" s="114"/>
    </row>
    <row r="53" spans="12:14" x14ac:dyDescent="0.3">
      <c r="L53" s="114"/>
      <c r="M53" s="114"/>
      <c r="N53" s="114"/>
    </row>
    <row r="54" spans="12:14" x14ac:dyDescent="0.3">
      <c r="L54" s="114"/>
      <c r="M54" s="114"/>
      <c r="N54" s="114"/>
    </row>
    <row r="55" spans="12:14" x14ac:dyDescent="0.3">
      <c r="L55" s="114"/>
      <c r="M55" s="114"/>
      <c r="N55" s="114"/>
    </row>
    <row r="56" spans="12:14" x14ac:dyDescent="0.3">
      <c r="L56" s="114"/>
      <c r="M56" s="114"/>
      <c r="N56" s="114"/>
    </row>
    <row r="57" spans="12:14" x14ac:dyDescent="0.3">
      <c r="L57" s="114"/>
      <c r="M57" s="114"/>
      <c r="N57" s="114"/>
    </row>
    <row r="58" spans="12:14" x14ac:dyDescent="0.3">
      <c r="L58" s="114"/>
      <c r="M58" s="114"/>
      <c r="N58" s="114"/>
    </row>
    <row r="59" spans="12:14" x14ac:dyDescent="0.3">
      <c r="L59" s="114"/>
      <c r="M59" s="114"/>
      <c r="N59" s="114"/>
    </row>
    <row r="60" spans="12:14" x14ac:dyDescent="0.3">
      <c r="L60" s="114"/>
      <c r="M60" s="114"/>
      <c r="N60" s="114"/>
    </row>
    <row r="61" spans="12:14" x14ac:dyDescent="0.3">
      <c r="L61" s="114"/>
      <c r="M61" s="114"/>
      <c r="N61" s="114"/>
    </row>
    <row r="62" spans="12:14" x14ac:dyDescent="0.3">
      <c r="L62" s="114"/>
      <c r="M62" s="114"/>
      <c r="N62" s="114"/>
    </row>
    <row r="63" spans="12:14" x14ac:dyDescent="0.3">
      <c r="L63" s="114"/>
      <c r="M63" s="114"/>
      <c r="N63" s="114"/>
    </row>
    <row r="64" spans="12:14" x14ac:dyDescent="0.3">
      <c r="L64" s="114"/>
      <c r="M64" s="114"/>
      <c r="N64" s="114"/>
    </row>
    <row r="65" spans="12:14" x14ac:dyDescent="0.3">
      <c r="L65" s="114"/>
      <c r="M65" s="114"/>
      <c r="N65" s="114"/>
    </row>
    <row r="66" spans="12:14" x14ac:dyDescent="0.3">
      <c r="L66" s="114"/>
      <c r="M66" s="114"/>
      <c r="N66" s="114"/>
    </row>
    <row r="67" spans="12:14" x14ac:dyDescent="0.3">
      <c r="L67" s="114"/>
      <c r="M67" s="114"/>
      <c r="N67" s="114"/>
    </row>
    <row r="68" spans="12:14" x14ac:dyDescent="0.3">
      <c r="L68" s="114"/>
      <c r="M68" s="114"/>
      <c r="N68" s="114"/>
    </row>
    <row r="69" spans="12:14" x14ac:dyDescent="0.3">
      <c r="L69" s="114"/>
      <c r="M69" s="114"/>
      <c r="N69" s="114"/>
    </row>
    <row r="70" spans="12:14" x14ac:dyDescent="0.3">
      <c r="L70" s="114"/>
      <c r="M70" s="114"/>
      <c r="N70" s="114"/>
    </row>
    <row r="71" spans="12:14" x14ac:dyDescent="0.3">
      <c r="L71" s="114"/>
      <c r="M71" s="114"/>
      <c r="N71" s="114"/>
    </row>
    <row r="72" spans="12:14" x14ac:dyDescent="0.3">
      <c r="L72" s="114"/>
      <c r="M72" s="114"/>
      <c r="N72" s="114"/>
    </row>
    <row r="73" spans="12:14" x14ac:dyDescent="0.3">
      <c r="L73" s="114"/>
      <c r="M73" s="114"/>
      <c r="N73" s="114"/>
    </row>
    <row r="74" spans="12:14" x14ac:dyDescent="0.3">
      <c r="L74" s="114"/>
      <c r="M74" s="114"/>
      <c r="N74" s="114"/>
    </row>
    <row r="75" spans="12:14" x14ac:dyDescent="0.3">
      <c r="L75" s="114"/>
      <c r="M75" s="114"/>
      <c r="N75" s="114"/>
    </row>
    <row r="76" spans="12:14" x14ac:dyDescent="0.3">
      <c r="L76" s="114"/>
      <c r="M76" s="114"/>
      <c r="N76" s="114"/>
    </row>
    <row r="77" spans="12:14" x14ac:dyDescent="0.3">
      <c r="L77" s="114"/>
      <c r="M77" s="114"/>
      <c r="N77" s="114"/>
    </row>
    <row r="78" spans="12:14" x14ac:dyDescent="0.3">
      <c r="L78" s="114"/>
      <c r="M78" s="114"/>
      <c r="N78" s="114"/>
    </row>
    <row r="79" spans="12:14" x14ac:dyDescent="0.3">
      <c r="L79" s="114"/>
      <c r="M79" s="114"/>
      <c r="N79" s="114"/>
    </row>
    <row r="80" spans="12:14" x14ac:dyDescent="0.3">
      <c r="L80" s="114"/>
      <c r="M80" s="114"/>
      <c r="N80" s="114"/>
    </row>
    <row r="81" spans="12:14" x14ac:dyDescent="0.3">
      <c r="L81" s="114"/>
      <c r="M81" s="114"/>
      <c r="N81" s="114"/>
    </row>
    <row r="82" spans="12:14" x14ac:dyDescent="0.3">
      <c r="L82" s="114"/>
      <c r="M82" s="114"/>
      <c r="N82" s="114"/>
    </row>
    <row r="83" spans="12:14" x14ac:dyDescent="0.3">
      <c r="L83" s="114"/>
      <c r="M83" s="114"/>
      <c r="N83" s="114"/>
    </row>
    <row r="84" spans="12:14" x14ac:dyDescent="0.3">
      <c r="L84" s="114"/>
      <c r="M84" s="114"/>
      <c r="N84" s="114"/>
    </row>
    <row r="85" spans="12:14" x14ac:dyDescent="0.3">
      <c r="L85" s="114"/>
      <c r="M85" s="114"/>
      <c r="N85" s="114"/>
    </row>
    <row r="86" spans="12:14" x14ac:dyDescent="0.3">
      <c r="L86" s="114"/>
      <c r="M86" s="114"/>
      <c r="N86" s="114"/>
    </row>
    <row r="87" spans="12:14" x14ac:dyDescent="0.3">
      <c r="L87" s="114"/>
      <c r="M87" s="114"/>
      <c r="N87" s="114"/>
    </row>
    <row r="88" spans="12:14" x14ac:dyDescent="0.3">
      <c r="L88" s="114"/>
      <c r="M88" s="114"/>
      <c r="N88" s="114"/>
    </row>
    <row r="89" spans="12:14" x14ac:dyDescent="0.3">
      <c r="L89" s="114"/>
      <c r="M89" s="114"/>
      <c r="N89" s="114"/>
    </row>
    <row r="90" spans="12:14" x14ac:dyDescent="0.3">
      <c r="L90" s="114"/>
      <c r="M90" s="114"/>
      <c r="N90" s="114"/>
    </row>
    <row r="91" spans="12:14" x14ac:dyDescent="0.3">
      <c r="L91" s="114"/>
      <c r="M91" s="114"/>
      <c r="N91" s="114"/>
    </row>
    <row r="92" spans="12:14" x14ac:dyDescent="0.3">
      <c r="L92" s="114"/>
      <c r="M92" s="114"/>
      <c r="N92" s="114"/>
    </row>
  </sheetData>
  <autoFilter ref="B2:P34" xr:uid="{B3F85EC0-6CCF-4E34-B193-30341AE72A30}">
    <sortState xmlns:xlrd2="http://schemas.microsoft.com/office/spreadsheetml/2017/richdata2" ref="B3:P34">
      <sortCondition ref="D2:D34"/>
    </sortState>
  </autoFilter>
  <mergeCells count="2">
    <mergeCell ref="K1:L1"/>
    <mergeCell ref="M1:N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DC91-0520-48F8-90AD-95B2033A1151}">
  <dimension ref="C2:K20"/>
  <sheetViews>
    <sheetView topLeftCell="C1" zoomScale="115" zoomScaleNormal="115" workbookViewId="0">
      <selection activeCell="G14" sqref="G14"/>
    </sheetView>
  </sheetViews>
  <sheetFormatPr defaultRowHeight="14.4" x14ac:dyDescent="0.3"/>
  <cols>
    <col min="3" max="3" width="11.5546875" customWidth="1"/>
    <col min="4" max="4" width="26.33203125" customWidth="1"/>
    <col min="5" max="5" width="33.88671875" customWidth="1"/>
    <col min="6" max="6" width="27.5546875" customWidth="1"/>
    <col min="7" max="7" width="16.33203125" customWidth="1"/>
    <col min="8" max="8" width="14.5546875" customWidth="1"/>
    <col min="9" max="9" width="14" bestFit="1" customWidth="1"/>
    <col min="10" max="10" width="19.33203125" customWidth="1"/>
    <col min="11" max="11" width="14.88671875" customWidth="1"/>
  </cols>
  <sheetData>
    <row r="2" spans="3:11" x14ac:dyDescent="0.3">
      <c r="G2" s="114">
        <f>SUM(G5:G34)</f>
        <v>3803171</v>
      </c>
      <c r="H2" s="114">
        <f>SUM(H5:H34)</f>
        <v>4243786.97</v>
      </c>
      <c r="I2" s="144">
        <f>G2-H2</f>
        <v>-440615.96999999974</v>
      </c>
      <c r="J2" s="144">
        <f>-325000+I2</f>
        <v>-765615.96999999974</v>
      </c>
    </row>
    <row r="3" spans="3:11" x14ac:dyDescent="0.3">
      <c r="J3" t="s">
        <v>195</v>
      </c>
      <c r="K3" s="114">
        <v>2700000</v>
      </c>
    </row>
    <row r="4" spans="3:11" x14ac:dyDescent="0.3">
      <c r="C4" t="s">
        <v>138</v>
      </c>
      <c r="D4" t="s">
        <v>140</v>
      </c>
      <c r="E4" t="s">
        <v>139</v>
      </c>
      <c r="F4" t="s">
        <v>145</v>
      </c>
      <c r="G4" t="s">
        <v>141</v>
      </c>
      <c r="H4" t="s">
        <v>142</v>
      </c>
      <c r="I4" t="s">
        <v>143</v>
      </c>
      <c r="K4">
        <v>74000</v>
      </c>
    </row>
    <row r="5" spans="3:11" x14ac:dyDescent="0.3">
      <c r="C5" s="143">
        <v>45196</v>
      </c>
      <c r="D5" t="s">
        <v>144</v>
      </c>
      <c r="E5" t="s">
        <v>146</v>
      </c>
      <c r="F5" t="s">
        <v>151</v>
      </c>
      <c r="H5" s="114">
        <f>4221524- 422152.4</f>
        <v>3799371.6</v>
      </c>
      <c r="K5" s="145">
        <f>K4+K3+J2</f>
        <v>2008384.0300000003</v>
      </c>
    </row>
    <row r="6" spans="3:11" x14ac:dyDescent="0.3">
      <c r="C6" s="143">
        <v>45196</v>
      </c>
      <c r="D6" t="s">
        <v>144</v>
      </c>
      <c r="E6" t="s">
        <v>147</v>
      </c>
      <c r="F6" t="s">
        <v>151</v>
      </c>
      <c r="H6" s="114">
        <v>3799.37</v>
      </c>
    </row>
    <row r="7" spans="3:11" x14ac:dyDescent="0.3">
      <c r="C7" s="142">
        <v>45089</v>
      </c>
      <c r="D7" t="s">
        <v>148</v>
      </c>
      <c r="E7" t="s">
        <v>149</v>
      </c>
      <c r="F7" t="s">
        <v>151</v>
      </c>
      <c r="G7" s="114">
        <v>100000</v>
      </c>
    </row>
    <row r="8" spans="3:11" x14ac:dyDescent="0.3">
      <c r="C8" s="142">
        <v>45133</v>
      </c>
      <c r="D8" t="s">
        <v>150</v>
      </c>
      <c r="E8" t="s">
        <v>149</v>
      </c>
      <c r="F8" t="s">
        <v>151</v>
      </c>
      <c r="G8" s="114">
        <v>642662</v>
      </c>
    </row>
    <row r="9" spans="3:11" x14ac:dyDescent="0.3">
      <c r="C9" s="164">
        <v>45206</v>
      </c>
      <c r="D9" t="s">
        <v>192</v>
      </c>
      <c r="E9" t="s">
        <v>197</v>
      </c>
      <c r="F9" t="s">
        <v>151</v>
      </c>
      <c r="G9" s="114">
        <v>3060509</v>
      </c>
    </row>
    <row r="10" spans="3:11" x14ac:dyDescent="0.3">
      <c r="C10" s="164">
        <v>45264</v>
      </c>
      <c r="D10" t="s">
        <v>193</v>
      </c>
      <c r="E10" t="s">
        <v>194</v>
      </c>
      <c r="F10" t="s">
        <v>151</v>
      </c>
      <c r="G10" s="114"/>
      <c r="H10" s="114">
        <v>440175.6</v>
      </c>
    </row>
    <row r="11" spans="3:11" x14ac:dyDescent="0.3">
      <c r="C11" s="164">
        <v>45264</v>
      </c>
      <c r="D11" t="s">
        <v>193</v>
      </c>
      <c r="E11" t="s">
        <v>198</v>
      </c>
      <c r="F11" t="s">
        <v>151</v>
      </c>
      <c r="H11" s="114">
        <v>440.18</v>
      </c>
    </row>
    <row r="12" spans="3:11" x14ac:dyDescent="0.3">
      <c r="C12" s="164">
        <v>45264</v>
      </c>
      <c r="D12" t="s">
        <v>193</v>
      </c>
      <c r="E12" t="s">
        <v>196</v>
      </c>
      <c r="H12" s="114">
        <v>0.22</v>
      </c>
    </row>
    <row r="13" spans="3:11" x14ac:dyDescent="0.3">
      <c r="C13" s="142"/>
      <c r="H13" s="114"/>
    </row>
    <row r="14" spans="3:11" x14ac:dyDescent="0.3">
      <c r="C14" s="142"/>
      <c r="H14" s="145"/>
    </row>
    <row r="15" spans="3:11" x14ac:dyDescent="0.3">
      <c r="C15" s="142"/>
    </row>
    <row r="16" spans="3:11" x14ac:dyDescent="0.3">
      <c r="C16" s="142"/>
    </row>
    <row r="17" spans="3:8" x14ac:dyDescent="0.3">
      <c r="C17" s="142"/>
      <c r="G17" s="145"/>
    </row>
    <row r="18" spans="3:8" x14ac:dyDescent="0.3">
      <c r="C18" s="142"/>
      <c r="G18" s="145"/>
      <c r="H18" s="114"/>
    </row>
    <row r="19" spans="3:8" x14ac:dyDescent="0.3">
      <c r="C19" s="142"/>
    </row>
    <row r="20" spans="3:8" x14ac:dyDescent="0.3">
      <c r="C20" s="1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JCBQuote1</vt:lpstr>
      <vt:lpstr>JCBQuote2</vt:lpstr>
      <vt:lpstr>Sheet1</vt:lpstr>
      <vt:lpstr>1006PL</vt:lpstr>
      <vt:lpstr>Internal Profitability</vt:lpstr>
      <vt:lpstr>Cash Flow</vt:lpstr>
      <vt:lpstr>Data</vt:lpstr>
      <vt:lpstr>PI to AlFahd</vt:lpstr>
      <vt:lpstr>PO on JCB</vt:lpstr>
      <vt:lpstr>Shipments</vt:lpstr>
      <vt:lpstr>jcb soa</vt:lpstr>
      <vt:lpstr>JCBQuote1!Print_Area</vt:lpstr>
      <vt:lpstr>JCBQuote2!Print_Area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Munir Sheikh</cp:lastModifiedBy>
  <dcterms:created xsi:type="dcterms:W3CDTF">2023-02-03T12:06:54Z</dcterms:created>
  <dcterms:modified xsi:type="dcterms:W3CDTF">2024-02-24T06:32:53Z</dcterms:modified>
</cp:coreProperties>
</file>