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filterPrivacy="1"/>
  <xr:revisionPtr revIDLastSave="2753" documentId="6_{D0009252-7976-4AD5-8E24-1701266495D8}" xr6:coauthVersionLast="40" xr6:coauthVersionMax="40" xr10:uidLastSave="{5C5BB660-15DC-4BF5-A1C5-2EDF36B201A7}"/>
  <bookViews>
    <workbookView xWindow="0" yWindow="0" windowWidth="13224" windowHeight="4836" tabRatio="933" activeTab="15" xr2:uid="{00000000-000D-0000-FFFF-FFFF00000000}"/>
  </bookViews>
  <sheets>
    <sheet name="member info" sheetId="20" r:id="rId1"/>
    <sheet name="sent_BTC" sheetId="17" r:id="rId2"/>
    <sheet name="P | person" sheetId="14" r:id="rId3"/>
    <sheet name="C | person" sheetId="19" r:id="rId4"/>
    <sheet name="Profitability" sheetId="21" r:id="rId5"/>
    <sheet name="TOTALS (ownership)" sheetId="9" r:id="rId6"/>
    <sheet name="GPU" sheetId="1" r:id="rId7"/>
    <sheet name="PSU" sheetId="2" r:id="rId8"/>
    <sheet name="MB" sheetId="3" r:id="rId9"/>
    <sheet name="CPU" sheetId="4" r:id="rId10"/>
    <sheet name="RAM" sheetId="5" r:id="rId11"/>
    <sheet name="SSD" sheetId="6" r:id="rId12"/>
    <sheet name="MISC" sheetId="7" r:id="rId13"/>
    <sheet name="PROJECT" sheetId="12" r:id="rId14"/>
    <sheet name="LOGISTIC" sheetId="11" r:id="rId15"/>
    <sheet name="ELECTRICITY_HiveOS" sheetId="15" r:id="rId16"/>
    <sheet name="P|C|BTC totals" sheetId="16"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4" i="21" l="1"/>
  <c r="J24" i="9" l="1"/>
  <c r="I24" i="9"/>
  <c r="J17" i="15"/>
  <c r="J5" i="15"/>
  <c r="J8" i="15"/>
  <c r="J11" i="15"/>
  <c r="J13" i="15"/>
  <c r="J15" i="15"/>
  <c r="J4" i="15"/>
  <c r="G5" i="15"/>
  <c r="G6" i="15"/>
  <c r="G7" i="15"/>
  <c r="G8" i="15"/>
  <c r="K11" i="9" s="1"/>
  <c r="G9" i="15"/>
  <c r="G10" i="15"/>
  <c r="G11" i="15"/>
  <c r="G13" i="15"/>
  <c r="G14" i="15"/>
  <c r="G15" i="15"/>
  <c r="G4" i="15"/>
  <c r="F4" i="11"/>
  <c r="F5" i="11"/>
  <c r="F6" i="11"/>
  <c r="F7" i="11"/>
  <c r="F8" i="11"/>
  <c r="F9" i="11"/>
  <c r="F10" i="11"/>
  <c r="F11" i="11"/>
  <c r="F12" i="11"/>
  <c r="F3" i="11"/>
  <c r="I12" i="9"/>
  <c r="I13" i="9"/>
  <c r="I14" i="9"/>
  <c r="I15" i="9"/>
  <c r="I16" i="9"/>
  <c r="I17" i="9"/>
  <c r="I18" i="9"/>
  <c r="I19" i="9"/>
  <c r="I20" i="9"/>
  <c r="F4" i="12"/>
  <c r="F5" i="12"/>
  <c r="F6" i="12"/>
  <c r="F7" i="12"/>
  <c r="F8" i="12"/>
  <c r="F9" i="12"/>
  <c r="F10" i="12"/>
  <c r="F11" i="12"/>
  <c r="F12" i="12"/>
  <c r="F3" i="12"/>
  <c r="I11" i="9" s="1"/>
  <c r="J10" i="9" l="1"/>
  <c r="J16" i="15"/>
  <c r="AH3" i="19"/>
  <c r="AH4" i="19"/>
  <c r="AH5" i="19"/>
  <c r="AH6" i="19"/>
  <c r="AH7" i="19"/>
  <c r="AH8" i="19"/>
  <c r="AH9" i="19"/>
  <c r="AH10" i="19"/>
  <c r="AH11" i="19"/>
  <c r="AH12" i="19"/>
  <c r="AH13" i="19"/>
  <c r="AH14" i="19"/>
  <c r="AH15" i="19"/>
  <c r="AH16" i="19"/>
  <c r="AH17" i="19"/>
  <c r="AH18" i="19"/>
  <c r="AH19" i="19"/>
  <c r="AH20" i="19"/>
  <c r="AH21" i="19"/>
  <c r="AH2" i="19"/>
  <c r="K4" i="21"/>
  <c r="H21" i="15" l="1"/>
  <c r="AE22" i="19" l="1"/>
  <c r="AB22" i="19"/>
  <c r="J2" i="21"/>
  <c r="J4" i="21"/>
  <c r="I10" i="9" l="1"/>
  <c r="I7" i="21" l="1"/>
  <c r="H2" i="21" l="1"/>
  <c r="B3" i="21"/>
  <c r="D3" i="21"/>
  <c r="E3" i="21"/>
  <c r="E5" i="21" s="1"/>
  <c r="F3" i="21"/>
  <c r="G3" i="21"/>
  <c r="G8" i="21" s="1"/>
  <c r="H3" i="21"/>
  <c r="H8" i="21" s="1"/>
  <c r="D5" i="21"/>
  <c r="F5" i="21"/>
  <c r="G5" i="21"/>
  <c r="H5" i="21"/>
  <c r="B7" i="21"/>
  <c r="D7" i="21"/>
  <c r="E7" i="21"/>
  <c r="F7" i="21"/>
  <c r="G7" i="21"/>
  <c r="H7" i="21"/>
  <c r="B8" i="21"/>
  <c r="D8" i="21"/>
  <c r="F8" i="21"/>
  <c r="D9" i="21"/>
  <c r="E9" i="21"/>
  <c r="F9" i="21"/>
  <c r="G9" i="21"/>
  <c r="H9" i="21"/>
  <c r="N28" i="17"/>
  <c r="E24" i="17"/>
  <c r="E27" i="17" s="1"/>
  <c r="B24" i="17"/>
  <c r="B27" i="17"/>
  <c r="Z14" i="14"/>
  <c r="N2" i="17"/>
  <c r="N3" i="17"/>
  <c r="N4" i="17"/>
  <c r="N5" i="17"/>
  <c r="Z2" i="14"/>
  <c r="Z3" i="14"/>
  <c r="N6" i="17"/>
  <c r="N7" i="17"/>
  <c r="N8" i="17"/>
  <c r="N9" i="17"/>
  <c r="N10" i="17"/>
  <c r="N11" i="17"/>
  <c r="N12" i="17"/>
  <c r="N13" i="17"/>
  <c r="N14" i="17"/>
  <c r="N17" i="17"/>
  <c r="N18" i="17"/>
  <c r="Z4" i="14"/>
  <c r="Z5" i="14"/>
  <c r="Z6" i="14"/>
  <c r="Z8" i="14"/>
  <c r="Z9" i="14"/>
  <c r="Z10" i="14"/>
  <c r="Z11" i="14"/>
  <c r="Z15" i="14"/>
  <c r="Z16" i="14"/>
  <c r="E8" i="21" l="1"/>
  <c r="V22" i="19"/>
  <c r="O22" i="19"/>
  <c r="J25" i="17" l="1"/>
  <c r="I9" i="21"/>
  <c r="D2" i="12" l="1"/>
  <c r="C10" i="16"/>
  <c r="D10" i="16" s="1"/>
  <c r="L22" i="19" l="1"/>
  <c r="U22" i="19"/>
  <c r="M22" i="19"/>
  <c r="C24" i="17"/>
  <c r="C27" i="17" s="1"/>
  <c r="D24" i="17"/>
  <c r="M2" i="21"/>
  <c r="L9" i="21"/>
  <c r="I3" i="21"/>
  <c r="I8" i="21" s="1"/>
  <c r="J3" i="21"/>
  <c r="J8" i="21" s="1"/>
  <c r="K3" i="21"/>
  <c r="K8" i="21" s="1"/>
  <c r="L3" i="21"/>
  <c r="L5" i="21" s="1"/>
  <c r="J7" i="21"/>
  <c r="K7" i="21"/>
  <c r="L7" i="21"/>
  <c r="B19" i="21"/>
  <c r="B18" i="21"/>
  <c r="B17" i="21"/>
  <c r="C22" i="19"/>
  <c r="D22" i="19"/>
  <c r="B25" i="17" s="1"/>
  <c r="F22" i="19"/>
  <c r="G22" i="19"/>
  <c r="C25" i="17" s="1"/>
  <c r="I22" i="19"/>
  <c r="J22" i="19"/>
  <c r="D25" i="17" s="1"/>
  <c r="Y22" i="19"/>
  <c r="I25" i="17" s="1"/>
  <c r="P22" i="19"/>
  <c r="S22" i="19"/>
  <c r="G25" i="17" s="1"/>
  <c r="J5" i="21" l="1"/>
  <c r="M7" i="21"/>
  <c r="L8" i="21"/>
  <c r="M8" i="21" s="1"/>
  <c r="M3" i="21"/>
  <c r="Q7" i="14"/>
  <c r="Z7" i="14" s="1"/>
  <c r="Y22" i="14" l="1"/>
  <c r="W22" i="14"/>
  <c r="U22" i="14"/>
  <c r="O22" i="14"/>
  <c r="M22" i="14"/>
  <c r="K22" i="14"/>
  <c r="I22" i="14"/>
  <c r="G22" i="14"/>
  <c r="E22" i="14"/>
  <c r="C22" i="14"/>
  <c r="O5" i="17"/>
  <c r="O9" i="17"/>
  <c r="S22" i="14"/>
  <c r="C14" i="16"/>
  <c r="E14" i="16"/>
  <c r="F14" i="16"/>
  <c r="G14" i="16"/>
  <c r="Q12" i="14"/>
  <c r="Z12" i="14" s="1"/>
  <c r="B9" i="16"/>
  <c r="B14" i="16" s="1"/>
  <c r="O6" i="17" l="1"/>
  <c r="O2" i="17"/>
  <c r="O13" i="17"/>
  <c r="O12" i="17"/>
  <c r="O8" i="17"/>
  <c r="O11" i="17"/>
  <c r="Q22" i="14"/>
  <c r="O14" i="17"/>
  <c r="O10" i="17"/>
  <c r="F24" i="17"/>
  <c r="F27" i="17" s="1"/>
  <c r="F25" i="17"/>
  <c r="E25" i="17"/>
  <c r="D27" i="17"/>
  <c r="D26" i="17"/>
  <c r="C26" i="17"/>
  <c r="B26" i="17"/>
  <c r="M26" i="17"/>
  <c r="L26" i="17"/>
  <c r="K26" i="17"/>
  <c r="J26" i="17"/>
  <c r="I26" i="17"/>
  <c r="H26" i="17"/>
  <c r="G26" i="17"/>
  <c r="F26" i="17"/>
  <c r="E26" i="17"/>
  <c r="H25" i="17"/>
  <c r="X22" i="19"/>
  <c r="AD22" i="19"/>
  <c r="K25" i="17" s="1"/>
  <c r="AG22" i="19"/>
  <c r="L25" i="17" s="1"/>
  <c r="AJ22" i="19"/>
  <c r="M25" i="17" s="1"/>
  <c r="AK22" i="19"/>
  <c r="G24" i="17"/>
  <c r="G27" i="17" s="1"/>
  <c r="H24" i="17"/>
  <c r="H27" i="17" s="1"/>
  <c r="I24" i="17"/>
  <c r="I27" i="17" s="1"/>
  <c r="K24" i="17"/>
  <c r="K27" i="17" s="1"/>
  <c r="L24" i="17"/>
  <c r="L27" i="17" s="1"/>
  <c r="M24" i="17"/>
  <c r="M27" i="17" s="1"/>
  <c r="D8" i="16" l="1"/>
  <c r="D14" i="16" s="1"/>
  <c r="H7" i="16" l="1"/>
  <c r="H25" i="7" l="1"/>
  <c r="H24" i="7"/>
  <c r="E2" i="15" l="1"/>
  <c r="H18" i="1" l="1"/>
  <c r="H17" i="1" l="1"/>
  <c r="H23" i="7" l="1"/>
  <c r="H16" i="1" l="1"/>
  <c r="H22" i="7" l="1"/>
  <c r="D2" i="11" l="1"/>
  <c r="H15" i="1" l="1"/>
  <c r="K14" i="9" l="1"/>
  <c r="K15" i="9"/>
  <c r="K16" i="9"/>
  <c r="K17" i="9"/>
  <c r="K18" i="9"/>
  <c r="K19" i="9"/>
  <c r="K20" i="9"/>
  <c r="K21" i="9"/>
  <c r="J14" i="9"/>
  <c r="J15" i="9"/>
  <c r="J16" i="9"/>
  <c r="J17" i="9"/>
  <c r="J18" i="9"/>
  <c r="J19" i="9"/>
  <c r="J20" i="9"/>
  <c r="J21" i="9"/>
  <c r="I21" i="9"/>
  <c r="H21" i="7" l="1"/>
  <c r="K13" i="9" l="1"/>
  <c r="J13" i="9"/>
  <c r="K24" i="9"/>
  <c r="K3" i="9"/>
  <c r="K4" i="9"/>
  <c r="K5" i="9"/>
  <c r="K6" i="9"/>
  <c r="K7" i="9"/>
  <c r="K8" i="9"/>
  <c r="K9" i="9"/>
  <c r="K10" i="9"/>
  <c r="K12" i="9"/>
  <c r="K2" i="9"/>
  <c r="K22" i="9" l="1"/>
  <c r="H20" i="7"/>
  <c r="H19" i="7"/>
  <c r="H5" i="6"/>
  <c r="J3" i="9" l="1"/>
  <c r="J4" i="9"/>
  <c r="J5" i="9"/>
  <c r="J6" i="9"/>
  <c r="J7" i="9"/>
  <c r="J8" i="9"/>
  <c r="J9" i="9"/>
  <c r="J11" i="9"/>
  <c r="J12" i="9"/>
  <c r="J2" i="9"/>
  <c r="I3" i="9"/>
  <c r="I4" i="9"/>
  <c r="I5" i="9"/>
  <c r="I6" i="9"/>
  <c r="I7" i="9"/>
  <c r="I8" i="9"/>
  <c r="I9" i="9"/>
  <c r="I2" i="9"/>
  <c r="J22" i="9" l="1"/>
  <c r="I22" i="9"/>
  <c r="H8" i="16"/>
  <c r="H12" i="16"/>
  <c r="H11" i="16"/>
  <c r="H13" i="16"/>
  <c r="H10" i="16"/>
  <c r="H14" i="1"/>
  <c r="H18" i="7"/>
  <c r="H13" i="1"/>
  <c r="H14" i="16" l="1"/>
  <c r="H4" i="2"/>
  <c r="H17" i="7"/>
  <c r="H5" i="4" l="1"/>
  <c r="H5" i="5"/>
  <c r="H9" i="2"/>
  <c r="H8" i="2"/>
  <c r="H16" i="7" l="1"/>
  <c r="H15" i="7"/>
  <c r="H14" i="7"/>
  <c r="H12" i="1" l="1"/>
  <c r="H11" i="1"/>
  <c r="H10" i="1"/>
  <c r="H4" i="5" l="1"/>
  <c r="H3" i="5"/>
  <c r="H5" i="2"/>
  <c r="H6" i="2"/>
  <c r="H3" i="7"/>
  <c r="H4" i="7"/>
  <c r="H5" i="7"/>
  <c r="H6" i="7"/>
  <c r="H7" i="7"/>
  <c r="H8" i="7"/>
  <c r="H9" i="7"/>
  <c r="H10" i="7"/>
  <c r="H11" i="7"/>
  <c r="H12" i="7"/>
  <c r="H13" i="7"/>
  <c r="H4" i="6"/>
  <c r="H3" i="6"/>
  <c r="H3" i="4"/>
  <c r="H4" i="4"/>
  <c r="H3" i="3"/>
  <c r="H4" i="3"/>
  <c r="H5" i="3"/>
  <c r="H3" i="2"/>
  <c r="H7" i="2"/>
  <c r="H4" i="1"/>
  <c r="H5" i="1"/>
  <c r="H6" i="1"/>
  <c r="H7" i="1"/>
  <c r="H8" i="1"/>
  <c r="H9" i="1"/>
  <c r="H3" i="1"/>
  <c r="H2" i="1" l="1"/>
  <c r="B24" i="9" s="1"/>
  <c r="H2" i="7"/>
  <c r="B17" i="9"/>
  <c r="B21" i="9"/>
  <c r="B14" i="9"/>
  <c r="B18" i="9"/>
  <c r="B13" i="9"/>
  <c r="B20" i="9"/>
  <c r="B15" i="9"/>
  <c r="B19" i="9"/>
  <c r="B16" i="9"/>
  <c r="C17" i="9"/>
  <c r="C21" i="9"/>
  <c r="C14" i="9"/>
  <c r="C18" i="9"/>
  <c r="C16" i="9"/>
  <c r="C15" i="9"/>
  <c r="C19" i="9"/>
  <c r="C20" i="9"/>
  <c r="C13" i="9"/>
  <c r="C5" i="9"/>
  <c r="C9" i="9"/>
  <c r="C2" i="9"/>
  <c r="C7" i="9"/>
  <c r="C8" i="9"/>
  <c r="C6" i="9"/>
  <c r="C10" i="9"/>
  <c r="C3" i="9"/>
  <c r="C4" i="9"/>
  <c r="C12" i="9"/>
  <c r="C11" i="9"/>
  <c r="E17" i="9"/>
  <c r="E21" i="9"/>
  <c r="E14" i="9"/>
  <c r="E18" i="9"/>
  <c r="E16" i="9"/>
  <c r="E20" i="9"/>
  <c r="E15" i="9"/>
  <c r="E19" i="9"/>
  <c r="H2" i="4"/>
  <c r="E24" i="9" s="1"/>
  <c r="E13" i="9"/>
  <c r="E4" i="9"/>
  <c r="E8" i="9"/>
  <c r="E12" i="9"/>
  <c r="E10" i="9"/>
  <c r="E7" i="9"/>
  <c r="E5" i="9"/>
  <c r="E9" i="9"/>
  <c r="E2" i="9"/>
  <c r="E3" i="9"/>
  <c r="E6" i="9"/>
  <c r="E11" i="9"/>
  <c r="F17" i="9"/>
  <c r="F21" i="9"/>
  <c r="F14" i="9"/>
  <c r="F18" i="9"/>
  <c r="F16" i="9"/>
  <c r="F15" i="9"/>
  <c r="F19" i="9"/>
  <c r="F20" i="9"/>
  <c r="H2" i="5"/>
  <c r="F24" i="9" s="1"/>
  <c r="F13" i="9"/>
  <c r="F3" i="9"/>
  <c r="F7" i="9"/>
  <c r="F11" i="9"/>
  <c r="F10" i="9"/>
  <c r="F4" i="9"/>
  <c r="F8" i="9"/>
  <c r="F12" i="9"/>
  <c r="F2" i="9"/>
  <c r="F5" i="9"/>
  <c r="F9" i="9"/>
  <c r="F6" i="9"/>
  <c r="D17" i="9"/>
  <c r="D21" i="9"/>
  <c r="D20" i="9"/>
  <c r="D14" i="9"/>
  <c r="D18" i="9"/>
  <c r="D15" i="9"/>
  <c r="D19" i="9"/>
  <c r="D16" i="9"/>
  <c r="H2" i="3"/>
  <c r="G17" i="9"/>
  <c r="G21" i="9"/>
  <c r="G14" i="9"/>
  <c r="G18" i="9"/>
  <c r="G16" i="9"/>
  <c r="G15" i="9"/>
  <c r="G19" i="9"/>
  <c r="G20" i="9"/>
  <c r="H2" i="6"/>
  <c r="G24" i="9" s="1"/>
  <c r="G13" i="9"/>
  <c r="G6" i="9"/>
  <c r="G10" i="9"/>
  <c r="G9" i="9"/>
  <c r="G3" i="9"/>
  <c r="G7" i="9"/>
  <c r="G11" i="9"/>
  <c r="G5" i="9"/>
  <c r="G2" i="9"/>
  <c r="G4" i="9"/>
  <c r="G8" i="9"/>
  <c r="G12" i="9"/>
  <c r="H17" i="9"/>
  <c r="H21" i="9"/>
  <c r="H14" i="9"/>
  <c r="H18" i="9"/>
  <c r="H16" i="9"/>
  <c r="H15" i="9"/>
  <c r="H19" i="9"/>
  <c r="H20" i="9"/>
  <c r="D13" i="9"/>
  <c r="D5" i="9"/>
  <c r="D9" i="9"/>
  <c r="D2" i="9"/>
  <c r="D6" i="9"/>
  <c r="D10" i="9"/>
  <c r="D3" i="9"/>
  <c r="D7" i="9"/>
  <c r="D11" i="9"/>
  <c r="D4" i="9"/>
  <c r="D8" i="9"/>
  <c r="D12" i="9"/>
  <c r="B5" i="9"/>
  <c r="B3" i="9"/>
  <c r="B8" i="9"/>
  <c r="B12" i="9"/>
  <c r="B4" i="9"/>
  <c r="B9" i="9"/>
  <c r="B2" i="9"/>
  <c r="B6" i="9"/>
  <c r="B10" i="9"/>
  <c r="B7" i="9"/>
  <c r="B11" i="9"/>
  <c r="H24" i="9"/>
  <c r="H13" i="9"/>
  <c r="H6" i="9"/>
  <c r="H10" i="9"/>
  <c r="H9" i="9"/>
  <c r="H3" i="9"/>
  <c r="H7" i="9"/>
  <c r="H11" i="9"/>
  <c r="H5" i="9"/>
  <c r="H4" i="9"/>
  <c r="H8" i="9"/>
  <c r="H12" i="9"/>
  <c r="H2" i="9"/>
  <c r="D24" i="9"/>
  <c r="H2" i="2"/>
  <c r="C24" i="9" s="1"/>
  <c r="L24" i="9" l="1"/>
  <c r="L7" i="9"/>
  <c r="L9" i="9"/>
  <c r="L8" i="9"/>
  <c r="L10" i="9"/>
  <c r="L11" i="9"/>
  <c r="L12" i="9"/>
  <c r="L13" i="9"/>
  <c r="L14" i="9"/>
  <c r="G22" i="9"/>
  <c r="L20" i="9"/>
  <c r="L21" i="9"/>
  <c r="L15" i="9"/>
  <c r="C22" i="9"/>
  <c r="L16" i="9"/>
  <c r="L17" i="9"/>
  <c r="E22" i="9"/>
  <c r="F22" i="9"/>
  <c r="L19" i="9"/>
  <c r="L18" i="9"/>
  <c r="B22" i="9"/>
  <c r="L3" i="9"/>
  <c r="H22" i="9"/>
  <c r="D22" i="9"/>
  <c r="L4" i="9"/>
  <c r="L6" i="9"/>
  <c r="L5" i="9"/>
  <c r="L2" i="9"/>
  <c r="M7" i="9" l="1"/>
  <c r="M5" i="9"/>
  <c r="M9" i="9"/>
  <c r="M11" i="9"/>
  <c r="M15" i="9"/>
  <c r="M2" i="9"/>
  <c r="M6" i="9"/>
  <c r="M4" i="9"/>
  <c r="M3" i="9"/>
  <c r="M19" i="9"/>
  <c r="M16" i="9"/>
  <c r="M20" i="9"/>
  <c r="M8" i="9"/>
  <c r="M10" i="9"/>
  <c r="M12" i="9"/>
  <c r="M13" i="9"/>
  <c r="M18" i="9"/>
  <c r="M17" i="9"/>
  <c r="M21" i="9"/>
  <c r="M14" i="9"/>
  <c r="L22" i="9"/>
  <c r="B23" i="21" s="1"/>
  <c r="K23" i="9" l="1"/>
  <c r="H23" i="9"/>
  <c r="J23" i="9"/>
  <c r="E23" i="9"/>
  <c r="C23" i="9"/>
  <c r="F23" i="9"/>
  <c r="I23" i="9"/>
  <c r="G23" i="9"/>
  <c r="D23" i="9"/>
  <c r="B21" i="21" s="1"/>
  <c r="K11" i="21" s="1"/>
  <c r="B23" i="9"/>
  <c r="B20" i="21" s="1"/>
  <c r="K10" i="21" s="1"/>
  <c r="J11" i="21" l="1"/>
  <c r="J10" i="21"/>
  <c r="F18" i="21"/>
  <c r="B22" i="21"/>
  <c r="K12" i="21" s="1"/>
  <c r="L23" i="9"/>
  <c r="J12" i="21" l="1"/>
  <c r="J13" i="21" s="1"/>
  <c r="H13" i="21"/>
  <c r="F13" i="21"/>
  <c r="G13" i="21"/>
  <c r="E13" i="21"/>
  <c r="D13" i="21"/>
  <c r="M10" i="21"/>
  <c r="M11" i="21"/>
  <c r="L13" i="21"/>
  <c r="I13" i="21" l="1"/>
  <c r="M12" i="21"/>
  <c r="I5" i="21"/>
  <c r="N16" i="17"/>
  <c r="O16" i="17" s="1"/>
  <c r="J24" i="17"/>
  <c r="J27" i="17" s="1"/>
  <c r="N24" i="17" l="1"/>
  <c r="K5" i="21"/>
  <c r="M5" i="21" s="1"/>
  <c r="M9" i="21"/>
  <c r="M4" i="21"/>
  <c r="O3" i="17" s="1"/>
  <c r="K13" i="21" l="1"/>
  <c r="M13" i="21" l="1"/>
  <c r="AH2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3" authorId="0" shapeId="0" xr:uid="{A7278441-B94F-4812-8137-77F9BB22FEBD}">
      <text>
        <r>
          <rPr>
            <b/>
            <sz val="9"/>
            <color indexed="81"/>
            <rFont val="Tahoma"/>
            <family val="2"/>
          </rPr>
          <t>Author:</t>
        </r>
        <r>
          <rPr>
            <sz val="9"/>
            <color indexed="81"/>
            <rFont val="Tahoma"/>
            <family val="2"/>
          </rPr>
          <t xml:space="preserve">
Includes all previous reinvested amounts as a group.
</t>
        </r>
        <r>
          <rPr>
            <b/>
            <sz val="9"/>
            <color indexed="81"/>
            <rFont val="Tahoma"/>
            <family val="2"/>
          </rPr>
          <t>NOTE:</t>
        </r>
        <r>
          <rPr>
            <sz val="9"/>
            <color indexed="81"/>
            <rFont val="Tahoma"/>
            <family val="2"/>
          </rPr>
          <t xml:space="preserve"> The Group BTC even if not imediatelly re-invested are counted as if they are imediatelly Re-Invested. This gives us flexibility in deciding when to use those BTC.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 authorId="0" shapeId="0" xr:uid="{7CE2FA9F-5503-4527-B157-DFD1E920D474}">
      <text>
        <r>
          <rPr>
            <b/>
            <sz val="9"/>
            <color indexed="81"/>
            <rFont val="Tahoma"/>
            <family val="2"/>
          </rPr>
          <t>Author:</t>
        </r>
        <r>
          <rPr>
            <sz val="9"/>
            <color indexed="81"/>
            <rFont val="Tahoma"/>
            <family val="2"/>
          </rPr>
          <t xml:space="preserve">
Still not withdrawn</t>
        </r>
      </text>
    </comment>
    <comment ref="A3" authorId="0" shapeId="0" xr:uid="{DB73CB8E-0E5F-457F-959D-FF7A8B5A43C3}">
      <text>
        <r>
          <rPr>
            <b/>
            <sz val="9"/>
            <color indexed="81"/>
            <rFont val="Tahoma"/>
            <family val="2"/>
          </rPr>
          <t xml:space="preserve">Author:
Includes: </t>
        </r>
        <r>
          <rPr>
            <sz val="9"/>
            <color indexed="81"/>
            <rFont val="Tahoma"/>
            <family val="2"/>
          </rPr>
          <t>incl costs covered with BTC only</t>
        </r>
      </text>
    </comment>
    <comment ref="F6" authorId="0" shapeId="0" xr:uid="{17DD3A62-172F-4CE4-907A-E4DA6F7E6F73}">
      <text>
        <r>
          <rPr>
            <b/>
            <sz val="9"/>
            <color indexed="81"/>
            <rFont val="Tahoma"/>
            <charset val="1"/>
          </rPr>
          <t>Author:</t>
        </r>
        <r>
          <rPr>
            <sz val="9"/>
            <color indexed="81"/>
            <rFont val="Tahoma"/>
            <charset val="1"/>
          </rPr>
          <t xml:space="preserve">
increased by 0.0001 to be able to transfer</t>
        </r>
      </text>
    </comment>
    <comment ref="H6" authorId="0" shapeId="0" xr:uid="{D48CC61B-5029-4FC6-86B0-6F4CFACD3A4C}">
      <text>
        <r>
          <rPr>
            <b/>
            <sz val="9"/>
            <color indexed="81"/>
            <rFont val="Tahoma"/>
            <family val="2"/>
          </rPr>
          <t>Author:</t>
        </r>
        <r>
          <rPr>
            <sz val="9"/>
            <color indexed="81"/>
            <rFont val="Tahoma"/>
            <family val="2"/>
          </rPr>
          <t xml:space="preserve">
decreased, check may comment same user</t>
        </r>
      </text>
    </comment>
    <comment ref="E8" authorId="0" shapeId="0" xr:uid="{B4E27242-D775-4A6E-835F-C9E6307191F1}">
      <text>
        <r>
          <rPr>
            <b/>
            <sz val="9"/>
            <color indexed="81"/>
            <rFont val="Tahoma"/>
            <charset val="1"/>
          </rPr>
          <t>Author:</t>
        </r>
        <r>
          <rPr>
            <sz val="9"/>
            <color indexed="81"/>
            <rFont val="Tahoma"/>
            <charset val="1"/>
          </rPr>
          <t xml:space="preserve">
Kept together with my own</t>
        </r>
      </text>
    </comment>
    <comment ref="F8" authorId="0" shapeId="0" xr:uid="{8FD55B42-C4D0-4C4E-824D-36AE6280A1AD}">
      <text>
        <r>
          <rPr>
            <b/>
            <sz val="9"/>
            <color indexed="81"/>
            <rFont val="Tahoma"/>
            <family val="2"/>
          </rPr>
          <t>Author:</t>
        </r>
        <r>
          <rPr>
            <sz val="9"/>
            <color indexed="81"/>
            <rFont val="Tahoma"/>
            <family val="2"/>
          </rPr>
          <t xml:space="preserve">
kept with my own</t>
        </r>
      </text>
    </comment>
    <comment ref="K9" authorId="0" shapeId="0" xr:uid="{0A1D65D4-0D17-4BE4-97A9-896E5DB88C6F}">
      <text>
        <r>
          <rPr>
            <b/>
            <sz val="9"/>
            <color indexed="81"/>
            <rFont val="Tahoma"/>
            <charset val="1"/>
          </rPr>
          <t>Author:</t>
        </r>
        <r>
          <rPr>
            <sz val="9"/>
            <color indexed="81"/>
            <rFont val="Tahoma"/>
            <charset val="1"/>
          </rPr>
          <t xml:space="preserve">
used by william to cover part of 2847dkk he accidentally received</t>
        </r>
      </text>
    </comment>
    <comment ref="B15" authorId="0" shapeId="0" xr:uid="{F375674F-2260-4469-9F89-AC3F3D7E2CAE}">
      <text>
        <r>
          <rPr>
            <b/>
            <sz val="9"/>
            <color indexed="81"/>
            <rFont val="Tahoma"/>
            <family val="2"/>
          </rPr>
          <t>Author:</t>
        </r>
        <r>
          <rPr>
            <sz val="9"/>
            <color indexed="81"/>
            <rFont val="Tahoma"/>
            <family val="2"/>
          </rPr>
          <t xml:space="preserve">
These other members profits have been first left in nicehash account and later split among the people, so even if shown as withdrawn in Feb they haven't been</t>
        </r>
      </text>
    </comment>
    <comment ref="E17" authorId="0" shapeId="0" xr:uid="{26C877AF-137E-41B0-B0EF-4E7E93E2C072}">
      <text>
        <r>
          <rPr>
            <b/>
            <sz val="9"/>
            <color indexed="81"/>
            <rFont val="Tahoma"/>
            <charset val="1"/>
          </rPr>
          <t>Author:</t>
        </r>
        <r>
          <rPr>
            <sz val="9"/>
            <color indexed="81"/>
            <rFont val="Tahoma"/>
            <charset val="1"/>
          </rPr>
          <t xml:space="preserve">
Kept together with my own</t>
        </r>
      </text>
    </comment>
    <comment ref="F17" authorId="0" shapeId="0" xr:uid="{8D87641B-D52C-469D-A73B-3DA2932B607A}">
      <text>
        <r>
          <rPr>
            <b/>
            <sz val="9"/>
            <color indexed="81"/>
            <rFont val="Tahoma"/>
            <charset val="1"/>
          </rPr>
          <t>Author:</t>
        </r>
        <r>
          <rPr>
            <sz val="9"/>
            <color indexed="81"/>
            <rFont val="Tahoma"/>
            <charset val="1"/>
          </rPr>
          <t xml:space="preserve">
Kept together with my own</t>
        </r>
      </text>
    </comment>
    <comment ref="A24" authorId="0" shapeId="0" xr:uid="{C1EEB694-53E5-4CF7-BB01-D8A5AA4608EB}">
      <text>
        <r>
          <rPr>
            <b/>
            <sz val="9"/>
            <color indexed="81"/>
            <rFont val="Tahoma"/>
            <family val="2"/>
          </rPr>
          <t>Author:</t>
        </r>
        <r>
          <rPr>
            <sz val="9"/>
            <color indexed="81"/>
            <rFont val="Tahoma"/>
            <family val="2"/>
          </rPr>
          <t xml:space="preserve">
If everything is correct this should equal BTC MINED for the same month.
</t>
        </r>
      </text>
    </comment>
    <comment ref="A25" authorId="0" shapeId="0" xr:uid="{3E8E043E-A7E7-4ADF-A96B-E9B62111224C}">
      <text>
        <r>
          <rPr>
            <b/>
            <sz val="9"/>
            <color indexed="81"/>
            <rFont val="Tahoma"/>
            <family val="2"/>
          </rPr>
          <t>Author:</t>
        </r>
        <r>
          <rPr>
            <sz val="9"/>
            <color indexed="81"/>
            <rFont val="Tahoma"/>
            <family val="2"/>
          </rPr>
          <t xml:space="preserve">
IF Costs withdrawal = C_PER-PERSON</t>
        </r>
      </text>
    </comment>
    <comment ref="A26" authorId="0" shapeId="0" xr:uid="{795F0307-D0AF-4170-86E4-C15BC5E17337}">
      <text>
        <r>
          <rPr>
            <b/>
            <sz val="9"/>
            <color indexed="81"/>
            <rFont val="Tahoma"/>
            <family val="2"/>
          </rPr>
          <t>Author:</t>
        </r>
        <r>
          <rPr>
            <sz val="9"/>
            <color indexed="81"/>
            <rFont val="Tahoma"/>
            <family val="2"/>
          </rPr>
          <t xml:space="preserve">
IF 10% = P_C_BTC_TOTAL</t>
        </r>
      </text>
    </comment>
    <comment ref="A27" authorId="0" shapeId="0" xr:uid="{3029D064-BFE5-49C2-9DB2-FC7FF6206204}">
      <text>
        <r>
          <rPr>
            <b/>
            <sz val="9"/>
            <color indexed="81"/>
            <rFont val="Tahoma"/>
            <family val="2"/>
          </rPr>
          <t>Author:</t>
        </r>
        <r>
          <rPr>
            <sz val="9"/>
            <color indexed="81"/>
            <rFont val="Tahoma"/>
            <family val="2"/>
          </rPr>
          <t xml:space="preserve">
If total withdrawal = total BTC mined. Passing TEST = True</t>
        </r>
      </text>
    </comment>
    <comment ref="E28" authorId="0" shapeId="0" xr:uid="{EEF2517C-B12D-4819-B6AA-21685A1F7D7B}">
      <text>
        <r>
          <rPr>
            <b/>
            <sz val="9"/>
            <color indexed="81"/>
            <rFont val="Tahoma"/>
            <family val="2"/>
          </rPr>
          <t>Author:</t>
        </r>
        <r>
          <rPr>
            <sz val="9"/>
            <color indexed="81"/>
            <rFont val="Tahoma"/>
            <family val="2"/>
          </rPr>
          <t xml:space="preserve">
The resulting number after members have been asked to transfer back the excess that they received.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8F1EB553-C0F6-45F2-B9E5-37BA53D99B0E}">
      <text>
        <r>
          <rPr>
            <b/>
            <sz val="9"/>
            <color indexed="81"/>
            <rFont val="Tahoma"/>
            <family val="2"/>
          </rPr>
          <t>Author:</t>
        </r>
        <r>
          <rPr>
            <sz val="9"/>
            <color indexed="81"/>
            <rFont val="Tahoma"/>
            <family val="2"/>
          </rPr>
          <t xml:space="preserve">
Includes transfer fee</t>
        </r>
      </text>
    </comment>
    <comment ref="E1" authorId="0" shapeId="0" xr:uid="{645D7FDE-C6BF-45C6-B9F0-B573DF6F40A9}">
      <text>
        <r>
          <rPr>
            <b/>
            <sz val="9"/>
            <color indexed="81"/>
            <rFont val="Tahoma"/>
            <family val="2"/>
          </rPr>
          <t>Author:</t>
        </r>
        <r>
          <rPr>
            <sz val="9"/>
            <color indexed="81"/>
            <rFont val="Tahoma"/>
            <family val="2"/>
          </rPr>
          <t xml:space="preserve">
Includes transfer fee</t>
        </r>
      </text>
    </comment>
    <comment ref="G1" authorId="0" shapeId="0" xr:uid="{5C7FCE28-F450-4F26-8C2F-24E6AECA6F0E}">
      <text>
        <r>
          <rPr>
            <b/>
            <sz val="9"/>
            <color indexed="81"/>
            <rFont val="Tahoma"/>
            <family val="2"/>
          </rPr>
          <t>Author:</t>
        </r>
        <r>
          <rPr>
            <sz val="9"/>
            <color indexed="81"/>
            <rFont val="Tahoma"/>
            <family val="2"/>
          </rPr>
          <t xml:space="preserve">
Includes transfer fee</t>
        </r>
      </text>
    </comment>
    <comment ref="I1" authorId="0" shapeId="0" xr:uid="{5BDB479B-C82E-413E-AF27-8AA44698CCC1}">
      <text>
        <r>
          <rPr>
            <b/>
            <sz val="9"/>
            <color indexed="81"/>
            <rFont val="Tahoma"/>
            <family val="2"/>
          </rPr>
          <t>Author:</t>
        </r>
        <r>
          <rPr>
            <sz val="9"/>
            <color indexed="81"/>
            <rFont val="Tahoma"/>
            <family val="2"/>
          </rPr>
          <t xml:space="preserve">
Includes transfer fee</t>
        </r>
      </text>
    </comment>
    <comment ref="K1" authorId="0" shapeId="0" xr:uid="{3FF362C3-6AB3-4D46-94A5-6C716FB0B814}">
      <text>
        <r>
          <rPr>
            <b/>
            <sz val="9"/>
            <color indexed="81"/>
            <rFont val="Tahoma"/>
            <family val="2"/>
          </rPr>
          <t>Author:</t>
        </r>
        <r>
          <rPr>
            <sz val="9"/>
            <color indexed="81"/>
            <rFont val="Tahoma"/>
            <family val="2"/>
          </rPr>
          <t xml:space="preserve">
Includes transfer fee</t>
        </r>
      </text>
    </comment>
    <comment ref="M1" authorId="0" shapeId="0" xr:uid="{F931CFD4-3785-4EE0-BC6D-BE117809D6E4}">
      <text>
        <r>
          <rPr>
            <b/>
            <sz val="9"/>
            <color indexed="81"/>
            <rFont val="Tahoma"/>
            <family val="2"/>
          </rPr>
          <t>Author:</t>
        </r>
        <r>
          <rPr>
            <sz val="9"/>
            <color indexed="81"/>
            <rFont val="Tahoma"/>
            <family val="2"/>
          </rPr>
          <t xml:space="preserve">
Includes transfer fee</t>
        </r>
      </text>
    </comment>
    <comment ref="O1" authorId="0" shapeId="0" xr:uid="{B64CE086-A130-48EC-81F1-DF9EE648492E}">
      <text>
        <r>
          <rPr>
            <b/>
            <sz val="9"/>
            <color indexed="81"/>
            <rFont val="Tahoma"/>
            <family val="2"/>
          </rPr>
          <t>Author:</t>
        </r>
        <r>
          <rPr>
            <sz val="9"/>
            <color indexed="81"/>
            <rFont val="Tahoma"/>
            <family val="2"/>
          </rPr>
          <t xml:space="preserve">
Includes transfer fee</t>
        </r>
      </text>
    </comment>
    <comment ref="Q1" authorId="0" shapeId="0" xr:uid="{4497299D-3903-40CE-A979-49C704A0B1B0}">
      <text>
        <r>
          <rPr>
            <b/>
            <sz val="9"/>
            <color indexed="81"/>
            <rFont val="Tahoma"/>
            <family val="2"/>
          </rPr>
          <t>Author:</t>
        </r>
        <r>
          <rPr>
            <sz val="9"/>
            <color indexed="81"/>
            <rFont val="Tahoma"/>
            <family val="2"/>
          </rPr>
          <t xml:space="preserve">
Includes transfer fee</t>
        </r>
      </text>
    </comment>
    <comment ref="S1" authorId="0" shapeId="0" xr:uid="{714F7553-4DF6-4427-A48D-B53575926156}">
      <text>
        <r>
          <rPr>
            <b/>
            <sz val="9"/>
            <color indexed="81"/>
            <rFont val="Tahoma"/>
            <family val="2"/>
          </rPr>
          <t>Author:</t>
        </r>
        <r>
          <rPr>
            <sz val="9"/>
            <color indexed="81"/>
            <rFont val="Tahoma"/>
            <family val="2"/>
          </rPr>
          <t xml:space="preserve">
Includes transfer fee</t>
        </r>
      </text>
    </comment>
    <comment ref="U1" authorId="0" shapeId="0" xr:uid="{3ACBF006-5CE7-4875-BAE6-EF4EC12FB2A0}">
      <text>
        <r>
          <rPr>
            <b/>
            <sz val="9"/>
            <color indexed="81"/>
            <rFont val="Tahoma"/>
            <family val="2"/>
          </rPr>
          <t>Author:</t>
        </r>
        <r>
          <rPr>
            <sz val="9"/>
            <color indexed="81"/>
            <rFont val="Tahoma"/>
            <family val="2"/>
          </rPr>
          <t xml:space="preserve">
Includes transfer fee</t>
        </r>
      </text>
    </comment>
    <comment ref="W1" authorId="0" shapeId="0" xr:uid="{52972F8F-6A54-40AB-BF95-047869C61647}">
      <text>
        <r>
          <rPr>
            <b/>
            <sz val="9"/>
            <color indexed="81"/>
            <rFont val="Tahoma"/>
            <family val="2"/>
          </rPr>
          <t>Author:</t>
        </r>
        <r>
          <rPr>
            <sz val="9"/>
            <color indexed="81"/>
            <rFont val="Tahoma"/>
            <family val="2"/>
          </rPr>
          <t xml:space="preserve">
Includes transfer fee</t>
        </r>
      </text>
    </comment>
    <comment ref="Y1" authorId="0" shapeId="0" xr:uid="{F24FAEF8-DFC0-4E99-B390-C36181941C13}">
      <text>
        <r>
          <rPr>
            <b/>
            <sz val="9"/>
            <color indexed="81"/>
            <rFont val="Tahoma"/>
            <family val="2"/>
          </rPr>
          <t>Author:</t>
        </r>
        <r>
          <rPr>
            <sz val="9"/>
            <color indexed="81"/>
            <rFont val="Tahoma"/>
            <family val="2"/>
          </rPr>
          <t xml:space="preserve">
Includes transfer fee</t>
        </r>
      </text>
    </comment>
    <comment ref="I2" authorId="0" shapeId="0" xr:uid="{73BFAA99-FED9-47AA-B634-638BDD9A1747}">
      <text>
        <r>
          <rPr>
            <b/>
            <sz val="9"/>
            <color indexed="81"/>
            <rFont val="Tahoma"/>
            <charset val="1"/>
          </rPr>
          <t>Author:</t>
        </r>
        <r>
          <rPr>
            <sz val="9"/>
            <color indexed="81"/>
            <rFont val="Tahoma"/>
            <charset val="1"/>
          </rPr>
          <t xml:space="preserve">
inc costs since paid cash for costs</t>
        </r>
      </text>
    </comment>
    <comment ref="I5" authorId="0" shapeId="0" xr:uid="{40E65611-B262-4C6F-A92B-1D6A1F3AF3F8}">
      <text>
        <r>
          <rPr>
            <b/>
            <sz val="9"/>
            <color indexed="81"/>
            <rFont val="Tahoma"/>
            <charset val="1"/>
          </rPr>
          <t>Author:</t>
        </r>
        <r>
          <rPr>
            <sz val="9"/>
            <color indexed="81"/>
            <rFont val="Tahoma"/>
            <charset val="1"/>
          </rPr>
          <t xml:space="preserve">
Inc costs since paid cash for costs</t>
        </r>
      </text>
    </comment>
    <comment ref="K5" authorId="0" shapeId="0" xr:uid="{8A4D59F6-7EBC-471A-93B9-676497DCCE1D}">
      <text>
        <r>
          <rPr>
            <b/>
            <sz val="9"/>
            <color indexed="81"/>
            <rFont val="Tahoma"/>
            <family val="2"/>
          </rPr>
          <t>Author:</t>
        </r>
        <r>
          <rPr>
            <sz val="9"/>
            <color indexed="81"/>
            <rFont val="Tahoma"/>
            <family val="2"/>
          </rPr>
          <t xml:space="preserve">
paid cash for costs
</t>
        </r>
      </text>
    </comment>
    <comment ref="Q7" authorId="0" shapeId="0" xr:uid="{2A1F6BC9-0C7D-4378-A699-36ABAD35133C}">
      <text>
        <r>
          <rPr>
            <b/>
            <sz val="9"/>
            <color indexed="81"/>
            <rFont val="Tahoma"/>
            <charset val="1"/>
          </rPr>
          <t>Author:</t>
        </r>
        <r>
          <rPr>
            <sz val="9"/>
            <color indexed="81"/>
            <rFont val="Tahoma"/>
            <charset val="1"/>
          </rPr>
          <t xml:space="preserve">
amount decreased by amount of BTC he had to give back due to previous overpayment 0.00794435 - gave back since I sent him more than necessary, was never transferred out, was left inside nicehash account as it should and was simply given this much less profits for this month</t>
        </r>
      </text>
    </comment>
    <comment ref="U7" authorId="0" shapeId="0" xr:uid="{CFE6D0EF-3696-435E-B6CA-52A7149F82B3}">
      <text>
        <r>
          <rPr>
            <b/>
            <sz val="9"/>
            <color indexed="81"/>
            <rFont val="Tahoma"/>
            <charset val="1"/>
          </rPr>
          <t>Author:</t>
        </r>
        <r>
          <rPr>
            <sz val="9"/>
            <color indexed="81"/>
            <rFont val="Tahoma"/>
            <charset val="1"/>
          </rPr>
          <t xml:space="preserve">
0.03204975 BTC earned this month was used to cover 1341.20 dkk from 2847dkk he accidentally received</t>
        </r>
      </text>
    </comment>
    <comment ref="I12" authorId="0" shapeId="0" xr:uid="{8992EA9D-E31B-4A98-AE82-B186DF809AFD}">
      <text>
        <r>
          <rPr>
            <b/>
            <sz val="9"/>
            <color indexed="81"/>
            <rFont val="Tahoma"/>
            <charset val="1"/>
          </rPr>
          <t>Author:</t>
        </r>
        <r>
          <rPr>
            <sz val="9"/>
            <color indexed="81"/>
            <rFont val="Tahoma"/>
            <charset val="1"/>
          </rPr>
          <t xml:space="preserve">
Inc costs since paid cash for costs</t>
        </r>
      </text>
    </comment>
    <comment ref="O12" authorId="0" shapeId="0" xr:uid="{3F3AE2E4-4584-4F0F-89E9-80910DD73C8E}">
      <text>
        <r>
          <rPr>
            <b/>
            <sz val="9"/>
            <color indexed="81"/>
            <rFont val="Tahoma"/>
            <charset val="1"/>
          </rPr>
          <t>Author:</t>
        </r>
        <r>
          <rPr>
            <sz val="9"/>
            <color indexed="81"/>
            <rFont val="Tahoma"/>
            <charset val="1"/>
          </rPr>
          <t xml:space="preserve">
added towards the next month as amount was too small</t>
        </r>
      </text>
    </comment>
    <comment ref="A13" authorId="0" shapeId="0" xr:uid="{4AAC0FD1-6DB5-470F-9995-B8B6DA13D83E}">
      <text>
        <r>
          <rPr>
            <b/>
            <sz val="9"/>
            <color indexed="81"/>
            <rFont val="Tahoma"/>
            <family val="2"/>
          </rPr>
          <t>Author:</t>
        </r>
        <r>
          <rPr>
            <sz val="9"/>
            <color indexed="81"/>
            <rFont val="Tahoma"/>
            <family val="2"/>
          </rPr>
          <t xml:space="preserve">
Includes all previous reinvested amounts as a group.
</t>
        </r>
        <r>
          <rPr>
            <b/>
            <sz val="9"/>
            <color indexed="81"/>
            <rFont val="Tahoma"/>
            <family val="2"/>
          </rPr>
          <t>NOTE:</t>
        </r>
        <r>
          <rPr>
            <sz val="9"/>
            <color indexed="81"/>
            <rFont val="Tahoma"/>
            <family val="2"/>
          </rPr>
          <t xml:space="preserve"> The Group BTC even if not imediatelly re-invested are counted as if they are imediatelly Re-Invested. This gives us flexibility in deciding when to use those BTC.</t>
        </r>
      </text>
    </comment>
    <comment ref="I15" authorId="0" shapeId="0" xr:uid="{C1958DDE-76D7-447D-A382-8AE6C8B55AA8}">
      <text>
        <r>
          <rPr>
            <b/>
            <sz val="9"/>
            <color indexed="81"/>
            <rFont val="Tahoma"/>
            <charset val="1"/>
          </rPr>
          <t>Author:</t>
        </r>
        <r>
          <rPr>
            <sz val="9"/>
            <color indexed="81"/>
            <rFont val="Tahoma"/>
            <charset val="1"/>
          </rPr>
          <t xml:space="preserve">
Incs costs since paid cash for costs</t>
        </r>
      </text>
    </comment>
    <comment ref="K15" authorId="0" shapeId="0" xr:uid="{76D4A3CA-EF81-4CF9-B1DC-4ED50B67BD03}">
      <text>
        <r>
          <rPr>
            <b/>
            <sz val="9"/>
            <color indexed="81"/>
            <rFont val="Tahoma"/>
            <charset val="1"/>
          </rPr>
          <t>Author:</t>
        </r>
        <r>
          <rPr>
            <sz val="9"/>
            <color indexed="81"/>
            <rFont val="Tahoma"/>
            <charset val="1"/>
          </rPr>
          <t xml:space="preserve">
Inc costs since paid cash for costs</t>
        </r>
      </text>
    </comment>
    <comment ref="I16" authorId="0" shapeId="0" xr:uid="{A60EE4DA-C268-4919-B995-1D87AA6AB431}">
      <text>
        <r>
          <rPr>
            <b/>
            <sz val="9"/>
            <color indexed="81"/>
            <rFont val="Tahoma"/>
            <charset val="1"/>
          </rPr>
          <t>Author:</t>
        </r>
        <r>
          <rPr>
            <sz val="9"/>
            <color indexed="81"/>
            <rFont val="Tahoma"/>
            <charset val="1"/>
          </rPr>
          <t xml:space="preserve">
Inc costs since paid cash for costs</t>
        </r>
      </text>
    </comment>
    <comment ref="K16" authorId="0" shapeId="0" xr:uid="{7D046800-7B6D-4663-BCD1-B12A3BBE1708}">
      <text>
        <r>
          <rPr>
            <b/>
            <sz val="9"/>
            <color indexed="81"/>
            <rFont val="Tahoma"/>
            <family val="2"/>
          </rPr>
          <t>Author:</t>
        </r>
        <r>
          <rPr>
            <sz val="9"/>
            <color indexed="81"/>
            <rFont val="Tahoma"/>
            <family val="2"/>
          </rPr>
          <t xml:space="preserve">
inc costs since paid cash for costs
</t>
        </r>
      </text>
    </comment>
    <comment ref="Q16" authorId="0" shapeId="0" xr:uid="{0D0A9569-8321-42B6-86A3-8E4CEC962AB3}">
      <text>
        <r>
          <rPr>
            <b/>
            <sz val="9"/>
            <color indexed="81"/>
            <rFont val="Tahoma"/>
            <charset val="1"/>
          </rPr>
          <t>Author:</t>
        </r>
        <r>
          <rPr>
            <sz val="9"/>
            <color indexed="81"/>
            <rFont val="Tahoma"/>
            <charset val="1"/>
          </rPr>
          <t xml:space="preserve">
no profit because of previous overpayment which is higher that this months profits the entire sum that he has to give back which was split over Aug (0.00972800) Sep (0.00247063) and Oct 0.00073625 
was never transferred out, was left inside nicehash account as it should and was simply given this much less profits for this month
</t>
        </r>
      </text>
    </comment>
    <comment ref="S16" authorId="0" shapeId="0" xr:uid="{AE4399FF-F5D0-4767-81E3-2D1C3AAE72BE}">
      <text>
        <r>
          <rPr>
            <b/>
            <sz val="9"/>
            <color indexed="81"/>
            <rFont val="Tahoma"/>
            <charset val="1"/>
          </rPr>
          <t>Author:</t>
        </r>
        <r>
          <rPr>
            <sz val="9"/>
            <color indexed="81"/>
            <rFont val="Tahoma"/>
            <charset val="1"/>
          </rPr>
          <t xml:space="preserve">
no profit because of previous overpayment which is higher that this months profits the entire sum that he has to give back which was split over Aug (0.00972800) Sep (0.00247063) and Oct 0.00073625</t>
        </r>
      </text>
    </comment>
    <comment ref="U16" authorId="0" shapeId="0" xr:uid="{F96C7C90-D452-4673-8434-557E0A9F2ABC}">
      <text>
        <r>
          <rPr>
            <b/>
            <sz val="9"/>
            <color indexed="81"/>
            <rFont val="Tahoma"/>
            <charset val="1"/>
          </rPr>
          <t>Author:</t>
        </r>
        <r>
          <rPr>
            <sz val="9"/>
            <color indexed="81"/>
            <rFont val="Tahoma"/>
            <charset val="1"/>
          </rPr>
          <t xml:space="preserve">
a bit less because of previous overpayment which is higher that this months profits the entire sum that he has to give back which was split over Aug (0.00972800) Sep (0.00247063) and Oct 0.00073625</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101EA462-6D9F-4E17-90F6-4FBF6113050B}">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D1" authorId="0" shapeId="0" xr:uid="{2434E028-A3A9-462E-BDAF-72E8922B649F}">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F1" authorId="0" shapeId="0" xr:uid="{FFC18F57-0E64-43A4-83B1-EF91457FA879}">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G1" authorId="0" shapeId="0" xr:uid="{306E8F91-472B-4959-BF65-D74E5AD14887}">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I1" authorId="0" shapeId="0" xr:uid="{CFAE617B-7E98-42B3-909A-DF7B87087ACF}">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J1" authorId="0" shapeId="0" xr:uid="{C9926603-FA12-4EF6-9FA1-57E27DA151CB}">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L1" authorId="0" shapeId="0" xr:uid="{C91EB530-3EA5-44E2-9748-69D5EBE14689}">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M1" authorId="0" shapeId="0" xr:uid="{F2322960-0BA5-4834-9841-FD3D0C2FAB87}">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O1" authorId="0" shapeId="0" xr:uid="{B404C65A-A04D-47EE-8A19-460A8C5281AA}">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P1" authorId="0" shapeId="0" xr:uid="{9E81FCDF-39D5-4A50-B97C-E5EC98B66CAC}">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R1" authorId="0" shapeId="0" xr:uid="{8D1D52EE-4E8E-426E-919E-8394AAC866F7}">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S1" authorId="0" shapeId="0" xr:uid="{E94FDA5E-15C0-448F-958B-0F0CFA0A2B2D}">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U1" authorId="0" shapeId="0" xr:uid="{66222615-A533-4A14-9271-D62C4B27C01F}">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V1" authorId="0" shapeId="0" xr:uid="{C7128F8D-C97F-44C7-88F4-35862BD9E02C}">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X1" authorId="0" shapeId="0" xr:uid="{72DF3FFA-383E-495D-A0A8-5F59E06FCC71}">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Y1" authorId="0" shapeId="0" xr:uid="{8A70E415-21E0-4566-9A78-CFFBE60524EB}">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AA1" authorId="0" shapeId="0" xr:uid="{E1695BD3-78A0-42A8-B619-2F092A4868B2}">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AB1" authorId="0" shapeId="0" xr:uid="{0FA1DDE2-4012-45BD-9373-425BD10826AE}">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AD1" authorId="0" shapeId="0" xr:uid="{5DF1FA92-6622-4948-BF91-C184473CEA74}">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AE1" authorId="0" shapeId="0" xr:uid="{98F2237E-8C56-45F8-936B-53EAAC440B49}">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AG1" authorId="0" shapeId="0" xr:uid="{570B2F96-250D-48B9-86FA-CC49FDF1F0BC}">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AH1" authorId="0" shapeId="0" xr:uid="{DD5853D3-97BA-4764-A46E-61FF497B3FF8}">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AJ1" authorId="0" shapeId="0" xr:uid="{FA02D514-35D2-4118-89B0-6262C19F4AB3}">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AK1" authorId="0" shapeId="0" xr:uid="{D9A55AB9-12E8-42FF-B614-A7218572C4B6}">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A13" authorId="0" shapeId="0" xr:uid="{9AE95997-36B3-4822-A7CA-5FC9C0AAC56A}">
      <text>
        <r>
          <rPr>
            <b/>
            <sz val="9"/>
            <color indexed="81"/>
            <rFont val="Tahoma"/>
            <family val="2"/>
          </rPr>
          <t>Author:</t>
        </r>
        <r>
          <rPr>
            <sz val="9"/>
            <color indexed="81"/>
            <rFont val="Tahoma"/>
            <family val="2"/>
          </rPr>
          <t xml:space="preserve">
Includes all previous reinvested amounts as a group.
</t>
        </r>
        <r>
          <rPr>
            <b/>
            <sz val="9"/>
            <color indexed="81"/>
            <rFont val="Tahoma"/>
            <family val="2"/>
          </rPr>
          <t>NOTE:</t>
        </r>
        <r>
          <rPr>
            <sz val="9"/>
            <color indexed="81"/>
            <rFont val="Tahoma"/>
            <family val="2"/>
          </rPr>
          <t xml:space="preserve"> The Group BTC even if not imediatelly re-invested are counted as if they are imediatelly Re-Invested. This gives us flexibility in deciding when to use those BTC.</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3" authorId="0" shapeId="0" xr:uid="{C522D245-2867-4165-9103-C04D7C07711F}">
      <text>
        <r>
          <rPr>
            <b/>
            <sz val="9"/>
            <color indexed="81"/>
            <rFont val="Tahoma"/>
            <family val="2"/>
          </rPr>
          <t>Author:</t>
        </r>
        <r>
          <rPr>
            <sz val="9"/>
            <color indexed="81"/>
            <rFont val="Tahoma"/>
            <family val="2"/>
          </rPr>
          <t xml:space="preserve">
Includes all previous reinvested amounts as a group.
</t>
        </r>
        <r>
          <rPr>
            <b/>
            <sz val="9"/>
            <color indexed="81"/>
            <rFont val="Tahoma"/>
            <family val="2"/>
          </rPr>
          <t>NOTE:</t>
        </r>
        <r>
          <rPr>
            <sz val="9"/>
            <color indexed="81"/>
            <rFont val="Tahoma"/>
            <family val="2"/>
          </rPr>
          <t xml:space="preserve"> The Group BTC even if not imediatelly re-invested are counted as if they are imediatelly Re-Invested. This gives us flexibility in deciding when to use those BTC.</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C347D717-0320-4828-9051-A882ECD08219}">
      <text>
        <r>
          <rPr>
            <b/>
            <sz val="9"/>
            <color indexed="81"/>
            <rFont val="Tahoma"/>
            <family val="2"/>
          </rPr>
          <t>Author:</t>
        </r>
        <r>
          <rPr>
            <sz val="9"/>
            <color indexed="81"/>
            <rFont val="Tahoma"/>
            <family val="2"/>
          </rPr>
          <t xml:space="preserve">
We are going to cover the 10% before costs as I am using allot of my resources and none are for hardware (Eg: Project, Logistics, Electricity) this will help me maintain a healthy financial situation.</t>
        </r>
      </text>
    </comment>
    <comment ref="E1" authorId="0" shapeId="0" xr:uid="{1736FE36-1E88-44BB-8262-FF0A302FB800}">
      <text>
        <r>
          <rPr>
            <b/>
            <sz val="9"/>
            <color indexed="81"/>
            <rFont val="Tahoma"/>
            <family val="2"/>
          </rPr>
          <t>Author:</t>
        </r>
        <r>
          <rPr>
            <sz val="9"/>
            <color indexed="81"/>
            <rFont val="Tahoma"/>
            <family val="2"/>
          </rPr>
          <t xml:space="preserve">
Convert to manual input before deleting costs in "TOTALS"
</t>
        </r>
      </text>
    </comment>
  </commentList>
</comments>
</file>

<file path=xl/sharedStrings.xml><?xml version="1.0" encoding="utf-8"?>
<sst xmlns="http://schemas.openxmlformats.org/spreadsheetml/2006/main" count="1359" uniqueCount="251">
  <si>
    <t>Brand</t>
  </si>
  <si>
    <t>Name</t>
  </si>
  <si>
    <t>Model</t>
  </si>
  <si>
    <t>Owner</t>
  </si>
  <si>
    <t>ASUS</t>
  </si>
  <si>
    <t>Corsair</t>
  </si>
  <si>
    <t>Jakub Duchon</t>
  </si>
  <si>
    <t>Qty</t>
  </si>
  <si>
    <t>Petru Dascal</t>
  </si>
  <si>
    <t>Status</t>
  </si>
  <si>
    <t>B250 Mining Expert</t>
  </si>
  <si>
    <t>Andrei Mungiu</t>
  </si>
  <si>
    <t>RM1000i ATX/EPS Fully Modular 80 PLUS Gold</t>
  </si>
  <si>
    <t>Intel</t>
  </si>
  <si>
    <t>Skylake Pentium G4400 3.3 GHz 3Mb Cache LGA 1151 Boîte</t>
  </si>
  <si>
    <t>Lattcure</t>
  </si>
  <si>
    <t>PCIE Riser 16x1x 60cm usb 3.0 cable 6-pin / 4-pin / sata interface (X6 Pack)</t>
  </si>
  <si>
    <t>DisplayPort to VGA, 1080P DP vers VGA Male &amp; Female Converter Adapter</t>
  </si>
  <si>
    <t>GPU</t>
  </si>
  <si>
    <t>PSU</t>
  </si>
  <si>
    <t>MB</t>
  </si>
  <si>
    <t>CPU</t>
  </si>
  <si>
    <t>RAM</t>
  </si>
  <si>
    <t>SSD</t>
  </si>
  <si>
    <t>Mikkel Kofer</t>
  </si>
  <si>
    <t>Arthur Cohrt Hillgaard</t>
  </si>
  <si>
    <t>Herman Trakachenok</t>
  </si>
  <si>
    <t>Order Date</t>
  </si>
  <si>
    <t>Arrival Date</t>
  </si>
  <si>
    <t>Arrived</t>
  </si>
  <si>
    <t>17 kan 19</t>
  </si>
  <si>
    <t>Vasile/Rodica</t>
  </si>
  <si>
    <t>Tracklife</t>
  </si>
  <si>
    <t>EST02 Socket/Neutral/Earth/Polarity Tester, Auto Circuit Detector Ladder</t>
  </si>
  <si>
    <t>EM03 Energy Consumption/Amper/Costs meter 3680W</t>
  </si>
  <si>
    <t>Votones</t>
  </si>
  <si>
    <t>Anew</t>
  </si>
  <si>
    <t>Mini WLAN Stick Wireless USB, 2.4G 150mbps + 5G 433mbps</t>
  </si>
  <si>
    <t>Intenso</t>
  </si>
  <si>
    <t>Internal SSD 120 GB/SATA III; 520 MB/sec</t>
  </si>
  <si>
    <t>GIGABYTE</t>
  </si>
  <si>
    <t>Damian Seu</t>
  </si>
  <si>
    <t>William</t>
  </si>
  <si>
    <t>Price</t>
  </si>
  <si>
    <t>Total Order Value</t>
  </si>
  <si>
    <t>B250 Mining Expert</t>
  </si>
  <si>
    <t>Skylake Pentium Dual-Core G4400 3.3 GHz Processor CPU</t>
  </si>
  <si>
    <t xml:space="preserve">Crucial </t>
  </si>
  <si>
    <t>Ballistix 4GB DDR4 2400 MT/s (PC4-19200) Gray</t>
  </si>
  <si>
    <t>Sabrent</t>
  </si>
  <si>
    <t>Hama</t>
  </si>
  <si>
    <t>Logitech</t>
  </si>
  <si>
    <t>Cherry</t>
  </si>
  <si>
    <t>Elegiant</t>
  </si>
  <si>
    <t>Extension Cable (6 Way with Switch and Child Lock) black</t>
  </si>
  <si>
    <t>B100 Optical Mouse - Black</t>
  </si>
  <si>
    <t>KC 1000 PC / Mac, Keyboard</t>
  </si>
  <si>
    <t>USB 3.0 PCI-E Express 1X To 16X Extender Riser Card Adapter Power Cable Mining</t>
  </si>
  <si>
    <t>Zotac</t>
  </si>
  <si>
    <t>Gainward</t>
  </si>
  <si>
    <t>Seller</t>
  </si>
  <si>
    <t>Foniks</t>
  </si>
  <si>
    <t>Amazon.de</t>
  </si>
  <si>
    <t>Amazon.fr</t>
  </si>
  <si>
    <t>RM1000x  80 PLUS Gold</t>
  </si>
  <si>
    <t>RM850x</t>
  </si>
  <si>
    <t>Motherboard Power Cable ON/OFF Switch Reset SW Cable Connector HY233</t>
  </si>
  <si>
    <t>Aliexpress.com</t>
  </si>
  <si>
    <t>6 Pin Male To Female PCI express GPU Power Supply PSU GPU Extension Cable</t>
  </si>
  <si>
    <t>PCIE Riser 16x1x 60cm  usb 3.0 PCIe 6 Pin + 6pin to SATA Power Cable</t>
  </si>
  <si>
    <t>RM1000x 80 Plus Gold</t>
  </si>
  <si>
    <t>Amazon.it</t>
  </si>
  <si>
    <t>RM850x 80 PLUS Gold, multicolour (white)</t>
  </si>
  <si>
    <t>Ballistix 4GB DDR4 2400 MT/s (PC4-19200) White</t>
  </si>
  <si>
    <t>Intel Pentium Dual-Core G4400 3.3 GHz Processor CPU</t>
  </si>
  <si>
    <t>GPU Frame</t>
  </si>
  <si>
    <t>Moldova</t>
  </si>
  <si>
    <t>Shipping date:</t>
  </si>
  <si>
    <t>Done</t>
  </si>
  <si>
    <t>Description</t>
  </si>
  <si>
    <t>Dumitru Karpov</t>
  </si>
  <si>
    <t>Order date:</t>
  </si>
  <si>
    <t>Amazon.de (Not my account)</t>
  </si>
  <si>
    <t>4 Pin Molex Male to 4Pin Molex IDE Female</t>
  </si>
  <si>
    <t>MISC</t>
  </si>
  <si>
    <t>PROJECT</t>
  </si>
  <si>
    <t>Category Costs %</t>
  </si>
  <si>
    <t>LOGISTIC</t>
  </si>
  <si>
    <t>TOTALS from upper results</t>
  </si>
  <si>
    <t>TOTAL from Each category page</t>
  </si>
  <si>
    <t>Electricity Price/kWh</t>
  </si>
  <si>
    <t>USB TypeC to SSD/2.5-Inch Adapter</t>
  </si>
  <si>
    <t>USB to SSD/2.5-Inch Adapter</t>
  </si>
  <si>
    <t>Rankie</t>
  </si>
  <si>
    <t>HDMI to VGA Male to Female + Micro USB Charging cable White</t>
  </si>
  <si>
    <t>128GB SATA III Top Performance 2.5 Inch SSD</t>
  </si>
  <si>
    <t>Bill Date</t>
  </si>
  <si>
    <t>ELECTRICITY</t>
  </si>
  <si>
    <t>JMP</t>
  </si>
  <si>
    <t>NOT CONFIRMED</t>
  </si>
  <si>
    <t>Reinvested BTC:</t>
  </si>
  <si>
    <t>AM 10%</t>
  </si>
  <si>
    <t>AM 10% (BTC)</t>
  </si>
  <si>
    <t>After 10% (BTC)</t>
  </si>
  <si>
    <t>DKK/BTC</t>
  </si>
  <si>
    <t>Costs (DKK)</t>
  </si>
  <si>
    <t>Costs (BTC)</t>
  </si>
  <si>
    <t>Month 2018</t>
  </si>
  <si>
    <t>Net Profit (BTC)</t>
  </si>
  <si>
    <t>Month 2018:</t>
  </si>
  <si>
    <t>Feb</t>
  </si>
  <si>
    <t>Mar</t>
  </si>
  <si>
    <t>Apr</t>
  </si>
  <si>
    <t>May</t>
  </si>
  <si>
    <t>Jun</t>
  </si>
  <si>
    <t>Jul</t>
  </si>
  <si>
    <t>Aug</t>
  </si>
  <si>
    <t>Sep</t>
  </si>
  <si>
    <t>Oct</t>
  </si>
  <si>
    <t>Nov</t>
  </si>
  <si>
    <t>Dec</t>
  </si>
  <si>
    <t>First Test (17-Feb-18)</t>
  </si>
  <si>
    <t>Month</t>
  </si>
  <si>
    <t>TOTAL/Month</t>
  </si>
  <si>
    <t>COSTS</t>
  </si>
  <si>
    <t>Total/Person</t>
  </si>
  <si>
    <t>Percent/Person</t>
  </si>
  <si>
    <t>NOTE: The lowest BTC unit is one satoshi: 0.00000001 BTC (7 zeroes)</t>
  </si>
  <si>
    <t>JMP Net Profit (BTC):</t>
  </si>
  <si>
    <t>USB 16GB</t>
  </si>
  <si>
    <t>Kingston</t>
  </si>
  <si>
    <t>SkotchTape</t>
  </si>
  <si>
    <t>Total 2018 (BTC)</t>
  </si>
  <si>
    <t>NOTE: The "Share %" is copied in here at the end of each month before the project,logistic, and electricity costs are paid for and closed.</t>
  </si>
  <si>
    <t>NOTE: Costs are covered from BTC each month based coinbase price index.</t>
  </si>
  <si>
    <t>%</t>
  </si>
  <si>
    <t>Nicolae Gheorghita</t>
  </si>
  <si>
    <t>Gigabite</t>
  </si>
  <si>
    <t>Switch</t>
  </si>
  <si>
    <t>Valentin Graur</t>
  </si>
  <si>
    <t>PCIE Riser 16x1x 60cm USB3.0 Ver 009S</t>
  </si>
  <si>
    <t>Emil Juel Andersen</t>
  </si>
  <si>
    <t>-</t>
  </si>
  <si>
    <t>JMP Total Costs:</t>
  </si>
  <si>
    <t>Cristian Scobiola</t>
  </si>
  <si>
    <t>PCIE Riser 16x1x 60cm USB3.0</t>
  </si>
  <si>
    <t>Month BTC Balance</t>
  </si>
  <si>
    <t>dinvenmikkel@gmail.com</t>
  </si>
  <si>
    <t>Email</t>
  </si>
  <si>
    <t>Wallet</t>
  </si>
  <si>
    <t>3KwXJCQc8fKvU4oEkwSkPVQLLh7YH1Q8s7</t>
  </si>
  <si>
    <t>14V4waUGBJUuUxLoBNXvcJsN52En2bUxst</t>
  </si>
  <si>
    <t>N/A</t>
  </si>
  <si>
    <t>jakub.duchon9@gmail.com</t>
  </si>
  <si>
    <t>williamdissing@gmail.com</t>
  </si>
  <si>
    <t>petea11@yahoo.com</t>
  </si>
  <si>
    <t>nicolae.gheorghita@hotmail.com</t>
  </si>
  <si>
    <t>Arthurjan3@gmail.com</t>
  </si>
  <si>
    <t>6 Pin Male To Male GPU power supply cables</t>
  </si>
  <si>
    <t>my own acc</t>
  </si>
  <si>
    <t>andrei_mungiu@yahoo.com</t>
  </si>
  <si>
    <t>600mm Window Fan</t>
  </si>
  <si>
    <t>8 Pin Male to Dual 8Pin(6+2) Male 60cm GPU Power Cable 18AWG</t>
  </si>
  <si>
    <t>8 pin Female to dual PCI-E PCI Express 8pin ( 6+2 pin ) Male 26cm GPU Cable</t>
  </si>
  <si>
    <t>emiljuelandersen@gmail.com</t>
  </si>
  <si>
    <t>10% TRUE?</t>
  </si>
  <si>
    <t>Costs TRUE?</t>
  </si>
  <si>
    <t>Total TEST:</t>
  </si>
  <si>
    <t>TEST (17-Feb)</t>
  </si>
  <si>
    <t>NOTE: This section indicates the discrepancies between the actual withdrawals and the calculated costs/profits</t>
  </si>
  <si>
    <t>TOTALS</t>
  </si>
  <si>
    <t>All correct TEST</t>
  </si>
  <si>
    <t>After corrections</t>
  </si>
  <si>
    <t>NOTE: A minus indicates that this BTC has not been paid out (aka has to be split among members)</t>
  </si>
  <si>
    <t>TOTAL After corrections</t>
  </si>
  <si>
    <t>F.Test (17-Feb-18)</t>
  </si>
  <si>
    <t>Bitcoins (BTC)</t>
  </si>
  <si>
    <t>BTC</t>
  </si>
  <si>
    <t>DKK</t>
  </si>
  <si>
    <t>F. Test (17-Feb-18)</t>
  </si>
  <si>
    <t>Factors</t>
  </si>
  <si>
    <t>Total assets</t>
  </si>
  <si>
    <t>April</t>
  </si>
  <si>
    <t>Profit/loss (EBIT)</t>
  </si>
  <si>
    <t>GPU Assets</t>
  </si>
  <si>
    <t>MB Lifespan (months)</t>
  </si>
  <si>
    <t>June</t>
  </si>
  <si>
    <t>MB Assets</t>
  </si>
  <si>
    <t>Other Assets</t>
  </si>
  <si>
    <t>GPU depreciation</t>
  </si>
  <si>
    <t>MB depreciation</t>
  </si>
  <si>
    <t>Other Depreciation</t>
  </si>
  <si>
    <t>Mined BTC</t>
  </si>
  <si>
    <t>Costs 10%</t>
  </si>
  <si>
    <t>Mined BTC Value</t>
  </si>
  <si>
    <t>GPU Lifespan (months)</t>
  </si>
  <si>
    <t>Other Lifespan (months)</t>
  </si>
  <si>
    <t>Feb (test)</t>
  </si>
  <si>
    <t>March</t>
  </si>
  <si>
    <t>Costs 10% value</t>
  </si>
  <si>
    <t>Other Costs</t>
  </si>
  <si>
    <t>Other Costs value</t>
  </si>
  <si>
    <t>Expectations</t>
  </si>
  <si>
    <t>GPU sale %</t>
  </si>
  <si>
    <t>GPU sale value</t>
  </si>
  <si>
    <t>BTC after costs</t>
  </si>
  <si>
    <t>one defect sent, second defect has to be rezolved aswell</t>
  </si>
  <si>
    <t>remember to paste values and not leave formulas</t>
  </si>
  <si>
    <t>it is normal to have a minus here</t>
  </si>
  <si>
    <t>petfam04@yahoo.com</t>
  </si>
  <si>
    <t>READ NOTES + must be covered</t>
  </si>
  <si>
    <t>1506dkk</t>
  </si>
  <si>
    <t>Notes</t>
  </si>
  <si>
    <t>Note</t>
  </si>
  <si>
    <t>unpaid from november since costs exceded profits</t>
  </si>
  <si>
    <t>S/N</t>
  </si>
  <si>
    <t>17457167 - CP-9020093-EU SN:7590918   /    #2 SN:7590916</t>
  </si>
  <si>
    <t>2152 at the end one of them</t>
  </si>
  <si>
    <t>SerialID</t>
  </si>
  <si>
    <t>3rd NORMAL FORM</t>
  </si>
  <si>
    <t>Category</t>
  </si>
  <si>
    <t>ToBeReinbursed</t>
  </si>
  <si>
    <t>Total Paid Value</t>
  </si>
  <si>
    <t>Reinbursed</t>
  </si>
  <si>
    <t>MAKE TRIGGER ON INSERT &amp; UPDATE</t>
  </si>
  <si>
    <t>kW Used</t>
  </si>
  <si>
    <t>kW/Month Average</t>
  </si>
  <si>
    <t>MDL/Month Average</t>
  </si>
  <si>
    <t>Shipment</t>
  </si>
  <si>
    <t>Electricity - Official approval to have 17 kW in house.</t>
  </si>
  <si>
    <t>Electricity - Installation of all electricity hardware</t>
  </si>
  <si>
    <t>Electricity - Electricity Stabilizer 8kWh</t>
  </si>
  <si>
    <t>Electricity - Box for Electricity Meter</t>
  </si>
  <si>
    <t>Electricity - Electricity Meter</t>
  </si>
  <si>
    <t>Electricity - Cables for Electricity Project</t>
  </si>
  <si>
    <t>Electricity - Fan Sound Isolating Gauze</t>
  </si>
  <si>
    <t>Electricity - Items</t>
  </si>
  <si>
    <t>Temperature  - Window heat Protection</t>
  </si>
  <si>
    <t>Temperature  - Fan bearing</t>
  </si>
  <si>
    <t>Electrivity Bill</t>
  </si>
  <si>
    <t>HiveOS</t>
  </si>
  <si>
    <t xml:space="preserve"> GTX 1060 3GB Dual</t>
  </si>
  <si>
    <t>GTX1060 6GB dual</t>
  </si>
  <si>
    <t>GTX 1060 black/orange</t>
  </si>
  <si>
    <t>GTX 1060 3GB Amp Edition</t>
  </si>
  <si>
    <t>GTX 1060 O3GB</t>
  </si>
  <si>
    <t>GTX 1060 3GB</t>
  </si>
  <si>
    <t xml:space="preserve"> GTX 1060 3GB</t>
  </si>
  <si>
    <t>GTX1060 O6GB</t>
  </si>
  <si>
    <t>S/N Notes</t>
  </si>
  <si>
    <t>In SQL each item has a separate tuple and all totals are calculated with formulas/ views are created if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</si>
</sst>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2]\ * #,##0.00_);_([$€-2]\ * \(#,##0.00\);_([$€-2]\ * &quot;-&quot;??_);_(@_)"/>
    <numFmt numFmtId="165" formatCode="_-* #,##0.00\ [$kr.-406]_-;\-* #,##0.00\ [$kr.-406]_-;_-* &quot;-&quot;??\ [$kr.-406]_-;_-@_-"/>
    <numFmt numFmtId="166" formatCode="0.00000000"/>
    <numFmt numFmtId="167" formatCode="_([$MDL]\ * #,##0.00_);_([$MDL]\ * \(#,##0.00\);_([$MDL]\ * &quot;-&quot;??_);_(@_)"/>
    <numFmt numFmtId="168" formatCode="0.0%"/>
    <numFmt numFmtId="169" formatCode="_-* #,##0\ [$kr.-406]_-;\-* #,##0\ [$kr.-406]_-;_-* &quot;-&quot;\ [$kr.-406]_-;_-@_-"/>
    <numFmt numFmtId="170" formatCode="_-* #,##0\ [$kr.-406]_-;\-* #,##0\ [$kr.-406]_-;_-* &quot;-&quot;??\ [$kr.-406]_-;_-@_-"/>
    <numFmt numFmtId="171" formatCode="0.00000000000000000000000000"/>
  </numFmts>
  <fonts count="22" x14ac:knownFonts="1">
    <font>
      <sz val="11"/>
      <color theme="1"/>
      <name val="Calibri"/>
      <family val="2"/>
      <scheme val="minor"/>
    </font>
    <font>
      <sz val="11"/>
      <color rgb="FF9C0006"/>
      <name val="Calibri"/>
      <family val="2"/>
      <scheme val="minor"/>
    </font>
    <font>
      <b/>
      <sz val="11"/>
      <color theme="1"/>
      <name val="Calibri"/>
      <family val="2"/>
      <scheme val="minor"/>
    </font>
    <font>
      <sz val="11"/>
      <color rgb="FF006100"/>
      <name val="Calibri"/>
      <family val="2"/>
      <scheme val="minor"/>
    </font>
    <font>
      <b/>
      <sz val="11"/>
      <color rgb="FFFA7D00"/>
      <name val="Calibri"/>
      <family val="2"/>
      <scheme val="minor"/>
    </font>
    <font>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rgb="FFFF0000"/>
      <name val="Calibri"/>
      <family val="2"/>
      <scheme val="minor"/>
    </font>
    <font>
      <i/>
      <sz val="11"/>
      <color rgb="FF7F7F7F"/>
      <name val="Calibri"/>
      <family val="2"/>
      <scheme val="minor"/>
    </font>
    <font>
      <b/>
      <i/>
      <sz val="11"/>
      <color rgb="FF7F7F7F"/>
      <name val="Calibri"/>
      <family val="2"/>
      <scheme val="minor"/>
    </font>
    <font>
      <b/>
      <i/>
      <sz val="11"/>
      <color rgb="FFFF0000"/>
      <name val="Calibri"/>
      <family val="2"/>
      <scheme val="minor"/>
    </font>
    <font>
      <b/>
      <sz val="9"/>
      <color indexed="81"/>
      <name val="Tahoma"/>
      <charset val="1"/>
    </font>
    <font>
      <sz val="11"/>
      <color rgb="FF9C5700"/>
      <name val="Calibri"/>
      <family val="2"/>
      <scheme val="minor"/>
    </font>
    <font>
      <i/>
      <sz val="11"/>
      <color theme="0" tint="-0.499984740745262"/>
      <name val="Calibri"/>
      <family val="2"/>
      <scheme val="minor"/>
    </font>
    <font>
      <sz val="9"/>
      <color indexed="81"/>
      <name val="Tahoma"/>
      <charset val="1"/>
    </font>
    <font>
      <u/>
      <sz val="11"/>
      <color theme="10"/>
      <name val="Calibri"/>
      <family val="2"/>
      <scheme val="minor"/>
    </font>
    <font>
      <b/>
      <sz val="11"/>
      <color rgb="FF006100"/>
      <name val="Calibri"/>
      <family val="2"/>
      <scheme val="minor"/>
    </font>
    <font>
      <b/>
      <sz val="12"/>
      <color theme="1"/>
      <name val="Calibri"/>
      <family val="2"/>
      <scheme val="minor"/>
    </font>
    <font>
      <b/>
      <sz val="11"/>
      <name val="Calibri"/>
      <family val="2"/>
      <scheme val="minor"/>
    </font>
    <font>
      <sz val="11"/>
      <name val="Calibri"/>
      <family val="2"/>
      <scheme val="minor"/>
    </font>
  </fonts>
  <fills count="7">
    <fill>
      <patternFill patternType="none"/>
    </fill>
    <fill>
      <patternFill patternType="gray125"/>
    </fill>
    <fill>
      <patternFill patternType="solid">
        <fgColor rgb="FFFFC7CE"/>
      </patternFill>
    </fill>
    <fill>
      <patternFill patternType="solid">
        <fgColor rgb="FFC6EFCE"/>
      </patternFill>
    </fill>
    <fill>
      <patternFill patternType="solid">
        <fgColor rgb="FFF2F2F2"/>
      </patternFill>
    </fill>
    <fill>
      <patternFill patternType="solid">
        <fgColor theme="6" tint="0.79998168889431442"/>
        <bgColor indexed="65"/>
      </patternFill>
    </fill>
    <fill>
      <patternFill patternType="solid">
        <fgColor rgb="FFFFEB9C"/>
      </patternFill>
    </fill>
  </fills>
  <borders count="44">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right/>
      <top style="thin">
        <color theme="4"/>
      </top>
      <bottom style="double">
        <color theme="4"/>
      </bottom>
      <diagonal/>
    </border>
    <border>
      <left/>
      <right/>
      <top/>
      <bottom style="thin">
        <color rgb="FF7F7F7F"/>
      </bottom>
      <diagonal/>
    </border>
    <border>
      <left style="thin">
        <color rgb="FF7F7F7F"/>
      </left>
      <right/>
      <top style="thin">
        <color rgb="FF7F7F7F"/>
      </top>
      <bottom style="thin">
        <color rgb="FF7F7F7F"/>
      </bottom>
      <diagonal/>
    </border>
    <border>
      <left style="medium">
        <color indexed="64"/>
      </left>
      <right/>
      <top style="medium">
        <color indexed="64"/>
      </top>
      <bottom style="thin">
        <color rgb="FF7F7F7F"/>
      </bottom>
      <diagonal/>
    </border>
    <border>
      <left/>
      <right style="medium">
        <color indexed="64"/>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thin">
        <color rgb="FF7F7F7F"/>
      </left>
      <right style="medium">
        <color indexed="64"/>
      </right>
      <top style="thin">
        <color rgb="FF7F7F7F"/>
      </top>
      <bottom style="thin">
        <color rgb="FF7F7F7F"/>
      </bottom>
      <diagonal/>
    </border>
    <border>
      <left style="medium">
        <color indexed="64"/>
      </left>
      <right/>
      <top style="thin">
        <color theme="4"/>
      </top>
      <bottom style="double">
        <color theme="4"/>
      </bottom>
      <diagonal/>
    </border>
    <border>
      <left/>
      <right style="medium">
        <color indexed="64"/>
      </right>
      <top style="thin">
        <color theme="4"/>
      </top>
      <bottom style="double">
        <color theme="4"/>
      </bottom>
      <diagonal/>
    </border>
    <border>
      <left style="medium">
        <color indexed="64"/>
      </left>
      <right/>
      <top style="double">
        <color theme="4"/>
      </top>
      <bottom style="medium">
        <color indexed="64"/>
      </bottom>
      <diagonal/>
    </border>
    <border>
      <left/>
      <right style="medium">
        <color indexed="64"/>
      </right>
      <top style="double">
        <color theme="4"/>
      </top>
      <bottom style="medium">
        <color indexed="64"/>
      </bottom>
      <diagonal/>
    </border>
    <border>
      <left style="medium">
        <color indexed="64"/>
      </left>
      <right/>
      <top style="medium">
        <color indexed="64"/>
      </top>
      <bottom/>
      <diagonal/>
    </border>
    <border>
      <left/>
      <right/>
      <top style="medium">
        <color indexed="64"/>
      </top>
      <bottom style="thin">
        <color rgb="FF7F7F7F"/>
      </bottom>
      <diagonal/>
    </border>
    <border>
      <left/>
      <right/>
      <top style="double">
        <color theme="4"/>
      </top>
      <bottom style="medium">
        <color indexed="64"/>
      </bottom>
      <diagonal/>
    </border>
    <border>
      <left/>
      <right style="thin">
        <color rgb="FF7F7F7F"/>
      </right>
      <top style="thin">
        <color rgb="FF7F7F7F"/>
      </top>
      <bottom style="thin">
        <color rgb="FF7F7F7F"/>
      </bottom>
      <diagonal/>
    </border>
    <border>
      <left/>
      <right/>
      <top style="medium">
        <color indexed="64"/>
      </top>
      <bottom/>
      <diagonal/>
    </border>
    <border>
      <left style="medium">
        <color indexed="64"/>
      </left>
      <right/>
      <top/>
      <bottom/>
      <diagonal/>
    </border>
    <border>
      <left/>
      <right style="medium">
        <color indexed="64"/>
      </right>
      <top/>
      <bottom style="thin">
        <color rgb="FF7F7F7F"/>
      </bottom>
      <diagonal/>
    </border>
    <border>
      <left style="medium">
        <color indexed="64"/>
      </left>
      <right/>
      <top/>
      <bottom style="thin">
        <color rgb="FF7F7F7F"/>
      </bottom>
      <diagonal/>
    </border>
    <border>
      <left style="medium">
        <color indexed="64"/>
      </left>
      <right/>
      <top style="thin">
        <color theme="4"/>
      </top>
      <bottom style="medium">
        <color indexed="6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style="medium">
        <color indexed="64"/>
      </left>
      <right style="thin">
        <color indexed="64"/>
      </right>
      <top/>
      <bottom/>
      <diagonal/>
    </border>
    <border>
      <left/>
      <right/>
      <top/>
      <bottom style="double">
        <color theme="4"/>
      </bottom>
      <diagonal/>
    </border>
    <border>
      <left/>
      <right/>
      <top style="thin">
        <color theme="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double">
        <color theme="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double">
        <color theme="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1">
    <xf numFmtId="0" fontId="0" fillId="0" borderId="0"/>
    <xf numFmtId="0" fontId="1"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5" fillId="5" borderId="0" applyNumberFormat="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2" fillId="0" borderId="4" applyNumberFormat="0" applyFill="0" applyAlignment="0" applyProtection="0"/>
    <xf numFmtId="9" fontId="5" fillId="0" borderId="0" applyFont="0" applyFill="0" applyBorder="0" applyAlignment="0" applyProtection="0"/>
    <xf numFmtId="0" fontId="14" fillId="6" borderId="0" applyNumberFormat="0" applyBorder="0" applyAlignment="0" applyProtection="0"/>
    <xf numFmtId="0" fontId="17" fillId="0" borderId="0" applyNumberFormat="0" applyFill="0" applyBorder="0" applyAlignment="0" applyProtection="0"/>
  </cellStyleXfs>
  <cellXfs count="192">
    <xf numFmtId="0" fontId="0" fillId="0" borderId="0" xfId="0"/>
    <xf numFmtId="0" fontId="1" fillId="2" borderId="0" xfId="1"/>
    <xf numFmtId="0" fontId="3" fillId="3" borderId="0" xfId="2"/>
    <xf numFmtId="15" fontId="3" fillId="3" borderId="0" xfId="2" applyNumberFormat="1"/>
    <xf numFmtId="0" fontId="2" fillId="0" borderId="0" xfId="0" applyFont="1"/>
    <xf numFmtId="0" fontId="3" fillId="3" borderId="0" xfId="2" applyAlignment="1">
      <alignment vertical="center" wrapText="1"/>
    </xf>
    <xf numFmtId="0" fontId="3" fillId="3" borderId="0" xfId="2" applyBorder="1"/>
    <xf numFmtId="165" fontId="3" fillId="3" borderId="0" xfId="2" applyNumberFormat="1"/>
    <xf numFmtId="164" fontId="0" fillId="0" borderId="0" xfId="0" applyNumberFormat="1"/>
    <xf numFmtId="165" fontId="4" fillId="4" borderId="1" xfId="3" applyNumberFormat="1"/>
    <xf numFmtId="0" fontId="2" fillId="0" borderId="2" xfId="0" applyFont="1" applyBorder="1"/>
    <xf numFmtId="0" fontId="2" fillId="0" borderId="2" xfId="0" applyFont="1" applyFill="1" applyBorder="1"/>
    <xf numFmtId="0" fontId="2" fillId="0" borderId="0" xfId="0" applyFont="1" applyBorder="1"/>
    <xf numFmtId="0" fontId="2" fillId="0" borderId="0" xfId="0" applyFont="1" applyFill="1" applyBorder="1"/>
    <xf numFmtId="165" fontId="0" fillId="0" borderId="0" xfId="0" applyNumberFormat="1"/>
    <xf numFmtId="165" fontId="2" fillId="0" borderId="2" xfId="0" applyNumberFormat="1" applyFont="1" applyBorder="1"/>
    <xf numFmtId="0" fontId="0" fillId="0" borderId="0" xfId="0" applyFont="1" applyBorder="1"/>
    <xf numFmtId="165" fontId="4" fillId="4" borderId="3" xfId="3" applyNumberFormat="1" applyFont="1" applyBorder="1"/>
    <xf numFmtId="165" fontId="2" fillId="0" borderId="0" xfId="0" applyNumberFormat="1" applyFont="1" applyBorder="1"/>
    <xf numFmtId="0" fontId="2" fillId="0" borderId="2" xfId="0" applyNumberFormat="1" applyFont="1" applyBorder="1"/>
    <xf numFmtId="0" fontId="2" fillId="0" borderId="0" xfId="0" applyNumberFormat="1" applyFont="1" applyBorder="1"/>
    <xf numFmtId="0" fontId="0" fillId="0" borderId="0" xfId="0" applyNumberFormat="1"/>
    <xf numFmtId="165" fontId="3" fillId="3" borderId="0" xfId="2" applyNumberFormat="1" applyBorder="1"/>
    <xf numFmtId="0" fontId="3" fillId="3" borderId="0" xfId="2" applyNumberFormat="1"/>
    <xf numFmtId="0" fontId="0" fillId="0" borderId="0" xfId="0" applyBorder="1"/>
    <xf numFmtId="0" fontId="2" fillId="5" borderId="0" xfId="4" applyFont="1"/>
    <xf numFmtId="0" fontId="2" fillId="0" borderId="0" xfId="0" applyFont="1" applyAlignment="1">
      <alignment vertical="center"/>
    </xf>
    <xf numFmtId="0" fontId="2" fillId="0" borderId="0" xfId="0" applyNumberFormat="1" applyFont="1"/>
    <xf numFmtId="0" fontId="0" fillId="0" borderId="0" xfId="0" applyFill="1" applyBorder="1"/>
    <xf numFmtId="165" fontId="9" fillId="0" borderId="2" xfId="5" applyNumberFormat="1" applyFont="1" applyBorder="1"/>
    <xf numFmtId="0" fontId="4" fillId="4" borderId="1" xfId="3"/>
    <xf numFmtId="166" fontId="4" fillId="4" borderId="1" xfId="3" applyNumberFormat="1"/>
    <xf numFmtId="0" fontId="2" fillId="4" borderId="4" xfId="7" applyFill="1"/>
    <xf numFmtId="166" fontId="2" fillId="4" borderId="4" xfId="7" applyNumberFormat="1" applyFill="1"/>
    <xf numFmtId="165" fontId="2" fillId="4" borderId="4" xfId="7" applyNumberFormat="1" applyFill="1"/>
    <xf numFmtId="165" fontId="2" fillId="4" borderId="4" xfId="7" applyNumberFormat="1" applyFill="1" applyAlignment="1">
      <alignment horizontal="center" vertical="center"/>
    </xf>
    <xf numFmtId="9" fontId="2" fillId="4" borderId="4" xfId="7" applyNumberFormat="1" applyFill="1" applyAlignment="1">
      <alignment horizontal="center" vertical="center"/>
    </xf>
    <xf numFmtId="165" fontId="2" fillId="4" borderId="4" xfId="7" applyNumberFormat="1" applyFill="1" applyAlignment="1">
      <alignment horizontal="center"/>
    </xf>
    <xf numFmtId="9" fontId="2" fillId="4" borderId="4" xfId="7" applyNumberFormat="1" applyFill="1" applyAlignment="1">
      <alignment horizontal="center"/>
    </xf>
    <xf numFmtId="0" fontId="2" fillId="4" borderId="4" xfId="7" applyFill="1" applyAlignment="1">
      <alignment horizontal="center" vertical="center" wrapText="1"/>
    </xf>
    <xf numFmtId="0" fontId="2" fillId="4" borderId="4" xfId="7" applyFill="1" applyAlignment="1">
      <alignment horizontal="center" wrapText="1"/>
    </xf>
    <xf numFmtId="165" fontId="2" fillId="4" borderId="4" xfId="7" applyNumberFormat="1" applyFont="1" applyFill="1"/>
    <xf numFmtId="9" fontId="2" fillId="4" borderId="4" xfId="7" applyNumberFormat="1" applyFont="1" applyFill="1"/>
    <xf numFmtId="0" fontId="3" fillId="3" borderId="0" xfId="2" applyBorder="1" applyAlignment="1"/>
    <xf numFmtId="0" fontId="0" fillId="0" borderId="0" xfId="0" applyAlignment="1"/>
    <xf numFmtId="0" fontId="2" fillId="0" borderId="5" xfId="0" applyFont="1" applyBorder="1" applyAlignment="1"/>
    <xf numFmtId="167" fontId="2" fillId="0" borderId="0" xfId="0" applyNumberFormat="1" applyFont="1"/>
    <xf numFmtId="167" fontId="0" fillId="0" borderId="0" xfId="0" applyNumberFormat="1"/>
    <xf numFmtId="167" fontId="3" fillId="3" borderId="0" xfId="2" applyNumberFormat="1"/>
    <xf numFmtId="168" fontId="2" fillId="4" borderId="4" xfId="7" applyNumberFormat="1" applyFill="1" applyAlignment="1">
      <alignment horizontal="center" vertical="center"/>
    </xf>
    <xf numFmtId="0" fontId="4" fillId="4" borderId="6" xfId="3" applyBorder="1"/>
    <xf numFmtId="0" fontId="2" fillId="0" borderId="7" xfId="0" applyFont="1" applyBorder="1" applyAlignment="1"/>
    <xf numFmtId="0" fontId="2" fillId="0" borderId="8" xfId="0" applyFont="1" applyBorder="1" applyAlignment="1"/>
    <xf numFmtId="0" fontId="4" fillId="4" borderId="9" xfId="3" applyBorder="1"/>
    <xf numFmtId="0" fontId="4" fillId="4" borderId="10" xfId="3" applyBorder="1"/>
    <xf numFmtId="166" fontId="2" fillId="4" borderId="11" xfId="7" applyNumberFormat="1" applyFill="1" applyBorder="1"/>
    <xf numFmtId="166" fontId="2" fillId="4" borderId="12" xfId="7" applyNumberFormat="1" applyFill="1" applyBorder="1"/>
    <xf numFmtId="0" fontId="2" fillId="4" borderId="11" xfId="7" applyFill="1" applyBorder="1"/>
    <xf numFmtId="0" fontId="2" fillId="4" borderId="12" xfId="7" applyFill="1" applyBorder="1"/>
    <xf numFmtId="0" fontId="2" fillId="0" borderId="15" xfId="0" applyFont="1" applyBorder="1"/>
    <xf numFmtId="0" fontId="2" fillId="0" borderId="16" xfId="0" applyFont="1" applyBorder="1" applyAlignment="1"/>
    <xf numFmtId="9" fontId="4" fillId="4" borderId="9" xfId="3" applyNumberFormat="1" applyBorder="1"/>
    <xf numFmtId="166" fontId="4" fillId="4" borderId="1" xfId="3" applyNumberFormat="1" applyBorder="1"/>
    <xf numFmtId="166" fontId="2" fillId="4" borderId="4" xfId="7" applyNumberFormat="1" applyFill="1" applyBorder="1"/>
    <xf numFmtId="0" fontId="2" fillId="4" borderId="4" xfId="7" applyFill="1" applyBorder="1"/>
    <xf numFmtId="0" fontId="4" fillId="4" borderId="18" xfId="3" applyBorder="1"/>
    <xf numFmtId="166" fontId="4" fillId="4" borderId="10" xfId="3" applyNumberFormat="1" applyBorder="1"/>
    <xf numFmtId="0" fontId="2" fillId="0" borderId="20" xfId="0" applyFont="1" applyBorder="1"/>
    <xf numFmtId="0" fontId="2" fillId="0" borderId="21" xfId="0" applyFont="1" applyBorder="1" applyAlignment="1"/>
    <xf numFmtId="0" fontId="2" fillId="0" borderId="22" xfId="0" applyFont="1" applyBorder="1" applyAlignment="1"/>
    <xf numFmtId="9" fontId="4" fillId="4" borderId="18" xfId="8" applyFont="1" applyFill="1" applyBorder="1"/>
    <xf numFmtId="9" fontId="0" fillId="0" borderId="0" xfId="8" applyFont="1"/>
    <xf numFmtId="9" fontId="4" fillId="4" borderId="9" xfId="8" applyFont="1" applyFill="1" applyBorder="1"/>
    <xf numFmtId="1" fontId="4" fillId="4" borderId="1" xfId="3" applyNumberFormat="1" applyBorder="1"/>
    <xf numFmtId="1" fontId="2" fillId="4" borderId="4" xfId="7" applyNumberFormat="1" applyFill="1" applyBorder="1"/>
    <xf numFmtId="0" fontId="15" fillId="0" borderId="0" xfId="0" applyFont="1"/>
    <xf numFmtId="166" fontId="15" fillId="0" borderId="0" xfId="0" applyNumberFormat="1" applyFont="1"/>
    <xf numFmtId="166" fontId="3" fillId="3" borderId="10" xfId="2" applyNumberFormat="1" applyBorder="1"/>
    <xf numFmtId="1" fontId="3" fillId="3" borderId="1" xfId="2" applyNumberFormat="1" applyBorder="1"/>
    <xf numFmtId="0" fontId="14" fillId="6" borderId="0" xfId="9"/>
    <xf numFmtId="166" fontId="4" fillId="4" borderId="6" xfId="3" applyNumberFormat="1" applyBorder="1"/>
    <xf numFmtId="166" fontId="3" fillId="3" borderId="6" xfId="2" applyNumberFormat="1" applyBorder="1"/>
    <xf numFmtId="166" fontId="4" fillId="4" borderId="9" xfId="3" applyNumberFormat="1" applyBorder="1"/>
    <xf numFmtId="166" fontId="0" fillId="0" borderId="0" xfId="0" applyNumberFormat="1"/>
    <xf numFmtId="0" fontId="3" fillId="3" borderId="0" xfId="2" applyAlignment="1">
      <alignment horizontal="left" vertical="center" wrapText="1"/>
    </xf>
    <xf numFmtId="16" fontId="3" fillId="3" borderId="0" xfId="2" applyNumberFormat="1"/>
    <xf numFmtId="9" fontId="4" fillId="4" borderId="1" xfId="3" applyNumberFormat="1"/>
    <xf numFmtId="0" fontId="14" fillId="6" borderId="0" xfId="9" applyBorder="1"/>
    <xf numFmtId="166" fontId="3" fillId="3" borderId="1" xfId="2" applyNumberFormat="1" applyBorder="1"/>
    <xf numFmtId="166" fontId="2" fillId="5" borderId="0" xfId="4" applyNumberFormat="1" applyFont="1"/>
    <xf numFmtId="0" fontId="17" fillId="3" borderId="0" xfId="10" applyFill="1"/>
    <xf numFmtId="10" fontId="4" fillId="4" borderId="18" xfId="3" applyNumberFormat="1" applyBorder="1"/>
    <xf numFmtId="2" fontId="4" fillId="4" borderId="1" xfId="3" applyNumberFormat="1" applyBorder="1"/>
    <xf numFmtId="2" fontId="2" fillId="4" borderId="4" xfId="7" applyNumberFormat="1" applyFill="1" applyBorder="1"/>
    <xf numFmtId="166" fontId="4" fillId="4" borderId="18" xfId="3" applyNumberFormat="1" applyBorder="1"/>
    <xf numFmtId="0" fontId="18" fillId="3" borderId="0" xfId="2" applyFont="1" applyBorder="1"/>
    <xf numFmtId="0" fontId="4" fillId="4" borderId="1" xfId="3" applyBorder="1"/>
    <xf numFmtId="0" fontId="2" fillId="0" borderId="4" xfId="7"/>
    <xf numFmtId="0" fontId="2" fillId="0" borderId="19" xfId="0" applyFont="1" applyBorder="1"/>
    <xf numFmtId="165" fontId="2" fillId="0" borderId="19" xfId="0" applyNumberFormat="1" applyFont="1" applyBorder="1"/>
    <xf numFmtId="0" fontId="0" fillId="0" borderId="20" xfId="0" applyBorder="1"/>
    <xf numFmtId="2" fontId="4" fillId="4" borderId="6" xfId="3" applyNumberFormat="1" applyBorder="1"/>
    <xf numFmtId="2" fontId="4" fillId="4" borderId="10" xfId="3" applyNumberFormat="1" applyBorder="1"/>
    <xf numFmtId="2" fontId="2" fillId="4" borderId="12" xfId="7" applyNumberFormat="1" applyFill="1" applyBorder="1"/>
    <xf numFmtId="0" fontId="18" fillId="3" borderId="0" xfId="2" applyFont="1"/>
    <xf numFmtId="0" fontId="2" fillId="0" borderId="0" xfId="0" applyFont="1" applyFill="1" applyBorder="1" applyAlignment="1"/>
    <xf numFmtId="0" fontId="2" fillId="0" borderId="0" xfId="0" applyFont="1" applyBorder="1" applyAlignment="1">
      <alignment horizontal="center" vertical="center"/>
    </xf>
    <xf numFmtId="9" fontId="4" fillId="4" borderId="18" xfId="3" applyNumberFormat="1" applyBorder="1"/>
    <xf numFmtId="0" fontId="4" fillId="4" borderId="2" xfId="3" applyBorder="1"/>
    <xf numFmtId="166" fontId="4" fillId="4" borderId="2" xfId="3" applyNumberFormat="1" applyBorder="1"/>
    <xf numFmtId="165" fontId="4" fillId="4" borderId="2" xfId="3" applyNumberFormat="1" applyBorder="1"/>
    <xf numFmtId="0" fontId="2" fillId="4" borderId="27" xfId="7" applyFill="1" applyBorder="1"/>
    <xf numFmtId="0" fontId="0" fillId="0" borderId="26" xfId="0" applyBorder="1"/>
    <xf numFmtId="166" fontId="2" fillId="0" borderId="4" xfId="7" applyNumberFormat="1"/>
    <xf numFmtId="166" fontId="2" fillId="4" borderId="28" xfId="7" applyNumberFormat="1" applyFill="1" applyBorder="1"/>
    <xf numFmtId="1" fontId="3" fillId="3" borderId="6" xfId="2" applyNumberFormat="1" applyBorder="1"/>
    <xf numFmtId="1" fontId="3" fillId="3" borderId="10" xfId="2" applyNumberFormat="1" applyBorder="1"/>
    <xf numFmtId="1" fontId="4" fillId="4" borderId="6" xfId="3" applyNumberFormat="1" applyBorder="1"/>
    <xf numFmtId="0" fontId="2" fillId="0" borderId="4" xfId="7" applyFill="1" applyAlignment="1"/>
    <xf numFmtId="166" fontId="2" fillId="5" borderId="4" xfId="7" applyNumberFormat="1" applyFill="1"/>
    <xf numFmtId="0" fontId="2" fillId="0" borderId="27" xfId="7" applyBorder="1"/>
    <xf numFmtId="166" fontId="18" fillId="3" borderId="0" xfId="2" applyNumberFormat="1" applyFont="1" applyBorder="1"/>
    <xf numFmtId="9" fontId="2" fillId="0" borderId="7" xfId="8" applyFont="1" applyBorder="1" applyAlignment="1"/>
    <xf numFmtId="0" fontId="2" fillId="0" borderId="0" xfId="0" applyFont="1" applyAlignment="1">
      <alignment horizontal="center"/>
    </xf>
    <xf numFmtId="1" fontId="2" fillId="4" borderId="12" xfId="7" applyNumberFormat="1" applyFill="1" applyBorder="1"/>
    <xf numFmtId="0" fontId="0" fillId="0" borderId="0" xfId="0"/>
    <xf numFmtId="0" fontId="0" fillId="0" borderId="0" xfId="0" applyFont="1"/>
    <xf numFmtId="1" fontId="0" fillId="0" borderId="0" xfId="0" applyNumberFormat="1"/>
    <xf numFmtId="0" fontId="0" fillId="0" borderId="2" xfId="0" applyFont="1" applyBorder="1"/>
    <xf numFmtId="1" fontId="2" fillId="0" borderId="2" xfId="0" applyNumberFormat="1" applyFont="1" applyBorder="1"/>
    <xf numFmtId="9" fontId="19" fillId="0" borderId="2" xfId="8" applyFont="1" applyBorder="1" applyAlignment="1"/>
    <xf numFmtId="9" fontId="2" fillId="0" borderId="2" xfId="8" applyFont="1" applyBorder="1"/>
    <xf numFmtId="9" fontId="2" fillId="0" borderId="2" xfId="8" applyNumberFormat="1" applyFont="1" applyBorder="1"/>
    <xf numFmtId="169" fontId="2" fillId="0" borderId="2" xfId="0" applyNumberFormat="1" applyFont="1" applyBorder="1"/>
    <xf numFmtId="9" fontId="4" fillId="4" borderId="2" xfId="3" applyNumberFormat="1" applyBorder="1"/>
    <xf numFmtId="0" fontId="1" fillId="2" borderId="2" xfId="1" applyBorder="1"/>
    <xf numFmtId="165" fontId="1" fillId="2" borderId="2" xfId="1" applyNumberFormat="1" applyBorder="1"/>
    <xf numFmtId="0" fontId="3" fillId="3" borderId="2" xfId="2" applyBorder="1"/>
    <xf numFmtId="165" fontId="3" fillId="3" borderId="2" xfId="2" applyNumberFormat="1" applyBorder="1"/>
    <xf numFmtId="166" fontId="1" fillId="2" borderId="2" xfId="1" applyNumberFormat="1" applyBorder="1"/>
    <xf numFmtId="0" fontId="2" fillId="0" borderId="0" xfId="0" applyFont="1" applyAlignment="1"/>
    <xf numFmtId="170" fontId="1" fillId="2" borderId="2" xfId="1" applyNumberFormat="1" applyBorder="1"/>
    <xf numFmtId="0" fontId="0" fillId="0" borderId="32" xfId="0" applyBorder="1"/>
    <xf numFmtId="0" fontId="2" fillId="0" borderId="33" xfId="0" applyFont="1" applyBorder="1" applyAlignment="1">
      <alignment horizontal="center"/>
    </xf>
    <xf numFmtId="0" fontId="19" fillId="0" borderId="33" xfId="0" applyFont="1" applyBorder="1" applyAlignment="1">
      <alignment horizontal="center"/>
    </xf>
    <xf numFmtId="0" fontId="2" fillId="0" borderId="34" xfId="7" applyFill="1" applyBorder="1" applyAlignment="1">
      <alignment horizontal="center"/>
    </xf>
    <xf numFmtId="0" fontId="21" fillId="0" borderId="35" xfId="2" applyFont="1" applyFill="1" applyBorder="1"/>
    <xf numFmtId="0" fontId="2" fillId="3" borderId="12" xfId="7" applyFill="1" applyBorder="1"/>
    <xf numFmtId="0" fontId="21" fillId="0" borderId="35" xfId="1" applyFont="1" applyFill="1" applyBorder="1"/>
    <xf numFmtId="166" fontId="2" fillId="2" borderId="12" xfId="7" applyNumberFormat="1" applyFill="1" applyBorder="1"/>
    <xf numFmtId="0" fontId="21" fillId="0" borderId="36" xfId="2" applyFont="1" applyFill="1" applyBorder="1"/>
    <xf numFmtId="166" fontId="3" fillId="3" borderId="37" xfId="2" applyNumberFormat="1" applyBorder="1"/>
    <xf numFmtId="166" fontId="18" fillId="3" borderId="25" xfId="2" applyNumberFormat="1" applyFont="1" applyBorder="1"/>
    <xf numFmtId="170" fontId="2" fillId="2" borderId="12" xfId="7" applyNumberFormat="1" applyFill="1" applyBorder="1"/>
    <xf numFmtId="0" fontId="20" fillId="0" borderId="23" xfId="2" applyNumberFormat="1" applyFont="1" applyFill="1" applyBorder="1"/>
    <xf numFmtId="170" fontId="18" fillId="3" borderId="24" xfId="2" applyNumberFormat="1" applyFont="1" applyBorder="1"/>
    <xf numFmtId="170" fontId="18" fillId="3" borderId="25" xfId="2" applyNumberFormat="1" applyFont="1" applyBorder="1"/>
    <xf numFmtId="0" fontId="21" fillId="0" borderId="38" xfId="2" applyFont="1" applyFill="1" applyBorder="1"/>
    <xf numFmtId="169" fontId="3" fillId="3" borderId="31" xfId="2" applyNumberFormat="1" applyBorder="1"/>
    <xf numFmtId="165" fontId="3" fillId="3" borderId="31" xfId="2" applyNumberFormat="1" applyBorder="1"/>
    <xf numFmtId="170" fontId="2" fillId="3" borderId="39" xfId="7" applyNumberFormat="1" applyFill="1" applyBorder="1"/>
    <xf numFmtId="0" fontId="20" fillId="0" borderId="40" xfId="0" applyFont="1" applyFill="1" applyBorder="1"/>
    <xf numFmtId="170" fontId="20" fillId="0" borderId="41" xfId="3" applyNumberFormat="1" applyFont="1" applyFill="1" applyBorder="1"/>
    <xf numFmtId="165" fontId="20" fillId="0" borderId="42" xfId="7" applyNumberFormat="1" applyFont="1" applyFill="1" applyBorder="1"/>
    <xf numFmtId="170" fontId="4" fillId="4" borderId="2" xfId="3" applyNumberFormat="1" applyBorder="1"/>
    <xf numFmtId="170" fontId="4" fillId="4" borderId="1" xfId="3" applyNumberFormat="1"/>
    <xf numFmtId="0" fontId="11" fillId="0" borderId="0" xfId="6" applyNumberFormat="1" applyFont="1" applyAlignment="1">
      <alignment wrapText="1"/>
    </xf>
    <xf numFmtId="171" fontId="0" fillId="0" borderId="0" xfId="0" applyNumberFormat="1"/>
    <xf numFmtId="1" fontId="4" fillId="4" borderId="1" xfId="3" applyNumberFormat="1"/>
    <xf numFmtId="165" fontId="14" fillId="6" borderId="0" xfId="9" applyNumberFormat="1"/>
    <xf numFmtId="15" fontId="14" fillId="6" borderId="0" xfId="9" applyNumberFormat="1"/>
    <xf numFmtId="0" fontId="2" fillId="0" borderId="29" xfId="0" applyFont="1" applyFill="1" applyBorder="1"/>
    <xf numFmtId="0" fontId="2" fillId="0" borderId="43" xfId="0" applyFont="1" applyFill="1" applyBorder="1"/>
    <xf numFmtId="165" fontId="1" fillId="2" borderId="0" xfId="1" applyNumberFormat="1" applyAlignment="1">
      <alignment wrapText="1"/>
    </xf>
    <xf numFmtId="15" fontId="2" fillId="0" borderId="0" xfId="0" applyNumberFormat="1" applyFont="1"/>
    <xf numFmtId="0" fontId="2" fillId="0" borderId="0" xfId="0" applyFont="1" applyAlignment="1">
      <alignment horizontal="center"/>
    </xf>
    <xf numFmtId="0" fontId="2" fillId="0" borderId="5" xfId="0" applyFont="1" applyBorder="1" applyAlignment="1">
      <alignment horizontal="center" vertical="center"/>
    </xf>
    <xf numFmtId="0" fontId="11" fillId="0" borderId="0" xfId="6" applyFont="1" applyAlignment="1">
      <alignment horizont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7" xfId="0" applyFont="1" applyBorder="1" applyAlignment="1">
      <alignment horizontal="center"/>
    </xf>
    <xf numFmtId="0" fontId="0" fillId="0" borderId="0" xfId="0" applyAlignment="1">
      <alignment horizontal="center"/>
    </xf>
    <xf numFmtId="0" fontId="12" fillId="0" borderId="0" xfId="6" applyFont="1" applyAlignment="1">
      <alignment horizontal="center"/>
    </xf>
    <xf numFmtId="0" fontId="2" fillId="0" borderId="24" xfId="7" applyBorder="1" applyAlignment="1">
      <alignment horizontal="center"/>
    </xf>
    <xf numFmtId="0" fontId="2" fillId="0" borderId="25" xfId="7" applyBorder="1" applyAlignment="1">
      <alignment horizontal="center"/>
    </xf>
    <xf numFmtId="0" fontId="2" fillId="0" borderId="23" xfId="7" applyBorder="1" applyAlignment="1">
      <alignment horizontal="center"/>
    </xf>
    <xf numFmtId="0" fontId="2" fillId="0" borderId="2" xfId="0" applyFont="1" applyBorder="1" applyAlignment="1">
      <alignment horizontal="center"/>
    </xf>
    <xf numFmtId="0" fontId="2" fillId="0" borderId="29" xfId="0" applyFont="1" applyBorder="1" applyAlignment="1">
      <alignment horizontal="center"/>
    </xf>
    <xf numFmtId="0" fontId="2" fillId="0" borderId="30" xfId="0" applyFont="1" applyBorder="1" applyAlignment="1">
      <alignment horizontal="center"/>
    </xf>
    <xf numFmtId="0" fontId="0" fillId="0" borderId="20" xfId="0" applyBorder="1" applyAlignment="1">
      <alignment horizontal="center" vertical="center"/>
    </xf>
    <xf numFmtId="0" fontId="1" fillId="2" borderId="0" xfId="1" applyAlignment="1">
      <alignment horizontal="center"/>
    </xf>
    <xf numFmtId="0" fontId="14" fillId="6" borderId="0" xfId="9" applyAlignment="1">
      <alignment horizontal="center"/>
    </xf>
  </cellXfs>
  <cellStyles count="11">
    <cellStyle name="20% - Accent3" xfId="4" builtinId="38"/>
    <cellStyle name="Bad" xfId="1" builtinId="27"/>
    <cellStyle name="Calculation" xfId="3" builtinId="22"/>
    <cellStyle name="Explanatory Text" xfId="6" builtinId="53"/>
    <cellStyle name="Good" xfId="2" builtinId="26"/>
    <cellStyle name="Hyperlink" xfId="10" builtinId="8"/>
    <cellStyle name="Neutral" xfId="9" builtinId="28"/>
    <cellStyle name="Normal" xfId="0" builtinId="0"/>
    <cellStyle name="Percent" xfId="8" builtinId="5"/>
    <cellStyle name="Total" xfId="7" builtinId="25"/>
    <cellStyle name="Warning Text" xfId="5"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Arthurjan3@gmail.com" TargetMode="External"/><Relationship Id="rId7" Type="http://schemas.openxmlformats.org/officeDocument/2006/relationships/hyperlink" Target="mailto:emiljuelandersen@gmail.com" TargetMode="External"/><Relationship Id="rId2" Type="http://schemas.openxmlformats.org/officeDocument/2006/relationships/hyperlink" Target="mailto:jakub.duchon9@gmail.com" TargetMode="External"/><Relationship Id="rId1" Type="http://schemas.openxmlformats.org/officeDocument/2006/relationships/hyperlink" Target="mailto:andrei_mungiu@yahoo.com" TargetMode="External"/><Relationship Id="rId6" Type="http://schemas.openxmlformats.org/officeDocument/2006/relationships/hyperlink" Target="mailto:petfam04@yahoo.com" TargetMode="External"/><Relationship Id="rId5" Type="http://schemas.openxmlformats.org/officeDocument/2006/relationships/hyperlink" Target="mailto:dinvenmikkel@gmail.com" TargetMode="External"/><Relationship Id="rId10" Type="http://schemas.openxmlformats.org/officeDocument/2006/relationships/comments" Target="../comments1.xml"/><Relationship Id="rId4" Type="http://schemas.openxmlformats.org/officeDocument/2006/relationships/hyperlink" Target="mailto:nicolae.gheorghita@hotmail.com" TargetMode="External"/><Relationship Id="rId9"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hyperlink" Target="https://www.amazon.de/gp/product/B015VPX05A/ref=od_aui_detailpages00?ie=UTF8&amp;psc=1" TargetMode="External"/><Relationship Id="rId2" Type="http://schemas.openxmlformats.org/officeDocument/2006/relationships/hyperlink" Target="https://www.amazon.de/gp/product/B015VPX05A/ref=od_aui_detailpages00?ie=UTF8&amp;psc=1" TargetMode="External"/><Relationship Id="rId1" Type="http://schemas.openxmlformats.org/officeDocument/2006/relationships/hyperlink" Target="https://www.amazon.fr/gp/product/B015VPX05A/ref=oh_aui_detailpage_o00_s00?ie=UTF8&amp;psc=1"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amazon.de/gp/product/B0198QDKGW/ref=od_aui_detailpages00?ie=UTF8&amp;psc=1" TargetMode="External"/><Relationship Id="rId1" Type="http://schemas.openxmlformats.org/officeDocument/2006/relationships/hyperlink" Target="https://www.amazon.fr/gp/product/B00UFBZOKK/ref=oh_aui_detailpage_o00_s00?ie=UTF8&amp;psc=1"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www.amazon.de/gp/product/B0093RN0PI/ref=oh_aui_detailpage_o00_s00?ie=UTF8&amp;psc=1" TargetMode="External"/><Relationship Id="rId1" Type="http://schemas.openxmlformats.org/officeDocument/2006/relationships/hyperlink" Target="https://www.amazon.de/gp/product/B0093RN0PI/ref=od_aui_detailpages00?ie=UTF8&amp;psc=1"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amazon.de/gp/product/B01HHLQRBK/ref=od_aui_detailpages00?ie=UTF8&amp;psc=1" TargetMode="External"/><Relationship Id="rId13" Type="http://schemas.openxmlformats.org/officeDocument/2006/relationships/hyperlink" Target="https://www.amazon.de/gp/product/B01M3VLLR7/ref=oh_aui_detailpage_o00_s00?ie=UTF8&amp;psc=1" TargetMode="External"/><Relationship Id="rId3" Type="http://schemas.openxmlformats.org/officeDocument/2006/relationships/hyperlink" Target="https://www.amazon.de/gp/product/B01N7SPYTW/ref=od_aui_detailpages00?ie=UTF8&amp;psc=1" TargetMode="External"/><Relationship Id="rId7" Type="http://schemas.openxmlformats.org/officeDocument/2006/relationships/hyperlink" Target="https://www.amazon.de/gp/product/B00F35N0VI/ref=od_aui_detailpages00?ie=UTF8&amp;psc=1" TargetMode="External"/><Relationship Id="rId12" Type="http://schemas.openxmlformats.org/officeDocument/2006/relationships/hyperlink" Target="https://www.amazon.de/gp/product/B014T3JRFM/ref=oh_aui_detailpage_o00_s00?ie=UTF8&amp;psc=1" TargetMode="External"/><Relationship Id="rId2" Type="http://schemas.openxmlformats.org/officeDocument/2006/relationships/hyperlink" Target="https://www.amazon.de/gp/product/B017NIDXF0/ref=od_aui_detailpages00?ie=UTF8&amp;psc=1" TargetMode="External"/><Relationship Id="rId16" Type="http://schemas.openxmlformats.org/officeDocument/2006/relationships/printerSettings" Target="../printerSettings/printerSettings8.bin"/><Relationship Id="rId1" Type="http://schemas.openxmlformats.org/officeDocument/2006/relationships/hyperlink" Target="https://www.amazon.fr/gp/product/B00Z08TZNU/ref=oh_aui_detailpage_o00_s00?ie=UTF8&amp;psc=1" TargetMode="External"/><Relationship Id="rId6" Type="http://schemas.openxmlformats.org/officeDocument/2006/relationships/hyperlink" Target="https://www.amazon.de/gp/product/B00AZKNPZC/ref=od_aui_detailpages00?ie=UTF8&amp;psc=1" TargetMode="External"/><Relationship Id="rId11" Type="http://schemas.openxmlformats.org/officeDocument/2006/relationships/hyperlink" Target="https://www.aliexpress.com/item/4-Pin-Molex-Male-to-4Pin-Molex-IDE-Female-Power-Supply-Splitter-Adapter-Cable-Computer-Power/32820844763.html" TargetMode="External"/><Relationship Id="rId5" Type="http://schemas.openxmlformats.org/officeDocument/2006/relationships/hyperlink" Target="https://www.amazon.de/gp/product/B003B0RIX8/ref=od_aui_detailpages00?ie=UTF8&amp;psc=1" TargetMode="External"/><Relationship Id="rId15" Type="http://schemas.openxmlformats.org/officeDocument/2006/relationships/hyperlink" Target="https://www.aliexpress.com/item/New-26cm-8-pin-Female-to-dual-PCI-E-PCI-Express-8pin-6-2-pin-Male/32822715778.html" TargetMode="External"/><Relationship Id="rId10" Type="http://schemas.openxmlformats.org/officeDocument/2006/relationships/hyperlink" Target="https://www.aliexpress.com/item/10PCS-LOT-6-Pin-Male-To-Female-PCI-express-GPU-Power-Supply-PSU-GPU-Extension-Cable/32785660249.html" TargetMode="External"/><Relationship Id="rId4" Type="http://schemas.openxmlformats.org/officeDocument/2006/relationships/hyperlink" Target="https://www.amazon.de/gp/product/B073WV4T7K/ref=od_aui_detailpages00?ie=UTF8&amp;psc=1" TargetMode="External"/><Relationship Id="rId9" Type="http://schemas.openxmlformats.org/officeDocument/2006/relationships/hyperlink" Target="https://www.aliexpress.com/item/10pcs-Host-Motherboard-Power-Cable-Adapter-Cord-Computer-Mainframe-Replacement-ON-OFF-Switch-Reset-SW-Cable/32279513189.html" TargetMode="External"/><Relationship Id="rId14" Type="http://schemas.openxmlformats.org/officeDocument/2006/relationships/hyperlink" Target="https://www.aliexpress.com/item/4pcs-60cm-GPU-Power-Extension-Cable-Cord-18AWG-8-Pin-Male-to-Dual-8Pin-6-2/32846436955.html"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s://www.amazon.de/gp/product/B015Q7F5AQ/ref=oh_aui_detailpage_o05_s00?ie=UTF8&amp;psc=1" TargetMode="External"/><Relationship Id="rId7" Type="http://schemas.openxmlformats.org/officeDocument/2006/relationships/hyperlink" Target="https://www.amazon.de/gp/product/B00ZRL7WYY/ref=oh_aui_detailpage_o01_s00?ie=UTF8&amp;psc=1" TargetMode="External"/><Relationship Id="rId2" Type="http://schemas.openxmlformats.org/officeDocument/2006/relationships/hyperlink" Target="https://www.amazon.de/gp/product/B015Q7F5AQ/ref=oh_aui_detailpage_o05_s00?ie=UTF8&amp;psc=1" TargetMode="External"/><Relationship Id="rId1" Type="http://schemas.openxmlformats.org/officeDocument/2006/relationships/hyperlink" Target="https://www.amazon.de/gp/product/B00ZRL7WYY/ref=oh_aui_detailpage_o01_s00?ie=UTF8&amp;psc=1" TargetMode="External"/><Relationship Id="rId6" Type="http://schemas.openxmlformats.org/officeDocument/2006/relationships/hyperlink" Target="https://www.amazon.de/gp/product/B073BG6B8T/ref=od_aui_detailpages00?ie=UTF8&amp;psc=1" TargetMode="External"/><Relationship Id="rId5" Type="http://schemas.openxmlformats.org/officeDocument/2006/relationships/hyperlink" Target="https://www.amazon.it/gp/product/B015Q7F5AQ/ref=oh_aui_detailpage_o00_s00?ie=UTF8&amp;psc=1" TargetMode="External"/><Relationship Id="rId4" Type="http://schemas.openxmlformats.org/officeDocument/2006/relationships/hyperlink" Target="https://www.amazon.de/gp/product/B015Q7F4WA/ref=od_aui_detailpages00?ie=UTF8&amp;psc=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amazon.de/gp/product/B075D7R8DL/ref=od_aui_detailpages00?ie=UTF8&amp;psc=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22A3-68EA-41BC-A6A5-93CA5450A90D}">
  <sheetPr>
    <tabColor theme="9"/>
  </sheetPr>
  <dimension ref="A1:D21"/>
  <sheetViews>
    <sheetView workbookViewId="0">
      <pane ySplit="1" topLeftCell="A2" activePane="bottomLeft" state="frozen"/>
      <selection pane="bottomLeft" activeCell="D25" sqref="D25"/>
    </sheetView>
  </sheetViews>
  <sheetFormatPr defaultRowHeight="14.4" x14ac:dyDescent="0.3"/>
  <cols>
    <col min="1" max="1" width="8.88671875" style="125"/>
    <col min="2" max="2" width="20" bestFit="1" customWidth="1"/>
    <col min="3" max="3" width="28.6640625" bestFit="1" customWidth="1"/>
    <col min="4" max="4" width="36.77734375" bestFit="1" customWidth="1"/>
  </cols>
  <sheetData>
    <row r="1" spans="1:4" x14ac:dyDescent="0.3">
      <c r="A1" s="4" t="s">
        <v>218</v>
      </c>
      <c r="B1" s="4" t="s">
        <v>1</v>
      </c>
      <c r="C1" s="4" t="s">
        <v>148</v>
      </c>
      <c r="D1" s="4" t="s">
        <v>149</v>
      </c>
    </row>
    <row r="2" spans="1:4" x14ac:dyDescent="0.3">
      <c r="A2" s="125">
        <v>1</v>
      </c>
      <c r="B2" s="2" t="s">
        <v>6</v>
      </c>
      <c r="C2" s="90" t="s">
        <v>153</v>
      </c>
      <c r="D2" s="2"/>
    </row>
    <row r="3" spans="1:4" x14ac:dyDescent="0.3">
      <c r="A3" s="125">
        <v>2</v>
      </c>
      <c r="B3" s="2" t="s">
        <v>24</v>
      </c>
      <c r="C3" s="90" t="s">
        <v>147</v>
      </c>
      <c r="D3" s="2"/>
    </row>
    <row r="4" spans="1:4" x14ac:dyDescent="0.3">
      <c r="A4" s="125">
        <v>3</v>
      </c>
      <c r="B4" s="2" t="s">
        <v>26</v>
      </c>
      <c r="C4" s="2"/>
      <c r="D4" s="2" t="s">
        <v>150</v>
      </c>
    </row>
    <row r="5" spans="1:4" x14ac:dyDescent="0.3">
      <c r="A5" s="125">
        <v>4</v>
      </c>
      <c r="B5" s="2" t="s">
        <v>144</v>
      </c>
      <c r="C5" s="2"/>
      <c r="D5" s="2" t="s">
        <v>151</v>
      </c>
    </row>
    <row r="6" spans="1:4" x14ac:dyDescent="0.3">
      <c r="A6" s="125">
        <v>5</v>
      </c>
      <c r="B6" t="s">
        <v>41</v>
      </c>
      <c r="C6" s="1" t="s">
        <v>159</v>
      </c>
      <c r="D6" s="1" t="s">
        <v>159</v>
      </c>
    </row>
    <row r="7" spans="1:4" x14ac:dyDescent="0.3">
      <c r="A7" s="125">
        <v>6</v>
      </c>
      <c r="B7" s="2" t="s">
        <v>42</v>
      </c>
      <c r="C7" s="2" t="s">
        <v>154</v>
      </c>
      <c r="D7" s="2"/>
    </row>
    <row r="8" spans="1:4" x14ac:dyDescent="0.3">
      <c r="A8" s="125">
        <v>7</v>
      </c>
      <c r="B8" s="2" t="s">
        <v>80</v>
      </c>
      <c r="C8" s="90" t="s">
        <v>209</v>
      </c>
      <c r="D8" s="2"/>
    </row>
    <row r="9" spans="1:4" x14ac:dyDescent="0.3">
      <c r="A9" s="125">
        <v>8</v>
      </c>
      <c r="B9" s="2" t="s">
        <v>8</v>
      </c>
      <c r="C9" s="2" t="s">
        <v>155</v>
      </c>
      <c r="D9" s="2"/>
    </row>
    <row r="10" spans="1:4" x14ac:dyDescent="0.3">
      <c r="A10" s="125">
        <v>9</v>
      </c>
      <c r="B10" s="2" t="s">
        <v>11</v>
      </c>
      <c r="C10" s="2" t="s">
        <v>160</v>
      </c>
      <c r="D10" s="2"/>
    </row>
    <row r="11" spans="1:4" x14ac:dyDescent="0.3">
      <c r="A11" s="125">
        <v>10</v>
      </c>
      <c r="B11" t="s">
        <v>31</v>
      </c>
      <c r="C11" s="1" t="s">
        <v>159</v>
      </c>
      <c r="D11" s="1" t="s">
        <v>159</v>
      </c>
    </row>
    <row r="12" spans="1:4" x14ac:dyDescent="0.3">
      <c r="A12" s="125">
        <v>11</v>
      </c>
      <c r="B12" s="2" t="s">
        <v>25</v>
      </c>
      <c r="C12" s="90" t="s">
        <v>157</v>
      </c>
      <c r="D12" s="2"/>
    </row>
    <row r="13" spans="1:4" x14ac:dyDescent="0.3">
      <c r="A13" s="125">
        <v>12</v>
      </c>
      <c r="B13" t="s">
        <v>98</v>
      </c>
      <c r="C13" s="79" t="s">
        <v>152</v>
      </c>
      <c r="D13" s="79" t="s">
        <v>152</v>
      </c>
    </row>
    <row r="14" spans="1:4" x14ac:dyDescent="0.3">
      <c r="A14" s="125">
        <v>13</v>
      </c>
      <c r="B14" s="2" t="s">
        <v>136</v>
      </c>
      <c r="C14" s="90" t="s">
        <v>156</v>
      </c>
      <c r="D14" s="2"/>
    </row>
    <row r="15" spans="1:4" x14ac:dyDescent="0.3">
      <c r="A15" s="125">
        <v>14</v>
      </c>
      <c r="B15" t="s">
        <v>139</v>
      </c>
      <c r="C15" s="1" t="s">
        <v>159</v>
      </c>
      <c r="D15" s="1" t="s">
        <v>159</v>
      </c>
    </row>
    <row r="16" spans="1:4" x14ac:dyDescent="0.3">
      <c r="A16" s="125">
        <v>15</v>
      </c>
      <c r="B16" s="2" t="s">
        <v>141</v>
      </c>
      <c r="C16" s="90" t="s">
        <v>164</v>
      </c>
      <c r="D16" s="2"/>
    </row>
    <row r="17" spans="2:2" x14ac:dyDescent="0.3">
      <c r="B17" t="s">
        <v>99</v>
      </c>
    </row>
    <row r="18" spans="2:2" x14ac:dyDescent="0.3">
      <c r="B18" t="s">
        <v>99</v>
      </c>
    </row>
    <row r="19" spans="2:2" x14ac:dyDescent="0.3">
      <c r="B19" t="s">
        <v>99</v>
      </c>
    </row>
    <row r="20" spans="2:2" x14ac:dyDescent="0.3">
      <c r="B20" t="s">
        <v>99</v>
      </c>
    </row>
    <row r="21" spans="2:2" x14ac:dyDescent="0.3">
      <c r="B21" t="s">
        <v>99</v>
      </c>
    </row>
  </sheetData>
  <hyperlinks>
    <hyperlink ref="C10" r:id="rId1" xr:uid="{D168E056-2361-4329-9A6E-F15300D586F4}"/>
    <hyperlink ref="C2" r:id="rId2" xr:uid="{0A40ABC8-23D5-4496-A091-B41888346C25}"/>
    <hyperlink ref="C12" r:id="rId3" xr:uid="{F6E34D9A-99A2-4268-8CE3-8062863B2A52}"/>
    <hyperlink ref="C14" r:id="rId4" xr:uid="{DD97B70D-18B2-480F-A889-10A250299B97}"/>
    <hyperlink ref="C3" r:id="rId5" xr:uid="{9C4C0B06-A296-4764-B0A2-809D19F8F89C}"/>
    <hyperlink ref="C8" r:id="rId6" xr:uid="{34AAC7AE-EB6A-4CDA-B944-DB33283DE231}"/>
    <hyperlink ref="C16" r:id="rId7" xr:uid="{F24DA014-CD05-417C-A823-A6881EE9219D}"/>
  </hyperlinks>
  <pageMargins left="0.7" right="0.7" top="0.75" bottom="0.75" header="0.3" footer="0.3"/>
  <pageSetup orientation="portrait" r:id="rId8"/>
  <legacy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516B8-F018-4CEE-87F6-DFC0267B0C9E}">
  <dimension ref="A1:N8"/>
  <sheetViews>
    <sheetView workbookViewId="0">
      <pane ySplit="2" topLeftCell="A3" activePane="bottomLeft" state="frozen"/>
      <selection pane="bottomLeft" activeCell="A8" sqref="A8:N8"/>
    </sheetView>
  </sheetViews>
  <sheetFormatPr defaultRowHeight="14.4" x14ac:dyDescent="0.3"/>
  <cols>
    <col min="1" max="2" width="8.88671875" style="125"/>
    <col min="3" max="3" width="12.6640625" bestFit="1" customWidth="1"/>
    <col min="5" max="5" width="49.88671875" bestFit="1" customWidth="1"/>
    <col min="6" max="6" width="10.33203125" bestFit="1" customWidth="1"/>
    <col min="7" max="7" width="4" bestFit="1" customWidth="1"/>
    <col min="8" max="8" width="15.6640625" bestFit="1" customWidth="1"/>
    <col min="9" max="9" width="10.109375" bestFit="1" customWidth="1"/>
    <col min="10" max="10" width="10.6640625" bestFit="1" customWidth="1"/>
    <col min="11" max="11" width="10.109375" bestFit="1" customWidth="1"/>
    <col min="12" max="12" width="36.5546875" bestFit="1" customWidth="1"/>
    <col min="13" max="13" width="25.5546875" bestFit="1" customWidth="1"/>
  </cols>
  <sheetData>
    <row r="1" spans="1:14" ht="15" thickBot="1" x14ac:dyDescent="0.35">
      <c r="A1" s="125" t="s">
        <v>218</v>
      </c>
      <c r="B1" s="125" t="s">
        <v>220</v>
      </c>
      <c r="C1" s="10" t="s">
        <v>3</v>
      </c>
      <c r="D1" s="10" t="s">
        <v>0</v>
      </c>
      <c r="E1" s="10" t="s">
        <v>2</v>
      </c>
      <c r="F1" s="10" t="s">
        <v>43</v>
      </c>
      <c r="G1" s="10" t="s">
        <v>7</v>
      </c>
      <c r="H1" s="10" t="s">
        <v>44</v>
      </c>
      <c r="I1" s="10" t="s">
        <v>27</v>
      </c>
      <c r="J1" s="10" t="s">
        <v>28</v>
      </c>
      <c r="K1" s="11" t="s">
        <v>60</v>
      </c>
      <c r="L1" s="11" t="s">
        <v>213</v>
      </c>
      <c r="M1" s="172" t="s">
        <v>249</v>
      </c>
    </row>
    <row r="2" spans="1:14" ht="15" thickBot="1" x14ac:dyDescent="0.35">
      <c r="C2" s="12"/>
      <c r="D2" s="12"/>
      <c r="E2" s="12"/>
      <c r="F2" s="12"/>
      <c r="G2" s="12"/>
      <c r="H2" s="34">
        <f>SUM(H3:H22)</f>
        <v>1602</v>
      </c>
      <c r="I2" s="12"/>
      <c r="J2" s="12"/>
      <c r="K2" s="13"/>
      <c r="L2" s="13"/>
    </row>
    <row r="3" spans="1:14" ht="15" thickTop="1" x14ac:dyDescent="0.3">
      <c r="A3" s="125">
        <v>1</v>
      </c>
      <c r="B3" s="125" t="s">
        <v>21</v>
      </c>
      <c r="C3" s="2" t="s">
        <v>11</v>
      </c>
      <c r="D3" s="2" t="s">
        <v>13</v>
      </c>
      <c r="E3" s="2" t="s">
        <v>14</v>
      </c>
      <c r="F3" s="7">
        <v>388</v>
      </c>
      <c r="G3" s="2">
        <v>1</v>
      </c>
      <c r="H3" s="7">
        <f>F3*G3</f>
        <v>388</v>
      </c>
      <c r="I3" s="3">
        <v>43110</v>
      </c>
      <c r="J3" s="3" t="s">
        <v>30</v>
      </c>
      <c r="K3" s="2" t="s">
        <v>63</v>
      </c>
    </row>
    <row r="4" spans="1:14" x14ac:dyDescent="0.3">
      <c r="A4" s="125">
        <v>2</v>
      </c>
      <c r="B4" s="125" t="s">
        <v>21</v>
      </c>
      <c r="C4" s="2" t="s">
        <v>42</v>
      </c>
      <c r="D4" s="2" t="s">
        <v>13</v>
      </c>
      <c r="E4" s="2" t="s">
        <v>46</v>
      </c>
      <c r="F4" s="7">
        <v>406</v>
      </c>
      <c r="G4" s="2">
        <v>2</v>
      </c>
      <c r="H4" s="7">
        <f>F4*G4</f>
        <v>812</v>
      </c>
      <c r="I4" s="3">
        <v>43128</v>
      </c>
      <c r="J4" s="3">
        <v>43133</v>
      </c>
      <c r="K4" s="2" t="s">
        <v>62</v>
      </c>
      <c r="M4" t="s">
        <v>217</v>
      </c>
    </row>
    <row r="5" spans="1:14" x14ac:dyDescent="0.3">
      <c r="A5" s="125">
        <v>3</v>
      </c>
      <c r="B5" s="28" t="s">
        <v>21</v>
      </c>
      <c r="C5" s="79" t="s">
        <v>8</v>
      </c>
      <c r="D5" s="79" t="s">
        <v>13</v>
      </c>
      <c r="E5" s="79" t="s">
        <v>74</v>
      </c>
      <c r="F5" s="169">
        <v>402</v>
      </c>
      <c r="G5" s="79">
        <v>1</v>
      </c>
      <c r="H5" s="169">
        <f>F5*G5</f>
        <v>402</v>
      </c>
      <c r="I5" s="170">
        <v>43129</v>
      </c>
      <c r="J5" s="170">
        <v>43139</v>
      </c>
      <c r="K5" s="79" t="s">
        <v>62</v>
      </c>
    </row>
    <row r="6" spans="1:14" x14ac:dyDescent="0.3">
      <c r="H6" s="125"/>
    </row>
    <row r="7" spans="1:14" x14ac:dyDescent="0.3">
      <c r="A7" s="190" t="s">
        <v>219</v>
      </c>
      <c r="B7" s="190"/>
      <c r="C7" s="190"/>
      <c r="D7" s="190"/>
      <c r="E7" s="190"/>
      <c r="F7" s="190"/>
      <c r="G7" s="190"/>
      <c r="H7" s="190"/>
      <c r="I7" s="190"/>
      <c r="J7" s="190"/>
      <c r="K7" s="190"/>
      <c r="L7" s="190"/>
      <c r="M7" s="190"/>
      <c r="N7" s="190"/>
    </row>
    <row r="8" spans="1:14" x14ac:dyDescent="0.3">
      <c r="A8" s="191" t="s">
        <v>250</v>
      </c>
      <c r="B8" s="191"/>
      <c r="C8" s="191"/>
      <c r="D8" s="191"/>
      <c r="E8" s="191"/>
      <c r="F8" s="191"/>
      <c r="G8" s="191"/>
      <c r="H8" s="191"/>
      <c r="I8" s="191"/>
      <c r="J8" s="191"/>
      <c r="K8" s="191"/>
      <c r="L8" s="191"/>
      <c r="M8" s="191"/>
      <c r="N8" s="191"/>
    </row>
  </sheetData>
  <mergeCells count="2">
    <mergeCell ref="A7:N7"/>
    <mergeCell ref="A8:N8"/>
  </mergeCells>
  <hyperlinks>
    <hyperlink ref="E3" r:id="rId1" display="https://www.amazon.fr/gp/product/B015VPX05A/ref=oh_aui_detailpage_o00_s00?ie=UTF8&amp;psc=1" xr:uid="{D21466A1-A1BC-46B0-BCC1-D6F3571D2648}"/>
    <hyperlink ref="E4" r:id="rId2" display="https://www.amazon.de/gp/product/B015VPX05A/ref=od_aui_detailpages00?ie=UTF8&amp;psc=1" xr:uid="{77455106-635F-4882-B46D-85E04F34F4B1}"/>
    <hyperlink ref="E5" r:id="rId3" display="https://www.amazon.de/gp/product/B015VPX05A/ref=od_aui_detailpages00?ie=UTF8&amp;psc=1" xr:uid="{18DE5E53-8B56-415F-BE9C-BD367D130F6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CBAAB-4DDE-44EB-90C8-5072E9F87DFF}">
  <dimension ref="A1:N9"/>
  <sheetViews>
    <sheetView workbookViewId="0">
      <pane ySplit="2" topLeftCell="A3" activePane="bottomLeft" state="frozen"/>
      <selection pane="bottomLeft" activeCell="J29" sqref="J29"/>
    </sheetView>
  </sheetViews>
  <sheetFormatPr defaultRowHeight="14.4" x14ac:dyDescent="0.3"/>
  <cols>
    <col min="1" max="2" width="8.88671875" style="125"/>
    <col min="3" max="3" width="12.6640625" bestFit="1" customWidth="1"/>
    <col min="4" max="4" width="7.33203125" bestFit="1" customWidth="1"/>
    <col min="5" max="5" width="41.5546875" bestFit="1" customWidth="1"/>
    <col min="6" max="6" width="10.44140625" bestFit="1" customWidth="1"/>
    <col min="7" max="7" width="4" bestFit="1" customWidth="1"/>
    <col min="8" max="8" width="15.6640625" bestFit="1" customWidth="1"/>
    <col min="9" max="9" width="10" bestFit="1" customWidth="1"/>
    <col min="10" max="10" width="10.5546875" bestFit="1" customWidth="1"/>
    <col min="11" max="11" width="10.109375" bestFit="1" customWidth="1"/>
    <col min="13" max="13" width="9.6640625" bestFit="1" customWidth="1"/>
  </cols>
  <sheetData>
    <row r="1" spans="1:14" ht="15" thickBot="1" x14ac:dyDescent="0.35">
      <c r="A1" s="125" t="s">
        <v>218</v>
      </c>
      <c r="B1" s="125" t="s">
        <v>220</v>
      </c>
      <c r="C1" s="10" t="s">
        <v>3</v>
      </c>
      <c r="D1" s="10" t="s">
        <v>0</v>
      </c>
      <c r="E1" s="10" t="s">
        <v>2</v>
      </c>
      <c r="F1" s="10" t="s">
        <v>43</v>
      </c>
      <c r="G1" s="10" t="s">
        <v>7</v>
      </c>
      <c r="H1" s="10" t="s">
        <v>44</v>
      </c>
      <c r="I1" s="10" t="s">
        <v>27</v>
      </c>
      <c r="J1" s="10" t="s">
        <v>28</v>
      </c>
      <c r="K1" s="11" t="s">
        <v>60</v>
      </c>
      <c r="L1" s="11" t="s">
        <v>212</v>
      </c>
      <c r="M1" s="172" t="s">
        <v>249</v>
      </c>
    </row>
    <row r="2" spans="1:14" ht="15" thickBot="1" x14ac:dyDescent="0.35">
      <c r="C2" s="12"/>
      <c r="D2" s="12"/>
      <c r="E2" s="12"/>
      <c r="F2" s="12"/>
      <c r="G2" s="12"/>
      <c r="H2" s="34">
        <f>SUM(H3:H24)</f>
        <v>1650</v>
      </c>
      <c r="I2" s="12"/>
      <c r="J2" s="12"/>
      <c r="K2" s="13"/>
      <c r="L2" s="13"/>
    </row>
    <row r="3" spans="1:14" ht="15" thickTop="1" x14ac:dyDescent="0.3">
      <c r="A3" s="125">
        <v>1</v>
      </c>
      <c r="B3" s="125" t="s">
        <v>22</v>
      </c>
      <c r="C3" s="2" t="s">
        <v>11</v>
      </c>
      <c r="D3" s="2" t="s">
        <v>47</v>
      </c>
      <c r="E3" s="2" t="s">
        <v>48</v>
      </c>
      <c r="F3" s="7">
        <v>434</v>
      </c>
      <c r="G3" s="2">
        <v>1</v>
      </c>
      <c r="H3" s="7">
        <f>F3*G3</f>
        <v>434</v>
      </c>
      <c r="I3" s="3">
        <v>43110</v>
      </c>
      <c r="J3" s="3">
        <v>43117</v>
      </c>
      <c r="K3" s="2" t="s">
        <v>63</v>
      </c>
    </row>
    <row r="4" spans="1:14" x14ac:dyDescent="0.3">
      <c r="A4" s="125">
        <v>2</v>
      </c>
      <c r="B4" s="125" t="s">
        <v>22</v>
      </c>
      <c r="C4" s="2" t="s">
        <v>42</v>
      </c>
      <c r="D4" s="2" t="s">
        <v>47</v>
      </c>
      <c r="E4" s="2" t="s">
        <v>73</v>
      </c>
      <c r="F4" s="7">
        <v>426</v>
      </c>
      <c r="G4" s="2">
        <v>2</v>
      </c>
      <c r="H4" s="7">
        <f>F4*G4</f>
        <v>852</v>
      </c>
      <c r="I4" s="3">
        <v>43128</v>
      </c>
      <c r="J4" s="3">
        <v>43133</v>
      </c>
      <c r="K4" s="2" t="s">
        <v>62</v>
      </c>
    </row>
    <row r="5" spans="1:14" x14ac:dyDescent="0.3">
      <c r="A5" s="125">
        <v>3</v>
      </c>
      <c r="B5" s="28" t="s">
        <v>22</v>
      </c>
      <c r="C5" s="79" t="s">
        <v>8</v>
      </c>
      <c r="D5" s="79" t="s">
        <v>47</v>
      </c>
      <c r="E5" s="79" t="s">
        <v>73</v>
      </c>
      <c r="F5" s="169">
        <v>364</v>
      </c>
      <c r="G5" s="79">
        <v>1</v>
      </c>
      <c r="H5" s="169">
        <f>F5*G5</f>
        <v>364</v>
      </c>
      <c r="I5" s="170">
        <v>43129</v>
      </c>
      <c r="J5" s="170">
        <v>43139</v>
      </c>
      <c r="K5" s="79" t="s">
        <v>62</v>
      </c>
    </row>
    <row r="6" spans="1:14" x14ac:dyDescent="0.3">
      <c r="H6" s="125"/>
    </row>
    <row r="8" spans="1:14" x14ac:dyDescent="0.3">
      <c r="A8" s="190" t="s">
        <v>219</v>
      </c>
      <c r="B8" s="190"/>
      <c r="C8" s="190"/>
      <c r="D8" s="190"/>
      <c r="E8" s="190"/>
      <c r="F8" s="190"/>
      <c r="G8" s="190"/>
      <c r="H8" s="190"/>
      <c r="I8" s="190"/>
      <c r="J8" s="190"/>
      <c r="K8" s="190"/>
      <c r="L8" s="190"/>
      <c r="M8" s="190"/>
      <c r="N8" s="190"/>
    </row>
    <row r="9" spans="1:14" x14ac:dyDescent="0.3">
      <c r="A9" s="191" t="s">
        <v>250</v>
      </c>
      <c r="B9" s="191"/>
      <c r="C9" s="191"/>
      <c r="D9" s="191"/>
      <c r="E9" s="191"/>
      <c r="F9" s="191"/>
      <c r="G9" s="191"/>
      <c r="H9" s="191"/>
      <c r="I9" s="191"/>
      <c r="J9" s="191"/>
      <c r="K9" s="191"/>
      <c r="L9" s="191"/>
      <c r="M9" s="191"/>
      <c r="N9" s="191"/>
    </row>
  </sheetData>
  <mergeCells count="2">
    <mergeCell ref="A8:N8"/>
    <mergeCell ref="A9:N9"/>
  </mergeCells>
  <hyperlinks>
    <hyperlink ref="E3" r:id="rId1" display="https://www.amazon.fr/gp/product/B00UFBZOKK/ref=oh_aui_detailpage_o00_s00?ie=UTF8&amp;psc=1" xr:uid="{B3F86738-0E3B-4ED7-8398-CA3E5D6D6E7B}"/>
    <hyperlink ref="E5" r:id="rId2" display="https://www.amazon.de/gp/product/B0198QDKGW/ref=od_aui_detailpages00?ie=UTF8&amp;psc=1" xr:uid="{207EE3AC-5A93-4233-9787-60DC2A4F26B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CF3D2-A940-44BB-9ABB-703EB09645AB}">
  <dimension ref="A1:N9"/>
  <sheetViews>
    <sheetView workbookViewId="0">
      <pane ySplit="2" topLeftCell="A3" activePane="bottomLeft" state="frozen"/>
      <selection pane="bottomLeft" activeCell="A9" sqref="A9:N9"/>
    </sheetView>
  </sheetViews>
  <sheetFormatPr defaultRowHeight="14.4" x14ac:dyDescent="0.3"/>
  <cols>
    <col min="1" max="2" width="8.88671875" style="125"/>
    <col min="3" max="3" width="14.5546875" bestFit="1" customWidth="1"/>
    <col min="4" max="4" width="7.109375" bestFit="1" customWidth="1"/>
    <col min="5" max="5" width="53" bestFit="1" customWidth="1"/>
    <col min="6" max="6" width="10.44140625" bestFit="1" customWidth="1"/>
    <col min="7" max="7" width="4" bestFit="1" customWidth="1"/>
    <col min="8" max="8" width="15.6640625" bestFit="1" customWidth="1"/>
    <col min="9" max="9" width="10.109375" bestFit="1" customWidth="1"/>
    <col min="10" max="10" width="10.5546875" bestFit="1" customWidth="1"/>
    <col min="11" max="11" width="10.109375" bestFit="1" customWidth="1"/>
    <col min="13" max="13" width="9.6640625" bestFit="1" customWidth="1"/>
  </cols>
  <sheetData>
    <row r="1" spans="1:14" ht="15" thickBot="1" x14ac:dyDescent="0.35">
      <c r="A1" s="125" t="s">
        <v>218</v>
      </c>
      <c r="B1" s="125" t="s">
        <v>220</v>
      </c>
      <c r="C1" s="10" t="s">
        <v>3</v>
      </c>
      <c r="D1" s="10" t="s">
        <v>0</v>
      </c>
      <c r="E1" s="10" t="s">
        <v>2</v>
      </c>
      <c r="F1" s="10" t="s">
        <v>43</v>
      </c>
      <c r="G1" s="10" t="s">
        <v>7</v>
      </c>
      <c r="H1" s="10" t="s">
        <v>44</v>
      </c>
      <c r="I1" s="10" t="s">
        <v>27</v>
      </c>
      <c r="J1" s="10" t="s">
        <v>28</v>
      </c>
      <c r="K1" s="11" t="s">
        <v>60</v>
      </c>
      <c r="L1" s="11" t="s">
        <v>212</v>
      </c>
      <c r="M1" s="172" t="s">
        <v>249</v>
      </c>
    </row>
    <row r="2" spans="1:14" ht="15" thickBot="1" x14ac:dyDescent="0.35">
      <c r="C2" s="12"/>
      <c r="D2" s="12"/>
      <c r="E2" s="12"/>
      <c r="F2" s="12"/>
      <c r="G2" s="12"/>
      <c r="H2" s="34">
        <f>SUM(H3:H22)</f>
        <v>1527</v>
      </c>
      <c r="I2" s="12"/>
      <c r="J2" s="12"/>
      <c r="K2" s="13"/>
      <c r="L2" s="13"/>
    </row>
    <row r="3" spans="1:14" ht="15" thickTop="1" x14ac:dyDescent="0.3">
      <c r="A3" s="125">
        <v>1</v>
      </c>
      <c r="B3" s="125" t="s">
        <v>23</v>
      </c>
      <c r="C3" s="2" t="s">
        <v>144</v>
      </c>
      <c r="D3" s="2" t="s">
        <v>38</v>
      </c>
      <c r="E3" s="2" t="s">
        <v>39</v>
      </c>
      <c r="F3" s="7">
        <v>383</v>
      </c>
      <c r="G3" s="2">
        <v>1</v>
      </c>
      <c r="H3" s="7">
        <f>F3*G3</f>
        <v>383</v>
      </c>
      <c r="I3" s="3">
        <v>43118</v>
      </c>
      <c r="J3" s="3">
        <v>43125</v>
      </c>
      <c r="K3" s="2" t="s">
        <v>62</v>
      </c>
    </row>
    <row r="4" spans="1:14" x14ac:dyDescent="0.3">
      <c r="A4" s="125">
        <v>2</v>
      </c>
      <c r="B4" s="125" t="s">
        <v>23</v>
      </c>
      <c r="C4" s="2" t="s">
        <v>42</v>
      </c>
      <c r="D4" s="2" t="s">
        <v>38</v>
      </c>
      <c r="E4" s="2" t="s">
        <v>95</v>
      </c>
      <c r="F4" s="7">
        <v>382</v>
      </c>
      <c r="G4" s="2">
        <v>2</v>
      </c>
      <c r="H4" s="7">
        <f>F4*G4</f>
        <v>764</v>
      </c>
      <c r="I4" s="3">
        <v>43128</v>
      </c>
      <c r="J4" s="3">
        <v>43133</v>
      </c>
      <c r="K4" s="2" t="s">
        <v>62</v>
      </c>
    </row>
    <row r="5" spans="1:14" x14ac:dyDescent="0.3">
      <c r="A5" s="125">
        <v>3</v>
      </c>
      <c r="B5" s="28" t="s">
        <v>23</v>
      </c>
      <c r="C5" s="2" t="s">
        <v>11</v>
      </c>
      <c r="D5" s="2" t="s">
        <v>38</v>
      </c>
      <c r="E5" s="2" t="s">
        <v>95</v>
      </c>
      <c r="F5" s="7">
        <v>380</v>
      </c>
      <c r="G5" s="2">
        <v>1</v>
      </c>
      <c r="H5" s="7">
        <f>F5*G5</f>
        <v>380</v>
      </c>
      <c r="I5" s="3">
        <v>43145</v>
      </c>
      <c r="J5" s="3">
        <v>43152</v>
      </c>
      <c r="K5" s="2" t="s">
        <v>62</v>
      </c>
    </row>
    <row r="6" spans="1:14" x14ac:dyDescent="0.3">
      <c r="H6" s="125"/>
    </row>
    <row r="8" spans="1:14" x14ac:dyDescent="0.3">
      <c r="A8" s="190" t="s">
        <v>219</v>
      </c>
      <c r="B8" s="190"/>
      <c r="C8" s="190"/>
      <c r="D8" s="190"/>
      <c r="E8" s="190"/>
      <c r="F8" s="190"/>
      <c r="G8" s="190"/>
      <c r="H8" s="190"/>
      <c r="I8" s="190"/>
      <c r="J8" s="190"/>
      <c r="K8" s="190"/>
      <c r="L8" s="190"/>
      <c r="M8" s="190"/>
      <c r="N8" s="190"/>
    </row>
    <row r="9" spans="1:14" x14ac:dyDescent="0.3">
      <c r="A9" s="191" t="s">
        <v>250</v>
      </c>
      <c r="B9" s="191"/>
      <c r="C9" s="191"/>
      <c r="D9" s="191"/>
      <c r="E9" s="191"/>
      <c r="F9" s="191"/>
      <c r="G9" s="191"/>
      <c r="H9" s="191"/>
      <c r="I9" s="191"/>
      <c r="J9" s="191"/>
      <c r="K9" s="191"/>
      <c r="L9" s="191"/>
      <c r="M9" s="191"/>
      <c r="N9" s="191"/>
    </row>
  </sheetData>
  <mergeCells count="2">
    <mergeCell ref="A8:N8"/>
    <mergeCell ref="A9:N9"/>
  </mergeCells>
  <hyperlinks>
    <hyperlink ref="E4" r:id="rId1" display="https://www.amazon.de/gp/product/B0093RN0PI/ref=od_aui_detailpages00?ie=UTF8&amp;psc=1" xr:uid="{BC2B845F-F16D-4BB3-B7FF-6ECA00317A2E}"/>
    <hyperlink ref="E5" r:id="rId2" display="https://www.amazon.de/gp/product/B0093RN0PI/ref=oh_aui_detailpage_o00_s00?ie=UTF8&amp;psc=1" xr:uid="{A71F565C-42C6-476C-AE8B-7D84C5EB3A4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A5831-C6C9-440B-A810-FAB265A0FCDF}">
  <dimension ref="A1:N34"/>
  <sheetViews>
    <sheetView topLeftCell="B1" workbookViewId="0">
      <pane ySplit="2" topLeftCell="A3" activePane="bottomLeft" state="frozen"/>
      <selection pane="bottomLeft" activeCell="N19" sqref="N19"/>
    </sheetView>
  </sheetViews>
  <sheetFormatPr defaultRowHeight="14.4" x14ac:dyDescent="0.3"/>
  <cols>
    <col min="1" max="2" width="8.88671875" style="125"/>
    <col min="3" max="3" width="18.88671875" bestFit="1" customWidth="1"/>
    <col min="4" max="4" width="8" bestFit="1" customWidth="1"/>
    <col min="5" max="5" width="68.44140625" bestFit="1" customWidth="1"/>
    <col min="6" max="6" width="11.88671875" style="14" bestFit="1" customWidth="1"/>
    <col min="7" max="7" width="4" bestFit="1" customWidth="1"/>
    <col min="8" max="8" width="15.6640625" style="14" bestFit="1" customWidth="1"/>
    <col min="9" max="9" width="10" bestFit="1" customWidth="1"/>
    <col min="10" max="10" width="10.5546875" bestFit="1" customWidth="1"/>
    <col min="11" max="11" width="13.33203125" bestFit="1" customWidth="1"/>
    <col min="13" max="13" width="9.6640625" bestFit="1" customWidth="1"/>
  </cols>
  <sheetData>
    <row r="1" spans="1:13" ht="15" thickBot="1" x14ac:dyDescent="0.35">
      <c r="A1" s="125" t="s">
        <v>218</v>
      </c>
      <c r="B1" s="125" t="s">
        <v>220</v>
      </c>
      <c r="C1" s="10" t="s">
        <v>3</v>
      </c>
      <c r="D1" s="10" t="s">
        <v>0</v>
      </c>
      <c r="E1" s="10" t="s">
        <v>2</v>
      </c>
      <c r="F1" s="10" t="s">
        <v>43</v>
      </c>
      <c r="G1" s="10" t="s">
        <v>7</v>
      </c>
      <c r="H1" s="10" t="s">
        <v>44</v>
      </c>
      <c r="I1" s="10" t="s">
        <v>27</v>
      </c>
      <c r="J1" s="10" t="s">
        <v>28</v>
      </c>
      <c r="K1" s="11" t="s">
        <v>60</v>
      </c>
      <c r="L1" s="11" t="s">
        <v>212</v>
      </c>
      <c r="M1" s="172" t="s">
        <v>249</v>
      </c>
    </row>
    <row r="2" spans="1:13" ht="15" thickBot="1" x14ac:dyDescent="0.35">
      <c r="C2" s="12"/>
      <c r="D2" s="12"/>
      <c r="E2" s="12"/>
      <c r="F2" s="18"/>
      <c r="G2" s="12"/>
      <c r="H2" s="34">
        <f>SUM(H3:H30)</f>
        <v>12685.47</v>
      </c>
      <c r="I2" s="12"/>
      <c r="J2" s="12"/>
      <c r="K2" s="12"/>
      <c r="L2" s="13"/>
    </row>
    <row r="3" spans="1:13" ht="15" thickTop="1" x14ac:dyDescent="0.3">
      <c r="A3" s="125">
        <v>1</v>
      </c>
      <c r="B3" s="125" t="s">
        <v>84</v>
      </c>
      <c r="C3" s="2" t="s">
        <v>11</v>
      </c>
      <c r="D3" s="2" t="s">
        <v>15</v>
      </c>
      <c r="E3" s="2" t="s">
        <v>16</v>
      </c>
      <c r="F3" s="7">
        <v>65.760000000000005</v>
      </c>
      <c r="G3" s="2">
        <v>6</v>
      </c>
      <c r="H3" s="7">
        <f t="shared" ref="H3:H12" si="0">F3*G3</f>
        <v>394.56000000000006</v>
      </c>
      <c r="I3" s="3">
        <v>43110</v>
      </c>
      <c r="J3" s="3">
        <v>43117</v>
      </c>
      <c r="K3" s="2" t="s">
        <v>63</v>
      </c>
    </row>
    <row r="4" spans="1:13" x14ac:dyDescent="0.3">
      <c r="A4" s="125">
        <v>2</v>
      </c>
      <c r="B4" s="125" t="s">
        <v>84</v>
      </c>
      <c r="C4" s="2" t="s">
        <v>11</v>
      </c>
      <c r="D4" s="2" t="s">
        <v>93</v>
      </c>
      <c r="E4" s="2" t="s">
        <v>17</v>
      </c>
      <c r="F4" s="7">
        <v>52.05</v>
      </c>
      <c r="G4" s="2">
        <v>1</v>
      </c>
      <c r="H4" s="7">
        <f t="shared" si="0"/>
        <v>52.05</v>
      </c>
      <c r="I4" s="3">
        <v>43110</v>
      </c>
      <c r="J4" s="3">
        <v>43117</v>
      </c>
      <c r="K4" s="2" t="s">
        <v>63</v>
      </c>
    </row>
    <row r="5" spans="1:13" x14ac:dyDescent="0.3">
      <c r="A5" s="125">
        <v>3</v>
      </c>
      <c r="B5" s="125" t="s">
        <v>84</v>
      </c>
      <c r="C5" s="2" t="s">
        <v>144</v>
      </c>
      <c r="D5" s="2" t="s">
        <v>49</v>
      </c>
      <c r="E5" s="2" t="s">
        <v>92</v>
      </c>
      <c r="F5" s="7">
        <v>99.53</v>
      </c>
      <c r="G5" s="2">
        <v>1</v>
      </c>
      <c r="H5" s="7">
        <f t="shared" si="0"/>
        <v>99.53</v>
      </c>
      <c r="I5" s="3">
        <v>43118</v>
      </c>
      <c r="J5" s="3">
        <v>43125</v>
      </c>
      <c r="K5" s="2" t="s">
        <v>62</v>
      </c>
    </row>
    <row r="6" spans="1:13" x14ac:dyDescent="0.3">
      <c r="A6" s="125">
        <v>4</v>
      </c>
      <c r="B6" s="125" t="s">
        <v>84</v>
      </c>
      <c r="C6" s="2" t="s">
        <v>144</v>
      </c>
      <c r="D6" s="2" t="s">
        <v>32</v>
      </c>
      <c r="E6" s="2" t="s">
        <v>33</v>
      </c>
      <c r="F6" s="7">
        <v>71.31</v>
      </c>
      <c r="G6" s="2">
        <v>1</v>
      </c>
      <c r="H6" s="7">
        <f t="shared" si="0"/>
        <v>71.31</v>
      </c>
      <c r="I6" s="3">
        <v>43118</v>
      </c>
      <c r="J6" s="3">
        <v>43125</v>
      </c>
      <c r="K6" s="2" t="s">
        <v>62</v>
      </c>
    </row>
    <row r="7" spans="1:13" x14ac:dyDescent="0.3">
      <c r="A7" s="125">
        <v>5</v>
      </c>
      <c r="B7" s="125" t="s">
        <v>84</v>
      </c>
      <c r="C7" s="2" t="s">
        <v>144</v>
      </c>
      <c r="D7" s="2" t="s">
        <v>32</v>
      </c>
      <c r="E7" s="2" t="s">
        <v>34</v>
      </c>
      <c r="F7" s="7">
        <v>158.37</v>
      </c>
      <c r="G7" s="2">
        <v>1</v>
      </c>
      <c r="H7" s="7">
        <f t="shared" si="0"/>
        <v>158.37</v>
      </c>
      <c r="I7" s="3">
        <v>43118</v>
      </c>
      <c r="J7" s="3">
        <v>43125</v>
      </c>
      <c r="K7" s="2" t="s">
        <v>62</v>
      </c>
    </row>
    <row r="8" spans="1:13" x14ac:dyDescent="0.3">
      <c r="A8" s="125">
        <v>6</v>
      </c>
      <c r="B8" s="125" t="s">
        <v>84</v>
      </c>
      <c r="C8" s="2" t="s">
        <v>144</v>
      </c>
      <c r="D8" s="2" t="s">
        <v>35</v>
      </c>
      <c r="E8" s="2" t="s">
        <v>69</v>
      </c>
      <c r="F8" s="7">
        <v>59</v>
      </c>
      <c r="G8" s="2">
        <v>12</v>
      </c>
      <c r="H8" s="7">
        <f t="shared" si="0"/>
        <v>708</v>
      </c>
      <c r="I8" s="3">
        <v>43118</v>
      </c>
      <c r="J8" s="3">
        <v>43125</v>
      </c>
      <c r="K8" s="2" t="s">
        <v>62</v>
      </c>
    </row>
    <row r="9" spans="1:13" x14ac:dyDescent="0.3">
      <c r="A9" s="125">
        <v>7</v>
      </c>
      <c r="B9" s="125" t="s">
        <v>84</v>
      </c>
      <c r="C9" s="2" t="s">
        <v>144</v>
      </c>
      <c r="D9" s="2" t="s">
        <v>36</v>
      </c>
      <c r="E9" s="5" t="s">
        <v>37</v>
      </c>
      <c r="F9" s="7">
        <v>138.47999999999999</v>
      </c>
      <c r="G9" s="2">
        <v>1</v>
      </c>
      <c r="H9" s="7">
        <f t="shared" si="0"/>
        <v>138.47999999999999</v>
      </c>
      <c r="I9" s="3">
        <v>43118</v>
      </c>
      <c r="J9" s="3">
        <v>43125</v>
      </c>
      <c r="K9" s="2" t="s">
        <v>62</v>
      </c>
    </row>
    <row r="10" spans="1:13" x14ac:dyDescent="0.3">
      <c r="A10" s="125">
        <v>8</v>
      </c>
      <c r="B10" s="125" t="s">
        <v>84</v>
      </c>
      <c r="C10" s="2" t="s">
        <v>42</v>
      </c>
      <c r="D10" s="2" t="s">
        <v>50</v>
      </c>
      <c r="E10" s="2" t="s">
        <v>54</v>
      </c>
      <c r="F10" s="7">
        <v>73</v>
      </c>
      <c r="G10" s="2">
        <v>2</v>
      </c>
      <c r="H10" s="7">
        <f t="shared" si="0"/>
        <v>146</v>
      </c>
      <c r="I10" s="3">
        <v>43128</v>
      </c>
      <c r="J10" s="3">
        <v>43133</v>
      </c>
      <c r="K10" s="2" t="s">
        <v>62</v>
      </c>
    </row>
    <row r="11" spans="1:13" x14ac:dyDescent="0.3">
      <c r="A11" s="125">
        <v>9</v>
      </c>
      <c r="B11" s="125" t="s">
        <v>84</v>
      </c>
      <c r="C11" s="2" t="s">
        <v>42</v>
      </c>
      <c r="D11" s="2" t="s">
        <v>51</v>
      </c>
      <c r="E11" s="2" t="s">
        <v>55</v>
      </c>
      <c r="F11" s="7">
        <v>56</v>
      </c>
      <c r="G11" s="2">
        <v>1</v>
      </c>
      <c r="H11" s="7">
        <f t="shared" si="0"/>
        <v>56</v>
      </c>
      <c r="I11" s="3">
        <v>43128</v>
      </c>
      <c r="J11" s="3">
        <v>43133</v>
      </c>
      <c r="K11" s="2" t="s">
        <v>62</v>
      </c>
    </row>
    <row r="12" spans="1:13" x14ac:dyDescent="0.3">
      <c r="A12" s="125">
        <v>10</v>
      </c>
      <c r="B12" s="125" t="s">
        <v>84</v>
      </c>
      <c r="C12" s="2" t="s">
        <v>42</v>
      </c>
      <c r="D12" s="2" t="s">
        <v>52</v>
      </c>
      <c r="E12" s="2" t="s">
        <v>56</v>
      </c>
      <c r="F12" s="7">
        <v>101</v>
      </c>
      <c r="G12" s="2">
        <v>1</v>
      </c>
      <c r="H12" s="7">
        <f t="shared" si="0"/>
        <v>101</v>
      </c>
      <c r="I12" s="3">
        <v>43128</v>
      </c>
      <c r="J12" s="3">
        <v>43133</v>
      </c>
      <c r="K12" s="2" t="s">
        <v>62</v>
      </c>
    </row>
    <row r="13" spans="1:13" x14ac:dyDescent="0.3">
      <c r="A13" s="125">
        <v>11</v>
      </c>
      <c r="B13" s="125" t="s">
        <v>84</v>
      </c>
      <c r="C13" s="2" t="s">
        <v>42</v>
      </c>
      <c r="D13" s="2" t="s">
        <v>53</v>
      </c>
      <c r="E13" s="2" t="s">
        <v>57</v>
      </c>
      <c r="F13" s="7">
        <v>92</v>
      </c>
      <c r="G13" s="2">
        <v>27</v>
      </c>
      <c r="H13" s="7">
        <f>F13*G13</f>
        <v>2484</v>
      </c>
      <c r="I13" s="3">
        <v>43128</v>
      </c>
      <c r="J13" s="3">
        <v>43133</v>
      </c>
      <c r="K13" s="2" t="s">
        <v>62</v>
      </c>
    </row>
    <row r="14" spans="1:13" x14ac:dyDescent="0.3">
      <c r="A14" s="125">
        <v>12</v>
      </c>
      <c r="B14" s="125" t="s">
        <v>84</v>
      </c>
      <c r="C14" s="2" t="s">
        <v>11</v>
      </c>
      <c r="D14" s="2"/>
      <c r="E14" s="5" t="s">
        <v>66</v>
      </c>
      <c r="F14" s="7">
        <v>2.64</v>
      </c>
      <c r="G14" s="2">
        <v>10</v>
      </c>
      <c r="H14" s="7">
        <f>F14*G14</f>
        <v>26.400000000000002</v>
      </c>
      <c r="I14" s="3">
        <v>43129</v>
      </c>
      <c r="J14" s="3">
        <v>43159</v>
      </c>
      <c r="K14" s="2" t="s">
        <v>67</v>
      </c>
    </row>
    <row r="15" spans="1:13" x14ac:dyDescent="0.3">
      <c r="A15" s="125">
        <v>13</v>
      </c>
      <c r="B15" s="125" t="s">
        <v>84</v>
      </c>
      <c r="C15" s="2" t="s">
        <v>11</v>
      </c>
      <c r="D15" s="2"/>
      <c r="E15" s="2" t="s">
        <v>68</v>
      </c>
      <c r="F15" s="7">
        <v>7.02</v>
      </c>
      <c r="G15" s="2">
        <v>40</v>
      </c>
      <c r="H15" s="7">
        <f>F15*G15</f>
        <v>280.79999999999995</v>
      </c>
      <c r="I15" s="3">
        <v>43129</v>
      </c>
      <c r="J15" s="3">
        <v>43152</v>
      </c>
      <c r="K15" s="2" t="s">
        <v>67</v>
      </c>
    </row>
    <row r="16" spans="1:13" x14ac:dyDescent="0.3">
      <c r="A16" s="125">
        <v>14</v>
      </c>
      <c r="B16" s="125" t="s">
        <v>84</v>
      </c>
      <c r="C16" s="2" t="s">
        <v>11</v>
      </c>
      <c r="D16" s="2"/>
      <c r="E16" s="2" t="s">
        <v>83</v>
      </c>
      <c r="F16" s="7">
        <v>7.32</v>
      </c>
      <c r="G16" s="2">
        <v>40</v>
      </c>
      <c r="H16" s="7">
        <f>F16*G16</f>
        <v>292.8</v>
      </c>
      <c r="I16" s="3">
        <v>43129</v>
      </c>
      <c r="J16" s="3">
        <v>43157</v>
      </c>
      <c r="K16" s="2" t="s">
        <v>67</v>
      </c>
    </row>
    <row r="17" spans="1:11" x14ac:dyDescent="0.3">
      <c r="A17" s="125">
        <v>15</v>
      </c>
      <c r="B17" s="125" t="s">
        <v>84</v>
      </c>
      <c r="C17" s="2" t="s">
        <v>31</v>
      </c>
      <c r="D17" s="2"/>
      <c r="E17" s="2" t="s">
        <v>75</v>
      </c>
      <c r="F17" s="7">
        <v>750</v>
      </c>
      <c r="G17" s="2">
        <v>5</v>
      </c>
      <c r="H17" s="7">
        <f>F17*G17</f>
        <v>3750</v>
      </c>
      <c r="I17" s="3">
        <v>43129</v>
      </c>
      <c r="J17" s="3">
        <v>43152</v>
      </c>
      <c r="K17" s="2" t="s">
        <v>76</v>
      </c>
    </row>
    <row r="18" spans="1:11" x14ac:dyDescent="0.3">
      <c r="A18" s="125">
        <v>16</v>
      </c>
      <c r="B18" s="125" t="s">
        <v>84</v>
      </c>
      <c r="C18" s="2" t="s">
        <v>25</v>
      </c>
      <c r="D18" s="2"/>
      <c r="E18" s="2" t="s">
        <v>161</v>
      </c>
      <c r="F18" s="7">
        <v>1514.34</v>
      </c>
      <c r="G18" s="2">
        <v>1</v>
      </c>
      <c r="H18" s="7">
        <f t="shared" ref="H18:H23" si="1">G18*F18</f>
        <v>1514.34</v>
      </c>
      <c r="I18" s="3">
        <v>43139</v>
      </c>
      <c r="J18" s="3">
        <v>43149</v>
      </c>
      <c r="K18" s="2" t="s">
        <v>62</v>
      </c>
    </row>
    <row r="19" spans="1:11" x14ac:dyDescent="0.3">
      <c r="A19" s="125">
        <v>17</v>
      </c>
      <c r="B19" s="125" t="s">
        <v>84</v>
      </c>
      <c r="C19" s="2" t="s">
        <v>11</v>
      </c>
      <c r="D19" s="2" t="s">
        <v>49</v>
      </c>
      <c r="E19" s="2" t="s">
        <v>91</v>
      </c>
      <c r="F19" s="7">
        <v>130.9</v>
      </c>
      <c r="G19" s="2">
        <v>1</v>
      </c>
      <c r="H19" s="7">
        <f t="shared" si="1"/>
        <v>130.9</v>
      </c>
      <c r="I19" s="3">
        <v>43145</v>
      </c>
      <c r="J19" s="3">
        <v>43152</v>
      </c>
      <c r="K19" s="2" t="s">
        <v>62</v>
      </c>
    </row>
    <row r="20" spans="1:11" x14ac:dyDescent="0.3">
      <c r="A20" s="125">
        <v>18</v>
      </c>
      <c r="B20" s="125" t="s">
        <v>84</v>
      </c>
      <c r="C20" s="2" t="s">
        <v>11</v>
      </c>
      <c r="D20" s="2" t="s">
        <v>93</v>
      </c>
      <c r="E20" s="2" t="s">
        <v>94</v>
      </c>
      <c r="F20" s="7">
        <v>61.6</v>
      </c>
      <c r="G20" s="2">
        <v>1</v>
      </c>
      <c r="H20" s="7">
        <f t="shared" si="1"/>
        <v>61.6</v>
      </c>
      <c r="I20" s="3">
        <v>43145</v>
      </c>
      <c r="J20" s="3">
        <v>43152</v>
      </c>
      <c r="K20" s="2" t="s">
        <v>62</v>
      </c>
    </row>
    <row r="21" spans="1:11" x14ac:dyDescent="0.3">
      <c r="A21" s="125">
        <v>19</v>
      </c>
      <c r="B21" s="125" t="s">
        <v>84</v>
      </c>
      <c r="C21" s="2" t="s">
        <v>31</v>
      </c>
      <c r="D21" s="2" t="s">
        <v>130</v>
      </c>
      <c r="E21" s="2" t="s">
        <v>129</v>
      </c>
      <c r="F21" s="7">
        <v>83</v>
      </c>
      <c r="G21" s="2">
        <v>1</v>
      </c>
      <c r="H21" s="7">
        <f t="shared" si="1"/>
        <v>83</v>
      </c>
      <c r="I21" s="3">
        <v>43151</v>
      </c>
      <c r="J21" s="3">
        <v>43151</v>
      </c>
      <c r="K21" s="2" t="s">
        <v>76</v>
      </c>
    </row>
    <row r="22" spans="1:11" x14ac:dyDescent="0.3">
      <c r="A22" s="125">
        <v>20</v>
      </c>
      <c r="B22" s="125" t="s">
        <v>84</v>
      </c>
      <c r="C22" s="2" t="s">
        <v>136</v>
      </c>
      <c r="D22" s="2" t="s">
        <v>137</v>
      </c>
      <c r="E22" s="2" t="s">
        <v>138</v>
      </c>
      <c r="F22" s="7">
        <v>321.83</v>
      </c>
      <c r="G22" s="2">
        <v>1</v>
      </c>
      <c r="H22" s="7">
        <f t="shared" si="1"/>
        <v>321.83</v>
      </c>
      <c r="I22" s="3">
        <v>43156</v>
      </c>
      <c r="J22" s="3">
        <v>43162</v>
      </c>
      <c r="K22" s="2" t="s">
        <v>62</v>
      </c>
    </row>
    <row r="23" spans="1:11" x14ac:dyDescent="0.3">
      <c r="A23" s="125">
        <v>21</v>
      </c>
      <c r="B23" s="125" t="s">
        <v>84</v>
      </c>
      <c r="C23" s="6" t="s">
        <v>139</v>
      </c>
      <c r="D23" s="2" t="s">
        <v>15</v>
      </c>
      <c r="E23" s="2" t="s">
        <v>140</v>
      </c>
      <c r="F23" s="7">
        <v>64</v>
      </c>
      <c r="G23" s="2">
        <v>6</v>
      </c>
      <c r="H23" s="7">
        <f t="shared" si="1"/>
        <v>384</v>
      </c>
      <c r="I23" s="3">
        <v>43188</v>
      </c>
      <c r="J23" s="3">
        <v>43199</v>
      </c>
      <c r="K23" s="2" t="s">
        <v>62</v>
      </c>
    </row>
    <row r="24" spans="1:11" x14ac:dyDescent="0.3">
      <c r="A24" s="125">
        <v>22</v>
      </c>
      <c r="B24" s="125" t="s">
        <v>84</v>
      </c>
      <c r="C24" s="2" t="s">
        <v>141</v>
      </c>
      <c r="D24" s="2" t="s">
        <v>15</v>
      </c>
      <c r="E24" s="2" t="s">
        <v>145</v>
      </c>
      <c r="F24" s="7">
        <v>61.25</v>
      </c>
      <c r="G24" s="2">
        <v>6</v>
      </c>
      <c r="H24" s="7">
        <f>G24*F24</f>
        <v>367.5</v>
      </c>
      <c r="I24" s="3">
        <v>43229</v>
      </c>
      <c r="J24" s="3">
        <v>43233</v>
      </c>
      <c r="K24" s="2" t="s">
        <v>62</v>
      </c>
    </row>
    <row r="25" spans="1:11" x14ac:dyDescent="0.3">
      <c r="A25" s="125">
        <v>23</v>
      </c>
      <c r="B25" s="125" t="s">
        <v>84</v>
      </c>
      <c r="C25" s="2" t="s">
        <v>141</v>
      </c>
      <c r="D25" s="2" t="s">
        <v>15</v>
      </c>
      <c r="E25" s="2" t="s">
        <v>145</v>
      </c>
      <c r="F25" s="7">
        <v>65.75</v>
      </c>
      <c r="G25" s="2">
        <v>6</v>
      </c>
      <c r="H25" s="7">
        <f>G25*F25</f>
        <v>394.5</v>
      </c>
      <c r="I25" s="3">
        <v>43229</v>
      </c>
      <c r="J25" s="3">
        <v>43233</v>
      </c>
      <c r="K25" s="2" t="s">
        <v>62</v>
      </c>
    </row>
    <row r="26" spans="1:11" x14ac:dyDescent="0.3">
      <c r="A26" s="125">
        <v>24</v>
      </c>
      <c r="B26" s="125" t="s">
        <v>84</v>
      </c>
      <c r="C26" s="2" t="s">
        <v>11</v>
      </c>
      <c r="D26" s="2"/>
      <c r="E26" s="2" t="s">
        <v>158</v>
      </c>
      <c r="F26" s="7">
        <v>18.083333333333332</v>
      </c>
      <c r="G26" s="2">
        <v>6</v>
      </c>
      <c r="H26" s="7">
        <v>108.5</v>
      </c>
      <c r="I26" s="3">
        <v>43270</v>
      </c>
      <c r="J26" s="3">
        <v>43300</v>
      </c>
      <c r="K26" s="2" t="s">
        <v>67</v>
      </c>
    </row>
    <row r="27" spans="1:11" x14ac:dyDescent="0.3">
      <c r="A27" s="125">
        <v>25</v>
      </c>
      <c r="B27" s="125" t="s">
        <v>84</v>
      </c>
      <c r="C27" s="2" t="s">
        <v>11</v>
      </c>
      <c r="D27" s="2"/>
      <c r="E27" s="84" t="s">
        <v>162</v>
      </c>
      <c r="F27" s="7">
        <v>21.074999999999999</v>
      </c>
      <c r="G27" s="2">
        <v>20</v>
      </c>
      <c r="H27" s="7">
        <v>421.5</v>
      </c>
      <c r="I27" s="3">
        <v>43289</v>
      </c>
      <c r="J27" s="3">
        <v>43300</v>
      </c>
      <c r="K27" s="2" t="s">
        <v>67</v>
      </c>
    </row>
    <row r="28" spans="1:11" x14ac:dyDescent="0.3">
      <c r="A28" s="125">
        <v>26</v>
      </c>
      <c r="B28" s="125" t="s">
        <v>84</v>
      </c>
      <c r="C28" s="2" t="s">
        <v>11</v>
      </c>
      <c r="D28" s="2"/>
      <c r="E28" s="2" t="s">
        <v>163</v>
      </c>
      <c r="F28" s="7">
        <v>13.85</v>
      </c>
      <c r="G28" s="2">
        <v>10</v>
      </c>
      <c r="H28" s="7">
        <v>138.5</v>
      </c>
      <c r="I28" s="3">
        <v>43289</v>
      </c>
      <c r="J28" s="3">
        <v>43300</v>
      </c>
      <c r="K28" s="2" t="s">
        <v>67</v>
      </c>
    </row>
    <row r="29" spans="1:11" x14ac:dyDescent="0.3">
      <c r="H29" s="125"/>
    </row>
    <row r="33" spans="1:14" x14ac:dyDescent="0.3">
      <c r="A33" s="190" t="s">
        <v>219</v>
      </c>
      <c r="B33" s="190"/>
      <c r="C33" s="190"/>
      <c r="D33" s="190"/>
      <c r="E33" s="190"/>
      <c r="F33" s="190"/>
      <c r="G33" s="190"/>
      <c r="H33" s="190"/>
      <c r="I33" s="190"/>
      <c r="J33" s="190"/>
      <c r="K33" s="190"/>
      <c r="L33" s="190"/>
      <c r="M33" s="190"/>
      <c r="N33" s="190"/>
    </row>
    <row r="34" spans="1:14" x14ac:dyDescent="0.3">
      <c r="A34" s="191" t="s">
        <v>250</v>
      </c>
      <c r="B34" s="191"/>
      <c r="C34" s="191"/>
      <c r="D34" s="191"/>
      <c r="E34" s="191"/>
      <c r="F34" s="191"/>
      <c r="G34" s="191"/>
      <c r="H34" s="191"/>
      <c r="I34" s="191"/>
      <c r="J34" s="191"/>
      <c r="K34" s="191"/>
      <c r="L34" s="191"/>
      <c r="M34" s="191"/>
      <c r="N34" s="191"/>
    </row>
  </sheetData>
  <mergeCells count="2">
    <mergeCell ref="A33:N33"/>
    <mergeCell ref="A34:N34"/>
  </mergeCells>
  <hyperlinks>
    <hyperlink ref="E4" r:id="rId1" display="https://www.amazon.fr/gp/product/B00Z08TZNU/ref=oh_aui_detailpage_o00_s00?ie=UTF8&amp;psc=1" xr:uid="{E203C33B-8804-4D36-899D-2C90D087752D}"/>
    <hyperlink ref="E5" r:id="rId2" display="https://www.amazon.de/gp/product/B017NIDXF0/ref=od_aui_detailpages00?ie=UTF8&amp;psc=1" xr:uid="{EFDA836C-8F28-49B4-8FC4-1F3201AC084C}"/>
    <hyperlink ref="E6" r:id="rId3" display="https://www.amazon.de/gp/product/B01N7SPYTW/ref=od_aui_detailpages00?ie=UTF8&amp;psc=1" xr:uid="{7B4BEA48-7B2C-4B9F-A145-45D5E74D6EAD}"/>
    <hyperlink ref="E8" r:id="rId4" display="https://www.amazon.de/gp/product/B073WV4T7K/ref=od_aui_detailpages00?ie=UTF8&amp;psc=1" xr:uid="{5B867280-22F3-4F38-8986-3F10E1B78C68}"/>
    <hyperlink ref="E10" r:id="rId5" display="https://www.amazon.de/gp/product/B003B0RIX8/ref=od_aui_detailpages00?ie=UTF8&amp;psc=1" xr:uid="{F67E471B-9B0B-4A40-9F45-714D2CA13CF9}"/>
    <hyperlink ref="E11" r:id="rId6" display="https://www.amazon.de/gp/product/B00AZKNPZC/ref=od_aui_detailpages00?ie=UTF8&amp;psc=1" xr:uid="{7236D283-542C-42B0-936B-EB1F5E983E6B}"/>
    <hyperlink ref="E12" r:id="rId7" display="https://www.amazon.de/gp/product/B00F35N0VI/ref=od_aui_detailpages00?ie=UTF8&amp;psc=1" xr:uid="{386BE793-7143-4FBA-A7D9-9F2601824621}"/>
    <hyperlink ref="E13" r:id="rId8" display="https://www.amazon.de/gp/product/B01HHLQRBK/ref=od_aui_detailpages00?ie=UTF8&amp;psc=1" xr:uid="{9604614D-A1B2-4B2F-A413-7FB13E9D0E24}"/>
    <hyperlink ref="E14" r:id="rId9" tooltip="10pcs Host Motherboard Power Cable Adapter Cord Computer Mainframe Replacement ON/OFF Switch Reset SW Cable Connector HY233" display="https://www.aliexpress.com/item/10pcs-Host-Motherboard-Power-Cable-Adapter-Cord-Computer-Mainframe-Replacement-ON-OFF-Switch-Reset-SW-Cable/32279513189.html" xr:uid="{47A20FCF-0DF7-42CD-862A-FCFB36AA67FF}"/>
    <hyperlink ref="E15" r:id="rId10" tooltip="10PCS/LOT 6 Pin Male To Female PCI express GPU Power Supply PSU GPU Extension Cable " display="https://www.aliexpress.com/item/10PCS-LOT-6-Pin-Male-To-Female-PCI-express-GPU-Power-Supply-PSU-GPU-Extension-Cable/32785660249.html" xr:uid="{EF727A8A-B8B0-4B57-9BB4-6ACE0224C881}"/>
    <hyperlink ref="E16" r:id="rId11" tooltip="4 Pin Molex Male to 4Pin Molex IDE Female Power Supply Splitter Adapter Cable Computer Power Cable For CPU cooling fan HDD cable" display="https://www.aliexpress.com/item/4-Pin-Molex-Male-to-4Pin-Molex-IDE-Female-Power-Supply-Splitter-Adapter-Cable-Computer-Power/32820844763.html" xr:uid="{23B02B49-761B-4404-A063-5C59E5306B7B}"/>
    <hyperlink ref="E19" r:id="rId12" display="https://www.amazon.de/gp/product/B014T3JRFM/ref=oh_aui_detailpage_o00_s00?ie=UTF8&amp;psc=1" xr:uid="{3A6F682B-006A-4975-BDA4-72724464EA75}"/>
    <hyperlink ref="E20" r:id="rId13" display="https://www.amazon.de/gp/product/B01M3VLLR7/ref=oh_aui_detailpage_o00_s00?ie=UTF8&amp;psc=1" xr:uid="{A5412895-A910-421C-ACF8-6C42F76740EC}"/>
    <hyperlink ref="E27" r:id="rId14" tooltip="4pcs 60cm GPU Power Extension Cable Cord 18AWG 8 Pin Male to Dual 8Pin(6+2) Male PCI-E Video Graphics Card Power Cable" display="https://www.aliexpress.com/item/4pcs-60cm-GPU-Power-Extension-Cable-Cord-18AWG-8-Pin-Male-to-Dual-8Pin-6-2/32846436955.html" xr:uid="{898C3379-2FB7-418B-B42D-CB2092CA5FD6}"/>
    <hyperlink ref="E28" r:id="rId15" tooltip="New 26cm 8 pin Female to dual PCI-E PCI Express 8pin ( 6+2 pin ) Male power cable wire For graphics card BTC Miner P15" display="https://www.aliexpress.com/item/New-26cm-8-pin-Female-to-dual-PCI-E-PCI-Express-8pin-6-2-pin-Male/32822715778.html" xr:uid="{F607F679-1338-4F0F-A849-2D4E11F2E86C}"/>
  </hyperlinks>
  <pageMargins left="0.7" right="0.7" top="0.75" bottom="0.75" header="0.3" footer="0.3"/>
  <pageSetup orientation="portrait" r:id="rId1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DFEA2-A747-4691-8BE0-71CD6DC083A3}">
  <sheetPr>
    <tabColor rgb="FFC00000"/>
  </sheetPr>
  <dimension ref="A1:I13"/>
  <sheetViews>
    <sheetView zoomScaleNormal="100" workbookViewId="0">
      <pane ySplit="2" topLeftCell="A3" activePane="bottomLeft" state="frozen"/>
      <selection pane="bottomLeft" activeCell="E38" sqref="E38"/>
    </sheetView>
  </sheetViews>
  <sheetFormatPr defaultRowHeight="14.4" x14ac:dyDescent="0.3"/>
  <cols>
    <col min="1" max="1" width="8.88671875" style="125"/>
    <col min="2" max="2" width="13.33203125" style="21" bestFit="1" customWidth="1"/>
    <col min="3" max="3" width="35" bestFit="1" customWidth="1"/>
    <col min="4" max="4" width="17.77734375" style="14" bestFit="1" customWidth="1"/>
    <col min="5" max="5" width="12.21875" style="14" bestFit="1" customWidth="1"/>
    <col min="6" max="6" width="16.77734375" style="14" bestFit="1" customWidth="1"/>
    <col min="7" max="7" width="12.109375" style="21" customWidth="1"/>
    <col min="8" max="8" width="13.33203125" bestFit="1" customWidth="1"/>
    <col min="9" max="9" width="12.88671875" bestFit="1" customWidth="1"/>
    <col min="12" max="12" width="12.33203125" bestFit="1" customWidth="1"/>
  </cols>
  <sheetData>
    <row r="1" spans="1:9" x14ac:dyDescent="0.3">
      <c r="A1" s="125" t="s">
        <v>218</v>
      </c>
      <c r="B1" s="19" t="s">
        <v>3</v>
      </c>
      <c r="C1" s="10" t="s">
        <v>79</v>
      </c>
      <c r="D1" s="15" t="s">
        <v>44</v>
      </c>
      <c r="E1" s="15" t="s">
        <v>223</v>
      </c>
      <c r="F1" s="15" t="s">
        <v>221</v>
      </c>
      <c r="G1" s="19" t="s">
        <v>81</v>
      </c>
      <c r="H1" s="10" t="s">
        <v>77</v>
      </c>
      <c r="I1" s="11" t="s">
        <v>9</v>
      </c>
    </row>
    <row r="2" spans="1:9" ht="15" thickBot="1" x14ac:dyDescent="0.35">
      <c r="B2" s="20"/>
      <c r="C2" s="12"/>
      <c r="D2" s="34">
        <f>SUM(D3:D44)</f>
        <v>5960</v>
      </c>
      <c r="E2" s="34"/>
      <c r="F2" s="34"/>
      <c r="G2" s="20"/>
      <c r="H2" s="12"/>
      <c r="I2" s="13"/>
    </row>
    <row r="3" spans="1:9" ht="15" thickTop="1" x14ac:dyDescent="0.3">
      <c r="A3" s="125">
        <v>1</v>
      </c>
      <c r="B3" s="2" t="s">
        <v>31</v>
      </c>
      <c r="C3" s="43" t="s">
        <v>229</v>
      </c>
      <c r="D3" s="7">
        <v>570</v>
      </c>
      <c r="E3" s="7">
        <v>570</v>
      </c>
      <c r="F3" s="7">
        <f>D3-E3</f>
        <v>0</v>
      </c>
      <c r="G3" s="3">
        <v>43148</v>
      </c>
      <c r="H3" s="3">
        <v>43148</v>
      </c>
      <c r="I3" s="2" t="s">
        <v>29</v>
      </c>
    </row>
    <row r="4" spans="1:9" x14ac:dyDescent="0.3">
      <c r="A4" s="125">
        <v>2</v>
      </c>
      <c r="B4" s="2" t="s">
        <v>31</v>
      </c>
      <c r="C4" s="2" t="s">
        <v>230</v>
      </c>
      <c r="D4" s="7">
        <v>1175</v>
      </c>
      <c r="E4" s="7">
        <v>1175</v>
      </c>
      <c r="F4" s="7">
        <f t="shared" ref="F4:F12" si="0">D4-E4</f>
        <v>0</v>
      </c>
      <c r="G4" s="23"/>
      <c r="H4" s="2"/>
      <c r="I4" s="2" t="s">
        <v>29</v>
      </c>
    </row>
    <row r="5" spans="1:9" x14ac:dyDescent="0.3">
      <c r="A5" s="125">
        <v>3</v>
      </c>
      <c r="B5" s="2" t="s">
        <v>31</v>
      </c>
      <c r="C5" s="2" t="s">
        <v>231</v>
      </c>
      <c r="D5" s="7">
        <v>1452</v>
      </c>
      <c r="E5" s="7">
        <v>1452</v>
      </c>
      <c r="F5" s="7">
        <f t="shared" si="0"/>
        <v>0</v>
      </c>
      <c r="G5" s="3">
        <v>43140</v>
      </c>
      <c r="H5" s="3">
        <v>43140</v>
      </c>
      <c r="I5" s="2" t="s">
        <v>29</v>
      </c>
    </row>
    <row r="6" spans="1:9" x14ac:dyDescent="0.3">
      <c r="A6" s="125">
        <v>4</v>
      </c>
      <c r="B6" s="2" t="s">
        <v>31</v>
      </c>
      <c r="C6" s="2" t="s">
        <v>232</v>
      </c>
      <c r="D6" s="7">
        <v>655</v>
      </c>
      <c r="E6" s="7">
        <v>655</v>
      </c>
      <c r="F6" s="7">
        <f t="shared" si="0"/>
        <v>0</v>
      </c>
      <c r="G6" s="3">
        <v>43140</v>
      </c>
      <c r="H6" s="3">
        <v>43140</v>
      </c>
      <c r="I6" s="2" t="s">
        <v>29</v>
      </c>
    </row>
    <row r="7" spans="1:9" x14ac:dyDescent="0.3">
      <c r="A7" s="125">
        <v>5</v>
      </c>
      <c r="B7" s="2" t="s">
        <v>31</v>
      </c>
      <c r="C7" s="2" t="s">
        <v>233</v>
      </c>
      <c r="D7" s="7">
        <v>380</v>
      </c>
      <c r="E7" s="7">
        <v>380</v>
      </c>
      <c r="F7" s="7">
        <f t="shared" si="0"/>
        <v>0</v>
      </c>
      <c r="G7" s="3">
        <v>43140</v>
      </c>
      <c r="H7" s="3">
        <v>43140</v>
      </c>
      <c r="I7" s="2" t="s">
        <v>29</v>
      </c>
    </row>
    <row r="8" spans="1:9" x14ac:dyDescent="0.3">
      <c r="A8" s="125">
        <v>6</v>
      </c>
      <c r="B8" s="2" t="s">
        <v>31</v>
      </c>
      <c r="C8" s="2" t="s">
        <v>234</v>
      </c>
      <c r="D8" s="7">
        <v>261</v>
      </c>
      <c r="E8" s="7">
        <v>261</v>
      </c>
      <c r="F8" s="7">
        <f t="shared" si="0"/>
        <v>0</v>
      </c>
      <c r="G8" s="3">
        <v>43182</v>
      </c>
      <c r="H8" s="2"/>
      <c r="I8" s="2" t="s">
        <v>29</v>
      </c>
    </row>
    <row r="9" spans="1:9" x14ac:dyDescent="0.3">
      <c r="A9" s="125">
        <v>7</v>
      </c>
      <c r="B9" s="2" t="s">
        <v>31</v>
      </c>
      <c r="C9" s="2" t="s">
        <v>235</v>
      </c>
      <c r="D9" s="7">
        <v>37</v>
      </c>
      <c r="E9" s="7">
        <v>37</v>
      </c>
      <c r="F9" s="7">
        <f t="shared" si="0"/>
        <v>0</v>
      </c>
      <c r="G9" s="3">
        <v>43181</v>
      </c>
      <c r="H9" s="3">
        <v>43181</v>
      </c>
      <c r="I9" s="2" t="s">
        <v>29</v>
      </c>
    </row>
    <row r="10" spans="1:9" x14ac:dyDescent="0.3">
      <c r="A10" s="125">
        <v>8</v>
      </c>
      <c r="B10" s="2" t="s">
        <v>31</v>
      </c>
      <c r="C10" s="2" t="s">
        <v>236</v>
      </c>
      <c r="D10" s="7">
        <v>1350</v>
      </c>
      <c r="E10" s="7">
        <v>1350</v>
      </c>
      <c r="F10" s="7">
        <f t="shared" si="0"/>
        <v>0</v>
      </c>
      <c r="G10" s="3">
        <v>43221</v>
      </c>
      <c r="H10" s="3">
        <v>43221</v>
      </c>
      <c r="I10" s="2" t="s">
        <v>29</v>
      </c>
    </row>
    <row r="11" spans="1:9" x14ac:dyDescent="0.3">
      <c r="A11" s="125">
        <v>9</v>
      </c>
      <c r="B11" s="2" t="s">
        <v>31</v>
      </c>
      <c r="C11" s="2" t="s">
        <v>237</v>
      </c>
      <c r="D11" s="7">
        <v>40</v>
      </c>
      <c r="E11" s="7">
        <v>40</v>
      </c>
      <c r="F11" s="7">
        <f t="shared" si="0"/>
        <v>0</v>
      </c>
      <c r="G11" s="3">
        <v>43313</v>
      </c>
      <c r="H11" s="3">
        <v>43313</v>
      </c>
      <c r="I11" s="2" t="s">
        <v>29</v>
      </c>
    </row>
    <row r="12" spans="1:9" s="125" customFormat="1" x14ac:dyDescent="0.3">
      <c r="A12" s="125">
        <v>10</v>
      </c>
      <c r="B12" s="2" t="s">
        <v>31</v>
      </c>
      <c r="C12" s="2" t="s">
        <v>238</v>
      </c>
      <c r="D12" s="7">
        <v>40</v>
      </c>
      <c r="E12" s="7">
        <v>40</v>
      </c>
      <c r="F12" s="7">
        <f t="shared" si="0"/>
        <v>0</v>
      </c>
      <c r="G12" s="3">
        <v>43313</v>
      </c>
      <c r="H12" s="3">
        <v>43313</v>
      </c>
      <c r="I12" s="2" t="s">
        <v>29</v>
      </c>
    </row>
    <row r="13" spans="1:9" ht="43.2" x14ac:dyDescent="0.3">
      <c r="B13" s="166"/>
      <c r="C13" s="166"/>
      <c r="D13" s="166"/>
      <c r="E13" s="166"/>
      <c r="F13" s="173" t="s">
        <v>224</v>
      </c>
      <c r="G13" s="166"/>
      <c r="H13" s="166"/>
      <c r="I13" s="166"/>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1C47B-48AC-4F93-8B39-6607CE0B89E4}">
  <sheetPr>
    <tabColor rgb="FFC00000"/>
  </sheetPr>
  <dimension ref="A1:H13"/>
  <sheetViews>
    <sheetView workbookViewId="0">
      <pane ySplit="2" topLeftCell="A3" activePane="bottomLeft" state="frozen"/>
      <selection pane="bottomLeft" activeCell="M38" sqref="M38:M39"/>
    </sheetView>
  </sheetViews>
  <sheetFormatPr defaultRowHeight="14.4" x14ac:dyDescent="0.3"/>
  <cols>
    <col min="1" max="1" width="8.88671875" style="125"/>
    <col min="2" max="2" width="14.109375" style="14" bestFit="1" customWidth="1"/>
    <col min="3" max="3" width="35" style="125" bestFit="1" customWidth="1"/>
    <col min="4" max="4" width="17.77734375" style="14" bestFit="1" customWidth="1"/>
    <col min="5" max="5" width="10.77734375" style="14" bestFit="1" customWidth="1"/>
    <col min="6" max="6" width="16.77734375" style="14" bestFit="1" customWidth="1"/>
    <col min="7" max="7" width="13.33203125" bestFit="1" customWidth="1"/>
    <col min="8" max="8" width="10.33203125" bestFit="1" customWidth="1"/>
  </cols>
  <sheetData>
    <row r="1" spans="1:8" x14ac:dyDescent="0.3">
      <c r="A1" s="125" t="s">
        <v>218</v>
      </c>
      <c r="B1" s="15" t="s">
        <v>3</v>
      </c>
      <c r="C1" s="10" t="s">
        <v>79</v>
      </c>
      <c r="D1" s="15" t="s">
        <v>44</v>
      </c>
      <c r="E1" s="27" t="s">
        <v>223</v>
      </c>
      <c r="F1" s="15" t="s">
        <v>221</v>
      </c>
      <c r="G1" s="10" t="s">
        <v>77</v>
      </c>
      <c r="H1" s="11" t="s">
        <v>9</v>
      </c>
    </row>
    <row r="2" spans="1:8" ht="15" thickBot="1" x14ac:dyDescent="0.35">
      <c r="B2" s="17"/>
      <c r="C2" s="12"/>
      <c r="D2" s="34">
        <f>SUM(D3:D34)</f>
        <v>2390</v>
      </c>
      <c r="E2" s="34"/>
      <c r="F2" s="34"/>
      <c r="G2" s="16"/>
    </row>
    <row r="3" spans="1:8" ht="15" thickTop="1" x14ac:dyDescent="0.3">
      <c r="A3" s="125">
        <v>1</v>
      </c>
      <c r="B3" s="2" t="s">
        <v>11</v>
      </c>
      <c r="C3" s="43" t="s">
        <v>228</v>
      </c>
      <c r="D3" s="7">
        <v>400</v>
      </c>
      <c r="E3" s="7">
        <v>400</v>
      </c>
      <c r="F3" s="7">
        <f>D3-E3</f>
        <v>0</v>
      </c>
      <c r="G3" s="3">
        <v>43133</v>
      </c>
      <c r="H3" s="2" t="s">
        <v>78</v>
      </c>
    </row>
    <row r="4" spans="1:8" x14ac:dyDescent="0.3">
      <c r="A4" s="125">
        <v>2</v>
      </c>
      <c r="B4" s="2" t="s">
        <v>11</v>
      </c>
      <c r="C4" s="43" t="s">
        <v>228</v>
      </c>
      <c r="D4" s="7">
        <v>250</v>
      </c>
      <c r="E4" s="7">
        <v>250</v>
      </c>
      <c r="F4" s="7">
        <f t="shared" ref="F4:F12" si="0">D4-E4</f>
        <v>0</v>
      </c>
      <c r="G4" s="3">
        <v>43133</v>
      </c>
      <c r="H4" s="2" t="s">
        <v>78</v>
      </c>
    </row>
    <row r="5" spans="1:8" x14ac:dyDescent="0.3">
      <c r="A5" s="125">
        <v>3</v>
      </c>
      <c r="B5" s="2" t="s">
        <v>11</v>
      </c>
      <c r="C5" s="43" t="s">
        <v>228</v>
      </c>
      <c r="D5" s="7">
        <v>450</v>
      </c>
      <c r="E5" s="7">
        <v>450</v>
      </c>
      <c r="F5" s="7">
        <f t="shared" si="0"/>
        <v>0</v>
      </c>
      <c r="G5" s="3">
        <v>43140</v>
      </c>
      <c r="H5" s="2" t="s">
        <v>78</v>
      </c>
    </row>
    <row r="6" spans="1:8" x14ac:dyDescent="0.3">
      <c r="A6" s="125">
        <v>4</v>
      </c>
      <c r="B6" s="2" t="s">
        <v>11</v>
      </c>
      <c r="C6" s="43" t="s">
        <v>228</v>
      </c>
      <c r="D6" s="7">
        <v>450</v>
      </c>
      <c r="E6" s="7">
        <v>450</v>
      </c>
      <c r="F6" s="7">
        <f t="shared" si="0"/>
        <v>0</v>
      </c>
      <c r="G6" s="3">
        <v>43148</v>
      </c>
      <c r="H6" s="6" t="s">
        <v>78</v>
      </c>
    </row>
    <row r="7" spans="1:8" x14ac:dyDescent="0.3">
      <c r="A7" s="125">
        <v>5</v>
      </c>
      <c r="B7" s="2" t="s">
        <v>11</v>
      </c>
      <c r="C7" s="2" t="s">
        <v>131</v>
      </c>
      <c r="D7" s="7">
        <v>90</v>
      </c>
      <c r="E7" s="7">
        <v>90</v>
      </c>
      <c r="F7" s="7">
        <f t="shared" si="0"/>
        <v>0</v>
      </c>
      <c r="G7" s="3">
        <v>43147</v>
      </c>
      <c r="H7" s="6" t="s">
        <v>78</v>
      </c>
    </row>
    <row r="8" spans="1:8" x14ac:dyDescent="0.3">
      <c r="A8" s="125">
        <v>6</v>
      </c>
      <c r="B8" s="2" t="s">
        <v>11</v>
      </c>
      <c r="C8" s="2" t="s">
        <v>131</v>
      </c>
      <c r="D8" s="7">
        <v>30</v>
      </c>
      <c r="E8" s="7">
        <v>30</v>
      </c>
      <c r="F8" s="7">
        <f t="shared" si="0"/>
        <v>0</v>
      </c>
      <c r="G8" s="3">
        <v>43153</v>
      </c>
      <c r="H8" s="6" t="s">
        <v>78</v>
      </c>
    </row>
    <row r="9" spans="1:8" x14ac:dyDescent="0.3">
      <c r="A9" s="125">
        <v>7</v>
      </c>
      <c r="B9" s="2" t="s">
        <v>11</v>
      </c>
      <c r="C9" s="43" t="s">
        <v>228</v>
      </c>
      <c r="D9" s="7">
        <v>330</v>
      </c>
      <c r="E9" s="7">
        <v>330</v>
      </c>
      <c r="F9" s="7">
        <f t="shared" si="0"/>
        <v>0</v>
      </c>
      <c r="G9" s="3">
        <v>43148</v>
      </c>
      <c r="H9" s="6" t="s">
        <v>78</v>
      </c>
    </row>
    <row r="10" spans="1:8" x14ac:dyDescent="0.3">
      <c r="A10" s="125">
        <v>8</v>
      </c>
      <c r="B10" s="2" t="s">
        <v>11</v>
      </c>
      <c r="C10" s="2" t="s">
        <v>131</v>
      </c>
      <c r="D10" s="7">
        <v>60</v>
      </c>
      <c r="E10" s="7">
        <v>60</v>
      </c>
      <c r="F10" s="7">
        <f t="shared" si="0"/>
        <v>0</v>
      </c>
      <c r="G10" s="3">
        <v>43166</v>
      </c>
      <c r="H10" s="6" t="s">
        <v>78</v>
      </c>
    </row>
    <row r="11" spans="1:8" x14ac:dyDescent="0.3">
      <c r="A11" s="125">
        <v>9</v>
      </c>
      <c r="B11" s="2" t="s">
        <v>11</v>
      </c>
      <c r="C11" s="43" t="s">
        <v>228</v>
      </c>
      <c r="D11" s="7">
        <v>180</v>
      </c>
      <c r="E11" s="7">
        <v>180</v>
      </c>
      <c r="F11" s="7">
        <f t="shared" si="0"/>
        <v>0</v>
      </c>
      <c r="G11" s="3">
        <v>43168</v>
      </c>
      <c r="H11" s="6" t="s">
        <v>78</v>
      </c>
    </row>
    <row r="12" spans="1:8" x14ac:dyDescent="0.3">
      <c r="A12" s="125">
        <v>10</v>
      </c>
      <c r="B12" s="2" t="s">
        <v>11</v>
      </c>
      <c r="C12" s="43" t="s">
        <v>228</v>
      </c>
      <c r="D12" s="7">
        <v>150</v>
      </c>
      <c r="E12" s="7">
        <v>150</v>
      </c>
      <c r="F12" s="7">
        <f t="shared" si="0"/>
        <v>0</v>
      </c>
      <c r="G12" s="85">
        <v>43221</v>
      </c>
      <c r="H12" s="6" t="s">
        <v>78</v>
      </c>
    </row>
    <row r="13" spans="1:8" ht="43.2" x14ac:dyDescent="0.3">
      <c r="C13" s="166"/>
      <c r="F13" s="173" t="s">
        <v>224</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042A-FCBE-4D97-94DE-ADFD171EDD45}">
  <sheetPr>
    <tabColor rgb="FFC00000"/>
  </sheetPr>
  <dimension ref="A1:J23"/>
  <sheetViews>
    <sheetView tabSelected="1" workbookViewId="0">
      <pane ySplit="2" topLeftCell="A3" activePane="bottomLeft" state="frozen"/>
      <selection pane="bottomLeft" activeCell="L11" sqref="L11"/>
    </sheetView>
  </sheetViews>
  <sheetFormatPr defaultRowHeight="14.4" x14ac:dyDescent="0.3"/>
  <cols>
    <col min="1" max="1" width="8.88671875" style="125"/>
    <col min="2" max="2" width="13.33203125" bestFit="1" customWidth="1"/>
    <col min="3" max="3" width="13.33203125" style="125" customWidth="1"/>
    <col min="4" max="4" width="9.88671875" bestFit="1" customWidth="1"/>
    <col min="5" max="5" width="16.21875" style="14" bestFit="1" customWidth="1"/>
    <col min="6" max="6" width="11.88671875" style="14" bestFit="1" customWidth="1"/>
    <col min="7" max="7" width="15.21875" style="14" bestFit="1" customWidth="1"/>
    <col min="8" max="8" width="19.88671875" bestFit="1" customWidth="1"/>
    <col min="9" max="9" width="20.44140625" style="47" bestFit="1" customWidth="1"/>
  </cols>
  <sheetData>
    <row r="1" spans="1:10" x14ac:dyDescent="0.3">
      <c r="A1" s="125" t="s">
        <v>218</v>
      </c>
      <c r="B1" s="4" t="s">
        <v>3</v>
      </c>
      <c r="C1" s="4" t="s">
        <v>79</v>
      </c>
      <c r="D1" s="4" t="s">
        <v>96</v>
      </c>
      <c r="E1" s="27" t="s">
        <v>222</v>
      </c>
      <c r="F1" s="27" t="s">
        <v>223</v>
      </c>
      <c r="G1" s="27" t="s">
        <v>221</v>
      </c>
      <c r="H1" s="4" t="s">
        <v>90</v>
      </c>
      <c r="I1" s="46"/>
      <c r="J1" s="4" t="s">
        <v>225</v>
      </c>
    </row>
    <row r="2" spans="1:10" ht="15" thickBot="1" x14ac:dyDescent="0.35">
      <c r="B2" s="4"/>
      <c r="C2" s="4"/>
      <c r="D2" s="4"/>
      <c r="E2" s="34">
        <f>SUM(E4:E49)</f>
        <v>12487.543624161073</v>
      </c>
      <c r="F2" s="34"/>
      <c r="G2" s="34"/>
      <c r="H2" s="4"/>
    </row>
    <row r="3" spans="1:10" s="125" customFormat="1" ht="15.6" thickTop="1" thickBot="1" x14ac:dyDescent="0.35">
      <c r="B3" s="4"/>
      <c r="C3" s="4"/>
      <c r="D3" s="174">
        <v>43101</v>
      </c>
      <c r="E3" s="34"/>
      <c r="F3" s="34"/>
      <c r="G3" s="34"/>
      <c r="H3" s="4"/>
      <c r="I3" s="47"/>
    </row>
    <row r="4" spans="1:10" ht="15" thickTop="1" x14ac:dyDescent="0.3">
      <c r="A4" s="125">
        <v>1</v>
      </c>
      <c r="B4" s="2" t="s">
        <v>31</v>
      </c>
      <c r="C4" s="2" t="s">
        <v>239</v>
      </c>
      <c r="D4" s="3">
        <v>43159</v>
      </c>
      <c r="E4" s="7">
        <v>554</v>
      </c>
      <c r="F4" s="7">
        <v>554</v>
      </c>
      <c r="G4" s="7">
        <f>E4-F4</f>
        <v>0</v>
      </c>
      <c r="H4" s="48">
        <v>2</v>
      </c>
      <c r="I4" s="48">
        <v>1500</v>
      </c>
      <c r="J4" s="2">
        <f>I4/H4</f>
        <v>750</v>
      </c>
    </row>
    <row r="5" spans="1:10" x14ac:dyDescent="0.3">
      <c r="A5" s="125">
        <v>2</v>
      </c>
      <c r="B5" s="2" t="s">
        <v>31</v>
      </c>
      <c r="C5" s="2" t="s">
        <v>239</v>
      </c>
      <c r="D5" s="3">
        <v>43189</v>
      </c>
      <c r="E5" s="7">
        <v>1994</v>
      </c>
      <c r="F5" s="7">
        <v>1994</v>
      </c>
      <c r="G5" s="7">
        <f t="shared" ref="G5:G15" si="0">E5-F5</f>
        <v>0</v>
      </c>
      <c r="H5" s="48">
        <v>2</v>
      </c>
      <c r="I5" s="48">
        <v>5400</v>
      </c>
      <c r="J5" s="2">
        <f t="shared" ref="J5:J15" si="1">I5/H5</f>
        <v>2700</v>
      </c>
    </row>
    <row r="6" spans="1:10" x14ac:dyDescent="0.3">
      <c r="A6" s="125">
        <v>3</v>
      </c>
      <c r="B6" s="2" t="s">
        <v>11</v>
      </c>
      <c r="C6" s="2" t="s">
        <v>240</v>
      </c>
      <c r="D6" s="3">
        <v>43208</v>
      </c>
      <c r="E6" s="7">
        <v>76</v>
      </c>
      <c r="F6" s="7">
        <v>76</v>
      </c>
      <c r="G6" s="7">
        <f t="shared" si="0"/>
        <v>0</v>
      </c>
      <c r="H6" s="2"/>
      <c r="I6" s="48"/>
      <c r="J6" s="2"/>
    </row>
    <row r="7" spans="1:10" x14ac:dyDescent="0.3">
      <c r="A7" s="125">
        <v>4</v>
      </c>
      <c r="B7" s="2" t="s">
        <v>11</v>
      </c>
      <c r="C7" s="2" t="s">
        <v>240</v>
      </c>
      <c r="D7" s="3">
        <v>43240</v>
      </c>
      <c r="E7" s="7">
        <v>76</v>
      </c>
      <c r="F7" s="7">
        <v>76</v>
      </c>
      <c r="G7" s="7">
        <f t="shared" si="0"/>
        <v>0</v>
      </c>
      <c r="H7" s="2"/>
      <c r="I7" s="48"/>
      <c r="J7" s="2"/>
    </row>
    <row r="8" spans="1:10" x14ac:dyDescent="0.3">
      <c r="A8" s="125">
        <v>5</v>
      </c>
      <c r="B8" s="2" t="s">
        <v>31</v>
      </c>
      <c r="C8" s="2" t="s">
        <v>239</v>
      </c>
      <c r="D8" s="3">
        <v>43250</v>
      </c>
      <c r="E8" s="7">
        <v>2656</v>
      </c>
      <c r="F8" s="7">
        <v>2656</v>
      </c>
      <c r="G8" s="7">
        <f t="shared" si="0"/>
        <v>0</v>
      </c>
      <c r="H8" s="48">
        <v>2</v>
      </c>
      <c r="I8" s="48">
        <v>7000</v>
      </c>
      <c r="J8" s="2">
        <f t="shared" si="1"/>
        <v>3500</v>
      </c>
    </row>
    <row r="9" spans="1:10" x14ac:dyDescent="0.3">
      <c r="A9" s="125">
        <v>6</v>
      </c>
      <c r="B9" s="2" t="s">
        <v>11</v>
      </c>
      <c r="C9" s="2" t="s">
        <v>240</v>
      </c>
      <c r="D9" s="3">
        <v>43272</v>
      </c>
      <c r="E9" s="7">
        <v>76</v>
      </c>
      <c r="F9" s="7">
        <v>76</v>
      </c>
      <c r="G9" s="7">
        <f t="shared" si="0"/>
        <v>0</v>
      </c>
      <c r="H9" s="2"/>
      <c r="I9" s="48"/>
      <c r="J9" s="2"/>
    </row>
    <row r="10" spans="1:10" x14ac:dyDescent="0.3">
      <c r="A10" s="125">
        <v>7</v>
      </c>
      <c r="B10" s="2" t="s">
        <v>11</v>
      </c>
      <c r="C10" s="2" t="s">
        <v>240</v>
      </c>
      <c r="D10" s="3">
        <v>43312</v>
      </c>
      <c r="E10" s="7">
        <v>230</v>
      </c>
      <c r="F10" s="7">
        <v>230</v>
      </c>
      <c r="G10" s="7">
        <f t="shared" si="0"/>
        <v>0</v>
      </c>
      <c r="H10" s="2"/>
      <c r="I10" s="48"/>
      <c r="J10" s="2"/>
    </row>
    <row r="11" spans="1:10" x14ac:dyDescent="0.3">
      <c r="A11" s="125">
        <v>8</v>
      </c>
      <c r="B11" s="2" t="s">
        <v>31</v>
      </c>
      <c r="C11" s="2" t="s">
        <v>239</v>
      </c>
      <c r="D11" s="3">
        <v>43312</v>
      </c>
      <c r="E11" s="7">
        <v>2030</v>
      </c>
      <c r="F11" s="7">
        <v>2030</v>
      </c>
      <c r="G11" s="7">
        <f t="shared" si="0"/>
        <v>0</v>
      </c>
      <c r="H11" s="48">
        <v>2</v>
      </c>
      <c r="I11" s="48">
        <v>5073</v>
      </c>
      <c r="J11" s="2">
        <f t="shared" si="1"/>
        <v>2536.5</v>
      </c>
    </row>
    <row r="12" spans="1:10" s="125" customFormat="1" x14ac:dyDescent="0.3">
      <c r="B12" s="2"/>
      <c r="C12" s="2"/>
      <c r="D12" s="3">
        <v>43313</v>
      </c>
      <c r="E12" s="7"/>
      <c r="F12" s="7"/>
      <c r="G12" s="7"/>
      <c r="H12" s="48"/>
      <c r="I12" s="48"/>
      <c r="J12" s="2"/>
    </row>
    <row r="13" spans="1:10" x14ac:dyDescent="0.3">
      <c r="A13" s="125">
        <v>9</v>
      </c>
      <c r="B13" s="2" t="s">
        <v>31</v>
      </c>
      <c r="C13" s="2" t="s">
        <v>239</v>
      </c>
      <c r="D13" s="3">
        <v>43373</v>
      </c>
      <c r="E13" s="7">
        <v>2381.5436241610737</v>
      </c>
      <c r="F13" s="7">
        <v>2381.5436241610737</v>
      </c>
      <c r="G13" s="7">
        <f t="shared" si="0"/>
        <v>0</v>
      </c>
      <c r="H13" s="48">
        <v>1.9</v>
      </c>
      <c r="I13" s="48">
        <v>7097</v>
      </c>
      <c r="J13" s="2">
        <f t="shared" si="1"/>
        <v>3735.2631578947371</v>
      </c>
    </row>
    <row r="14" spans="1:10" x14ac:dyDescent="0.3">
      <c r="A14" s="125">
        <v>10</v>
      </c>
      <c r="B14" s="2" t="s">
        <v>11</v>
      </c>
      <c r="C14" s="2" t="s">
        <v>240</v>
      </c>
      <c r="D14" s="3">
        <v>43374</v>
      </c>
      <c r="E14" s="7">
        <v>76</v>
      </c>
      <c r="F14" s="7"/>
      <c r="G14" s="7">
        <f t="shared" si="0"/>
        <v>76</v>
      </c>
      <c r="H14" s="2"/>
      <c r="I14" s="48"/>
      <c r="J14" s="2"/>
    </row>
    <row r="15" spans="1:10" x14ac:dyDescent="0.3">
      <c r="A15" s="125">
        <v>11</v>
      </c>
      <c r="B15" s="2" t="s">
        <v>31</v>
      </c>
      <c r="C15" s="2" t="s">
        <v>239</v>
      </c>
      <c r="D15" s="3">
        <v>43406</v>
      </c>
      <c r="E15" s="7">
        <v>2338</v>
      </c>
      <c r="F15" s="7"/>
      <c r="G15" s="7">
        <f t="shared" si="0"/>
        <v>2338</v>
      </c>
      <c r="H15" s="2">
        <v>1.79</v>
      </c>
      <c r="I15" s="48">
        <v>6961</v>
      </c>
      <c r="J15" s="2">
        <f t="shared" si="1"/>
        <v>3888.8268156424579</v>
      </c>
    </row>
    <row r="16" spans="1:10" ht="43.2" x14ac:dyDescent="0.3">
      <c r="G16" s="173" t="s">
        <v>224</v>
      </c>
      <c r="I16" s="47" t="s">
        <v>226</v>
      </c>
      <c r="J16">
        <f>SUM(J4:J15)/COUNT(J4:J15)</f>
        <v>2851.7649955895322</v>
      </c>
    </row>
    <row r="17" spans="8:10" x14ac:dyDescent="0.3">
      <c r="I17" s="47" t="s">
        <v>227</v>
      </c>
      <c r="J17" s="125">
        <f>SUM(I4:I15)/COUNT(I4:I15)</f>
        <v>5505.166666666667</v>
      </c>
    </row>
    <row r="18" spans="8:10" ht="14.4" customHeight="1" x14ac:dyDescent="0.3"/>
    <row r="19" spans="8:10" ht="14.4" customHeight="1" x14ac:dyDescent="0.3"/>
    <row r="20" spans="8:10" ht="14.4" customHeight="1" x14ac:dyDescent="0.3"/>
    <row r="21" spans="8:10" ht="14.4" customHeight="1" x14ac:dyDescent="0.3">
      <c r="H21">
        <f>7694.41-733</f>
        <v>6961.41</v>
      </c>
    </row>
    <row r="22" spans="8:10" ht="14.4" customHeight="1" x14ac:dyDescent="0.3"/>
    <row r="23" spans="8:10" ht="14.4" customHeight="1" x14ac:dyDescent="0.3"/>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3CB92-19C5-4A55-95BA-6F4B70515AFA}">
  <sheetPr>
    <tabColor theme="9"/>
  </sheetPr>
  <dimension ref="A1:H15"/>
  <sheetViews>
    <sheetView workbookViewId="0">
      <pane ySplit="1" topLeftCell="A2" activePane="bottomLeft" state="frozen"/>
      <selection pane="bottomLeft" activeCell="F14" sqref="F14"/>
    </sheetView>
  </sheetViews>
  <sheetFormatPr defaultRowHeight="14.4" x14ac:dyDescent="0.3"/>
  <cols>
    <col min="1" max="1" width="18.6640625" bestFit="1" customWidth="1"/>
    <col min="2" max="2" width="20.33203125" bestFit="1" customWidth="1"/>
    <col min="3" max="3" width="12.88671875" bestFit="1" customWidth="1"/>
    <col min="4" max="4" width="14.33203125" bestFit="1" customWidth="1"/>
    <col min="5" max="5" width="12.109375" bestFit="1" customWidth="1"/>
    <col min="6" max="6" width="11.88671875" customWidth="1"/>
    <col min="7" max="7" width="13.33203125" style="14" bestFit="1" customWidth="1"/>
    <col min="8" max="8" width="13.88671875" bestFit="1" customWidth="1"/>
  </cols>
  <sheetData>
    <row r="1" spans="1:8" ht="15" thickBot="1" x14ac:dyDescent="0.35">
      <c r="A1" s="59" t="s">
        <v>107</v>
      </c>
      <c r="B1" s="98" t="s">
        <v>146</v>
      </c>
      <c r="C1" s="98" t="s">
        <v>102</v>
      </c>
      <c r="D1" s="98" t="s">
        <v>103</v>
      </c>
      <c r="E1" s="98" t="s">
        <v>105</v>
      </c>
      <c r="F1" s="98" t="s">
        <v>106</v>
      </c>
      <c r="G1" s="99" t="s">
        <v>104</v>
      </c>
      <c r="H1" s="32" t="s">
        <v>108</v>
      </c>
    </row>
    <row r="2" spans="1:8" ht="15.6" thickTop="1" thickBot="1" x14ac:dyDescent="0.35">
      <c r="A2" s="100" t="s">
        <v>121</v>
      </c>
      <c r="B2" s="108">
        <v>1.7413930000000001E-2</v>
      </c>
      <c r="C2" s="109">
        <v>1.7413930000000002E-3</v>
      </c>
      <c r="D2" s="109">
        <v>1.5672537E-2</v>
      </c>
      <c r="E2" s="110">
        <v>0</v>
      </c>
      <c r="F2" s="109">
        <v>0</v>
      </c>
      <c r="G2" s="164">
        <v>0</v>
      </c>
      <c r="H2" s="33">
        <v>0</v>
      </c>
    </row>
    <row r="3" spans="1:8" ht="14.4" customHeight="1" thickTop="1" thickBot="1" x14ac:dyDescent="0.35">
      <c r="A3" s="100" t="s">
        <v>110</v>
      </c>
      <c r="B3" s="109">
        <v>0</v>
      </c>
      <c r="C3" s="109">
        <v>0</v>
      </c>
      <c r="D3" s="109">
        <v>0</v>
      </c>
      <c r="E3" s="110">
        <v>0</v>
      </c>
      <c r="F3" s="109">
        <v>0</v>
      </c>
      <c r="G3" s="164">
        <v>0</v>
      </c>
      <c r="H3" s="33">
        <v>0</v>
      </c>
    </row>
    <row r="4" spans="1:8" ht="14.4" customHeight="1" thickTop="1" thickBot="1" x14ac:dyDescent="0.35">
      <c r="A4" s="100" t="s">
        <v>111</v>
      </c>
      <c r="B4" s="109">
        <v>0</v>
      </c>
      <c r="C4" s="109">
        <v>0</v>
      </c>
      <c r="D4" s="109">
        <v>0</v>
      </c>
      <c r="E4" s="110">
        <v>0</v>
      </c>
      <c r="F4" s="109">
        <v>0</v>
      </c>
      <c r="G4" s="164">
        <v>0</v>
      </c>
      <c r="H4" s="33">
        <v>0</v>
      </c>
    </row>
    <row r="5" spans="1:8" ht="14.4" customHeight="1" thickTop="1" thickBot="1" x14ac:dyDescent="0.35">
      <c r="A5" s="100" t="s">
        <v>112</v>
      </c>
      <c r="B5" s="108">
        <v>0.30635651000000003</v>
      </c>
      <c r="C5" s="109">
        <v>3.0635651000000003E-2</v>
      </c>
      <c r="D5" s="109">
        <v>0.27572085900000004</v>
      </c>
      <c r="E5" s="110">
        <v>9493</v>
      </c>
      <c r="F5" s="109">
        <v>0.16997019031182448</v>
      </c>
      <c r="G5" s="164">
        <v>55850.97</v>
      </c>
      <c r="H5" s="33">
        <v>0.10575066868817556</v>
      </c>
    </row>
    <row r="6" spans="1:8" ht="14.4" customHeight="1" thickTop="1" thickBot="1" x14ac:dyDescent="0.35">
      <c r="A6" s="100" t="s">
        <v>113</v>
      </c>
      <c r="B6" s="108">
        <v>0.14365518999999999</v>
      </c>
      <c r="C6" s="109">
        <v>1.4365519E-2</v>
      </c>
      <c r="D6" s="109">
        <v>0.12928967099999999</v>
      </c>
      <c r="E6" s="110">
        <v>4133</v>
      </c>
      <c r="F6" s="109">
        <v>8.6883274328525564E-2</v>
      </c>
      <c r="G6" s="164">
        <v>47569.57</v>
      </c>
      <c r="H6" s="33">
        <v>4.2406396671474431E-2</v>
      </c>
    </row>
    <row r="7" spans="1:8" ht="14.4" customHeight="1" thickTop="1" thickBot="1" x14ac:dyDescent="0.35">
      <c r="A7" s="100" t="s">
        <v>114</v>
      </c>
      <c r="B7" s="108">
        <v>0.16405243999999999</v>
      </c>
      <c r="C7" s="109">
        <v>1.6405243999999999E-2</v>
      </c>
      <c r="D7" s="109">
        <v>0.14764719599999998</v>
      </c>
      <c r="E7" s="110" t="s">
        <v>142</v>
      </c>
      <c r="F7" s="108" t="s">
        <v>142</v>
      </c>
      <c r="G7" s="164">
        <v>40286.6</v>
      </c>
      <c r="H7" s="33">
        <f>D7</f>
        <v>0.14764719599999998</v>
      </c>
    </row>
    <row r="8" spans="1:8" ht="15.6" thickTop="1" thickBot="1" x14ac:dyDescent="0.35">
      <c r="A8" s="100" t="s">
        <v>115</v>
      </c>
      <c r="B8" s="108">
        <v>9.2385869999999995E-2</v>
      </c>
      <c r="C8" s="109">
        <v>9.2385869999999995E-3</v>
      </c>
      <c r="D8" s="109">
        <f>B8-C8</f>
        <v>8.3147282999999989E-2</v>
      </c>
      <c r="E8" s="110">
        <v>2336</v>
      </c>
      <c r="F8" s="109">
        <v>4.7956294078834734E-2</v>
      </c>
      <c r="G8" s="164">
        <v>48711.02</v>
      </c>
      <c r="H8" s="33">
        <f>D8-F8</f>
        <v>3.5190988921165255E-2</v>
      </c>
    </row>
    <row r="9" spans="1:8" ht="15.6" thickTop="1" thickBot="1" x14ac:dyDescent="0.35">
      <c r="A9" s="100" t="s">
        <v>116</v>
      </c>
      <c r="B9" s="108">
        <f>0.10651614-0.0008648</f>
        <v>0.10565134</v>
      </c>
      <c r="C9" s="109">
        <v>1.0565134E-2</v>
      </c>
      <c r="D9" s="109">
        <v>9.5086205999999993E-2</v>
      </c>
      <c r="E9" s="110" t="s">
        <v>142</v>
      </c>
      <c r="F9" s="109" t="s">
        <v>142</v>
      </c>
      <c r="G9" s="164">
        <v>44566</v>
      </c>
      <c r="H9" s="33">
        <v>9.5086205999999993E-2</v>
      </c>
    </row>
    <row r="10" spans="1:8" ht="14.4" customHeight="1" thickTop="1" thickBot="1" x14ac:dyDescent="0.35">
      <c r="A10" s="100" t="s">
        <v>117</v>
      </c>
      <c r="B10" s="30">
        <v>9.6924120000000002E-2</v>
      </c>
      <c r="C10" s="109">
        <f>B10*0.1</f>
        <v>9.6924120000000009E-3</v>
      </c>
      <c r="D10" s="109">
        <f>B10-C10</f>
        <v>8.7231708000000005E-2</v>
      </c>
      <c r="E10" s="110"/>
      <c r="F10" s="109"/>
      <c r="G10" s="165">
        <v>42438</v>
      </c>
      <c r="H10" s="33">
        <f>D10-F10</f>
        <v>8.7231708000000005E-2</v>
      </c>
    </row>
    <row r="11" spans="1:8" ht="14.4" customHeight="1" thickTop="1" thickBot="1" x14ac:dyDescent="0.35">
      <c r="A11" s="100" t="s">
        <v>118</v>
      </c>
      <c r="B11" s="108"/>
      <c r="C11" s="108"/>
      <c r="D11" s="108"/>
      <c r="E11" s="110"/>
      <c r="F11" s="109"/>
      <c r="G11" s="164"/>
      <c r="H11" s="33">
        <f>D11-F11</f>
        <v>0</v>
      </c>
    </row>
    <row r="12" spans="1:8" ht="14.4" customHeight="1" thickTop="1" thickBot="1" x14ac:dyDescent="0.35">
      <c r="A12" s="100" t="s">
        <v>119</v>
      </c>
      <c r="B12" s="108"/>
      <c r="C12" s="108"/>
      <c r="D12" s="108"/>
      <c r="E12" s="110"/>
      <c r="F12" s="109"/>
      <c r="G12" s="164"/>
      <c r="H12" s="33">
        <f>D12-F12</f>
        <v>0</v>
      </c>
    </row>
    <row r="13" spans="1:8" ht="14.4" customHeight="1" thickTop="1" thickBot="1" x14ac:dyDescent="0.35">
      <c r="A13" s="112" t="s">
        <v>120</v>
      </c>
      <c r="B13" s="108"/>
      <c r="C13" s="108"/>
      <c r="D13" s="108"/>
      <c r="E13" s="110"/>
      <c r="F13" s="109"/>
      <c r="G13" s="164"/>
      <c r="H13" s="33">
        <f>D13-F13</f>
        <v>0</v>
      </c>
    </row>
    <row r="14" spans="1:8" ht="15.6" thickTop="1" thickBot="1" x14ac:dyDescent="0.35">
      <c r="A14" s="111" t="s">
        <v>170</v>
      </c>
      <c r="B14" s="32">
        <f t="shared" ref="B14:H14" si="0">SUM(B2:B13)</f>
        <v>0.92643940000000002</v>
      </c>
      <c r="C14" s="32">
        <f t="shared" si="0"/>
        <v>9.2643939999999994E-2</v>
      </c>
      <c r="D14" s="32">
        <f t="shared" si="0"/>
        <v>0.83379545999999993</v>
      </c>
      <c r="E14" s="32">
        <f t="shared" si="0"/>
        <v>15962</v>
      </c>
      <c r="F14" s="32">
        <f t="shared" si="0"/>
        <v>0.30480975871918475</v>
      </c>
      <c r="G14" s="32">
        <f t="shared" si="0"/>
        <v>279422.16000000003</v>
      </c>
      <c r="H14" s="33">
        <f t="shared" si="0"/>
        <v>0.51331316428081519</v>
      </c>
    </row>
    <row r="15" spans="1:8" ht="15" thickTop="1" x14ac:dyDescent="0.3">
      <c r="A15" s="177" t="s">
        <v>134</v>
      </c>
      <c r="B15" s="177"/>
      <c r="C15" s="177"/>
      <c r="D15" s="177"/>
      <c r="E15" s="177"/>
      <c r="F15" s="177"/>
      <c r="G15" s="177"/>
      <c r="H15" s="177"/>
    </row>
  </sheetData>
  <mergeCells count="1">
    <mergeCell ref="A15:H15"/>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ED363-DC00-4309-A63F-9E265A81AD1D}">
  <sheetPr>
    <tabColor theme="8"/>
  </sheetPr>
  <dimension ref="A1:P37"/>
  <sheetViews>
    <sheetView workbookViewId="0">
      <pane xSplit="1" topLeftCell="C1" activePane="topRight" state="frozen"/>
      <selection pane="topRight" activeCell="P8" sqref="P8"/>
    </sheetView>
  </sheetViews>
  <sheetFormatPr defaultRowHeight="14.4" x14ac:dyDescent="0.3"/>
  <cols>
    <col min="1" max="1" width="18.88671875" bestFit="1" customWidth="1"/>
    <col min="2" max="2" width="12" bestFit="1" customWidth="1"/>
    <col min="3" max="4" width="11.44140625" bestFit="1" customWidth="1"/>
    <col min="5" max="6" width="11.21875" bestFit="1" customWidth="1"/>
    <col min="7" max="7" width="10.5546875" bestFit="1" customWidth="1"/>
    <col min="8" max="8" width="11.21875" bestFit="1" customWidth="1"/>
    <col min="9" max="13" width="10.5546875" bestFit="1" customWidth="1"/>
    <col min="14" max="14" width="21.109375" bestFit="1" customWidth="1"/>
    <col min="15" max="15" width="13.77734375" bestFit="1" customWidth="1"/>
    <col min="16" max="16" width="29.77734375" bestFit="1" customWidth="1"/>
  </cols>
  <sheetData>
    <row r="1" spans="1:16" x14ac:dyDescent="0.3">
      <c r="A1" s="26" t="s">
        <v>1</v>
      </c>
      <c r="B1" s="176" t="s">
        <v>176</v>
      </c>
      <c r="C1" s="176"/>
      <c r="D1" s="176"/>
      <c r="E1" s="176"/>
      <c r="F1" s="176"/>
      <c r="G1" s="176"/>
      <c r="H1" s="176"/>
      <c r="I1" s="176"/>
      <c r="J1" s="176"/>
      <c r="K1" s="176"/>
      <c r="L1" s="176"/>
      <c r="M1" s="176"/>
      <c r="N1" s="4" t="s">
        <v>132</v>
      </c>
      <c r="O1" s="95" t="s">
        <v>171</v>
      </c>
    </row>
    <row r="2" spans="1:16" ht="15" thickBot="1" x14ac:dyDescent="0.35">
      <c r="A2" s="4" t="s">
        <v>101</v>
      </c>
      <c r="B2" s="31">
        <v>1.7413930000000002E-3</v>
      </c>
      <c r="C2" s="31">
        <v>0</v>
      </c>
      <c r="D2" s="31">
        <v>0</v>
      </c>
      <c r="E2" s="31">
        <v>3.0635651000000003E-2</v>
      </c>
      <c r="F2" s="31">
        <v>1.4365519E-2</v>
      </c>
      <c r="G2" s="31">
        <v>1.6405243999999999E-2</v>
      </c>
      <c r="H2" s="31">
        <v>9.2385869999999995E-3</v>
      </c>
      <c r="I2" s="62">
        <v>1.0565134E-2</v>
      </c>
      <c r="J2" s="31">
        <v>9.6924120000000009E-3</v>
      </c>
      <c r="K2" s="31">
        <v>8.3247349999999998E-3</v>
      </c>
      <c r="L2" s="30"/>
      <c r="M2" s="30"/>
      <c r="N2" s="33">
        <f>SUM(B2:M2)</f>
        <v>0.10096867499999999</v>
      </c>
      <c r="O2" s="6" t="b">
        <f>N2='P|C|BTC totals'!C14</f>
        <v>0</v>
      </c>
    </row>
    <row r="3" spans="1:16" ht="15.6" thickTop="1" thickBot="1" x14ac:dyDescent="0.35">
      <c r="A3" s="4" t="s">
        <v>124</v>
      </c>
      <c r="B3" s="31">
        <v>0</v>
      </c>
      <c r="C3" s="31">
        <v>0</v>
      </c>
      <c r="D3" s="31">
        <v>0</v>
      </c>
      <c r="E3" s="30">
        <v>0.13236674000000001</v>
      </c>
      <c r="F3" s="31">
        <v>6.8271879999999993E-2</v>
      </c>
      <c r="G3" s="31">
        <v>0</v>
      </c>
      <c r="H3" s="31">
        <v>3.7608129999999997E-2</v>
      </c>
      <c r="I3" s="31">
        <v>0</v>
      </c>
      <c r="J3" s="31">
        <v>5.8003289999999999E-2</v>
      </c>
      <c r="K3" s="31">
        <v>1.8161245574689912E-3</v>
      </c>
      <c r="L3" s="30"/>
      <c r="M3" s="30"/>
      <c r="N3" s="33">
        <f>SUM(B3:M3)</f>
        <v>0.29806616455746898</v>
      </c>
      <c r="O3" s="6">
        <f>IF(N3=Profitability!M4, TRUE, N3-Profitability!M4)</f>
        <v>-0.15294190800970725</v>
      </c>
      <c r="P3" t="s">
        <v>208</v>
      </c>
    </row>
    <row r="4" spans="1:16" ht="15.6" thickTop="1" thickBot="1" x14ac:dyDescent="0.35">
      <c r="A4" s="24" t="s">
        <v>6</v>
      </c>
      <c r="B4" s="31">
        <v>0</v>
      </c>
      <c r="C4" s="31">
        <v>0</v>
      </c>
      <c r="D4" s="31">
        <v>0</v>
      </c>
      <c r="E4" s="31">
        <v>7.9853880887195295E-3</v>
      </c>
      <c r="F4" s="31">
        <v>3.8273011428280037E-3</v>
      </c>
      <c r="G4" s="31">
        <v>4.4882683724352416E-3</v>
      </c>
      <c r="H4" s="31">
        <v>2.4794310698761368E-3</v>
      </c>
      <c r="I4" s="31">
        <v>2.8784197778272107E-3</v>
      </c>
      <c r="J4" s="30">
        <v>8.8653124971069296E-4</v>
      </c>
      <c r="K4" s="31">
        <v>2.2529494568956521E-3</v>
      </c>
      <c r="L4" s="30"/>
      <c r="M4" s="30"/>
      <c r="N4" s="33">
        <f t="shared" ref="N4:N18" si="0">SUM(B4:M4)</f>
        <v>2.4798289158292464E-2</v>
      </c>
      <c r="O4" s="6"/>
    </row>
    <row r="5" spans="1:16" ht="15.6" thickTop="1" thickBot="1" x14ac:dyDescent="0.35">
      <c r="A5" t="s">
        <v>24</v>
      </c>
      <c r="B5" s="31">
        <v>0</v>
      </c>
      <c r="C5" s="31">
        <v>0</v>
      </c>
      <c r="D5" s="31">
        <v>0</v>
      </c>
      <c r="E5" s="31">
        <v>4.8752662294622899E-3</v>
      </c>
      <c r="F5" s="31">
        <v>1.9982461547810942E-3</v>
      </c>
      <c r="G5" s="31">
        <v>7.1444306844259181E-3</v>
      </c>
      <c r="H5" s="31">
        <v>1.6704145252249083E-3</v>
      </c>
      <c r="I5" s="31">
        <v>4.5818718661444916E-3</v>
      </c>
      <c r="J5" s="31">
        <v>1.4111814485146226E-3</v>
      </c>
      <c r="K5" s="31">
        <v>3.5862475000737592E-3</v>
      </c>
      <c r="L5" s="30"/>
      <c r="M5" s="30"/>
      <c r="N5" s="33">
        <f t="shared" si="0"/>
        <v>2.5267658408627082E-2</v>
      </c>
      <c r="O5" s="6" t="b">
        <f>N5='P | person'!Z3</f>
        <v>1</v>
      </c>
    </row>
    <row r="6" spans="1:16" ht="15.6" thickTop="1" thickBot="1" x14ac:dyDescent="0.35">
      <c r="A6" t="s">
        <v>26</v>
      </c>
      <c r="B6" s="31">
        <v>0</v>
      </c>
      <c r="C6" s="31">
        <v>0</v>
      </c>
      <c r="D6" s="31">
        <v>0</v>
      </c>
      <c r="E6" s="31">
        <v>4.8752662294622899E-3</v>
      </c>
      <c r="F6" s="31">
        <v>2.0999999999999999E-3</v>
      </c>
      <c r="G6" s="31">
        <v>7.1444306844259181E-3</v>
      </c>
      <c r="H6" s="31">
        <v>1.57041452522491E-3</v>
      </c>
      <c r="I6" s="31">
        <v>4.5818718661444916E-3</v>
      </c>
      <c r="J6" s="30">
        <v>1.4111814485146226E-3</v>
      </c>
      <c r="K6" s="31">
        <v>3.5862475000737592E-3</v>
      </c>
      <c r="L6" s="30"/>
      <c r="M6" s="30"/>
      <c r="N6" s="33">
        <f t="shared" si="0"/>
        <v>2.5269412253845991E-2</v>
      </c>
      <c r="O6" s="6" t="b">
        <f>N6='P | person'!Z4</f>
        <v>1</v>
      </c>
    </row>
    <row r="7" spans="1:16" ht="15.6" thickTop="1" thickBot="1" x14ac:dyDescent="0.35">
      <c r="A7" t="s">
        <v>144</v>
      </c>
      <c r="B7" s="31">
        <v>0</v>
      </c>
      <c r="C7" s="31">
        <v>0</v>
      </c>
      <c r="D7" s="31">
        <v>0</v>
      </c>
      <c r="E7" s="31">
        <v>1.2311479921423625E-2</v>
      </c>
      <c r="F7" s="31">
        <v>5.900745292483891E-3</v>
      </c>
      <c r="G7" s="31">
        <v>6.9197921673031411E-3</v>
      </c>
      <c r="H7" s="31">
        <v>3.8226652849165134E-3</v>
      </c>
      <c r="I7" s="31">
        <v>4.437806516906664E-3</v>
      </c>
      <c r="J7" s="30">
        <v>1.3668104241478336E-3</v>
      </c>
      <c r="K7" s="31">
        <v>3.4734870358693864E-3</v>
      </c>
      <c r="L7" s="30"/>
      <c r="M7" s="30"/>
      <c r="N7" s="33">
        <f t="shared" si="0"/>
        <v>3.8232786643051055E-2</v>
      </c>
      <c r="O7" s="6"/>
    </row>
    <row r="8" spans="1:16" ht="15.6" thickTop="1" thickBot="1" x14ac:dyDescent="0.35">
      <c r="A8" t="s">
        <v>41</v>
      </c>
      <c r="B8" s="31">
        <v>0</v>
      </c>
      <c r="C8" s="31">
        <v>0</v>
      </c>
      <c r="D8" s="31">
        <v>0</v>
      </c>
      <c r="E8" s="31">
        <v>2.9345095633229179E-3</v>
      </c>
      <c r="F8" s="31">
        <v>1.2027799457682367E-3</v>
      </c>
      <c r="G8" s="80">
        <v>4.3003600585434908E-3</v>
      </c>
      <c r="H8" s="31">
        <v>1.0054522498408559E-3</v>
      </c>
      <c r="I8" s="94">
        <v>2.7579102712108079E-3</v>
      </c>
      <c r="J8" s="30">
        <v>8.4941524448948645E-4</v>
      </c>
      <c r="K8" s="31">
        <v>2.158626234975904E-3</v>
      </c>
      <c r="L8" s="30"/>
      <c r="M8" s="30"/>
      <c r="N8" s="33">
        <f t="shared" si="0"/>
        <v>1.5209053568151701E-2</v>
      </c>
      <c r="O8" s="6" t="b">
        <f>N8='P | person'!Z6</f>
        <v>1</v>
      </c>
    </row>
    <row r="9" spans="1:16" ht="15.6" thickTop="1" thickBot="1" x14ac:dyDescent="0.35">
      <c r="A9" t="s">
        <v>42</v>
      </c>
      <c r="B9" s="31">
        <v>7.8217990290421393E-3</v>
      </c>
      <c r="C9" s="31">
        <v>0</v>
      </c>
      <c r="D9" s="31">
        <v>0</v>
      </c>
      <c r="E9" s="31">
        <v>4.3569519663546614E-2</v>
      </c>
      <c r="F9" s="31">
        <v>1.7858024779693674E-2</v>
      </c>
      <c r="G9" s="31">
        <v>6.3848700468666086E-2</v>
      </c>
      <c r="H9" s="31">
        <v>1.4928242905636685E-2</v>
      </c>
      <c r="I9" s="31">
        <v>3.3003146266228051E-2</v>
      </c>
      <c r="J9" s="31">
        <v>1.2611515961595269E-2</v>
      </c>
      <c r="K9" s="31">
        <v>3.2049753514700276E-2</v>
      </c>
      <c r="L9" s="30"/>
      <c r="M9" s="30"/>
      <c r="N9" s="33">
        <f t="shared" si="0"/>
        <v>0.22569070258910878</v>
      </c>
      <c r="O9" s="6" t="b">
        <f>IF(N9='P | person'!Z7,TRUE,N9-'P | person'!Z7)</f>
        <v>1</v>
      </c>
    </row>
    <row r="10" spans="1:16" ht="15.6" thickTop="1" thickBot="1" x14ac:dyDescent="0.35">
      <c r="A10" t="s">
        <v>80</v>
      </c>
      <c r="B10" s="31">
        <v>0</v>
      </c>
      <c r="C10" s="31">
        <v>0</v>
      </c>
      <c r="D10" s="31">
        <v>0</v>
      </c>
      <c r="E10" s="31">
        <v>4.6061248198084118E-3</v>
      </c>
      <c r="F10" s="31">
        <v>1.8879320177431793E-3</v>
      </c>
      <c r="G10" s="31">
        <v>6.7500189630802128E-3</v>
      </c>
      <c r="H10" s="31">
        <v>1.578198490476191E-3</v>
      </c>
      <c r="I10" s="31">
        <v>4.3289274329861042E-3</v>
      </c>
      <c r="J10" s="31">
        <v>1.3332765000555276E-3</v>
      </c>
      <c r="K10" s="31">
        <v>3.3882669873984547E-3</v>
      </c>
      <c r="L10" s="30"/>
      <c r="M10" s="30"/>
      <c r="N10" s="33">
        <f t="shared" si="0"/>
        <v>2.3872745211548082E-2</v>
      </c>
      <c r="O10" s="6" t="b">
        <f>N10='P | person'!Z8</f>
        <v>1</v>
      </c>
    </row>
    <row r="11" spans="1:16" ht="15.6" thickTop="1" thickBot="1" x14ac:dyDescent="0.35">
      <c r="A11" t="s">
        <v>8</v>
      </c>
      <c r="B11" s="31">
        <v>0</v>
      </c>
      <c r="C11" s="31">
        <v>0</v>
      </c>
      <c r="D11" s="31">
        <v>0</v>
      </c>
      <c r="E11" s="31">
        <v>2.597247995394362E-3</v>
      </c>
      <c r="F11" s="31">
        <v>1.0645451090333803E-3</v>
      </c>
      <c r="G11" s="31">
        <v>3.8061220454427939E-3</v>
      </c>
      <c r="H11" s="31">
        <v>8.8989617652050269E-4</v>
      </c>
      <c r="I11" s="31">
        <v>2.4409451626624559E-3</v>
      </c>
      <c r="J11" s="30">
        <v>7.5179241825662566E-4</v>
      </c>
      <c r="K11" s="31">
        <v>1.910536510655733E-3</v>
      </c>
      <c r="L11" s="30"/>
      <c r="M11" s="30"/>
      <c r="N11" s="33">
        <f t="shared" si="0"/>
        <v>1.3461085417965854E-2</v>
      </c>
      <c r="O11" s="6" t="b">
        <f>N11='P | person'!Z9</f>
        <v>1</v>
      </c>
    </row>
    <row r="12" spans="1:16" ht="15.6" thickTop="1" thickBot="1" x14ac:dyDescent="0.35">
      <c r="A12" t="s">
        <v>11</v>
      </c>
      <c r="B12" s="31">
        <v>0</v>
      </c>
      <c r="C12" s="31">
        <v>0</v>
      </c>
      <c r="D12" s="31">
        <v>0</v>
      </c>
      <c r="E12" s="31">
        <v>4.0191628011218214E-3</v>
      </c>
      <c r="F12" s="31">
        <v>1.1168580984361493E-3</v>
      </c>
      <c r="G12" s="31">
        <v>3.7719755815277772E-3</v>
      </c>
      <c r="H12" s="31">
        <v>1.0875107913327605E-3</v>
      </c>
      <c r="I12" s="31">
        <v>2.7909311313310623E-3</v>
      </c>
      <c r="J12" s="31">
        <v>8.595854165451514E-4</v>
      </c>
      <c r="K12" s="31">
        <v>2.2218080556587103E-3</v>
      </c>
      <c r="L12" s="30"/>
      <c r="M12" s="30"/>
      <c r="N12" s="33">
        <f t="shared" si="0"/>
        <v>1.5867831875953434E-2</v>
      </c>
      <c r="O12" s="6" t="b">
        <f>N12='P | person'!Z10</f>
        <v>1</v>
      </c>
    </row>
    <row r="13" spans="1:16" ht="15.6" thickTop="1" thickBot="1" x14ac:dyDescent="0.35">
      <c r="A13" t="s">
        <v>31</v>
      </c>
      <c r="B13" s="31">
        <v>0</v>
      </c>
      <c r="C13" s="31">
        <v>0</v>
      </c>
      <c r="D13" s="31">
        <v>0</v>
      </c>
      <c r="E13" s="31">
        <v>1.0629048755026795E-2</v>
      </c>
      <c r="F13" s="31">
        <v>3.419861427732858E-3</v>
      </c>
      <c r="G13" s="31">
        <v>8.477845696206205E-3</v>
      </c>
      <c r="H13" s="31">
        <v>2.4466881904439829E-3</v>
      </c>
      <c r="I13" s="31">
        <v>5.4621247700724837E-3</v>
      </c>
      <c r="J13" s="31">
        <v>2.1504073199741162E-3</v>
      </c>
      <c r="K13" s="31">
        <v>4.2555739256183479E-3</v>
      </c>
      <c r="L13" s="30"/>
      <c r="M13" s="30"/>
      <c r="N13" s="33">
        <f t="shared" si="0"/>
        <v>3.6841550085074781E-2</v>
      </c>
      <c r="O13" s="6" t="b">
        <f>N13='P | person'!Z11</f>
        <v>1</v>
      </c>
    </row>
    <row r="14" spans="1:16" ht="15.6" thickTop="1" thickBot="1" x14ac:dyDescent="0.35">
      <c r="A14" s="24" t="s">
        <v>25</v>
      </c>
      <c r="B14" s="31">
        <v>0</v>
      </c>
      <c r="C14" s="31">
        <v>0</v>
      </c>
      <c r="D14" s="31">
        <v>0</v>
      </c>
      <c r="E14" s="31">
        <v>6.5807886217229064E-3</v>
      </c>
      <c r="F14" s="31">
        <v>1.0345276195356688E-3</v>
      </c>
      <c r="G14" s="31">
        <v>3.698798994914829E-3</v>
      </c>
      <c r="H14" s="31">
        <v>0</v>
      </c>
      <c r="I14" s="31">
        <v>3.236920006898359E-3</v>
      </c>
      <c r="J14" s="30">
        <v>7.3059376652455528E-4</v>
      </c>
      <c r="K14" s="31">
        <v>1.8566641954696934E-3</v>
      </c>
      <c r="L14" s="30"/>
      <c r="M14" s="30"/>
      <c r="N14" s="33">
        <f t="shared" si="0"/>
        <v>1.7138293205066012E-2</v>
      </c>
      <c r="O14" s="6" t="b">
        <f>N14='P | person'!Z12</f>
        <v>1</v>
      </c>
    </row>
    <row r="15" spans="1:16" ht="15.6" thickTop="1" thickBot="1" x14ac:dyDescent="0.35">
      <c r="A15" s="4" t="s">
        <v>98</v>
      </c>
      <c r="B15" s="31">
        <v>7.8507379709578592E-3</v>
      </c>
      <c r="C15" s="31" t="s">
        <v>142</v>
      </c>
      <c r="D15" s="31" t="s">
        <v>142</v>
      </c>
      <c r="E15" s="30" t="s">
        <v>142</v>
      </c>
      <c r="F15" s="30" t="s">
        <v>142</v>
      </c>
      <c r="G15" s="30" t="s">
        <v>142</v>
      </c>
      <c r="H15" s="30" t="s">
        <v>142</v>
      </c>
      <c r="I15" s="30" t="s">
        <v>142</v>
      </c>
      <c r="J15" s="30" t="s">
        <v>142</v>
      </c>
      <c r="K15" s="31" t="s">
        <v>142</v>
      </c>
      <c r="L15" s="30" t="s">
        <v>142</v>
      </c>
      <c r="M15" s="30" t="s">
        <v>142</v>
      </c>
      <c r="N15" s="33" t="s">
        <v>142</v>
      </c>
      <c r="O15" s="6" t="s">
        <v>142</v>
      </c>
    </row>
    <row r="16" spans="1:16" ht="15.6" thickTop="1" thickBot="1" x14ac:dyDescent="0.35">
      <c r="A16" t="s">
        <v>136</v>
      </c>
      <c r="B16" s="31">
        <v>0</v>
      </c>
      <c r="C16" s="31">
        <v>0</v>
      </c>
      <c r="D16" s="31">
        <v>0</v>
      </c>
      <c r="E16" s="30">
        <v>4.2487100000000002E-3</v>
      </c>
      <c r="F16" s="31">
        <v>1.7414386760097275E-3</v>
      </c>
      <c r="G16" s="31">
        <v>6.2262538987810047E-3</v>
      </c>
      <c r="H16" s="31">
        <v>1.4557387998645999E-3</v>
      </c>
      <c r="I16" s="31">
        <v>3.9930260129032889E-3</v>
      </c>
      <c r="J16" s="31">
        <v>1.229825812490939E-3</v>
      </c>
      <c r="K16" s="31">
        <v>3.1253557443005815E-3</v>
      </c>
      <c r="L16" s="30"/>
      <c r="M16" s="30"/>
      <c r="N16" s="33">
        <f>SUM(B16:M16)</f>
        <v>2.2020348944350145E-2</v>
      </c>
      <c r="O16" s="6" t="b">
        <f>IF(N16='P | person'!Z14,TRUE,N16-'P | person'!Z14)</f>
        <v>1</v>
      </c>
      <c r="P16" s="167"/>
    </row>
    <row r="17" spans="1:16" ht="15.6" thickTop="1" thickBot="1" x14ac:dyDescent="0.35">
      <c r="A17" s="28" t="s">
        <v>139</v>
      </c>
      <c r="B17" s="31">
        <v>0</v>
      </c>
      <c r="C17" s="31">
        <v>0</v>
      </c>
      <c r="D17" s="31">
        <v>0</v>
      </c>
      <c r="E17" s="31">
        <v>1.0499757997160651E-2</v>
      </c>
      <c r="F17" s="80">
        <v>5.0324086112631637E-3</v>
      </c>
      <c r="G17" s="31">
        <v>5.9014954831627794E-3</v>
      </c>
      <c r="H17" s="31">
        <v>3.2601328720787402E-3</v>
      </c>
      <c r="I17" s="31">
        <v>3.7847516921714086E-3</v>
      </c>
      <c r="J17" s="31">
        <v>1.165674538978517E-3</v>
      </c>
      <c r="K17" s="31">
        <v>2.9623386884170917E-3</v>
      </c>
      <c r="L17" s="30"/>
      <c r="M17" s="30"/>
      <c r="N17" s="33">
        <f t="shared" si="0"/>
        <v>3.2606559883232356E-2</v>
      </c>
      <c r="O17" s="6"/>
    </row>
    <row r="18" spans="1:16" ht="15.6" thickTop="1" thickBot="1" x14ac:dyDescent="0.35">
      <c r="A18" s="28" t="s">
        <v>141</v>
      </c>
      <c r="B18" s="31">
        <v>0</v>
      </c>
      <c r="C18" s="31">
        <v>0</v>
      </c>
      <c r="D18" s="31">
        <v>0</v>
      </c>
      <c r="E18" s="31">
        <v>3.8183706176493123E-2</v>
      </c>
      <c r="F18" s="31">
        <v>4.2425776921852301E-3</v>
      </c>
      <c r="G18" s="31">
        <v>1.5168702901084562E-2</v>
      </c>
      <c r="H18" s="31">
        <v>8.3795687204557857E-3</v>
      </c>
      <c r="I18" s="31">
        <v>0</v>
      </c>
      <c r="J18" s="31">
        <v>0</v>
      </c>
      <c r="K18" s="31">
        <v>5.542385092423655E-3</v>
      </c>
      <c r="L18" s="30"/>
      <c r="M18" s="30"/>
      <c r="N18" s="33">
        <f t="shared" si="0"/>
        <v>7.1516940582642352E-2</v>
      </c>
      <c r="O18" s="6"/>
      <c r="P18" s="83"/>
    </row>
    <row r="19" spans="1:16" ht="15.6" thickTop="1" thickBot="1" x14ac:dyDescent="0.35">
      <c r="A19" s="28" t="s">
        <v>99</v>
      </c>
      <c r="B19" s="30" t="s">
        <v>142</v>
      </c>
      <c r="C19" s="30" t="s">
        <v>142</v>
      </c>
      <c r="D19" s="30" t="s">
        <v>142</v>
      </c>
      <c r="E19" s="30" t="s">
        <v>142</v>
      </c>
      <c r="F19" s="31" t="s">
        <v>142</v>
      </c>
      <c r="G19" s="30" t="s">
        <v>142</v>
      </c>
      <c r="H19" s="30" t="s">
        <v>142</v>
      </c>
      <c r="I19" s="30" t="s">
        <v>142</v>
      </c>
      <c r="J19" s="30" t="s">
        <v>142</v>
      </c>
      <c r="K19" s="30" t="s">
        <v>142</v>
      </c>
      <c r="L19" s="30" t="s">
        <v>142</v>
      </c>
      <c r="M19" s="30" t="s">
        <v>142</v>
      </c>
      <c r="N19" s="33"/>
      <c r="O19" s="6"/>
    </row>
    <row r="20" spans="1:16" ht="15.6" thickTop="1" thickBot="1" x14ac:dyDescent="0.35">
      <c r="A20" s="28" t="s">
        <v>99</v>
      </c>
      <c r="B20" s="30" t="s">
        <v>142</v>
      </c>
      <c r="C20" s="30" t="s">
        <v>142</v>
      </c>
      <c r="D20" s="30" t="s">
        <v>142</v>
      </c>
      <c r="E20" s="30" t="s">
        <v>142</v>
      </c>
      <c r="F20" s="30" t="s">
        <v>142</v>
      </c>
      <c r="G20" s="30" t="s">
        <v>142</v>
      </c>
      <c r="H20" s="30" t="s">
        <v>142</v>
      </c>
      <c r="I20" s="30" t="s">
        <v>142</v>
      </c>
      <c r="J20" s="30" t="s">
        <v>142</v>
      </c>
      <c r="K20" s="30" t="s">
        <v>142</v>
      </c>
      <c r="L20" s="30" t="s">
        <v>142</v>
      </c>
      <c r="M20" s="30" t="s">
        <v>142</v>
      </c>
      <c r="N20" s="33"/>
      <c r="O20" s="6"/>
    </row>
    <row r="21" spans="1:16" ht="15.6" thickTop="1" thickBot="1" x14ac:dyDescent="0.35">
      <c r="A21" s="28" t="s">
        <v>99</v>
      </c>
      <c r="B21" s="30" t="s">
        <v>142</v>
      </c>
      <c r="C21" s="30" t="s">
        <v>142</v>
      </c>
      <c r="D21" s="30" t="s">
        <v>142</v>
      </c>
      <c r="E21" s="30" t="s">
        <v>142</v>
      </c>
      <c r="F21" s="30" t="s">
        <v>142</v>
      </c>
      <c r="G21" s="30" t="s">
        <v>142</v>
      </c>
      <c r="H21" s="30" t="s">
        <v>142</v>
      </c>
      <c r="I21" s="30" t="s">
        <v>142</v>
      </c>
      <c r="J21" s="30" t="s">
        <v>142</v>
      </c>
      <c r="K21" s="30" t="s">
        <v>142</v>
      </c>
      <c r="L21" s="30" t="s">
        <v>142</v>
      </c>
      <c r="M21" s="30" t="s">
        <v>142</v>
      </c>
      <c r="N21" s="33"/>
      <c r="O21" s="6"/>
    </row>
    <row r="22" spans="1:16" ht="15.6" thickTop="1" thickBot="1" x14ac:dyDescent="0.35">
      <c r="A22" s="28" t="s">
        <v>99</v>
      </c>
      <c r="B22" s="30" t="s">
        <v>142</v>
      </c>
      <c r="C22" s="30" t="s">
        <v>142</v>
      </c>
      <c r="D22" s="30" t="s">
        <v>142</v>
      </c>
      <c r="E22" s="30" t="s">
        <v>142</v>
      </c>
      <c r="F22" s="30" t="s">
        <v>142</v>
      </c>
      <c r="G22" s="30" t="s">
        <v>142</v>
      </c>
      <c r="H22" s="30" t="s">
        <v>142</v>
      </c>
      <c r="I22" s="30" t="s">
        <v>142</v>
      </c>
      <c r="J22" s="30" t="s">
        <v>142</v>
      </c>
      <c r="K22" s="30" t="s">
        <v>142</v>
      </c>
      <c r="L22" s="30" t="s">
        <v>142</v>
      </c>
      <c r="M22" s="30" t="s">
        <v>142</v>
      </c>
      <c r="N22" s="33"/>
      <c r="O22" s="6"/>
    </row>
    <row r="23" spans="1:16" ht="15.6" thickTop="1" thickBot="1" x14ac:dyDescent="0.35">
      <c r="A23" s="28" t="s">
        <v>99</v>
      </c>
      <c r="B23" s="30" t="s">
        <v>142</v>
      </c>
      <c r="C23" s="30" t="s">
        <v>142</v>
      </c>
      <c r="D23" s="30" t="s">
        <v>142</v>
      </c>
      <c r="E23" s="30" t="s">
        <v>142</v>
      </c>
      <c r="F23" s="30" t="s">
        <v>142</v>
      </c>
      <c r="G23" s="30" t="s">
        <v>142</v>
      </c>
      <c r="H23" s="30" t="s">
        <v>142</v>
      </c>
      <c r="I23" s="30" t="s">
        <v>142</v>
      </c>
      <c r="J23" s="30" t="s">
        <v>142</v>
      </c>
      <c r="K23" s="30" t="s">
        <v>142</v>
      </c>
      <c r="L23" s="30" t="s">
        <v>142</v>
      </c>
      <c r="M23" s="30" t="s">
        <v>142</v>
      </c>
      <c r="N23" s="33"/>
      <c r="O23" s="6"/>
    </row>
    <row r="24" spans="1:16" ht="15.6" thickTop="1" thickBot="1" x14ac:dyDescent="0.35">
      <c r="A24" s="32" t="s">
        <v>123</v>
      </c>
      <c r="B24" s="114">
        <f>SUM(B2:B23)</f>
        <v>1.7413930000000001E-2</v>
      </c>
      <c r="C24" s="114">
        <f t="shared" ref="C24:D24" si="1">SUM(C2:C23)</f>
        <v>0</v>
      </c>
      <c r="D24" s="114">
        <f t="shared" si="1"/>
        <v>0</v>
      </c>
      <c r="E24" s="114">
        <f>SUM(E2:E23)</f>
        <v>0.32091836786266537</v>
      </c>
      <c r="F24" s="114">
        <f t="shared" ref="F24:M24" si="2">SUM(F2:F23)</f>
        <v>0.13506464556749426</v>
      </c>
      <c r="G24" s="114">
        <f t="shared" si="2"/>
        <v>0.16405243999999997</v>
      </c>
      <c r="H24" s="114">
        <f t="shared" si="2"/>
        <v>9.1421071601892584E-2</v>
      </c>
      <c r="I24" s="114">
        <f t="shared" si="2"/>
        <v>8.8843786773486866E-2</v>
      </c>
      <c r="J24" s="114">
        <f t="shared" si="2"/>
        <v>9.4453493549797971E-2</v>
      </c>
      <c r="K24" s="114">
        <f t="shared" si="2"/>
        <v>8.2511099999999976E-2</v>
      </c>
      <c r="L24" s="114">
        <f t="shared" si="2"/>
        <v>0</v>
      </c>
      <c r="M24" s="114">
        <f t="shared" si="2"/>
        <v>0</v>
      </c>
      <c r="N24" s="33">
        <f>SUM(N2:N23)</f>
        <v>0.98682809738437904</v>
      </c>
    </row>
    <row r="25" spans="1:16" ht="15.6" thickTop="1" thickBot="1" x14ac:dyDescent="0.35">
      <c r="A25" s="95" t="s">
        <v>166</v>
      </c>
      <c r="B25" s="121" t="b">
        <f>B3='C | person'!D22</f>
        <v>1</v>
      </c>
      <c r="C25" s="121" t="b">
        <f>C3='C | person'!G22</f>
        <v>1</v>
      </c>
      <c r="D25" s="121" t="b">
        <f>D3='C | person'!J22</f>
        <v>1</v>
      </c>
      <c r="E25" s="95" t="b">
        <f>E3='C | person'!M22</f>
        <v>1</v>
      </c>
      <c r="F25" s="95" t="b">
        <f>F3='C | person'!P22</f>
        <v>1</v>
      </c>
      <c r="G25" s="95" t="b">
        <f>G3='C | person'!S22</f>
        <v>1</v>
      </c>
      <c r="H25" s="95" t="b">
        <f>H3='C | person'!V22</f>
        <v>1</v>
      </c>
      <c r="I25" s="95" t="b">
        <f>I3='C | person'!Y22</f>
        <v>1</v>
      </c>
      <c r="J25" s="95" t="b">
        <f>J3='C | person'!AB22</f>
        <v>1</v>
      </c>
      <c r="K25" s="95" t="b">
        <f>K3='C | person'!AD22</f>
        <v>0</v>
      </c>
      <c r="L25" s="95" t="b">
        <f>L3='C | person'!AG22</f>
        <v>1</v>
      </c>
      <c r="M25" s="95" t="b">
        <f>M3='C | person'!AJ22</f>
        <v>1</v>
      </c>
      <c r="N25" s="97"/>
    </row>
    <row r="26" spans="1:16" ht="15.6" thickTop="1" thickBot="1" x14ac:dyDescent="0.35">
      <c r="A26" s="95" t="s">
        <v>165</v>
      </c>
      <c r="B26" s="121" t="b">
        <f>B2='P|C|BTC totals'!$C2</f>
        <v>1</v>
      </c>
      <c r="C26" s="121" t="b">
        <f>C2='P|C|BTC totals'!$C3</f>
        <v>1</v>
      </c>
      <c r="D26" s="121" t="b">
        <f>D2='P|C|BTC totals'!$C4</f>
        <v>1</v>
      </c>
      <c r="E26" s="95" t="b">
        <f>E2='P|C|BTC totals'!$C5</f>
        <v>1</v>
      </c>
      <c r="F26" s="95" t="b">
        <f>F2='P|C|BTC totals'!$C6</f>
        <v>1</v>
      </c>
      <c r="G26" s="95" t="b">
        <f>G2='P|C|BTC totals'!$C7</f>
        <v>1</v>
      </c>
      <c r="H26" s="95" t="b">
        <f>H2='P|C|BTC totals'!$C8</f>
        <v>1</v>
      </c>
      <c r="I26" s="95" t="b">
        <f>I2='P|C|BTC totals'!$C9</f>
        <v>1</v>
      </c>
      <c r="J26" s="95" t="b">
        <f>J2='P|C|BTC totals'!$C10</f>
        <v>1</v>
      </c>
      <c r="K26" s="95" t="b">
        <f>K2='P|C|BTC totals'!$C11</f>
        <v>0</v>
      </c>
      <c r="L26" s="95" t="b">
        <f>L2='P|C|BTC totals'!$C12</f>
        <v>1</v>
      </c>
      <c r="M26" s="95" t="b">
        <f>M2='P|C|BTC totals'!$C13</f>
        <v>1</v>
      </c>
      <c r="N26" s="97"/>
    </row>
    <row r="27" spans="1:16" ht="15.6" thickTop="1" thickBot="1" x14ac:dyDescent="0.35">
      <c r="A27" s="104" t="s">
        <v>167</v>
      </c>
      <c r="B27" s="95" t="b">
        <f>IF(B$24='P|C|BTC totals'!$B2,TRUE,B$24-'P|C|BTC totals'!$B2)</f>
        <v>1</v>
      </c>
      <c r="C27" s="95" t="b">
        <f>IF(C$24='P|C|BTC totals'!$B3,TRUE,C$24-'P|C|BTC totals'!$B3)</f>
        <v>1</v>
      </c>
      <c r="D27" s="95" t="b">
        <f>IF(D$24='P|C|BTC totals'!$B4,TRUE,D$24-'P|C|BTC totals'!$B4)</f>
        <v>1</v>
      </c>
      <c r="E27" s="95">
        <f>IF(E$24='P|C|BTC totals'!$B5,TRUE,E$24-'P|C|BTC totals'!$B5)</f>
        <v>1.4561857862665339E-2</v>
      </c>
      <c r="F27" s="121">
        <f>IF(F$24='P|C|BTC totals'!$B6,TRUE,ROUND(F$24-'P|C|BTC totals'!$B6,8))</f>
        <v>-8.5905400000000007E-3</v>
      </c>
      <c r="G27" s="95" t="b">
        <f>IF(G$24='P|C|BTC totals'!$B7,TRUE,G$24-'P|C|BTC totals'!$B7)</f>
        <v>1</v>
      </c>
      <c r="H27" s="121">
        <f>IF(H$24='P|C|BTC totals'!$B8,TRUE,ROUND(H$24-'P|C|BTC totals'!$B8,8))</f>
        <v>-9.6480000000000003E-4</v>
      </c>
      <c r="I27" s="95">
        <f>IF(I$24='P|C|BTC totals'!$B9,TRUE,I$24-'P|C|BTC totals'!$B9)</f>
        <v>-1.6807553226513131E-2</v>
      </c>
      <c r="J27" s="95">
        <f>IF(J$24='P|C|BTC totals'!$B10,TRUE,J$24-'P|C|BTC totals'!$B10)</f>
        <v>-2.470626450202032E-3</v>
      </c>
      <c r="K27" s="95">
        <f>IF(K$24='P|C|BTC totals'!$B11,TRUE,K$24-'P|C|BTC totals'!$B11)</f>
        <v>8.2511099999999976E-2</v>
      </c>
      <c r="L27" s="95" t="b">
        <f>IF(L$24='P|C|BTC totals'!$B12,TRUE,L$24-'P|C|BTC totals'!$B12)</f>
        <v>1</v>
      </c>
      <c r="M27" s="95" t="b">
        <f>IF(M$24='P|C|BTC totals'!$B13,TRUE,M$24-'P|C|BTC totals'!$B13)</f>
        <v>1</v>
      </c>
      <c r="N27" s="113"/>
    </row>
    <row r="28" spans="1:16" ht="15.6" thickTop="1" thickBot="1" x14ac:dyDescent="0.35">
      <c r="A28" s="97" t="s">
        <v>172</v>
      </c>
      <c r="B28" s="120"/>
      <c r="C28" s="120"/>
      <c r="D28" s="120"/>
      <c r="E28" s="120">
        <v>-6.3173788295729097E-3</v>
      </c>
      <c r="F28" s="120">
        <v>-8.5905400000000007E-3</v>
      </c>
      <c r="G28" s="120"/>
      <c r="H28" s="120">
        <v>-9.6480000000000003E-4</v>
      </c>
      <c r="I28" s="120"/>
      <c r="J28" s="120"/>
      <c r="K28" s="120"/>
      <c r="L28" s="120"/>
      <c r="M28" s="120"/>
      <c r="N28" s="97">
        <f>E28+F28+H28</f>
        <v>-1.5872718829572911E-2</v>
      </c>
    </row>
    <row r="29" spans="1:16" ht="15.6" thickTop="1" thickBot="1" x14ac:dyDescent="0.35">
      <c r="A29" s="26" t="s">
        <v>122</v>
      </c>
      <c r="B29" t="s">
        <v>168</v>
      </c>
      <c r="C29" t="s">
        <v>110</v>
      </c>
      <c r="D29" t="s">
        <v>111</v>
      </c>
      <c r="E29" t="s">
        <v>112</v>
      </c>
      <c r="F29" t="s">
        <v>113</v>
      </c>
      <c r="G29" t="s">
        <v>114</v>
      </c>
      <c r="H29" t="s">
        <v>115</v>
      </c>
      <c r="I29" t="s">
        <v>116</v>
      </c>
      <c r="J29" t="s">
        <v>117</v>
      </c>
      <c r="K29" t="s">
        <v>118</v>
      </c>
      <c r="L29" t="s">
        <v>119</v>
      </c>
      <c r="M29" t="s">
        <v>120</v>
      </c>
      <c r="N29" s="97" t="s">
        <v>174</v>
      </c>
    </row>
    <row r="30" spans="1:16" ht="15" thickTop="1" x14ac:dyDescent="0.3"/>
    <row r="31" spans="1:16" x14ac:dyDescent="0.3">
      <c r="B31" s="175" t="s">
        <v>173</v>
      </c>
      <c r="C31" s="175"/>
      <c r="D31" s="175"/>
      <c r="E31" s="175"/>
      <c r="F31" s="175"/>
      <c r="G31" s="175"/>
      <c r="H31" s="175"/>
      <c r="I31" s="175"/>
      <c r="J31" s="175"/>
      <c r="K31" s="175"/>
      <c r="L31" s="175"/>
      <c r="M31" s="175"/>
      <c r="N31" s="175"/>
      <c r="O31" s="175"/>
    </row>
    <row r="32" spans="1:16" ht="14.4" customHeight="1" x14ac:dyDescent="0.3">
      <c r="B32" s="175" t="s">
        <v>169</v>
      </c>
      <c r="C32" s="175"/>
      <c r="D32" s="175"/>
      <c r="E32" s="175"/>
      <c r="F32" s="175"/>
      <c r="G32" s="175"/>
      <c r="H32" s="175"/>
      <c r="I32" s="175"/>
      <c r="J32" s="175"/>
      <c r="K32" s="175"/>
      <c r="L32" s="175"/>
      <c r="M32" s="175"/>
      <c r="N32" s="175"/>
      <c r="O32" s="175"/>
    </row>
    <row r="33" ht="14.4" customHeight="1" x14ac:dyDescent="0.3"/>
    <row r="34" ht="14.4" customHeight="1" x14ac:dyDescent="0.3"/>
    <row r="35" ht="14.4" customHeight="1" x14ac:dyDescent="0.3"/>
    <row r="36" ht="14.4" customHeight="1" x14ac:dyDescent="0.3"/>
    <row r="37" ht="14.4" customHeight="1" x14ac:dyDescent="0.3"/>
  </sheetData>
  <mergeCells count="3">
    <mergeCell ref="B31:O31"/>
    <mergeCell ref="B32:O32"/>
    <mergeCell ref="B1:M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C0BE-67BA-4EF2-87F1-2BF17A0D7FBF}">
  <sheetPr>
    <tabColor theme="9"/>
  </sheetPr>
  <dimension ref="A1:AD32"/>
  <sheetViews>
    <sheetView zoomScaleNormal="100" workbookViewId="0">
      <pane xSplit="1" topLeftCell="B1" activePane="topRight" state="frozen"/>
      <selection pane="topRight" activeCell="W2" sqref="W2"/>
    </sheetView>
  </sheetViews>
  <sheetFormatPr defaultRowHeight="14.4" x14ac:dyDescent="0.3"/>
  <cols>
    <col min="1" max="1" width="18.88671875" bestFit="1" customWidth="1"/>
    <col min="2" max="2" width="4.44140625" bestFit="1" customWidth="1"/>
    <col min="3" max="3" width="10.5546875" customWidth="1"/>
    <col min="4" max="4" width="2.44140625" customWidth="1"/>
    <col min="5" max="5" width="4.21875" bestFit="1" customWidth="1"/>
    <col min="6" max="6" width="2.44140625" customWidth="1"/>
    <col min="7" max="7" width="4.21875" bestFit="1" customWidth="1"/>
    <col min="8" max="8" width="4.44140625" customWidth="1"/>
    <col min="9" max="9" width="10.5546875" bestFit="1" customWidth="1"/>
    <col min="10" max="10" width="4.44140625" customWidth="1"/>
    <col min="11" max="11" width="10.5546875" customWidth="1"/>
    <col min="12" max="12" width="4.44140625" customWidth="1"/>
    <col min="13" max="13" width="10.5546875" bestFit="1" customWidth="1"/>
    <col min="14" max="14" width="4.44140625" customWidth="1"/>
    <col min="15" max="15" width="10.5546875" customWidth="1"/>
    <col min="16" max="16" width="4.44140625" bestFit="1" customWidth="1"/>
    <col min="17" max="17" width="10.5546875" bestFit="1" customWidth="1"/>
    <col min="18" max="18" width="4.44140625" bestFit="1" customWidth="1"/>
    <col min="19" max="19" width="10.5546875" bestFit="1" customWidth="1"/>
    <col min="20" max="20" width="4.44140625" bestFit="1" customWidth="1"/>
    <col min="21" max="21" width="10.5546875" bestFit="1" customWidth="1"/>
    <col min="22" max="22" width="4.44140625" bestFit="1" customWidth="1"/>
    <col min="23" max="23" width="10.5546875" bestFit="1" customWidth="1"/>
    <col min="24" max="24" width="2.44140625" bestFit="1" customWidth="1"/>
    <col min="25" max="26" width="10.5546875" bestFit="1" customWidth="1"/>
    <col min="27" max="27" width="28.33203125" bestFit="1" customWidth="1"/>
    <col min="28" max="28" width="14.5546875" bestFit="1" customWidth="1"/>
  </cols>
  <sheetData>
    <row r="1" spans="1:28" ht="15" thickBot="1" x14ac:dyDescent="0.35">
      <c r="A1" s="123" t="s">
        <v>1</v>
      </c>
      <c r="B1" s="59" t="s">
        <v>135</v>
      </c>
      <c r="C1" s="52" t="s">
        <v>177</v>
      </c>
      <c r="D1" s="51" t="s">
        <v>135</v>
      </c>
      <c r="E1" s="52" t="s">
        <v>177</v>
      </c>
      <c r="F1" s="60" t="s">
        <v>135</v>
      </c>
      <c r="G1" s="52" t="s">
        <v>177</v>
      </c>
      <c r="H1" s="51" t="s">
        <v>135</v>
      </c>
      <c r="I1" s="52" t="s">
        <v>177</v>
      </c>
      <c r="J1" s="60" t="s">
        <v>135</v>
      </c>
      <c r="K1" s="52" t="s">
        <v>177</v>
      </c>
      <c r="L1" s="51" t="s">
        <v>135</v>
      </c>
      <c r="M1" s="52" t="s">
        <v>177</v>
      </c>
      <c r="N1" s="60" t="s">
        <v>135</v>
      </c>
      <c r="O1" s="52" t="s">
        <v>177</v>
      </c>
      <c r="P1" s="51" t="s">
        <v>135</v>
      </c>
      <c r="Q1" s="52" t="s">
        <v>177</v>
      </c>
      <c r="R1" s="60" t="s">
        <v>135</v>
      </c>
      <c r="S1" s="52" t="s">
        <v>177</v>
      </c>
      <c r="T1" s="51" t="s">
        <v>135</v>
      </c>
      <c r="U1" s="52" t="s">
        <v>177</v>
      </c>
      <c r="V1" s="60" t="s">
        <v>135</v>
      </c>
      <c r="W1" s="52" t="s">
        <v>177</v>
      </c>
      <c r="X1" s="51" t="s">
        <v>135</v>
      </c>
      <c r="Y1" s="52" t="s">
        <v>177</v>
      </c>
      <c r="Z1" s="118" t="s">
        <v>170</v>
      </c>
      <c r="AA1" s="105"/>
      <c r="AB1" s="105"/>
    </row>
    <row r="2" spans="1:28" ht="15.6" thickTop="1" thickBot="1" x14ac:dyDescent="0.35">
      <c r="A2" s="87" t="s">
        <v>6</v>
      </c>
      <c r="B2" s="61">
        <v>3.5082788419191435E-2</v>
      </c>
      <c r="C2" s="30">
        <v>0</v>
      </c>
      <c r="D2" s="53"/>
      <c r="E2" s="54">
        <v>0</v>
      </c>
      <c r="F2" s="65"/>
      <c r="G2" s="54">
        <v>0</v>
      </c>
      <c r="H2" s="72">
        <v>2.896185699435793E-2</v>
      </c>
      <c r="I2" s="77">
        <v>7.9853880887195295E-3</v>
      </c>
      <c r="J2" s="70">
        <v>2.9602528285712807E-2</v>
      </c>
      <c r="K2" s="81">
        <v>3.8273011428280037E-3</v>
      </c>
      <c r="L2" s="72">
        <v>3.0398602168071259E-2</v>
      </c>
      <c r="M2" s="77">
        <v>4.4882683724352416E-3</v>
      </c>
      <c r="N2" s="86">
        <v>2.9819748528357046E-2</v>
      </c>
      <c r="O2" s="81">
        <v>1.0493864400933468E-3</v>
      </c>
      <c r="P2" s="72">
        <v>3.027168607218602E-2</v>
      </c>
      <c r="Q2" s="77">
        <v>2.8784197778272107E-3</v>
      </c>
      <c r="R2" s="70">
        <v>3.033114046595578E-2</v>
      </c>
      <c r="S2" s="81">
        <v>8.8653124971069296E-4</v>
      </c>
      <c r="T2" s="72">
        <v>3.0817365780493801E-2</v>
      </c>
      <c r="U2" s="77">
        <v>2.2529494568956521E-3</v>
      </c>
      <c r="V2" s="70">
        <v>3.0340680991490582E-2</v>
      </c>
      <c r="W2" s="80"/>
      <c r="X2" s="53"/>
      <c r="Y2" s="54"/>
      <c r="Z2" s="113">
        <f>I2+K2+M2+O2+Q2+S2+U2+W2+Y2</f>
        <v>2.3368244528509677E-2</v>
      </c>
    </row>
    <row r="3" spans="1:28" ht="15.6" thickTop="1" thickBot="1" x14ac:dyDescent="0.35">
      <c r="A3" t="s">
        <v>24</v>
      </c>
      <c r="B3" s="61">
        <v>5.5844822385542406E-2</v>
      </c>
      <c r="C3" s="30">
        <v>0</v>
      </c>
      <c r="D3" s="53"/>
      <c r="E3" s="54">
        <v>0</v>
      </c>
      <c r="F3" s="65"/>
      <c r="G3" s="54">
        <v>0</v>
      </c>
      <c r="H3" s="72">
        <v>4.6101516803055582E-2</v>
      </c>
      <c r="I3" s="77">
        <v>4.8752662294622899E-3</v>
      </c>
      <c r="J3" s="70">
        <v>4.7121338091082314E-2</v>
      </c>
      <c r="K3" s="81">
        <v>1.9982461547810942E-3</v>
      </c>
      <c r="L3" s="72">
        <v>4.8388529399677319E-2</v>
      </c>
      <c r="M3" s="77">
        <v>7.1444306844259181E-3</v>
      </c>
      <c r="N3" s="86">
        <v>4.7467109519626342E-2</v>
      </c>
      <c r="O3" s="81">
        <v>1.6704145252249083E-3</v>
      </c>
      <c r="P3" s="72">
        <v>4.818650421433885E-2</v>
      </c>
      <c r="Q3" s="77">
        <v>4.5818718661444916E-3</v>
      </c>
      <c r="R3" s="70">
        <v>4.8281143785756042E-2</v>
      </c>
      <c r="S3" s="81">
        <v>1.4111814485146226E-3</v>
      </c>
      <c r="T3" s="72">
        <v>4.9055117792761609E-2</v>
      </c>
      <c r="U3" s="77">
        <v>3.5862475000737592E-3</v>
      </c>
      <c r="V3" s="70">
        <v>4.82963304051202E-2</v>
      </c>
      <c r="W3" s="50"/>
      <c r="X3" s="53"/>
      <c r="Y3" s="54"/>
      <c r="Z3" s="113">
        <f t="shared" ref="Z3:Z16" si="0">I3+K3+M3+O3+Q3+S3+U3+W3+Y3</f>
        <v>2.5267658408627082E-2</v>
      </c>
    </row>
    <row r="4" spans="1:28" ht="15.6" thickTop="1" thickBot="1" x14ac:dyDescent="0.35">
      <c r="A4" t="s">
        <v>26</v>
      </c>
      <c r="B4" s="61">
        <v>5.5844822385542406E-2</v>
      </c>
      <c r="C4" s="30">
        <v>0</v>
      </c>
      <c r="D4" s="53"/>
      <c r="E4" s="54">
        <v>0</v>
      </c>
      <c r="F4" s="65"/>
      <c r="G4" s="54">
        <v>0</v>
      </c>
      <c r="H4" s="72">
        <v>4.6101516803055582E-2</v>
      </c>
      <c r="I4" s="77">
        <v>4.8752662294622899E-3</v>
      </c>
      <c r="J4" s="70">
        <v>4.7121338091082314E-2</v>
      </c>
      <c r="K4" s="81">
        <v>2.0999999999999999E-3</v>
      </c>
      <c r="L4" s="72">
        <v>4.8388529399677319E-2</v>
      </c>
      <c r="M4" s="77">
        <v>7.1444306844259181E-3</v>
      </c>
      <c r="N4" s="86">
        <v>4.7467109519626342E-2</v>
      </c>
      <c r="O4" s="88">
        <v>1.57041452522491E-3</v>
      </c>
      <c r="P4" s="72">
        <v>4.818650421433885E-2</v>
      </c>
      <c r="Q4" s="77">
        <v>4.5818718661444916E-3</v>
      </c>
      <c r="R4" s="70">
        <v>4.8281143785756042E-2</v>
      </c>
      <c r="S4" s="81">
        <v>1.4111814485146226E-3</v>
      </c>
      <c r="T4" s="72">
        <v>4.9055117792761609E-2</v>
      </c>
      <c r="U4" s="77">
        <v>3.5862475000737592E-3</v>
      </c>
      <c r="V4" s="70">
        <v>4.82963304051202E-2</v>
      </c>
      <c r="W4" s="80"/>
      <c r="X4" s="53"/>
      <c r="Y4" s="54"/>
      <c r="Z4" s="113">
        <f t="shared" si="0"/>
        <v>2.5269412253845991E-2</v>
      </c>
    </row>
    <row r="5" spans="1:28" ht="15.6" thickTop="1" thickBot="1" x14ac:dyDescent="0.35">
      <c r="A5" s="79" t="s">
        <v>144</v>
      </c>
      <c r="B5" s="61">
        <v>5.4088923470178914E-2</v>
      </c>
      <c r="C5" s="30">
        <v>0</v>
      </c>
      <c r="D5" s="53"/>
      <c r="E5" s="54">
        <v>0</v>
      </c>
      <c r="F5" s="65"/>
      <c r="G5" s="54">
        <v>0</v>
      </c>
      <c r="H5" s="72">
        <v>4.4651971439794581E-2</v>
      </c>
      <c r="I5" s="77">
        <v>1.2311479921423625E-2</v>
      </c>
      <c r="J5" s="70">
        <v>4.563972703189792E-2</v>
      </c>
      <c r="K5" s="81">
        <v>5.900745292483891E-3</v>
      </c>
      <c r="L5" s="72">
        <v>4.686707472116939E-2</v>
      </c>
      <c r="M5" s="77">
        <v>6.9197921673031411E-3</v>
      </c>
      <c r="N5" s="86">
        <v>4.5974626554141446E-2</v>
      </c>
      <c r="O5" s="81">
        <v>1.6178925737215016E-3</v>
      </c>
      <c r="P5" s="72">
        <v>4.6671401705802251E-2</v>
      </c>
      <c r="Q5" s="77">
        <v>4.437806516906664E-3</v>
      </c>
      <c r="R5" s="70">
        <v>4.6763065575736243E-2</v>
      </c>
      <c r="S5" s="81">
        <v>1.3668104241478336E-3</v>
      </c>
      <c r="T5" s="72">
        <v>4.75127039315325E-2</v>
      </c>
      <c r="U5" s="77">
        <v>3.4734870358693864E-3</v>
      </c>
      <c r="V5" s="70">
        <v>4.6777774690341133E-2</v>
      </c>
      <c r="W5" s="80"/>
      <c r="X5" s="53"/>
      <c r="Y5" s="54"/>
      <c r="Z5" s="113">
        <f t="shared" si="0"/>
        <v>3.6028013931856041E-2</v>
      </c>
    </row>
    <row r="6" spans="1:28" ht="15.6" thickTop="1" thickBot="1" x14ac:dyDescent="0.35">
      <c r="A6" t="s">
        <v>41</v>
      </c>
      <c r="B6" s="61">
        <v>3.3613993090694974E-2</v>
      </c>
      <c r="C6" s="30">
        <v>0</v>
      </c>
      <c r="D6" s="53"/>
      <c r="E6" s="54">
        <v>0</v>
      </c>
      <c r="F6" s="65"/>
      <c r="G6" s="54">
        <v>0</v>
      </c>
      <c r="H6" s="72">
        <v>2.7749323949674824E-2</v>
      </c>
      <c r="I6" s="77">
        <v>2.9345095633229179E-3</v>
      </c>
      <c r="J6" s="70">
        <v>2.8363172544139136E-2</v>
      </c>
      <c r="K6" s="81">
        <v>1.2027799457682367E-3</v>
      </c>
      <c r="L6" s="72">
        <v>2.9125917559203032E-2</v>
      </c>
      <c r="M6" s="77">
        <v>4.3003600585434908E-3</v>
      </c>
      <c r="N6" s="86">
        <v>2.8571298524553174E-2</v>
      </c>
      <c r="O6" s="77">
        <v>1.0054522498408559E-3</v>
      </c>
      <c r="P6" s="72">
        <v>2.9004315002439027E-2</v>
      </c>
      <c r="Q6" s="77">
        <v>2.7579102712108079E-3</v>
      </c>
      <c r="R6" s="70">
        <v>2.9061280245837266E-2</v>
      </c>
      <c r="S6" s="81">
        <v>8.4941524448948645E-4</v>
      </c>
      <c r="T6" s="72">
        <v>2.9527148983752673E-2</v>
      </c>
      <c r="U6" s="77">
        <v>2.158626234975904E-3</v>
      </c>
      <c r="V6" s="70">
        <v>2.90704213424792E-2</v>
      </c>
      <c r="W6" s="80"/>
      <c r="X6" s="53"/>
      <c r="Y6" s="54"/>
      <c r="Z6" s="113">
        <f t="shared" si="0"/>
        <v>1.5209053568151701E-2</v>
      </c>
    </row>
    <row r="7" spans="1:28" ht="15.6" thickTop="1" thickBot="1" x14ac:dyDescent="0.35">
      <c r="A7" t="s">
        <v>42</v>
      </c>
      <c r="B7" s="61">
        <v>0.49907676268635631</v>
      </c>
      <c r="C7" s="66">
        <v>7.8217990290421393E-3</v>
      </c>
      <c r="D7" s="53"/>
      <c r="E7" s="54">
        <v>0</v>
      </c>
      <c r="F7" s="65"/>
      <c r="G7" s="54">
        <v>0</v>
      </c>
      <c r="H7" s="72">
        <v>0.41200230886500588</v>
      </c>
      <c r="I7" s="77">
        <v>4.3569519663546614E-2</v>
      </c>
      <c r="J7" s="70">
        <v>0.42111629804439987</v>
      </c>
      <c r="K7" s="81">
        <v>1.7858024779693674E-2</v>
      </c>
      <c r="L7" s="72">
        <v>0.43244099582267786</v>
      </c>
      <c r="M7" s="77">
        <v>6.3848700468666086E-2</v>
      </c>
      <c r="N7" s="86">
        <v>0.42420640519875386</v>
      </c>
      <c r="O7" s="81">
        <v>1.4928242905636685E-2</v>
      </c>
      <c r="P7" s="72">
        <v>0.43063552718345921</v>
      </c>
      <c r="Q7" s="77">
        <f>0.040947498448685-0.00794435218245695</f>
        <v>3.3003146266228051E-2</v>
      </c>
      <c r="R7" s="70">
        <v>0.43148130677245733</v>
      </c>
      <c r="S7" s="81">
        <v>1.2611515961595269E-2</v>
      </c>
      <c r="T7" s="72">
        <v>0.43839819584684586</v>
      </c>
      <c r="U7" s="77">
        <v>3.2049753514700276E-2</v>
      </c>
      <c r="V7" s="70">
        <v>0.43161702730132012</v>
      </c>
      <c r="W7" s="50"/>
      <c r="X7" s="53"/>
      <c r="Y7" s="54"/>
      <c r="Z7" s="113">
        <f>C7+I7+K7+M7+O7+Q7+S7+U7+W7+Y7</f>
        <v>0.22569070258910878</v>
      </c>
      <c r="AA7" s="125" t="s">
        <v>210</v>
      </c>
      <c r="AB7" s="83" t="s">
        <v>211</v>
      </c>
    </row>
    <row r="8" spans="1:28" ht="15.6" thickTop="1" thickBot="1" x14ac:dyDescent="0.35">
      <c r="A8" t="s">
        <v>80</v>
      </c>
      <c r="B8" s="61">
        <v>5.2761882190833692E-2</v>
      </c>
      <c r="C8" s="30">
        <v>0</v>
      </c>
      <c r="D8" s="53"/>
      <c r="E8" s="54">
        <v>0</v>
      </c>
      <c r="F8" s="65"/>
      <c r="G8" s="54">
        <v>0</v>
      </c>
      <c r="H8" s="72">
        <v>4.3556460464475935E-2</v>
      </c>
      <c r="I8" s="77">
        <v>4.6061248198084118E-3</v>
      </c>
      <c r="J8" s="70">
        <v>4.4519982029341744E-2</v>
      </c>
      <c r="K8" s="81">
        <v>1.8879320177431793E-3</v>
      </c>
      <c r="L8" s="72">
        <v>4.571721743418828E-2</v>
      </c>
      <c r="M8" s="77">
        <v>6.7500189630802128E-3</v>
      </c>
      <c r="N8" s="86">
        <v>4.4846664980392179E-2</v>
      </c>
      <c r="O8" s="81">
        <v>1.578198490476191E-3</v>
      </c>
      <c r="P8" s="72">
        <v>4.5526345146067813E-2</v>
      </c>
      <c r="Q8" s="77">
        <v>4.3289274329861042E-3</v>
      </c>
      <c r="R8" s="70">
        <v>4.5615760094569781E-2</v>
      </c>
      <c r="S8" s="81">
        <v>1.3332765000555276E-3</v>
      </c>
      <c r="T8" s="72">
        <v>4.6347006495435182E-2</v>
      </c>
      <c r="U8" s="77">
        <v>3.3882669873984547E-3</v>
      </c>
      <c r="V8" s="70">
        <v>4.563010832933069E-2</v>
      </c>
      <c r="W8" s="50"/>
      <c r="X8" s="53"/>
      <c r="Y8" s="54"/>
      <c r="Z8" s="113">
        <f t="shared" si="0"/>
        <v>2.3872745211548082E-2</v>
      </c>
    </row>
    <row r="9" spans="1:28" ht="15.6" thickTop="1" thickBot="1" x14ac:dyDescent="0.35">
      <c r="A9" t="s">
        <v>8</v>
      </c>
      <c r="B9" s="61">
        <v>2.9750755377722524E-2</v>
      </c>
      <c r="C9" s="30">
        <v>0</v>
      </c>
      <c r="D9" s="53"/>
      <c r="E9" s="54">
        <v>0</v>
      </c>
      <c r="F9" s="65"/>
      <c r="G9" s="54">
        <v>0</v>
      </c>
      <c r="H9" s="72">
        <v>2.4560109431107282E-2</v>
      </c>
      <c r="I9" s="77">
        <v>2.597247995394362E-3</v>
      </c>
      <c r="J9" s="70">
        <v>2.5103408744687552E-2</v>
      </c>
      <c r="K9" s="81">
        <v>1.0645451090333803E-3</v>
      </c>
      <c r="L9" s="72">
        <v>2.5778491895252751E-2</v>
      </c>
      <c r="M9" s="77">
        <v>3.8061220454427939E-3</v>
      </c>
      <c r="N9" s="86">
        <v>2.5287614920798202E-2</v>
      </c>
      <c r="O9" s="81">
        <v>8.8989617652050269E-4</v>
      </c>
      <c r="P9" s="72">
        <v>2.56708650533649E-2</v>
      </c>
      <c r="Q9" s="77">
        <v>2.4409451626624559E-3</v>
      </c>
      <c r="R9" s="70">
        <v>2.5721283312713047E-2</v>
      </c>
      <c r="S9" s="81">
        <v>7.5179241825662566E-4</v>
      </c>
      <c r="T9" s="72">
        <v>2.6133610013157522E-2</v>
      </c>
      <c r="U9" s="77">
        <v>1.910536510655733E-3</v>
      </c>
      <c r="V9" s="70">
        <v>2.5729373828152394E-2</v>
      </c>
      <c r="W9" s="80"/>
      <c r="X9" s="53"/>
      <c r="Y9" s="54"/>
      <c r="Z9" s="113">
        <f>I9+K9+M9+O9+Q9+S9+U9+W9+Y9</f>
        <v>1.3461085417965854E-2</v>
      </c>
    </row>
    <row r="10" spans="1:28" ht="15.6" thickTop="1" thickBot="1" x14ac:dyDescent="0.35">
      <c r="A10" t="s">
        <v>11</v>
      </c>
      <c r="B10" s="61">
        <v>4.420240091426389E-2</v>
      </c>
      <c r="C10" s="30">
        <v>0</v>
      </c>
      <c r="D10" s="53"/>
      <c r="E10" s="54">
        <v>0</v>
      </c>
      <c r="F10" s="65"/>
      <c r="G10" s="54">
        <v>0</v>
      </c>
      <c r="H10" s="72">
        <v>3.8006027299676275E-2</v>
      </c>
      <c r="I10" s="77">
        <v>4.0191628011218214E-3</v>
      </c>
      <c r="J10" s="70">
        <v>2.6337019556000801E-2</v>
      </c>
      <c r="K10" s="81">
        <v>1.1168580984361493E-3</v>
      </c>
      <c r="L10" s="72">
        <v>2.5547221238984976E-2</v>
      </c>
      <c r="M10" s="77">
        <v>3.7719755815277772E-3</v>
      </c>
      <c r="N10" s="86">
        <v>3.0903104023845392E-2</v>
      </c>
      <c r="O10" s="81">
        <v>1.0875107913327605E-3</v>
      </c>
      <c r="P10" s="72">
        <v>2.9351587877331678E-2</v>
      </c>
      <c r="Q10" s="77">
        <v>2.7909311313310623E-3</v>
      </c>
      <c r="R10" s="70">
        <v>2.9409235173860362E-2</v>
      </c>
      <c r="S10" s="88">
        <v>8.595854165451514E-4</v>
      </c>
      <c r="T10" s="72">
        <v>3.0391392641194736E-2</v>
      </c>
      <c r="U10" s="77">
        <v>2.2218080556587103E-3</v>
      </c>
      <c r="V10" s="70">
        <v>2.9921296829246664E-2</v>
      </c>
      <c r="W10" s="50"/>
      <c r="X10" s="53"/>
      <c r="Y10" s="54"/>
      <c r="Z10" s="113">
        <f t="shared" si="0"/>
        <v>1.5867831875953434E-2</v>
      </c>
    </row>
    <row r="11" spans="1:28" ht="15.6" thickTop="1" thickBot="1" x14ac:dyDescent="0.35">
      <c r="A11" t="s">
        <v>31</v>
      </c>
      <c r="B11" s="61">
        <v>0.1108209900338412</v>
      </c>
      <c r="C11" s="30">
        <v>0</v>
      </c>
      <c r="D11" s="53"/>
      <c r="E11" s="54">
        <v>0</v>
      </c>
      <c r="F11" s="65"/>
      <c r="G11" s="54">
        <v>0</v>
      </c>
      <c r="H11" s="72">
        <v>0.10051046378125904</v>
      </c>
      <c r="I11" s="77">
        <v>1.0629048755026795E-2</v>
      </c>
      <c r="J11" s="70">
        <v>8.0644942653977036E-2</v>
      </c>
      <c r="K11" s="81">
        <v>3.419861427732858E-3</v>
      </c>
      <c r="L11" s="72">
        <v>5.7419618698388332E-2</v>
      </c>
      <c r="M11" s="77">
        <v>8.477845696206205E-3</v>
      </c>
      <c r="N11" s="86">
        <v>6.9525985641524485E-2</v>
      </c>
      <c r="O11" s="81">
        <v>2.4466881904439829E-3</v>
      </c>
      <c r="P11" s="72">
        <v>5.7443923780831935E-2</v>
      </c>
      <c r="Q11" s="77">
        <v>5.4621247700724837E-3</v>
      </c>
      <c r="R11" s="70">
        <v>7.357248433424031E-2</v>
      </c>
      <c r="S11" s="81">
        <v>2.1504073199741162E-3</v>
      </c>
      <c r="T11" s="72">
        <v>5.821061714026135E-2</v>
      </c>
      <c r="U11" s="77">
        <v>4.2555739256183479E-3</v>
      </c>
      <c r="V11" s="70">
        <v>7.2778269562329384E-2</v>
      </c>
      <c r="W11" s="50"/>
      <c r="X11" s="53"/>
      <c r="Y11" s="54"/>
      <c r="Z11" s="113">
        <f t="shared" si="0"/>
        <v>3.6841550085074781E-2</v>
      </c>
    </row>
    <row r="12" spans="1:28" ht="15.6" thickTop="1" thickBot="1" x14ac:dyDescent="0.35">
      <c r="A12" s="87" t="s">
        <v>25</v>
      </c>
      <c r="B12" s="61">
        <v>2.8911859045832308E-2</v>
      </c>
      <c r="C12" s="30">
        <v>0</v>
      </c>
      <c r="D12" s="53"/>
      <c r="E12" s="54">
        <v>0</v>
      </c>
      <c r="F12" s="65"/>
      <c r="G12" s="54">
        <v>0</v>
      </c>
      <c r="H12" s="72">
        <v>2.3867576234857545E-2</v>
      </c>
      <c r="I12" s="77">
        <v>6.5807886217229064E-3</v>
      </c>
      <c r="J12" s="70">
        <v>2.4395555876870006E-2</v>
      </c>
      <c r="K12" s="81">
        <v>1.0345276195356688E-3</v>
      </c>
      <c r="L12" s="72">
        <v>2.5051603383750204E-2</v>
      </c>
      <c r="M12" s="77">
        <v>3.698798994914829E-3</v>
      </c>
      <c r="N12" s="86">
        <v>2.4574567903000635E-2</v>
      </c>
      <c r="O12" s="115">
        <v>0</v>
      </c>
      <c r="P12" s="72">
        <v>2.4947011347591697E-2</v>
      </c>
      <c r="Q12" s="77">
        <f>0.00237211666008144+0.000864803346816919</f>
        <v>3.236920006898359E-3</v>
      </c>
      <c r="R12" s="70">
        <v>2.4996007939076609E-2</v>
      </c>
      <c r="S12" s="81">
        <v>7.3059376652455528E-4</v>
      </c>
      <c r="T12" s="72">
        <v>2.5396708065602146E-2</v>
      </c>
      <c r="U12" s="77">
        <v>1.8566641954696934E-3</v>
      </c>
      <c r="V12" s="70">
        <v>2.5003870322368081E-2</v>
      </c>
      <c r="W12" s="80"/>
      <c r="X12" s="53"/>
      <c r="Y12" s="54"/>
      <c r="Z12" s="113">
        <f t="shared" si="0"/>
        <v>1.7138293205066012E-2</v>
      </c>
    </row>
    <row r="13" spans="1:28" ht="15.6" thickTop="1" thickBot="1" x14ac:dyDescent="0.35">
      <c r="A13" s="4" t="s">
        <v>98</v>
      </c>
      <c r="B13" s="61" t="s">
        <v>142</v>
      </c>
      <c r="C13" s="66" t="s">
        <v>142</v>
      </c>
      <c r="D13" s="53" t="s">
        <v>142</v>
      </c>
      <c r="E13" s="54" t="s">
        <v>142</v>
      </c>
      <c r="F13" s="65" t="s">
        <v>142</v>
      </c>
      <c r="G13" s="54" t="s">
        <v>142</v>
      </c>
      <c r="H13" s="72" t="s">
        <v>142</v>
      </c>
      <c r="I13" s="66" t="s">
        <v>142</v>
      </c>
      <c r="J13" s="70" t="s">
        <v>142</v>
      </c>
      <c r="K13" s="80" t="s">
        <v>142</v>
      </c>
      <c r="L13" s="72" t="s">
        <v>142</v>
      </c>
      <c r="M13" s="66" t="s">
        <v>142</v>
      </c>
      <c r="N13" s="86" t="s">
        <v>142</v>
      </c>
      <c r="O13" s="80" t="s">
        <v>142</v>
      </c>
      <c r="P13" s="72" t="s">
        <v>142</v>
      </c>
      <c r="Q13" s="66" t="s">
        <v>142</v>
      </c>
      <c r="R13" s="70" t="s">
        <v>142</v>
      </c>
      <c r="S13" s="80" t="s">
        <v>142</v>
      </c>
      <c r="T13" s="72" t="s">
        <v>142</v>
      </c>
      <c r="U13" s="66" t="s">
        <v>142</v>
      </c>
      <c r="V13" s="70">
        <v>0</v>
      </c>
      <c r="W13" s="50" t="s">
        <v>142</v>
      </c>
      <c r="X13" s="53" t="s">
        <v>142</v>
      </c>
      <c r="Y13" s="54" t="s">
        <v>142</v>
      </c>
      <c r="Z13" s="113" t="s">
        <v>142</v>
      </c>
    </row>
    <row r="14" spans="1:28" ht="15.6" thickTop="1" thickBot="1" x14ac:dyDescent="0.35">
      <c r="A14" t="s">
        <v>136</v>
      </c>
      <c r="B14" s="61" t="s">
        <v>142</v>
      </c>
      <c r="C14" s="66" t="s">
        <v>142</v>
      </c>
      <c r="D14" s="53"/>
      <c r="E14" s="54">
        <v>0</v>
      </c>
      <c r="F14" s="65"/>
      <c r="G14" s="54">
        <v>0</v>
      </c>
      <c r="H14" s="72">
        <v>4.0176714060710009E-2</v>
      </c>
      <c r="I14" s="77">
        <v>4.2487143776137092E-3</v>
      </c>
      <c r="J14" s="70">
        <v>4.1065471549039757E-2</v>
      </c>
      <c r="K14" s="81">
        <v>1.7414386760097275E-3</v>
      </c>
      <c r="L14" s="72">
        <v>4.2169807943938237E-2</v>
      </c>
      <c r="M14" s="77">
        <v>6.2262538987810047E-3</v>
      </c>
      <c r="N14" s="86">
        <v>4.136680566510198E-2</v>
      </c>
      <c r="O14" s="81">
        <v>1.4557387998645999E-3</v>
      </c>
      <c r="P14" s="72">
        <v>4.1993746315877711E-2</v>
      </c>
      <c r="Q14" s="77">
        <v>3.9930260129032889E-3</v>
      </c>
      <c r="R14" s="70">
        <v>4.2076223146648814E-2</v>
      </c>
      <c r="S14" s="81">
        <v>1.2298214348772302E-3</v>
      </c>
      <c r="T14" s="72">
        <v>4.2750728770893781E-2</v>
      </c>
      <c r="U14" s="77">
        <v>3.1253557443005815E-3</v>
      </c>
      <c r="V14" s="70">
        <v>4.2089458035781624E-2</v>
      </c>
      <c r="W14" s="50"/>
      <c r="X14" s="53"/>
      <c r="Y14" s="54"/>
      <c r="Z14" s="113">
        <f t="shared" si="0"/>
        <v>2.2020348944350145E-2</v>
      </c>
    </row>
    <row r="15" spans="1:28" ht="15.6" thickTop="1" thickBot="1" x14ac:dyDescent="0.35">
      <c r="A15" s="87" t="s">
        <v>139</v>
      </c>
      <c r="B15" s="61" t="s">
        <v>142</v>
      </c>
      <c r="C15" s="66" t="s">
        <v>142</v>
      </c>
      <c r="D15" s="53"/>
      <c r="E15" s="54">
        <v>0</v>
      </c>
      <c r="F15" s="65"/>
      <c r="G15" s="54">
        <v>0</v>
      </c>
      <c r="H15" s="72">
        <v>3.8081115934578788E-2</v>
      </c>
      <c r="I15" s="77">
        <v>1.0499757997160651E-2</v>
      </c>
      <c r="J15" s="70">
        <v>3.8923516258798134E-2</v>
      </c>
      <c r="K15" s="81">
        <v>5.0324086112631637E-3</v>
      </c>
      <c r="L15" s="72">
        <v>3.9970250997267705E-2</v>
      </c>
      <c r="M15" s="77">
        <v>5.9014954831627794E-3</v>
      </c>
      <c r="N15" s="86">
        <v>3.9209132931965325E-2</v>
      </c>
      <c r="O15" s="81">
        <v>1.3798081626172874E-3</v>
      </c>
      <c r="P15" s="72">
        <v>3.980337265924154E-2</v>
      </c>
      <c r="Q15" s="77">
        <v>3.7847516921714086E-3</v>
      </c>
      <c r="R15" s="70">
        <v>3.9881547538097112E-2</v>
      </c>
      <c r="S15" s="81">
        <v>1.165674538978517E-3</v>
      </c>
      <c r="T15" s="72">
        <v>4.0520871272651027E-2</v>
      </c>
      <c r="U15" s="77">
        <v>2.9623386884170917E-3</v>
      </c>
      <c r="V15" s="70">
        <v>3.9894092101763673E-2</v>
      </c>
      <c r="W15" s="50"/>
      <c r="X15" s="53"/>
      <c r="Y15" s="54"/>
      <c r="Z15" s="113">
        <f t="shared" si="0"/>
        <v>3.0726235173770901E-2</v>
      </c>
    </row>
    <row r="16" spans="1:28" ht="15.6" thickTop="1" thickBot="1" x14ac:dyDescent="0.35">
      <c r="A16" s="87" t="s">
        <v>141</v>
      </c>
      <c r="B16" s="61" t="s">
        <v>142</v>
      </c>
      <c r="C16" s="66" t="s">
        <v>142</v>
      </c>
      <c r="D16" s="53"/>
      <c r="E16" s="54">
        <v>0</v>
      </c>
      <c r="F16" s="65"/>
      <c r="G16" s="54">
        <v>0</v>
      </c>
      <c r="H16" s="72">
        <v>8.5673037938390678E-2</v>
      </c>
      <c r="I16" s="77">
        <v>3.8183706176493123E-2</v>
      </c>
      <c r="J16" s="70">
        <v>0.10004570124297052</v>
      </c>
      <c r="K16" s="81">
        <v>4.2425776921852301E-3</v>
      </c>
      <c r="L16" s="72">
        <v>0.10273613933775325</v>
      </c>
      <c r="M16" s="77">
        <v>1.5168702901084562E-2</v>
      </c>
      <c r="N16" s="86">
        <v>0.10077982608831353</v>
      </c>
      <c r="O16" s="81">
        <v>3.5465417433508022E-3</v>
      </c>
      <c r="P16" s="72">
        <v>0.10230720942712847</v>
      </c>
      <c r="Q16" s="116">
        <v>0</v>
      </c>
      <c r="R16" s="70">
        <v>8.4528377829295218E-2</v>
      </c>
      <c r="S16" s="116">
        <v>0</v>
      </c>
      <c r="T16" s="72">
        <v>8.5883415472656127E-2</v>
      </c>
      <c r="U16" s="77">
        <v>5.542385092423655E-3</v>
      </c>
      <c r="V16" s="70">
        <v>8.4554965855155997E-2</v>
      </c>
      <c r="W16" s="50"/>
      <c r="X16" s="53"/>
      <c r="Y16" s="54"/>
      <c r="Z16" s="113">
        <f t="shared" si="0"/>
        <v>6.6683913605537368E-2</v>
      </c>
    </row>
    <row r="17" spans="1:30" ht="15.6" thickTop="1" thickBot="1" x14ac:dyDescent="0.35">
      <c r="A17" s="28" t="s">
        <v>99</v>
      </c>
      <c r="B17" s="61" t="s">
        <v>142</v>
      </c>
      <c r="C17" s="66" t="s">
        <v>142</v>
      </c>
      <c r="D17" s="53" t="s">
        <v>142</v>
      </c>
      <c r="E17" s="54" t="s">
        <v>142</v>
      </c>
      <c r="F17" s="65" t="s">
        <v>142</v>
      </c>
      <c r="G17" s="54" t="s">
        <v>142</v>
      </c>
      <c r="H17" s="53" t="s">
        <v>142</v>
      </c>
      <c r="I17" s="66" t="s">
        <v>142</v>
      </c>
      <c r="J17" s="53" t="s">
        <v>142</v>
      </c>
      <c r="K17" s="66" t="s">
        <v>142</v>
      </c>
      <c r="L17" s="53" t="s">
        <v>142</v>
      </c>
      <c r="M17" s="66" t="s">
        <v>142</v>
      </c>
      <c r="N17" s="53" t="s">
        <v>142</v>
      </c>
      <c r="O17" s="66" t="s">
        <v>142</v>
      </c>
      <c r="P17" s="53" t="s">
        <v>142</v>
      </c>
      <c r="Q17" s="66" t="s">
        <v>142</v>
      </c>
      <c r="R17" s="72" t="s">
        <v>142</v>
      </c>
      <c r="S17" s="66" t="s">
        <v>142</v>
      </c>
      <c r="T17" s="72" t="s">
        <v>142</v>
      </c>
      <c r="U17" s="66" t="s">
        <v>142</v>
      </c>
      <c r="V17" s="72">
        <v>0</v>
      </c>
      <c r="W17" s="66" t="s">
        <v>142</v>
      </c>
      <c r="X17" s="53" t="s">
        <v>142</v>
      </c>
      <c r="Y17" s="66" t="s">
        <v>142</v>
      </c>
      <c r="Z17" s="113" t="s">
        <v>142</v>
      </c>
    </row>
    <row r="18" spans="1:30" ht="15.6" thickTop="1" thickBot="1" x14ac:dyDescent="0.35">
      <c r="A18" s="28" t="s">
        <v>99</v>
      </c>
      <c r="B18" s="61" t="s">
        <v>142</v>
      </c>
      <c r="C18" s="66" t="s">
        <v>142</v>
      </c>
      <c r="D18" s="53" t="s">
        <v>142</v>
      </c>
      <c r="E18" s="54" t="s">
        <v>142</v>
      </c>
      <c r="F18" s="65" t="s">
        <v>142</v>
      </c>
      <c r="G18" s="54" t="s">
        <v>142</v>
      </c>
      <c r="H18" s="53" t="s">
        <v>142</v>
      </c>
      <c r="I18" s="66" t="s">
        <v>142</v>
      </c>
      <c r="J18" s="53" t="s">
        <v>142</v>
      </c>
      <c r="K18" s="66" t="s">
        <v>142</v>
      </c>
      <c r="L18" s="53" t="s">
        <v>142</v>
      </c>
      <c r="M18" s="66" t="s">
        <v>142</v>
      </c>
      <c r="N18" s="53" t="s">
        <v>142</v>
      </c>
      <c r="O18" s="66" t="s">
        <v>142</v>
      </c>
      <c r="P18" s="53" t="s">
        <v>142</v>
      </c>
      <c r="Q18" s="66" t="s">
        <v>142</v>
      </c>
      <c r="R18" s="72" t="s">
        <v>142</v>
      </c>
      <c r="S18" s="66" t="s">
        <v>142</v>
      </c>
      <c r="T18" s="72" t="s">
        <v>142</v>
      </c>
      <c r="U18" s="66" t="s">
        <v>142</v>
      </c>
      <c r="V18" s="72">
        <v>0</v>
      </c>
      <c r="W18" s="66" t="s">
        <v>142</v>
      </c>
      <c r="X18" s="53" t="s">
        <v>142</v>
      </c>
      <c r="Y18" s="66" t="s">
        <v>142</v>
      </c>
      <c r="Z18" s="113" t="s">
        <v>142</v>
      </c>
    </row>
    <row r="19" spans="1:30" ht="15.6" thickTop="1" thickBot="1" x14ac:dyDescent="0.35">
      <c r="A19" s="28" t="s">
        <v>99</v>
      </c>
      <c r="B19" s="61" t="s">
        <v>142</v>
      </c>
      <c r="C19" s="66" t="s">
        <v>142</v>
      </c>
      <c r="D19" s="53" t="s">
        <v>142</v>
      </c>
      <c r="E19" s="54" t="s">
        <v>142</v>
      </c>
      <c r="F19" s="65" t="s">
        <v>142</v>
      </c>
      <c r="G19" s="54" t="s">
        <v>142</v>
      </c>
      <c r="H19" s="53" t="s">
        <v>142</v>
      </c>
      <c r="I19" s="66" t="s">
        <v>142</v>
      </c>
      <c r="J19" s="53" t="s">
        <v>142</v>
      </c>
      <c r="K19" s="66" t="s">
        <v>142</v>
      </c>
      <c r="L19" s="53" t="s">
        <v>142</v>
      </c>
      <c r="M19" s="66" t="s">
        <v>142</v>
      </c>
      <c r="N19" s="53" t="s">
        <v>142</v>
      </c>
      <c r="O19" s="66" t="s">
        <v>142</v>
      </c>
      <c r="P19" s="53" t="s">
        <v>142</v>
      </c>
      <c r="Q19" s="66" t="s">
        <v>142</v>
      </c>
      <c r="R19" s="72" t="s">
        <v>142</v>
      </c>
      <c r="S19" s="66" t="s">
        <v>142</v>
      </c>
      <c r="T19" s="72" t="s">
        <v>142</v>
      </c>
      <c r="U19" s="66" t="s">
        <v>142</v>
      </c>
      <c r="V19" s="72">
        <v>0</v>
      </c>
      <c r="W19" s="66" t="s">
        <v>142</v>
      </c>
      <c r="X19" s="53" t="s">
        <v>142</v>
      </c>
      <c r="Y19" s="66" t="s">
        <v>142</v>
      </c>
      <c r="Z19" s="113" t="s">
        <v>142</v>
      </c>
    </row>
    <row r="20" spans="1:30" ht="15.6" thickTop="1" thickBot="1" x14ac:dyDescent="0.35">
      <c r="A20" s="28" t="s">
        <v>99</v>
      </c>
      <c r="B20" s="61" t="s">
        <v>142</v>
      </c>
      <c r="C20" s="66" t="s">
        <v>142</v>
      </c>
      <c r="D20" s="53" t="s">
        <v>142</v>
      </c>
      <c r="E20" s="54" t="s">
        <v>142</v>
      </c>
      <c r="F20" s="65" t="s">
        <v>142</v>
      </c>
      <c r="G20" s="54" t="s">
        <v>142</v>
      </c>
      <c r="H20" s="53" t="s">
        <v>142</v>
      </c>
      <c r="I20" s="66" t="s">
        <v>142</v>
      </c>
      <c r="J20" s="53" t="s">
        <v>142</v>
      </c>
      <c r="K20" s="66" t="s">
        <v>142</v>
      </c>
      <c r="L20" s="53" t="s">
        <v>142</v>
      </c>
      <c r="M20" s="66" t="s">
        <v>142</v>
      </c>
      <c r="N20" s="53" t="s">
        <v>142</v>
      </c>
      <c r="O20" s="66" t="s">
        <v>142</v>
      </c>
      <c r="P20" s="53" t="s">
        <v>142</v>
      </c>
      <c r="Q20" s="66" t="s">
        <v>142</v>
      </c>
      <c r="R20" s="72" t="s">
        <v>142</v>
      </c>
      <c r="S20" s="66" t="s">
        <v>142</v>
      </c>
      <c r="T20" s="72" t="s">
        <v>142</v>
      </c>
      <c r="U20" s="66" t="s">
        <v>142</v>
      </c>
      <c r="V20" s="72">
        <v>0</v>
      </c>
      <c r="W20" s="66" t="s">
        <v>142</v>
      </c>
      <c r="X20" s="53" t="s">
        <v>142</v>
      </c>
      <c r="Y20" s="66" t="s">
        <v>142</v>
      </c>
      <c r="Z20" s="113" t="s">
        <v>142</v>
      </c>
    </row>
    <row r="21" spans="1:30" ht="15.6" thickTop="1" thickBot="1" x14ac:dyDescent="0.35">
      <c r="A21" s="28" t="s">
        <v>99</v>
      </c>
      <c r="B21" s="61" t="s">
        <v>142</v>
      </c>
      <c r="C21" s="66" t="s">
        <v>142</v>
      </c>
      <c r="D21" s="53" t="s">
        <v>142</v>
      </c>
      <c r="E21" s="54" t="s">
        <v>142</v>
      </c>
      <c r="F21" s="65" t="s">
        <v>142</v>
      </c>
      <c r="G21" s="54" t="s">
        <v>142</v>
      </c>
      <c r="H21" s="53" t="s">
        <v>142</v>
      </c>
      <c r="I21" s="66" t="s">
        <v>142</v>
      </c>
      <c r="J21" s="53" t="s">
        <v>142</v>
      </c>
      <c r="K21" s="66" t="s">
        <v>142</v>
      </c>
      <c r="L21" s="53" t="s">
        <v>142</v>
      </c>
      <c r="M21" s="66" t="s">
        <v>142</v>
      </c>
      <c r="N21" s="53" t="s">
        <v>142</v>
      </c>
      <c r="O21" s="66" t="s">
        <v>142</v>
      </c>
      <c r="P21" s="53" t="s">
        <v>142</v>
      </c>
      <c r="Q21" s="66" t="s">
        <v>142</v>
      </c>
      <c r="R21" s="72" t="s">
        <v>142</v>
      </c>
      <c r="S21" s="66" t="s">
        <v>142</v>
      </c>
      <c r="T21" s="72" t="s">
        <v>142</v>
      </c>
      <c r="U21" s="66" t="s">
        <v>142</v>
      </c>
      <c r="V21" s="72">
        <v>0</v>
      </c>
      <c r="W21" s="66" t="s">
        <v>142</v>
      </c>
      <c r="X21" s="53" t="s">
        <v>142</v>
      </c>
      <c r="Y21" s="66" t="s">
        <v>142</v>
      </c>
      <c r="Z21" s="113" t="s">
        <v>142</v>
      </c>
    </row>
    <row r="22" spans="1:30" s="4" customFormat="1" ht="15.6" thickTop="1" thickBot="1" x14ac:dyDescent="0.35">
      <c r="A22" s="32" t="s">
        <v>128</v>
      </c>
      <c r="B22" s="57"/>
      <c r="C22" s="56">
        <f>SUM(C2:C21)</f>
        <v>7.8217990290421393E-3</v>
      </c>
      <c r="D22" s="55"/>
      <c r="E22" s="124">
        <f>SUM(E2:E21)</f>
        <v>0</v>
      </c>
      <c r="F22" s="63"/>
      <c r="G22" s="124">
        <f>SUM(G2:G21)</f>
        <v>0</v>
      </c>
      <c r="H22" s="55"/>
      <c r="I22" s="56">
        <f>SUM(I2:I21)</f>
        <v>0.157915981240279</v>
      </c>
      <c r="J22" s="63"/>
      <c r="K22" s="56">
        <f>SUM(K2:K21)</f>
        <v>5.242724656749425E-2</v>
      </c>
      <c r="L22" s="55"/>
      <c r="M22" s="56">
        <f>SUM(M2:M21)</f>
        <v>0.14764719599999995</v>
      </c>
      <c r="N22" s="63"/>
      <c r="O22" s="56">
        <f>SUM(O2:O21)</f>
        <v>3.4226185574348332E-2</v>
      </c>
      <c r="P22" s="55"/>
      <c r="Q22" s="56">
        <f>SUM(Q2:Q21)</f>
        <v>7.8278652773486862E-2</v>
      </c>
      <c r="R22" s="63"/>
      <c r="S22" s="56">
        <f>SUM(S2:S21)</f>
        <v>2.6757787172184248E-2</v>
      </c>
      <c r="T22" s="55"/>
      <c r="U22" s="56">
        <f>SUM(U2:U21)</f>
        <v>7.2370240442531E-2</v>
      </c>
      <c r="V22" s="63"/>
      <c r="W22" s="56">
        <f>SUM(W2:W21)</f>
        <v>0</v>
      </c>
      <c r="X22" s="55"/>
      <c r="Y22" s="56">
        <f>SUM(Y2:Y21)</f>
        <v>0</v>
      </c>
      <c r="Z22" s="113"/>
    </row>
    <row r="23" spans="1:30" s="25" customFormat="1" ht="15.6" thickTop="1" thickBot="1" x14ac:dyDescent="0.35">
      <c r="A23" s="32" t="s">
        <v>100</v>
      </c>
      <c r="B23" s="57"/>
      <c r="C23" s="56"/>
      <c r="D23" s="55"/>
      <c r="E23" s="58"/>
      <c r="F23" s="64"/>
      <c r="G23" s="64"/>
      <c r="H23" s="57"/>
      <c r="I23" s="58"/>
      <c r="J23" s="64"/>
      <c r="K23" s="64"/>
      <c r="L23" s="57"/>
      <c r="M23" s="58"/>
      <c r="N23" s="64"/>
      <c r="O23" s="64"/>
      <c r="P23" s="57"/>
      <c r="Q23" s="58"/>
      <c r="R23" s="64"/>
      <c r="S23" s="64"/>
      <c r="T23" s="57"/>
      <c r="U23" s="58"/>
      <c r="V23" s="64"/>
      <c r="W23" s="64"/>
      <c r="X23" s="57"/>
      <c r="Y23" s="58"/>
      <c r="Z23" s="119"/>
    </row>
    <row r="24" spans="1:30" s="25" customFormat="1" ht="15.6" thickTop="1" thickBot="1" x14ac:dyDescent="0.35">
      <c r="A24" s="4" t="s">
        <v>109</v>
      </c>
      <c r="B24" s="178" t="s">
        <v>179</v>
      </c>
      <c r="C24" s="179"/>
      <c r="D24" s="178" t="s">
        <v>110</v>
      </c>
      <c r="E24" s="179"/>
      <c r="F24" s="180" t="s">
        <v>111</v>
      </c>
      <c r="G24" s="180"/>
      <c r="H24" s="178" t="s">
        <v>112</v>
      </c>
      <c r="I24" s="179"/>
      <c r="J24" s="180" t="s">
        <v>113</v>
      </c>
      <c r="K24" s="180"/>
      <c r="L24" s="178" t="s">
        <v>114</v>
      </c>
      <c r="M24" s="179"/>
      <c r="N24" s="180" t="s">
        <v>115</v>
      </c>
      <c r="O24" s="180"/>
      <c r="P24" s="178" t="s">
        <v>116</v>
      </c>
      <c r="Q24" s="179"/>
      <c r="R24" s="180" t="s">
        <v>117</v>
      </c>
      <c r="S24" s="180"/>
      <c r="T24" s="178" t="s">
        <v>118</v>
      </c>
      <c r="U24" s="179"/>
      <c r="V24" s="180" t="s">
        <v>119</v>
      </c>
      <c r="W24" s="180"/>
      <c r="X24" s="178" t="s">
        <v>120</v>
      </c>
      <c r="Y24" s="179"/>
      <c r="Z24" s="89"/>
    </row>
    <row r="25" spans="1:30" x14ac:dyDescent="0.3">
      <c r="A25" s="181"/>
      <c r="B25" s="181"/>
      <c r="C25" s="181"/>
      <c r="D25" s="181"/>
      <c r="E25" s="181"/>
      <c r="F25" s="181"/>
      <c r="G25" s="181"/>
      <c r="H25" s="181"/>
      <c r="I25" s="181"/>
      <c r="J25" s="181"/>
      <c r="K25" s="181"/>
      <c r="L25" s="181"/>
      <c r="M25" s="181"/>
      <c r="N25" s="181"/>
      <c r="O25" s="181"/>
      <c r="P25" s="181"/>
      <c r="Q25" s="181"/>
      <c r="R25" s="181"/>
      <c r="S25" s="181"/>
      <c r="T25" s="181"/>
      <c r="U25" s="181"/>
      <c r="V25" s="181"/>
      <c r="W25" s="181"/>
      <c r="X25" s="181"/>
      <c r="Y25" s="181"/>
    </row>
    <row r="26" spans="1:30" x14ac:dyDescent="0.3">
      <c r="A26" s="182" t="s">
        <v>133</v>
      </c>
      <c r="B26" s="182"/>
      <c r="C26" s="182"/>
      <c r="D26" s="182"/>
      <c r="E26" s="182"/>
      <c r="F26" s="182"/>
      <c r="G26" s="182"/>
      <c r="H26" s="182"/>
      <c r="I26" s="182"/>
      <c r="J26" s="182"/>
      <c r="K26" s="182"/>
      <c r="L26" s="182"/>
      <c r="M26" s="182"/>
      <c r="N26" s="182"/>
      <c r="O26" s="182"/>
      <c r="P26" s="182"/>
      <c r="Q26" s="182"/>
      <c r="R26" s="182"/>
      <c r="S26" s="182"/>
      <c r="T26" s="182"/>
      <c r="U26" s="182"/>
      <c r="V26" s="182"/>
      <c r="W26" s="182"/>
      <c r="X26" s="182"/>
      <c r="Y26" s="182"/>
      <c r="Z26" s="83"/>
    </row>
    <row r="27" spans="1:30" x14ac:dyDescent="0.3">
      <c r="A27" s="177" t="s">
        <v>127</v>
      </c>
      <c r="B27" s="177"/>
      <c r="C27" s="177"/>
      <c r="D27" s="177"/>
      <c r="E27" s="177"/>
      <c r="F27" s="177"/>
      <c r="G27" s="177"/>
      <c r="H27" s="177"/>
      <c r="I27" s="177"/>
      <c r="J27" s="177"/>
      <c r="K27" s="177"/>
      <c r="L27" s="177"/>
      <c r="M27" s="177"/>
      <c r="N27" s="177"/>
      <c r="O27" s="177"/>
      <c r="P27" s="177"/>
      <c r="Q27" s="177"/>
      <c r="R27" s="177"/>
      <c r="S27" s="177"/>
      <c r="T27" s="177"/>
      <c r="U27" s="177"/>
      <c r="V27" s="177"/>
      <c r="W27" s="177"/>
      <c r="X27" s="177"/>
      <c r="Y27" s="177"/>
      <c r="Z27" s="44"/>
      <c r="AA27" s="44"/>
      <c r="AB27" s="44"/>
      <c r="AC27" s="44"/>
      <c r="AD27" s="44"/>
    </row>
    <row r="28" spans="1:30" x14ac:dyDescent="0.3">
      <c r="Z28" s="44"/>
      <c r="AA28" s="44"/>
      <c r="AB28" s="44"/>
      <c r="AC28" s="44"/>
      <c r="AD28" s="44"/>
    </row>
    <row r="29" spans="1:30" x14ac:dyDescent="0.3">
      <c r="Y29" s="44"/>
      <c r="Z29" s="44"/>
      <c r="AA29" s="44"/>
      <c r="AB29" s="44"/>
      <c r="AC29" s="44"/>
      <c r="AD29" s="44"/>
    </row>
    <row r="30" spans="1:30" x14ac:dyDescent="0.3">
      <c r="Y30" s="44"/>
      <c r="Z30" s="44"/>
      <c r="AA30" s="44"/>
      <c r="AB30" s="44"/>
      <c r="AC30" s="44"/>
      <c r="AD30" s="44"/>
    </row>
    <row r="31" spans="1:30" x14ac:dyDescent="0.3">
      <c r="Y31" s="44"/>
      <c r="Z31" s="44"/>
      <c r="AA31" s="44"/>
      <c r="AB31" s="44"/>
      <c r="AC31" s="44"/>
      <c r="AD31" s="44"/>
    </row>
    <row r="32" spans="1:30" x14ac:dyDescent="0.3">
      <c r="Y32" s="44"/>
      <c r="Z32" s="44"/>
      <c r="AA32" s="44"/>
      <c r="AB32" s="44"/>
      <c r="AC32" s="44"/>
      <c r="AD32" s="44"/>
    </row>
  </sheetData>
  <mergeCells count="15">
    <mergeCell ref="A27:Y27"/>
    <mergeCell ref="L24:M24"/>
    <mergeCell ref="N24:O24"/>
    <mergeCell ref="A25:Y25"/>
    <mergeCell ref="A26:Y26"/>
    <mergeCell ref="B24:C24"/>
    <mergeCell ref="D24:E24"/>
    <mergeCell ref="F24:G24"/>
    <mergeCell ref="H24:I24"/>
    <mergeCell ref="J24:K24"/>
    <mergeCell ref="P24:Q24"/>
    <mergeCell ref="R24:S24"/>
    <mergeCell ref="T24:U24"/>
    <mergeCell ref="V24:W24"/>
    <mergeCell ref="X24:Y24"/>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36F92-7D81-4956-A971-5259EF009F0D}">
  <sheetPr>
    <tabColor theme="9"/>
  </sheetPr>
  <dimension ref="A1:AP32"/>
  <sheetViews>
    <sheetView workbookViewId="0">
      <pane xSplit="1" topLeftCell="B1" activePane="topRight" state="frozen"/>
      <selection pane="topRight" activeCell="Q21" sqref="Q21"/>
    </sheetView>
  </sheetViews>
  <sheetFormatPr defaultRowHeight="14.4" x14ac:dyDescent="0.3"/>
  <cols>
    <col min="1" max="1" width="18.88671875" bestFit="1" customWidth="1"/>
    <col min="2" max="3" width="4.44140625" bestFit="1" customWidth="1"/>
    <col min="4" max="4" width="4.21875" bestFit="1" customWidth="1"/>
    <col min="5" max="5" width="4.44140625" style="71" bestFit="1" customWidth="1"/>
    <col min="6" max="6" width="4.44140625" bestFit="1" customWidth="1"/>
    <col min="7" max="7" width="4.21875" bestFit="1" customWidth="1"/>
    <col min="8" max="8" width="4.44140625" style="71" bestFit="1" customWidth="1"/>
    <col min="9" max="9" width="4.44140625" bestFit="1" customWidth="1"/>
    <col min="10" max="10" width="4.21875" bestFit="1" customWidth="1"/>
    <col min="11" max="11" width="4.44140625" customWidth="1"/>
    <col min="12" max="12" width="5" bestFit="1" customWidth="1"/>
    <col min="13" max="13" width="11.21875" customWidth="1"/>
    <col min="14" max="14" width="4.44140625" customWidth="1"/>
    <col min="15" max="15" width="5" bestFit="1" customWidth="1"/>
    <col min="16" max="16" width="10.5546875" customWidth="1"/>
    <col min="17" max="17" width="2.44140625" customWidth="1"/>
    <col min="18" max="18" width="4.44140625" bestFit="1" customWidth="1"/>
    <col min="19" max="19" width="4.21875" bestFit="1" customWidth="1"/>
    <col min="20" max="20" width="4.44140625" bestFit="1" customWidth="1"/>
    <col min="21" max="21" width="5" bestFit="1" customWidth="1"/>
    <col min="22" max="22" width="10.5546875" bestFit="1" customWidth="1"/>
    <col min="23" max="23" width="4.44140625" bestFit="1" customWidth="1"/>
    <col min="24" max="25" width="4.5546875" bestFit="1" customWidth="1"/>
    <col min="26" max="26" width="4.44140625" bestFit="1" customWidth="1"/>
    <col min="27" max="27" width="7.5546875" bestFit="1" customWidth="1"/>
    <col min="28" max="28" width="10.5546875" bestFit="1" customWidth="1"/>
    <col min="29" max="29" width="4.44140625" bestFit="1" customWidth="1"/>
    <col min="30" max="30" width="5.77734375" bestFit="1" customWidth="1"/>
    <col min="31" max="31" width="10.5546875" bestFit="1" customWidth="1"/>
    <col min="32" max="32" width="4.44140625" bestFit="1" customWidth="1"/>
    <col min="33" max="33" width="5.77734375" bestFit="1" customWidth="1"/>
    <col min="34" max="34" width="11.21875" bestFit="1" customWidth="1"/>
    <col min="35" max="35" width="2.44140625" bestFit="1" customWidth="1"/>
    <col min="36" max="36" width="5.77734375" bestFit="1" customWidth="1"/>
    <col min="37" max="37" width="5.5546875" bestFit="1" customWidth="1"/>
  </cols>
  <sheetData>
    <row r="1" spans="1:37" x14ac:dyDescent="0.3">
      <c r="A1" s="106" t="s">
        <v>1</v>
      </c>
      <c r="B1" s="67" t="s">
        <v>135</v>
      </c>
      <c r="C1" s="45" t="s">
        <v>178</v>
      </c>
      <c r="D1" s="45" t="s">
        <v>177</v>
      </c>
      <c r="E1" s="122" t="s">
        <v>135</v>
      </c>
      <c r="F1" s="60" t="s">
        <v>178</v>
      </c>
      <c r="G1" s="52" t="s">
        <v>177</v>
      </c>
      <c r="H1" s="122" t="s">
        <v>135</v>
      </c>
      <c r="I1" s="60" t="s">
        <v>178</v>
      </c>
      <c r="J1" s="60" t="s">
        <v>177</v>
      </c>
      <c r="K1" s="51" t="s">
        <v>135</v>
      </c>
      <c r="L1" s="60" t="s">
        <v>178</v>
      </c>
      <c r="M1" s="52" t="s">
        <v>177</v>
      </c>
      <c r="N1" s="69" t="s">
        <v>135</v>
      </c>
      <c r="O1" s="45" t="s">
        <v>178</v>
      </c>
      <c r="P1" s="68" t="s">
        <v>177</v>
      </c>
      <c r="Q1" s="45" t="s">
        <v>135</v>
      </c>
      <c r="R1" s="45" t="s">
        <v>178</v>
      </c>
      <c r="S1" s="68" t="s">
        <v>177</v>
      </c>
      <c r="T1" s="69" t="s">
        <v>135</v>
      </c>
      <c r="U1" s="45" t="s">
        <v>178</v>
      </c>
      <c r="V1" s="68" t="s">
        <v>177</v>
      </c>
      <c r="W1" s="45" t="s">
        <v>135</v>
      </c>
      <c r="X1" s="45" t="s">
        <v>178</v>
      </c>
      <c r="Y1" s="68" t="s">
        <v>177</v>
      </c>
      <c r="Z1" s="51" t="s">
        <v>135</v>
      </c>
      <c r="AA1" s="60" t="s">
        <v>178</v>
      </c>
      <c r="AB1" s="52" t="s">
        <v>177</v>
      </c>
      <c r="AC1" s="45" t="s">
        <v>135</v>
      </c>
      <c r="AD1" s="45" t="s">
        <v>178</v>
      </c>
      <c r="AE1" s="68" t="s">
        <v>177</v>
      </c>
      <c r="AF1" s="69" t="s">
        <v>135</v>
      </c>
      <c r="AG1" s="45" t="s">
        <v>178</v>
      </c>
      <c r="AH1" s="68" t="s">
        <v>177</v>
      </c>
      <c r="AI1" s="45" t="s">
        <v>135</v>
      </c>
      <c r="AJ1" s="45" t="s">
        <v>178</v>
      </c>
      <c r="AK1" s="68" t="s">
        <v>177</v>
      </c>
    </row>
    <row r="2" spans="1:37" x14ac:dyDescent="0.3">
      <c r="A2" s="24" t="s">
        <v>6</v>
      </c>
      <c r="B2" s="61">
        <v>3.5082788419191435E-2</v>
      </c>
      <c r="C2" s="96">
        <v>0</v>
      </c>
      <c r="D2" s="50">
        <v>0</v>
      </c>
      <c r="E2" s="72">
        <v>2.896185699435793E-2</v>
      </c>
      <c r="F2" s="96">
        <v>0</v>
      </c>
      <c r="G2" s="54">
        <v>0</v>
      </c>
      <c r="H2" s="72">
        <v>2.896185699435793E-2</v>
      </c>
      <c r="I2" s="96">
        <v>0</v>
      </c>
      <c r="J2" s="50">
        <v>0</v>
      </c>
      <c r="K2" s="72">
        <v>2.896185699435793E-2</v>
      </c>
      <c r="L2" s="78">
        <v>274.93490844743985</v>
      </c>
      <c r="M2" s="66">
        <v>4.9226523451148599E-3</v>
      </c>
      <c r="N2" s="61">
        <v>2.9602528285712807E-2</v>
      </c>
      <c r="O2" s="78">
        <v>122.34724940485103</v>
      </c>
      <c r="P2" s="66">
        <v>2.5719645858655236E-3</v>
      </c>
      <c r="Q2" s="94" t="s">
        <v>142</v>
      </c>
      <c r="R2" s="73">
        <v>0</v>
      </c>
      <c r="S2" s="117">
        <v>0</v>
      </c>
      <c r="T2" s="61">
        <v>2.9819748528357046E-2</v>
      </c>
      <c r="U2" s="78">
        <v>69.658932562242057</v>
      </c>
      <c r="V2" s="66">
        <v>1.4300446297827898E-3</v>
      </c>
      <c r="W2" s="107">
        <v>3.027168607218602E-2</v>
      </c>
      <c r="X2" s="73">
        <v>0</v>
      </c>
      <c r="Y2" s="117">
        <v>0</v>
      </c>
      <c r="Z2" s="61">
        <v>3.033114046595578E-2</v>
      </c>
      <c r="AA2" s="73">
        <v>74.661425427507396</v>
      </c>
      <c r="AB2" s="77">
        <v>1.7593059387225455E-3</v>
      </c>
      <c r="AC2" s="107">
        <v>3.0817365780493801E-2</v>
      </c>
      <c r="AD2" s="92"/>
      <c r="AE2" s="81">
        <v>5.5968174790459345E-5</v>
      </c>
      <c r="AF2" s="61">
        <v>3.0340680991490582E-2</v>
      </c>
      <c r="AG2" s="92"/>
      <c r="AH2" s="66">
        <f>AF2*Profitability!$K$2</f>
        <v>2.0560268417772519E-3</v>
      </c>
      <c r="AI2" s="91"/>
      <c r="AJ2" s="92"/>
      <c r="AK2" s="102"/>
    </row>
    <row r="3" spans="1:37" x14ac:dyDescent="0.3">
      <c r="A3" t="s">
        <v>24</v>
      </c>
      <c r="B3" s="61">
        <v>5.5844822385542406E-2</v>
      </c>
      <c r="C3" s="96">
        <v>0</v>
      </c>
      <c r="D3" s="50">
        <v>0</v>
      </c>
      <c r="E3" s="72">
        <v>4.6101516803055582E-2</v>
      </c>
      <c r="F3" s="96">
        <v>0</v>
      </c>
      <c r="G3" s="54">
        <v>0</v>
      </c>
      <c r="H3" s="72">
        <v>4.6101516803055582E-2</v>
      </c>
      <c r="I3" s="96">
        <v>0</v>
      </c>
      <c r="J3" s="50">
        <v>0</v>
      </c>
      <c r="K3" s="72">
        <v>4.6101516803055582E-2</v>
      </c>
      <c r="L3" s="73">
        <v>437.64169901140667</v>
      </c>
      <c r="M3" s="77">
        <v>7.8358835846791316E-3</v>
      </c>
      <c r="N3" s="61">
        <v>4.7121338091082314E-2</v>
      </c>
      <c r="O3" s="73">
        <v>194.75249033044321</v>
      </c>
      <c r="P3" s="77">
        <v>4.0940561440947062E-3</v>
      </c>
      <c r="Q3" s="94" t="s">
        <v>142</v>
      </c>
      <c r="R3" s="73">
        <v>0</v>
      </c>
      <c r="S3" s="117">
        <v>0</v>
      </c>
      <c r="T3" s="61">
        <v>4.7467109519626342E-2</v>
      </c>
      <c r="U3" s="73">
        <v>110.88316783784714</v>
      </c>
      <c r="V3" s="77">
        <v>2.2763466631954567E-3</v>
      </c>
      <c r="W3" s="107">
        <v>4.818650421433885E-2</v>
      </c>
      <c r="X3" s="73">
        <v>0</v>
      </c>
      <c r="Y3" s="117">
        <v>0</v>
      </c>
      <c r="Z3" s="61">
        <v>4.8281143785756042E-2</v>
      </c>
      <c r="AA3" s="73">
        <v>118.84614165303184</v>
      </c>
      <c r="AB3" s="77">
        <v>2.8004651881104628E-3</v>
      </c>
      <c r="AC3" s="107">
        <v>4.9055117792761609E-2</v>
      </c>
      <c r="AD3" s="92"/>
      <c r="AE3" s="81">
        <v>8.9090204092968426E-5</v>
      </c>
      <c r="AF3" s="61">
        <v>4.82963304051202E-2</v>
      </c>
      <c r="AG3" s="92"/>
      <c r="AH3" s="66">
        <f>AF3*Profitability!$K$2</f>
        <v>3.2727858580405447E-3</v>
      </c>
      <c r="AI3" s="91"/>
      <c r="AJ3" s="92"/>
      <c r="AK3" s="102"/>
    </row>
    <row r="4" spans="1:37" x14ac:dyDescent="0.3">
      <c r="A4" t="s">
        <v>26</v>
      </c>
      <c r="B4" s="61">
        <v>5.5844822385542406E-2</v>
      </c>
      <c r="C4" s="96">
        <v>0</v>
      </c>
      <c r="D4" s="50">
        <v>0</v>
      </c>
      <c r="E4" s="72">
        <v>4.6101516803055582E-2</v>
      </c>
      <c r="F4" s="96">
        <v>0</v>
      </c>
      <c r="G4" s="54">
        <v>0</v>
      </c>
      <c r="H4" s="72">
        <v>4.6101516803055582E-2</v>
      </c>
      <c r="I4" s="96">
        <v>0</v>
      </c>
      <c r="J4" s="50">
        <v>0</v>
      </c>
      <c r="K4" s="72">
        <v>4.6101516803055582E-2</v>
      </c>
      <c r="L4" s="73">
        <v>437.64169901140667</v>
      </c>
      <c r="M4" s="77">
        <v>7.8358835846791316E-3</v>
      </c>
      <c r="N4" s="61">
        <v>4.7121338091082314E-2</v>
      </c>
      <c r="O4" s="73">
        <v>194.75249033044321</v>
      </c>
      <c r="P4" s="77">
        <v>4.0940561440947062E-3</v>
      </c>
      <c r="Q4" s="94" t="s">
        <v>142</v>
      </c>
      <c r="R4" s="73">
        <v>0</v>
      </c>
      <c r="S4" s="117">
        <v>0</v>
      </c>
      <c r="T4" s="61">
        <v>4.7467109519626342E-2</v>
      </c>
      <c r="U4" s="73">
        <v>110.88316783784714</v>
      </c>
      <c r="V4" s="77">
        <v>2.2763466631954567E-3</v>
      </c>
      <c r="W4" s="107">
        <v>4.818650421433885E-2</v>
      </c>
      <c r="X4" s="73">
        <v>0</v>
      </c>
      <c r="Y4" s="117">
        <v>0</v>
      </c>
      <c r="Z4" s="61">
        <v>4.8281143785756042E-2</v>
      </c>
      <c r="AA4" s="73">
        <v>118.84614165303184</v>
      </c>
      <c r="AB4" s="77">
        <v>2.8004651881104628E-3</v>
      </c>
      <c r="AC4" s="107">
        <v>4.9055117792761609E-2</v>
      </c>
      <c r="AD4" s="92"/>
      <c r="AE4" s="81">
        <v>8.9090204092968426E-5</v>
      </c>
      <c r="AF4" s="61">
        <v>4.82963304051202E-2</v>
      </c>
      <c r="AG4" s="92"/>
      <c r="AH4" s="66">
        <f>AF4*Profitability!$K$2</f>
        <v>3.2727858580405447E-3</v>
      </c>
      <c r="AI4" s="91"/>
      <c r="AJ4" s="92"/>
      <c r="AK4" s="102"/>
    </row>
    <row r="5" spans="1:37" x14ac:dyDescent="0.3">
      <c r="A5" t="s">
        <v>144</v>
      </c>
      <c r="B5" s="61">
        <v>5.4088923470178914E-2</v>
      </c>
      <c r="C5" s="96">
        <v>0</v>
      </c>
      <c r="D5" s="50">
        <v>0</v>
      </c>
      <c r="E5" s="72">
        <v>4.4651971439794581E-2</v>
      </c>
      <c r="F5" s="96">
        <v>0</v>
      </c>
      <c r="G5" s="54">
        <v>0</v>
      </c>
      <c r="H5" s="72">
        <v>4.4651971439794581E-2</v>
      </c>
      <c r="I5" s="96">
        <v>0</v>
      </c>
      <c r="J5" s="50">
        <v>0</v>
      </c>
      <c r="K5" s="72">
        <v>4.4651971439794581E-2</v>
      </c>
      <c r="L5" s="78">
        <v>423.88116487796998</v>
      </c>
      <c r="M5" s="66">
        <v>7.589504083420036E-3</v>
      </c>
      <c r="N5" s="61">
        <v>4.563972703189792E-2</v>
      </c>
      <c r="O5" s="78">
        <v>188.62899182283411</v>
      </c>
      <c r="P5" s="66">
        <v>3.9653289239914109E-3</v>
      </c>
      <c r="Q5" s="94" t="s">
        <v>142</v>
      </c>
      <c r="R5" s="73">
        <v>0</v>
      </c>
      <c r="S5" s="117">
        <v>0</v>
      </c>
      <c r="T5" s="61">
        <v>4.5974626554141446E-2</v>
      </c>
      <c r="U5" s="78">
        <v>107.39672763047442</v>
      </c>
      <c r="V5" s="66">
        <v>2.2047727111950115E-3</v>
      </c>
      <c r="W5" s="107">
        <v>4.6671401705802251E-2</v>
      </c>
      <c r="X5" s="73">
        <v>0</v>
      </c>
      <c r="Y5" s="117">
        <v>0</v>
      </c>
      <c r="Z5" s="61">
        <v>4.6763065575736243E-2</v>
      </c>
      <c r="AA5" s="73">
        <v>115.10932591417973</v>
      </c>
      <c r="AB5" s="77">
        <v>2.712411657339642E-3</v>
      </c>
      <c r="AC5" s="107">
        <v>4.75127039315325E-2</v>
      </c>
      <c r="AD5" s="92"/>
      <c r="AE5" s="81">
        <v>8.6288988401809669E-5</v>
      </c>
      <c r="AF5" s="61">
        <v>4.6777774690341133E-2</v>
      </c>
      <c r="AG5" s="92"/>
      <c r="AH5" s="66">
        <f>AF5*Profitability!$K$2</f>
        <v>3.1698814007808129E-3</v>
      </c>
      <c r="AI5" s="91"/>
      <c r="AJ5" s="92"/>
      <c r="AK5" s="102"/>
    </row>
    <row r="6" spans="1:37" x14ac:dyDescent="0.3">
      <c r="A6" t="s">
        <v>41</v>
      </c>
      <c r="B6" s="61">
        <v>3.3613993090694974E-2</v>
      </c>
      <c r="C6" s="96">
        <v>0</v>
      </c>
      <c r="D6" s="50">
        <v>0</v>
      </c>
      <c r="E6" s="72">
        <v>2.7749323949674824E-2</v>
      </c>
      <c r="F6" s="96">
        <v>0</v>
      </c>
      <c r="G6" s="54">
        <v>0</v>
      </c>
      <c r="H6" s="72">
        <v>2.7749323949674824E-2</v>
      </c>
      <c r="I6" s="96">
        <v>0</v>
      </c>
      <c r="J6" s="50">
        <v>0</v>
      </c>
      <c r="K6" s="72">
        <v>2.7749323949674824E-2</v>
      </c>
      <c r="L6" s="73">
        <v>263.42433225426311</v>
      </c>
      <c r="M6" s="77">
        <v>4.7165578727506987E-3</v>
      </c>
      <c r="N6" s="61">
        <v>2.8363172544139136E-2</v>
      </c>
      <c r="O6" s="73">
        <v>117.22499212492704</v>
      </c>
      <c r="P6" s="77">
        <v>2.4642853009797447E-3</v>
      </c>
      <c r="Q6" s="94" t="s">
        <v>142</v>
      </c>
      <c r="R6" s="73">
        <v>0</v>
      </c>
      <c r="S6" s="117">
        <v>0</v>
      </c>
      <c r="T6" s="61">
        <v>2.8571298524553174E-2</v>
      </c>
      <c r="U6" s="73">
        <v>66.742553353356215</v>
      </c>
      <c r="V6" s="77">
        <v>1.3701735942576489E-3</v>
      </c>
      <c r="W6" s="107">
        <v>2.9004315002439027E-2</v>
      </c>
      <c r="X6" s="73">
        <v>0</v>
      </c>
      <c r="Y6" s="117">
        <v>0</v>
      </c>
      <c r="Z6" s="61">
        <v>2.9061280245837266E-2</v>
      </c>
      <c r="AA6" s="73">
        <v>71.535609099098878</v>
      </c>
      <c r="AB6" s="77">
        <v>1.6856498680215581E-3</v>
      </c>
      <c r="AC6" s="107">
        <v>2.9527148983752673E-2</v>
      </c>
      <c r="AD6" s="92"/>
      <c r="AE6" s="81">
        <v>5.3624980381438805E-5</v>
      </c>
      <c r="AF6" s="61">
        <v>2.90704213424792E-2</v>
      </c>
      <c r="AG6" s="92"/>
      <c r="AH6" s="66">
        <f>AF6*Profitability!$K$2</f>
        <v>1.9699480904424868E-3</v>
      </c>
      <c r="AI6" s="91"/>
      <c r="AJ6" s="92"/>
      <c r="AK6" s="102"/>
    </row>
    <row r="7" spans="1:37" x14ac:dyDescent="0.3">
      <c r="A7" t="s">
        <v>42</v>
      </c>
      <c r="B7" s="61">
        <v>0.49907676268635631</v>
      </c>
      <c r="C7" s="96">
        <v>0</v>
      </c>
      <c r="D7" s="50">
        <v>0</v>
      </c>
      <c r="E7" s="72">
        <v>0.41200230886500588</v>
      </c>
      <c r="F7" s="96">
        <v>0</v>
      </c>
      <c r="G7" s="54">
        <v>0</v>
      </c>
      <c r="H7" s="72">
        <v>0.41200230886500588</v>
      </c>
      <c r="I7" s="96">
        <v>0</v>
      </c>
      <c r="J7" s="50">
        <v>0</v>
      </c>
      <c r="K7" s="72">
        <v>0.41200230886500588</v>
      </c>
      <c r="L7" s="73">
        <v>3911.1379180555009</v>
      </c>
      <c r="M7" s="77">
        <v>7.0028110846696134E-2</v>
      </c>
      <c r="N7" s="61">
        <v>0.42111629804439987</v>
      </c>
      <c r="O7" s="73">
        <v>1740.4736598175048</v>
      </c>
      <c r="P7" s="77">
        <v>3.6587962847204725E-2</v>
      </c>
      <c r="Q7" s="94" t="s">
        <v>142</v>
      </c>
      <c r="R7" s="73">
        <v>0</v>
      </c>
      <c r="S7" s="117">
        <v>0</v>
      </c>
      <c r="T7" s="61">
        <v>0.42420640519875386</v>
      </c>
      <c r="U7" s="73">
        <v>990.946162544289</v>
      </c>
      <c r="V7" s="77">
        <v>2.0343367117836766E-2</v>
      </c>
      <c r="W7" s="107">
        <v>0.43063552718345921</v>
      </c>
      <c r="X7" s="117">
        <v>0</v>
      </c>
      <c r="Y7" s="168">
        <v>0</v>
      </c>
      <c r="Z7" s="61">
        <v>0.43148130677245733</v>
      </c>
      <c r="AA7" s="73">
        <v>1062.1100596304307</v>
      </c>
      <c r="AB7" s="77">
        <v>2.5027335398238152E-2</v>
      </c>
      <c r="AC7" s="107">
        <v>0.43839819584684586</v>
      </c>
      <c r="AD7" s="92"/>
      <c r="AE7" s="81">
        <v>7.9618572942755724E-4</v>
      </c>
      <c r="AF7" s="61">
        <v>0.43161702730132012</v>
      </c>
      <c r="AG7" s="92"/>
      <c r="AH7" s="66">
        <f>AF7*Profitability!$K$2</f>
        <v>2.9248394053795496E-2</v>
      </c>
      <c r="AI7" s="91"/>
      <c r="AJ7" s="92"/>
      <c r="AK7" s="102"/>
    </row>
    <row r="8" spans="1:37" x14ac:dyDescent="0.3">
      <c r="A8" t="s">
        <v>80</v>
      </c>
      <c r="B8" s="61">
        <v>5.2761882190833692E-2</v>
      </c>
      <c r="C8" s="96">
        <v>0</v>
      </c>
      <c r="D8" s="50">
        <v>0</v>
      </c>
      <c r="E8" s="72">
        <v>4.3556460464475935E-2</v>
      </c>
      <c r="F8" s="96">
        <v>0</v>
      </c>
      <c r="G8" s="54">
        <v>0</v>
      </c>
      <c r="H8" s="72">
        <v>4.3556460464475935E-2</v>
      </c>
      <c r="I8" s="96">
        <v>0</v>
      </c>
      <c r="J8" s="50">
        <v>0</v>
      </c>
      <c r="K8" s="72">
        <v>4.3556460464475935E-2</v>
      </c>
      <c r="L8" s="73">
        <v>413.48147918927003</v>
      </c>
      <c r="M8" s="77">
        <v>7.4032998744564338E-3</v>
      </c>
      <c r="N8" s="61">
        <v>4.4519982029341744E-2</v>
      </c>
      <c r="O8" s="73">
        <v>184.00108572726944</v>
      </c>
      <c r="P8" s="77">
        <v>3.8680418117563271E-3</v>
      </c>
      <c r="Q8" s="94" t="s">
        <v>142</v>
      </c>
      <c r="R8" s="73">
        <v>0</v>
      </c>
      <c r="S8" s="117">
        <v>0</v>
      </c>
      <c r="T8" s="61">
        <v>4.4846664980392179E-2</v>
      </c>
      <c r="U8" s="73">
        <v>104.76180939419613</v>
      </c>
      <c r="V8" s="77">
        <v>2.1506798542546665E-3</v>
      </c>
      <c r="W8" s="107">
        <v>4.5526345146067813E-2</v>
      </c>
      <c r="X8" s="73">
        <v>0</v>
      </c>
      <c r="Y8" s="117">
        <v>0</v>
      </c>
      <c r="Z8" s="61">
        <v>4.5615760094569781E-2</v>
      </c>
      <c r="AA8" s="73">
        <v>112.28518342204939</v>
      </c>
      <c r="AB8" s="77">
        <v>2.6458641647120361E-3</v>
      </c>
      <c r="AC8" s="107">
        <v>4.6347006495435182E-2</v>
      </c>
      <c r="AD8" s="92"/>
      <c r="AE8" s="81">
        <v>8.4171936661534688E-5</v>
      </c>
      <c r="AF8" s="61">
        <v>4.563010832933069E-2</v>
      </c>
      <c r="AG8" s="92"/>
      <c r="AH8" s="66">
        <f>AF8*Profitability!$K$2</f>
        <v>3.0921101456035122E-3</v>
      </c>
      <c r="AI8" s="91"/>
      <c r="AJ8" s="92"/>
      <c r="AK8" s="102"/>
    </row>
    <row r="9" spans="1:37" x14ac:dyDescent="0.3">
      <c r="A9" t="s">
        <v>8</v>
      </c>
      <c r="B9" s="61">
        <v>2.9750755377722524E-2</v>
      </c>
      <c r="C9" s="96">
        <v>0</v>
      </c>
      <c r="D9" s="50">
        <v>0</v>
      </c>
      <c r="E9" s="72">
        <v>2.4560109431107282E-2</v>
      </c>
      <c r="F9" s="96">
        <v>0</v>
      </c>
      <c r="G9" s="54">
        <v>0</v>
      </c>
      <c r="H9" s="72">
        <v>2.4560109431107282E-2</v>
      </c>
      <c r="I9" s="96">
        <v>0</v>
      </c>
      <c r="J9" s="50">
        <v>0</v>
      </c>
      <c r="K9" s="72">
        <v>2.4560109431107282E-2</v>
      </c>
      <c r="L9" s="73">
        <v>233.14911882950142</v>
      </c>
      <c r="M9" s="77">
        <v>4.1744864740845397E-3</v>
      </c>
      <c r="N9" s="61">
        <v>2.5103408744687552E-2</v>
      </c>
      <c r="O9" s="73">
        <v>103.75238834179365</v>
      </c>
      <c r="P9" s="77">
        <v>2.1810663485457961E-3</v>
      </c>
      <c r="Q9" s="94" t="s">
        <v>142</v>
      </c>
      <c r="R9" s="73">
        <v>0</v>
      </c>
      <c r="S9" s="117">
        <v>0</v>
      </c>
      <c r="T9" s="61">
        <v>2.5287614920798202E-2</v>
      </c>
      <c r="U9" s="73">
        <v>59.071868454984596</v>
      </c>
      <c r="V9" s="77">
        <v>1.2127002976941277E-3</v>
      </c>
      <c r="W9" s="107">
        <v>2.56708650533649E-2</v>
      </c>
      <c r="X9" s="73">
        <v>0</v>
      </c>
      <c r="Y9" s="117">
        <v>0</v>
      </c>
      <c r="Z9" s="61">
        <v>2.5721283312713047E-2</v>
      </c>
      <c r="AA9" s="73">
        <v>63.314060943649423</v>
      </c>
      <c r="AB9" s="77">
        <v>1.4919190570632315E-3</v>
      </c>
      <c r="AC9" s="107">
        <v>2.6133610013157522E-2</v>
      </c>
      <c r="AD9" s="92"/>
      <c r="AE9" s="81">
        <v>4.7461890920212907E-5</v>
      </c>
      <c r="AF9" s="61">
        <v>2.5729373828152394E-2</v>
      </c>
      <c r="AG9" s="92"/>
      <c r="AH9" s="66">
        <f>AF9*Profitability!$K$2</f>
        <v>1.7435430413588603E-3</v>
      </c>
      <c r="AI9" s="91"/>
      <c r="AJ9" s="92"/>
      <c r="AK9" s="102"/>
    </row>
    <row r="10" spans="1:37" x14ac:dyDescent="0.3">
      <c r="A10" t="s">
        <v>11</v>
      </c>
      <c r="B10" s="61">
        <v>4.420240091426389E-2</v>
      </c>
      <c r="C10" s="96">
        <v>0</v>
      </c>
      <c r="D10" s="50">
        <v>0</v>
      </c>
      <c r="E10" s="72">
        <v>3.8006027299676275E-2</v>
      </c>
      <c r="F10" s="96">
        <v>0</v>
      </c>
      <c r="G10" s="54">
        <v>0</v>
      </c>
      <c r="H10" s="72">
        <v>3.8006027299676275E-2</v>
      </c>
      <c r="I10" s="96">
        <v>0</v>
      </c>
      <c r="J10" s="50">
        <v>0</v>
      </c>
      <c r="K10" s="72">
        <v>3.8006027299676275E-2</v>
      </c>
      <c r="L10" s="73">
        <v>360.79121715582687</v>
      </c>
      <c r="M10" s="77">
        <v>6.4598916931223726E-3</v>
      </c>
      <c r="N10" s="61">
        <v>2.6337019556000801E-2</v>
      </c>
      <c r="O10" s="73">
        <v>108.85090182495131</v>
      </c>
      <c r="P10" s="77">
        <v>2.28824649507976E-3</v>
      </c>
      <c r="Q10" s="94" t="s">
        <v>142</v>
      </c>
      <c r="R10" s="73">
        <v>0</v>
      </c>
      <c r="S10" s="117">
        <v>0</v>
      </c>
      <c r="T10" s="61">
        <v>3.0903104023845392E-2</v>
      </c>
      <c r="U10" s="73">
        <v>72.189650999702835</v>
      </c>
      <c r="V10" s="77">
        <v>1.4819983445163506E-3</v>
      </c>
      <c r="W10" s="107">
        <v>2.9351587877331678E-2</v>
      </c>
      <c r="X10" s="73">
        <v>0</v>
      </c>
      <c r="Y10" s="117">
        <v>0</v>
      </c>
      <c r="Z10" s="61">
        <v>2.9409235173860362E-2</v>
      </c>
      <c r="AA10" s="73">
        <v>72.392115333669565</v>
      </c>
      <c r="AB10" s="77">
        <v>1.7058323986443649E-3</v>
      </c>
      <c r="AC10" s="107">
        <v>3.0391392641194736E-2</v>
      </c>
      <c r="AD10" s="92"/>
      <c r="AE10" s="81">
        <v>5.5194554511356151E-5</v>
      </c>
      <c r="AF10" s="61">
        <v>2.9921296829246664E-2</v>
      </c>
      <c r="AG10" s="92"/>
      <c r="AH10" s="66">
        <f>AF10*Profitability!$K$2</f>
        <v>2.0276074040318833E-3</v>
      </c>
      <c r="AI10" s="91"/>
      <c r="AJ10" s="92"/>
      <c r="AK10" s="102"/>
    </row>
    <row r="11" spans="1:37" x14ac:dyDescent="0.3">
      <c r="A11" t="s">
        <v>31</v>
      </c>
      <c r="B11" s="61">
        <v>0.1108209900338412</v>
      </c>
      <c r="C11" s="96">
        <v>0</v>
      </c>
      <c r="D11" s="50">
        <v>0</v>
      </c>
      <c r="E11" s="72">
        <v>0.10051046378125904</v>
      </c>
      <c r="F11" s="96">
        <v>0</v>
      </c>
      <c r="G11" s="54">
        <v>0</v>
      </c>
      <c r="H11" s="72">
        <v>0.10051046378125904</v>
      </c>
      <c r="I11" s="96">
        <v>0</v>
      </c>
      <c r="J11" s="50">
        <v>0</v>
      </c>
      <c r="K11" s="72">
        <v>0.10051046378125904</v>
      </c>
      <c r="L11" s="73">
        <v>954.1458326754921</v>
      </c>
      <c r="M11" s="77">
        <v>1.7083782657230338E-2</v>
      </c>
      <c r="N11" s="61">
        <v>8.0644942653977036E-2</v>
      </c>
      <c r="O11" s="73">
        <v>333.3055479888871</v>
      </c>
      <c r="P11" s="77">
        <v>7.006696675813699E-3</v>
      </c>
      <c r="Q11" s="94" t="s">
        <v>142</v>
      </c>
      <c r="R11" s="73">
        <v>0</v>
      </c>
      <c r="S11" s="117">
        <v>0</v>
      </c>
      <c r="T11" s="61">
        <v>6.9525985641524485E-2</v>
      </c>
      <c r="U11" s="73">
        <v>162.41270245860119</v>
      </c>
      <c r="V11" s="77">
        <v>3.3342086135457892E-3</v>
      </c>
      <c r="W11" s="107">
        <v>5.7443923780831935E-2</v>
      </c>
      <c r="X11" s="73">
        <v>0</v>
      </c>
      <c r="Y11" s="117">
        <v>0</v>
      </c>
      <c r="Z11" s="61">
        <v>7.357248433424031E-2</v>
      </c>
      <c r="AA11" s="73">
        <v>181.10187972663971</v>
      </c>
      <c r="AB11" s="77">
        <v>4.2674461503049085E-3</v>
      </c>
      <c r="AC11" s="107">
        <v>5.821061714026135E-2</v>
      </c>
      <c r="AD11" s="92"/>
      <c r="AE11" s="81">
        <v>1.0571773129385404E-4</v>
      </c>
      <c r="AF11" s="61">
        <v>7.2778269562329384E-2</v>
      </c>
      <c r="AG11" s="92"/>
      <c r="AH11" s="66">
        <f>AF11*Profitability!$K$2</f>
        <v>4.9317968756276863E-3</v>
      </c>
      <c r="AI11" s="91"/>
      <c r="AJ11" s="92"/>
      <c r="AK11" s="102"/>
    </row>
    <row r="12" spans="1:37" x14ac:dyDescent="0.3">
      <c r="A12" s="24" t="s">
        <v>25</v>
      </c>
      <c r="B12" s="61">
        <v>2.8911859045832308E-2</v>
      </c>
      <c r="C12" s="96">
        <v>0</v>
      </c>
      <c r="D12" s="50">
        <v>0</v>
      </c>
      <c r="E12" s="72">
        <v>2.3867576234857545E-2</v>
      </c>
      <c r="F12" s="96">
        <v>0</v>
      </c>
      <c r="G12" s="54">
        <v>0</v>
      </c>
      <c r="H12" s="72">
        <v>2.3867576234857545E-2</v>
      </c>
      <c r="I12" s="96">
        <v>0</v>
      </c>
      <c r="J12" s="50">
        <v>0</v>
      </c>
      <c r="K12" s="72">
        <v>2.3867576234857545E-2</v>
      </c>
      <c r="L12" s="78">
        <v>226.57490119750267</v>
      </c>
      <c r="M12" s="66">
        <v>4.0567764749207163E-3</v>
      </c>
      <c r="N12" s="61">
        <v>2.4395555876870006E-2</v>
      </c>
      <c r="O12" s="73">
        <v>100.82683243910374</v>
      </c>
      <c r="P12" s="77">
        <v>2.1195657736469706E-3</v>
      </c>
      <c r="Q12" s="94" t="s">
        <v>142</v>
      </c>
      <c r="R12" s="73">
        <v>0</v>
      </c>
      <c r="S12" s="117">
        <v>0</v>
      </c>
      <c r="T12" s="61">
        <v>2.4574567903000635E-2</v>
      </c>
      <c r="U12" s="73">
        <v>57.406190621409479</v>
      </c>
      <c r="V12" s="77">
        <v>1.1785052052165914E-3</v>
      </c>
      <c r="W12" s="107">
        <v>2.4947011347591697E-2</v>
      </c>
      <c r="X12" s="73">
        <v>0</v>
      </c>
      <c r="Y12" s="117">
        <v>0</v>
      </c>
      <c r="Z12" s="61">
        <v>2.4996007939076609E-2</v>
      </c>
      <c r="AA12" s="73">
        <v>61.528763971913605</v>
      </c>
      <c r="AB12" s="77">
        <v>1.4498506991826572E-3</v>
      </c>
      <c r="AC12" s="107">
        <v>2.5396708065602146E-2</v>
      </c>
      <c r="AD12" s="92"/>
      <c r="AE12" s="81">
        <v>4.6123585196810862E-5</v>
      </c>
      <c r="AF12" s="61">
        <v>2.5003870322368081E-2</v>
      </c>
      <c r="AG12" s="92"/>
      <c r="AH12" s="66">
        <f>AF12*Profitability!$K$2</f>
        <v>1.694379521195473E-3</v>
      </c>
      <c r="AI12" s="91"/>
      <c r="AJ12" s="92"/>
      <c r="AK12" s="102"/>
    </row>
    <row r="13" spans="1:37" x14ac:dyDescent="0.3">
      <c r="A13" s="4" t="s">
        <v>98</v>
      </c>
      <c r="B13" s="61" t="s">
        <v>142</v>
      </c>
      <c r="C13" s="96" t="s">
        <v>142</v>
      </c>
      <c r="D13" s="50" t="s">
        <v>142</v>
      </c>
      <c r="E13" s="72" t="s">
        <v>142</v>
      </c>
      <c r="F13" s="96">
        <v>0</v>
      </c>
      <c r="G13" s="54">
        <v>0</v>
      </c>
      <c r="H13" s="72" t="s">
        <v>142</v>
      </c>
      <c r="I13" s="96">
        <v>0</v>
      </c>
      <c r="J13" s="50">
        <v>0</v>
      </c>
      <c r="K13" s="72" t="s">
        <v>142</v>
      </c>
      <c r="L13" s="73" t="s">
        <v>142</v>
      </c>
      <c r="M13" s="66" t="s">
        <v>142</v>
      </c>
      <c r="N13" s="61" t="s">
        <v>142</v>
      </c>
      <c r="O13" s="73" t="s">
        <v>142</v>
      </c>
      <c r="P13" s="66" t="s">
        <v>142</v>
      </c>
      <c r="Q13" s="94" t="s">
        <v>142</v>
      </c>
      <c r="R13" s="73">
        <v>0</v>
      </c>
      <c r="S13" s="117">
        <v>0</v>
      </c>
      <c r="T13" s="61" t="s">
        <v>142</v>
      </c>
      <c r="U13" s="73" t="s">
        <v>142</v>
      </c>
      <c r="V13" s="66" t="s">
        <v>142</v>
      </c>
      <c r="W13" s="107" t="s">
        <v>142</v>
      </c>
      <c r="X13" s="73">
        <v>0</v>
      </c>
      <c r="Y13" s="117">
        <v>0</v>
      </c>
      <c r="Z13" s="61" t="s">
        <v>142</v>
      </c>
      <c r="AA13" s="73" t="s">
        <v>142</v>
      </c>
      <c r="AB13" s="77" t="s">
        <v>142</v>
      </c>
      <c r="AC13" s="107">
        <v>0</v>
      </c>
      <c r="AD13" s="92" t="s">
        <v>142</v>
      </c>
      <c r="AE13" s="81" t="s">
        <v>142</v>
      </c>
      <c r="AF13" s="61">
        <v>0</v>
      </c>
      <c r="AG13" s="92" t="s">
        <v>142</v>
      </c>
      <c r="AH13" s="66">
        <f>AF13*Profitability!$K$2</f>
        <v>0</v>
      </c>
      <c r="AI13" s="91" t="s">
        <v>142</v>
      </c>
      <c r="AJ13" s="92" t="s">
        <v>142</v>
      </c>
      <c r="AK13" s="102" t="s">
        <v>142</v>
      </c>
    </row>
    <row r="14" spans="1:37" x14ac:dyDescent="0.3">
      <c r="A14" t="s">
        <v>136</v>
      </c>
      <c r="B14" s="72" t="s">
        <v>142</v>
      </c>
      <c r="C14" s="96" t="s">
        <v>142</v>
      </c>
      <c r="D14" s="50" t="s">
        <v>142</v>
      </c>
      <c r="E14" s="72">
        <v>4.0176714060710009E-2</v>
      </c>
      <c r="F14" s="96">
        <v>0</v>
      </c>
      <c r="G14" s="54">
        <v>0</v>
      </c>
      <c r="H14" s="72">
        <v>4.0176714060710009E-2</v>
      </c>
      <c r="I14" s="96">
        <v>0</v>
      </c>
      <c r="J14" s="50">
        <v>0</v>
      </c>
      <c r="K14" s="72">
        <v>4.0176714060710009E-2</v>
      </c>
      <c r="L14" s="73">
        <v>381.39754657832009</v>
      </c>
      <c r="M14" s="77">
        <v>6.8288437350026345E-3</v>
      </c>
      <c r="N14" s="61">
        <v>4.1065471549039757E-2</v>
      </c>
      <c r="O14" s="73">
        <v>169.72359391218131</v>
      </c>
      <c r="P14" s="77">
        <v>3.5679026300254827E-3</v>
      </c>
      <c r="Q14" s="94" t="s">
        <v>142</v>
      </c>
      <c r="R14" s="73">
        <v>0</v>
      </c>
      <c r="S14" s="117">
        <v>0</v>
      </c>
      <c r="T14" s="61">
        <v>4.136680566510198E-2</v>
      </c>
      <c r="U14" s="73">
        <v>96.632858033678218</v>
      </c>
      <c r="V14" s="77">
        <v>1.9837986975776373E-3</v>
      </c>
      <c r="W14" s="107">
        <v>4.1993746315877711E-2</v>
      </c>
      <c r="X14" s="73">
        <v>0</v>
      </c>
      <c r="Y14" s="117">
        <v>0</v>
      </c>
      <c r="Z14" s="61">
        <v>4.2076223146648814E-2</v>
      </c>
      <c r="AA14" s="73">
        <v>103.57245881541198</v>
      </c>
      <c r="AB14" s="77">
        <v>2.4405593763940801E-3</v>
      </c>
      <c r="AC14" s="107">
        <v>4.2750728770893781E-2</v>
      </c>
      <c r="AD14" s="92"/>
      <c r="AE14" s="81">
        <v>7.7640648370516343E-5</v>
      </c>
      <c r="AF14" s="61">
        <v>4.2089458035781624E-2</v>
      </c>
      <c r="AG14" s="92"/>
      <c r="AH14" s="66">
        <f>AF14*Profitability!$K$2</f>
        <v>2.8521790760627505E-3</v>
      </c>
      <c r="AI14" s="91"/>
      <c r="AJ14" s="92"/>
      <c r="AK14" s="102"/>
    </row>
    <row r="15" spans="1:37" x14ac:dyDescent="0.3">
      <c r="A15" s="28" t="s">
        <v>139</v>
      </c>
      <c r="B15" s="72" t="s">
        <v>142</v>
      </c>
      <c r="C15" s="96" t="s">
        <v>142</v>
      </c>
      <c r="D15" s="50" t="s">
        <v>142</v>
      </c>
      <c r="E15" s="72">
        <v>3.8081115934578788E-2</v>
      </c>
      <c r="F15" s="96">
        <v>0</v>
      </c>
      <c r="G15" s="54">
        <v>0</v>
      </c>
      <c r="H15" s="72">
        <v>3.8081115934578788E-2</v>
      </c>
      <c r="I15" s="96">
        <v>0</v>
      </c>
      <c r="J15" s="50">
        <v>0</v>
      </c>
      <c r="K15" s="72">
        <v>3.8081115934578788E-2</v>
      </c>
      <c r="L15" s="78">
        <v>361.50403356695642</v>
      </c>
      <c r="M15" s="66">
        <v>6.4726545226870104E-3</v>
      </c>
      <c r="N15" s="61">
        <v>3.8923516258798134E-2</v>
      </c>
      <c r="O15" s="78">
        <v>160.87089269761267</v>
      </c>
      <c r="P15" s="66">
        <v>3.3818025409439833E-3</v>
      </c>
      <c r="Q15" s="94" t="s">
        <v>142</v>
      </c>
      <c r="R15" s="73">
        <v>0</v>
      </c>
      <c r="S15" s="117">
        <v>0</v>
      </c>
      <c r="T15" s="61">
        <v>3.9209132931965325E-2</v>
      </c>
      <c r="U15" s="78">
        <v>91.592534529071003</v>
      </c>
      <c r="V15" s="66">
        <v>1.8803247094614528E-3</v>
      </c>
      <c r="W15" s="107">
        <v>3.980337265924154E-2</v>
      </c>
      <c r="X15" s="73">
        <v>0</v>
      </c>
      <c r="Y15" s="117">
        <v>0</v>
      </c>
      <c r="Z15" s="61">
        <v>3.9881547538097112E-2</v>
      </c>
      <c r="AA15" s="73">
        <v>98.170169064079715</v>
      </c>
      <c r="AB15" s="77">
        <v>2.3132609704528892E-3</v>
      </c>
      <c r="AC15" s="107">
        <v>4.0520871272651027E-2</v>
      </c>
      <c r="AD15" s="92"/>
      <c r="AE15" s="81">
        <v>7.3590949408301317E-5</v>
      </c>
      <c r="AF15" s="61">
        <v>3.9894092101763673E-2</v>
      </c>
      <c r="AG15" s="92"/>
      <c r="AH15" s="66">
        <f>AF15*Profitability!$K$2</f>
        <v>2.7034107841074637E-3</v>
      </c>
      <c r="AI15" s="91"/>
      <c r="AJ15" s="92"/>
      <c r="AK15" s="102"/>
    </row>
    <row r="16" spans="1:37" x14ac:dyDescent="0.3">
      <c r="A16" s="28" t="s">
        <v>141</v>
      </c>
      <c r="B16" s="72" t="s">
        <v>142</v>
      </c>
      <c r="C16" s="96" t="s">
        <v>142</v>
      </c>
      <c r="D16" s="50" t="s">
        <v>142</v>
      </c>
      <c r="E16" s="72">
        <v>8.5673037938390678E-2</v>
      </c>
      <c r="F16" s="96">
        <v>0</v>
      </c>
      <c r="G16" s="54">
        <v>0</v>
      </c>
      <c r="H16" s="72">
        <v>8.5673037938390678E-2</v>
      </c>
      <c r="I16" s="96">
        <v>0</v>
      </c>
      <c r="J16" s="50">
        <v>0</v>
      </c>
      <c r="K16" s="72">
        <v>8.5673037938390678E-2</v>
      </c>
      <c r="L16" s="78">
        <v>813.29414914914275</v>
      </c>
      <c r="M16" s="66">
        <v>1.4561862562980423E-2</v>
      </c>
      <c r="N16" s="61">
        <v>0.10004570124297052</v>
      </c>
      <c r="O16" s="78">
        <v>413.48888323719717</v>
      </c>
      <c r="P16" s="66">
        <v>8.6922981064827178E-3</v>
      </c>
      <c r="Q16" s="94" t="s">
        <v>142</v>
      </c>
      <c r="R16" s="73">
        <v>0</v>
      </c>
      <c r="S16" s="117">
        <v>0</v>
      </c>
      <c r="T16" s="61">
        <v>0.10077982608831353</v>
      </c>
      <c r="U16" s="78">
        <v>235.42167374230038</v>
      </c>
      <c r="V16" s="66">
        <v>4.8330269771049844E-3</v>
      </c>
      <c r="W16" s="107">
        <v>0.10230720942712847</v>
      </c>
      <c r="X16" s="117">
        <v>0</v>
      </c>
      <c r="Y16" s="168">
        <v>0</v>
      </c>
      <c r="Z16" s="61">
        <v>8.4528377829295218E-2</v>
      </c>
      <c r="AA16" s="73">
        <v>208.07028950637991</v>
      </c>
      <c r="AB16" s="77">
        <v>4.9029240187185991E-3</v>
      </c>
      <c r="AC16" s="107">
        <v>8.5883415472656127E-2</v>
      </c>
      <c r="AD16" s="92"/>
      <c r="AE16" s="81">
        <v>1.5597497991920315E-4</v>
      </c>
      <c r="AF16" s="61">
        <v>8.4554965855155997E-2</v>
      </c>
      <c r="AG16" s="92"/>
      <c r="AH16" s="66">
        <f>AF16*Profitability!$K$2</f>
        <v>5.7298410491352309E-3</v>
      </c>
      <c r="AI16" s="91"/>
      <c r="AJ16" s="92"/>
      <c r="AK16" s="102"/>
    </row>
    <row r="17" spans="1:42" x14ac:dyDescent="0.3">
      <c r="A17" s="28" t="s">
        <v>99</v>
      </c>
      <c r="B17" s="61" t="s">
        <v>142</v>
      </c>
      <c r="C17" s="96" t="s">
        <v>142</v>
      </c>
      <c r="D17" s="50" t="s">
        <v>142</v>
      </c>
      <c r="E17" s="72" t="s">
        <v>142</v>
      </c>
      <c r="F17" s="62" t="s">
        <v>142</v>
      </c>
      <c r="G17" s="54" t="s">
        <v>142</v>
      </c>
      <c r="H17" s="72" t="s">
        <v>142</v>
      </c>
      <c r="I17" s="62" t="s">
        <v>142</v>
      </c>
      <c r="J17" s="50" t="s">
        <v>142</v>
      </c>
      <c r="K17" s="72" t="s">
        <v>142</v>
      </c>
      <c r="L17" s="73" t="s">
        <v>142</v>
      </c>
      <c r="M17" s="66" t="s">
        <v>142</v>
      </c>
      <c r="N17" s="72" t="s">
        <v>142</v>
      </c>
      <c r="O17" s="73" t="s">
        <v>142</v>
      </c>
      <c r="P17" s="66" t="s">
        <v>142</v>
      </c>
      <c r="Q17" s="94" t="s">
        <v>142</v>
      </c>
      <c r="R17" s="62" t="s">
        <v>142</v>
      </c>
      <c r="S17" s="80" t="s">
        <v>142</v>
      </c>
      <c r="T17" s="82" t="s">
        <v>142</v>
      </c>
      <c r="U17" s="73" t="s">
        <v>142</v>
      </c>
      <c r="V17" s="66" t="s">
        <v>142</v>
      </c>
      <c r="W17" s="65" t="s">
        <v>142</v>
      </c>
      <c r="X17" s="92" t="s">
        <v>142</v>
      </c>
      <c r="Y17" s="101" t="s">
        <v>142</v>
      </c>
      <c r="Z17" s="61" t="s">
        <v>142</v>
      </c>
      <c r="AA17" s="92" t="s">
        <v>142</v>
      </c>
      <c r="AB17" s="102" t="s">
        <v>142</v>
      </c>
      <c r="AC17" s="107">
        <v>0</v>
      </c>
      <c r="AD17" s="92" t="s">
        <v>142</v>
      </c>
      <c r="AE17" s="101" t="s">
        <v>142</v>
      </c>
      <c r="AF17" s="61">
        <v>0</v>
      </c>
      <c r="AG17" s="92" t="s">
        <v>142</v>
      </c>
      <c r="AH17" s="66">
        <f>AF17*Profitability!$K$2</f>
        <v>0</v>
      </c>
      <c r="AI17" s="65" t="s">
        <v>142</v>
      </c>
      <c r="AJ17" s="92" t="s">
        <v>142</v>
      </c>
      <c r="AK17" s="102" t="s">
        <v>142</v>
      </c>
    </row>
    <row r="18" spans="1:42" x14ac:dyDescent="0.3">
      <c r="A18" s="28" t="s">
        <v>99</v>
      </c>
      <c r="B18" s="61" t="s">
        <v>142</v>
      </c>
      <c r="C18" s="62" t="s">
        <v>142</v>
      </c>
      <c r="D18" s="50" t="s">
        <v>142</v>
      </c>
      <c r="E18" s="72" t="s">
        <v>142</v>
      </c>
      <c r="F18" s="62" t="s">
        <v>142</v>
      </c>
      <c r="G18" s="54" t="s">
        <v>142</v>
      </c>
      <c r="H18" s="72" t="s">
        <v>142</v>
      </c>
      <c r="I18" s="62" t="s">
        <v>142</v>
      </c>
      <c r="J18" s="50" t="s">
        <v>142</v>
      </c>
      <c r="K18" s="72" t="s">
        <v>142</v>
      </c>
      <c r="L18" s="73" t="s">
        <v>142</v>
      </c>
      <c r="M18" s="66" t="s">
        <v>142</v>
      </c>
      <c r="N18" s="72" t="s">
        <v>142</v>
      </c>
      <c r="O18" s="73" t="s">
        <v>142</v>
      </c>
      <c r="P18" s="66" t="s">
        <v>142</v>
      </c>
      <c r="Q18" s="94" t="s">
        <v>142</v>
      </c>
      <c r="R18" s="62" t="s">
        <v>142</v>
      </c>
      <c r="S18" s="80" t="s">
        <v>142</v>
      </c>
      <c r="T18" s="82" t="s">
        <v>142</v>
      </c>
      <c r="U18" s="73" t="s">
        <v>142</v>
      </c>
      <c r="V18" s="66" t="s">
        <v>142</v>
      </c>
      <c r="W18" s="65" t="s">
        <v>142</v>
      </c>
      <c r="X18" s="92" t="s">
        <v>142</v>
      </c>
      <c r="Y18" s="101" t="s">
        <v>142</v>
      </c>
      <c r="Z18" s="61" t="s">
        <v>142</v>
      </c>
      <c r="AA18" s="92" t="s">
        <v>142</v>
      </c>
      <c r="AB18" s="102" t="s">
        <v>142</v>
      </c>
      <c r="AC18" s="107">
        <v>0</v>
      </c>
      <c r="AD18" s="92" t="s">
        <v>142</v>
      </c>
      <c r="AE18" s="101" t="s">
        <v>142</v>
      </c>
      <c r="AF18" s="61">
        <v>0</v>
      </c>
      <c r="AG18" s="92" t="s">
        <v>142</v>
      </c>
      <c r="AH18" s="66">
        <f>AF18*Profitability!$K$2</f>
        <v>0</v>
      </c>
      <c r="AI18" s="65" t="s">
        <v>142</v>
      </c>
      <c r="AJ18" s="92" t="s">
        <v>142</v>
      </c>
      <c r="AK18" s="102" t="s">
        <v>142</v>
      </c>
    </row>
    <row r="19" spans="1:42" x14ac:dyDescent="0.3">
      <c r="A19" s="28" t="s">
        <v>99</v>
      </c>
      <c r="B19" s="61" t="s">
        <v>142</v>
      </c>
      <c r="C19" s="62" t="s">
        <v>142</v>
      </c>
      <c r="D19" s="50" t="s">
        <v>142</v>
      </c>
      <c r="E19" s="72" t="s">
        <v>142</v>
      </c>
      <c r="F19" s="62" t="s">
        <v>142</v>
      </c>
      <c r="G19" s="54" t="s">
        <v>142</v>
      </c>
      <c r="H19" s="72" t="s">
        <v>142</v>
      </c>
      <c r="I19" s="62" t="s">
        <v>142</v>
      </c>
      <c r="J19" s="50" t="s">
        <v>142</v>
      </c>
      <c r="K19" s="72" t="s">
        <v>142</v>
      </c>
      <c r="L19" s="73" t="s">
        <v>142</v>
      </c>
      <c r="M19" s="66" t="s">
        <v>142</v>
      </c>
      <c r="N19" s="72" t="s">
        <v>142</v>
      </c>
      <c r="O19" s="73" t="s">
        <v>142</v>
      </c>
      <c r="P19" s="66" t="s">
        <v>142</v>
      </c>
      <c r="Q19" s="94" t="s">
        <v>142</v>
      </c>
      <c r="R19" s="62" t="s">
        <v>142</v>
      </c>
      <c r="S19" s="80" t="s">
        <v>142</v>
      </c>
      <c r="T19" s="82" t="s">
        <v>142</v>
      </c>
      <c r="U19" s="73" t="s">
        <v>142</v>
      </c>
      <c r="V19" s="66" t="s">
        <v>142</v>
      </c>
      <c r="W19" s="65" t="s">
        <v>142</v>
      </c>
      <c r="X19" s="92" t="s">
        <v>142</v>
      </c>
      <c r="Y19" s="101" t="s">
        <v>142</v>
      </c>
      <c r="Z19" s="61" t="s">
        <v>142</v>
      </c>
      <c r="AA19" s="92" t="s">
        <v>142</v>
      </c>
      <c r="AB19" s="102" t="s">
        <v>142</v>
      </c>
      <c r="AC19" s="107">
        <v>0</v>
      </c>
      <c r="AD19" s="92" t="s">
        <v>142</v>
      </c>
      <c r="AE19" s="101" t="s">
        <v>142</v>
      </c>
      <c r="AF19" s="61">
        <v>0</v>
      </c>
      <c r="AG19" s="92" t="s">
        <v>142</v>
      </c>
      <c r="AH19" s="66">
        <f>AF19*Profitability!$K$2</f>
        <v>0</v>
      </c>
      <c r="AI19" s="65" t="s">
        <v>142</v>
      </c>
      <c r="AJ19" s="92" t="s">
        <v>142</v>
      </c>
      <c r="AK19" s="102" t="s">
        <v>142</v>
      </c>
    </row>
    <row r="20" spans="1:42" x14ac:dyDescent="0.3">
      <c r="A20" s="28" t="s">
        <v>99</v>
      </c>
      <c r="B20" s="61" t="s">
        <v>142</v>
      </c>
      <c r="C20" s="62" t="s">
        <v>142</v>
      </c>
      <c r="D20" s="50" t="s">
        <v>142</v>
      </c>
      <c r="E20" s="72" t="s">
        <v>142</v>
      </c>
      <c r="F20" s="62" t="s">
        <v>142</v>
      </c>
      <c r="G20" s="54" t="s">
        <v>142</v>
      </c>
      <c r="H20" s="72" t="s">
        <v>142</v>
      </c>
      <c r="I20" s="62" t="s">
        <v>142</v>
      </c>
      <c r="J20" s="50" t="s">
        <v>142</v>
      </c>
      <c r="K20" s="72" t="s">
        <v>142</v>
      </c>
      <c r="L20" s="73" t="s">
        <v>142</v>
      </c>
      <c r="M20" s="66" t="s">
        <v>142</v>
      </c>
      <c r="N20" s="72" t="s">
        <v>142</v>
      </c>
      <c r="O20" s="73" t="s">
        <v>142</v>
      </c>
      <c r="P20" s="66" t="s">
        <v>142</v>
      </c>
      <c r="Q20" s="94" t="s">
        <v>142</v>
      </c>
      <c r="R20" s="62" t="s">
        <v>142</v>
      </c>
      <c r="S20" s="80" t="s">
        <v>142</v>
      </c>
      <c r="T20" s="82" t="s">
        <v>142</v>
      </c>
      <c r="U20" s="73" t="s">
        <v>142</v>
      </c>
      <c r="V20" s="66" t="s">
        <v>142</v>
      </c>
      <c r="W20" s="65" t="s">
        <v>142</v>
      </c>
      <c r="X20" s="92" t="s">
        <v>142</v>
      </c>
      <c r="Y20" s="101" t="s">
        <v>142</v>
      </c>
      <c r="Z20" s="61" t="s">
        <v>142</v>
      </c>
      <c r="AA20" s="92" t="s">
        <v>142</v>
      </c>
      <c r="AB20" s="102" t="s">
        <v>142</v>
      </c>
      <c r="AC20" s="107">
        <v>0</v>
      </c>
      <c r="AD20" s="92" t="s">
        <v>142</v>
      </c>
      <c r="AE20" s="101" t="s">
        <v>142</v>
      </c>
      <c r="AF20" s="61">
        <v>0</v>
      </c>
      <c r="AG20" s="92" t="s">
        <v>142</v>
      </c>
      <c r="AH20" s="66">
        <f>AF20*Profitability!$K$2</f>
        <v>0</v>
      </c>
      <c r="AI20" s="65" t="s">
        <v>142</v>
      </c>
      <c r="AJ20" s="92" t="s">
        <v>142</v>
      </c>
      <c r="AK20" s="102" t="s">
        <v>142</v>
      </c>
    </row>
    <row r="21" spans="1:42" x14ac:dyDescent="0.3">
      <c r="A21" s="28" t="s">
        <v>99</v>
      </c>
      <c r="B21" s="61" t="s">
        <v>142</v>
      </c>
      <c r="C21" s="62" t="s">
        <v>142</v>
      </c>
      <c r="D21" s="50" t="s">
        <v>142</v>
      </c>
      <c r="E21" s="72" t="s">
        <v>142</v>
      </c>
      <c r="F21" s="62" t="s">
        <v>142</v>
      </c>
      <c r="G21" s="54" t="s">
        <v>142</v>
      </c>
      <c r="H21" s="72" t="s">
        <v>142</v>
      </c>
      <c r="I21" s="62" t="s">
        <v>142</v>
      </c>
      <c r="J21" s="50" t="s">
        <v>142</v>
      </c>
      <c r="K21" s="72" t="s">
        <v>142</v>
      </c>
      <c r="L21" s="73" t="s">
        <v>142</v>
      </c>
      <c r="M21" s="66" t="s">
        <v>142</v>
      </c>
      <c r="N21" s="72" t="s">
        <v>142</v>
      </c>
      <c r="O21" s="73" t="s">
        <v>142</v>
      </c>
      <c r="P21" s="66" t="s">
        <v>142</v>
      </c>
      <c r="Q21" s="94" t="s">
        <v>142</v>
      </c>
      <c r="R21" s="62" t="s">
        <v>142</v>
      </c>
      <c r="S21" s="80" t="s">
        <v>142</v>
      </c>
      <c r="T21" s="82" t="s">
        <v>142</v>
      </c>
      <c r="U21" s="73" t="s">
        <v>142</v>
      </c>
      <c r="V21" s="66" t="s">
        <v>142</v>
      </c>
      <c r="W21" s="65" t="s">
        <v>142</v>
      </c>
      <c r="X21" s="92" t="s">
        <v>142</v>
      </c>
      <c r="Y21" s="101" t="s">
        <v>142</v>
      </c>
      <c r="Z21" s="61" t="s">
        <v>142</v>
      </c>
      <c r="AA21" s="92" t="s">
        <v>142</v>
      </c>
      <c r="AB21" s="102" t="s">
        <v>142</v>
      </c>
      <c r="AC21" s="107">
        <v>0</v>
      </c>
      <c r="AD21" s="92" t="s">
        <v>142</v>
      </c>
      <c r="AE21" s="101" t="s">
        <v>142</v>
      </c>
      <c r="AF21" s="61">
        <v>0</v>
      </c>
      <c r="AG21" s="92" t="s">
        <v>142</v>
      </c>
      <c r="AH21" s="66">
        <f>AF21*Profitability!$K$2</f>
        <v>0</v>
      </c>
      <c r="AI21" s="65" t="s">
        <v>142</v>
      </c>
      <c r="AJ21" s="92" t="s">
        <v>142</v>
      </c>
      <c r="AK21" s="102" t="s">
        <v>142</v>
      </c>
    </row>
    <row r="22" spans="1:42" s="4" customFormat="1" ht="15" thickBot="1" x14ac:dyDescent="0.35">
      <c r="A22" s="32" t="s">
        <v>143</v>
      </c>
      <c r="B22" s="57" t="s">
        <v>142</v>
      </c>
      <c r="C22" s="74">
        <f>SUM(C2:C21)</f>
        <v>0</v>
      </c>
      <c r="D22" s="74">
        <f>SUM(D2:D21)</f>
        <v>0</v>
      </c>
      <c r="E22" s="57" t="s">
        <v>142</v>
      </c>
      <c r="F22" s="74">
        <f>SUM(F2:F21)</f>
        <v>0</v>
      </c>
      <c r="G22" s="74">
        <f>SUM(G2:G21)</f>
        <v>0</v>
      </c>
      <c r="H22" s="57" t="s">
        <v>142</v>
      </c>
      <c r="I22" s="74">
        <f>SUM(I2:I21)</f>
        <v>0</v>
      </c>
      <c r="J22" s="74">
        <f>SUM(J2:J21)</f>
        <v>0</v>
      </c>
      <c r="K22" s="57" t="s">
        <v>142</v>
      </c>
      <c r="L22" s="74">
        <f>L2+L5+L12+L15+L16</f>
        <v>2100.1891572390118</v>
      </c>
      <c r="M22" s="56">
        <f>ROUND(SUM(M2:M21)-M2-M5-M12-M15-M16,8)</f>
        <v>0.13236674000000001</v>
      </c>
      <c r="N22" s="57" t="s">
        <v>142</v>
      </c>
      <c r="O22" s="74">
        <f>O2+O5+O15+O16</f>
        <v>885.33601716249495</v>
      </c>
      <c r="P22" s="56">
        <f>ROUND(SUM(P2:P21)-P2-P5-P15-P16,8)</f>
        <v>6.8271879999999993E-2</v>
      </c>
      <c r="Q22" s="64" t="s">
        <v>142</v>
      </c>
      <c r="R22" s="74" t="s">
        <v>142</v>
      </c>
      <c r="S22" s="124">
        <f>ROUND(SUM(S2:S21)-S2-S5-S15-S16,8)</f>
        <v>0</v>
      </c>
      <c r="T22" s="57" t="s">
        <v>142</v>
      </c>
      <c r="U22" s="74">
        <f>U2+U5+U15+U16</f>
        <v>504.0698684640879</v>
      </c>
      <c r="V22" s="56">
        <f>ROUND(SUM(V2:V21)-V2-V5-V15-V16,8)</f>
        <v>3.7608129999999997E-2</v>
      </c>
      <c r="W22" s="64" t="s">
        <v>142</v>
      </c>
      <c r="X22" s="74">
        <f t="shared" ref="X22:AK22" si="0">SUM(X2:X21)</f>
        <v>0</v>
      </c>
      <c r="Y22" s="74">
        <f>SUM(Y2:Y21)</f>
        <v>0</v>
      </c>
      <c r="Z22" s="57" t="s">
        <v>142</v>
      </c>
      <c r="AA22" s="93" t="s">
        <v>142</v>
      </c>
      <c r="AB22" s="56">
        <f>ROUND(SUM(AB2:AB21),8)</f>
        <v>5.8003289999999999E-2</v>
      </c>
      <c r="AC22" s="64" t="s">
        <v>142</v>
      </c>
      <c r="AD22" s="93">
        <f t="shared" si="0"/>
        <v>0</v>
      </c>
      <c r="AE22" s="63">
        <f>SUM(AE2:AE21)</f>
        <v>1.8161245574689912E-3</v>
      </c>
      <c r="AF22" s="57" t="s">
        <v>142</v>
      </c>
      <c r="AG22" s="93">
        <f t="shared" si="0"/>
        <v>0</v>
      </c>
      <c r="AH22" s="103">
        <f t="shared" si="0"/>
        <v>6.7764689999999989E-2</v>
      </c>
      <c r="AI22" s="64" t="s">
        <v>142</v>
      </c>
      <c r="AJ22" s="93">
        <f t="shared" si="0"/>
        <v>0</v>
      </c>
      <c r="AK22" s="103">
        <f t="shared" si="0"/>
        <v>0</v>
      </c>
    </row>
    <row r="23" spans="1:42" s="25" customFormat="1" ht="15.6" thickTop="1" thickBot="1" x14ac:dyDescent="0.35">
      <c r="A23" s="32" t="s">
        <v>100</v>
      </c>
      <c r="B23" s="57" t="s">
        <v>142</v>
      </c>
      <c r="C23" s="64" t="s">
        <v>142</v>
      </c>
      <c r="D23" s="64" t="s">
        <v>142</v>
      </c>
      <c r="E23" s="57" t="s">
        <v>142</v>
      </c>
      <c r="F23" s="64" t="s">
        <v>142</v>
      </c>
      <c r="G23" s="58" t="s">
        <v>142</v>
      </c>
      <c r="H23" s="57" t="s">
        <v>142</v>
      </c>
      <c r="I23" s="64" t="s">
        <v>142</v>
      </c>
      <c r="J23" s="64" t="s">
        <v>142</v>
      </c>
      <c r="K23" s="57" t="s">
        <v>142</v>
      </c>
      <c r="L23" s="64" t="s">
        <v>142</v>
      </c>
      <c r="M23" s="58" t="s">
        <v>142</v>
      </c>
      <c r="N23" s="57" t="s">
        <v>142</v>
      </c>
      <c r="O23" s="64" t="s">
        <v>142</v>
      </c>
      <c r="P23" s="58" t="s">
        <v>142</v>
      </c>
      <c r="Q23" s="64" t="s">
        <v>142</v>
      </c>
      <c r="R23" s="64" t="s">
        <v>142</v>
      </c>
      <c r="S23" s="64" t="s">
        <v>142</v>
      </c>
      <c r="T23" s="57" t="s">
        <v>142</v>
      </c>
      <c r="U23" s="64" t="s">
        <v>142</v>
      </c>
      <c r="V23" s="58" t="s">
        <v>142</v>
      </c>
      <c r="W23" s="64" t="s">
        <v>142</v>
      </c>
      <c r="X23" s="64" t="s">
        <v>142</v>
      </c>
      <c r="Y23" s="64" t="s">
        <v>142</v>
      </c>
      <c r="Z23" s="57" t="s">
        <v>142</v>
      </c>
      <c r="AA23" s="64" t="s">
        <v>142</v>
      </c>
      <c r="AB23" s="58" t="s">
        <v>142</v>
      </c>
      <c r="AC23" s="64" t="s">
        <v>142</v>
      </c>
      <c r="AD23" s="64" t="s">
        <v>142</v>
      </c>
      <c r="AE23" s="64" t="s">
        <v>142</v>
      </c>
      <c r="AF23" s="57" t="s">
        <v>142</v>
      </c>
      <c r="AG23" s="64" t="s">
        <v>142</v>
      </c>
      <c r="AH23" s="58" t="s">
        <v>142</v>
      </c>
      <c r="AI23" s="64" t="s">
        <v>142</v>
      </c>
      <c r="AJ23" s="64" t="s">
        <v>142</v>
      </c>
      <c r="AK23" s="58" t="s">
        <v>142</v>
      </c>
    </row>
    <row r="24" spans="1:42" s="25" customFormat="1" ht="15.6" thickTop="1" thickBot="1" x14ac:dyDescent="0.35">
      <c r="A24" s="97" t="s">
        <v>109</v>
      </c>
      <c r="B24" s="185" t="s">
        <v>175</v>
      </c>
      <c r="C24" s="183"/>
      <c r="D24" s="183"/>
      <c r="E24" s="185" t="s">
        <v>110</v>
      </c>
      <c r="F24" s="183"/>
      <c r="G24" s="184"/>
      <c r="H24" s="185" t="s">
        <v>111</v>
      </c>
      <c r="I24" s="183"/>
      <c r="J24" s="183"/>
      <c r="K24" s="185" t="s">
        <v>112</v>
      </c>
      <c r="L24" s="183"/>
      <c r="M24" s="184"/>
      <c r="N24" s="185" t="s">
        <v>113</v>
      </c>
      <c r="O24" s="183"/>
      <c r="P24" s="184"/>
      <c r="Q24" s="183" t="s">
        <v>114</v>
      </c>
      <c r="R24" s="183"/>
      <c r="S24" s="183"/>
      <c r="T24" s="185" t="s">
        <v>115</v>
      </c>
      <c r="U24" s="183"/>
      <c r="V24" s="184"/>
      <c r="W24" s="183" t="s">
        <v>116</v>
      </c>
      <c r="X24" s="183"/>
      <c r="Y24" s="183"/>
      <c r="Z24" s="185" t="s">
        <v>117</v>
      </c>
      <c r="AA24" s="183"/>
      <c r="AB24" s="184"/>
      <c r="AC24" s="183" t="s">
        <v>118</v>
      </c>
      <c r="AD24" s="183"/>
      <c r="AE24" s="183"/>
      <c r="AF24" s="185" t="s">
        <v>119</v>
      </c>
      <c r="AG24" s="183"/>
      <c r="AH24" s="184"/>
      <c r="AI24" s="183" t="s">
        <v>120</v>
      </c>
      <c r="AJ24" s="183"/>
      <c r="AK24" s="184"/>
    </row>
    <row r="25" spans="1:42" ht="15" thickTop="1" x14ac:dyDescent="0.3">
      <c r="A25" s="75"/>
      <c r="B25" s="75"/>
      <c r="C25" s="75"/>
      <c r="D25" s="75"/>
      <c r="E25" s="75"/>
      <c r="F25" s="75"/>
      <c r="G25" s="75"/>
      <c r="H25" s="75"/>
      <c r="I25" s="75"/>
      <c r="J25" s="75"/>
      <c r="K25" s="75"/>
      <c r="L25" s="75"/>
      <c r="M25" s="76"/>
      <c r="N25" s="75"/>
      <c r="O25" s="75"/>
      <c r="P25" s="75"/>
      <c r="Q25" s="75"/>
      <c r="R25" s="75"/>
      <c r="S25" s="75"/>
      <c r="T25" s="75"/>
      <c r="U25" s="75"/>
      <c r="V25" s="75"/>
      <c r="W25" s="75"/>
      <c r="X25" s="75"/>
      <c r="Y25" s="75"/>
      <c r="Z25" s="75"/>
      <c r="AA25" s="75"/>
      <c r="AB25" s="75"/>
      <c r="AC25" s="75"/>
      <c r="AD25" s="75"/>
      <c r="AE25" s="75"/>
      <c r="AF25" s="75"/>
      <c r="AG25" s="75"/>
      <c r="AH25" s="75"/>
      <c r="AI25" s="75"/>
      <c r="AJ25" s="75"/>
      <c r="AK25" s="75"/>
    </row>
    <row r="26" spans="1:42" x14ac:dyDescent="0.3">
      <c r="A26" s="182" t="s">
        <v>133</v>
      </c>
      <c r="B26" s="182"/>
      <c r="C26" s="182"/>
      <c r="D26" s="182"/>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c r="AJ26" s="182"/>
      <c r="AK26" s="182"/>
    </row>
    <row r="27" spans="1:42" x14ac:dyDescent="0.3">
      <c r="A27" s="177" t="s">
        <v>127</v>
      </c>
      <c r="B27" s="177"/>
      <c r="C27" s="177"/>
      <c r="D27" s="177"/>
      <c r="E27" s="177"/>
      <c r="F27" s="177"/>
      <c r="G27" s="177"/>
      <c r="H27" s="177"/>
      <c r="I27" s="177"/>
      <c r="J27" s="177"/>
      <c r="K27" s="177"/>
      <c r="L27" s="177"/>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44"/>
      <c r="AM27" s="44"/>
      <c r="AN27" s="44"/>
      <c r="AO27" s="44"/>
      <c r="AP27" s="44"/>
    </row>
    <row r="28" spans="1:42" x14ac:dyDescent="0.3">
      <c r="AL28" s="44"/>
      <c r="AM28" s="44"/>
      <c r="AN28" s="44"/>
      <c r="AO28" s="44"/>
      <c r="AP28" s="44"/>
    </row>
    <row r="29" spans="1:42" x14ac:dyDescent="0.3">
      <c r="AK29" s="44"/>
      <c r="AL29" s="44"/>
      <c r="AM29" s="44"/>
      <c r="AN29" s="44"/>
      <c r="AO29" s="44"/>
      <c r="AP29" s="44"/>
    </row>
    <row r="30" spans="1:42" x14ac:dyDescent="0.3">
      <c r="AK30" s="44"/>
      <c r="AL30" s="44"/>
      <c r="AM30" s="44"/>
      <c r="AN30" s="44"/>
      <c r="AO30" s="44"/>
      <c r="AP30" s="44"/>
    </row>
    <row r="31" spans="1:42" x14ac:dyDescent="0.3">
      <c r="AK31" s="44"/>
      <c r="AL31" s="44"/>
      <c r="AM31" s="44"/>
      <c r="AN31" s="44"/>
      <c r="AO31" s="44"/>
      <c r="AP31" s="44"/>
    </row>
    <row r="32" spans="1:42" x14ac:dyDescent="0.3">
      <c r="AK32" s="44"/>
      <c r="AL32" s="44"/>
      <c r="AM32" s="44"/>
      <c r="AN32" s="44"/>
      <c r="AO32" s="44"/>
      <c r="AP32" s="44"/>
    </row>
  </sheetData>
  <mergeCells count="14">
    <mergeCell ref="A26:AK26"/>
    <mergeCell ref="A27:AK27"/>
    <mergeCell ref="AI24:AK24"/>
    <mergeCell ref="B24:D24"/>
    <mergeCell ref="E24:G24"/>
    <mergeCell ref="H24:J24"/>
    <mergeCell ref="K24:M24"/>
    <mergeCell ref="N24:P24"/>
    <mergeCell ref="Q24:S24"/>
    <mergeCell ref="T24:V24"/>
    <mergeCell ref="W24:Y24"/>
    <mergeCell ref="Z24:AB24"/>
    <mergeCell ref="AC24:AE24"/>
    <mergeCell ref="AF24:AH24"/>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4149E-DBF8-4D22-8BDB-A16E66262CE9}">
  <sheetPr>
    <tabColor theme="1"/>
  </sheetPr>
  <dimension ref="A1:P57"/>
  <sheetViews>
    <sheetView workbookViewId="0">
      <pane ySplit="1" topLeftCell="A2" activePane="bottomLeft" state="frozen"/>
      <selection pane="bottomLeft" activeCell="N18" sqref="N18"/>
    </sheetView>
  </sheetViews>
  <sheetFormatPr defaultRowHeight="14.4" x14ac:dyDescent="0.3"/>
  <cols>
    <col min="1" max="1" width="21.109375" bestFit="1" customWidth="1"/>
    <col min="2" max="2" width="13.21875" style="125" bestFit="1" customWidth="1"/>
    <col min="3" max="3" width="8.109375" style="125" bestFit="1" customWidth="1"/>
    <col min="4" max="5" width="13.33203125" bestFit="1" customWidth="1"/>
    <col min="6" max="6" width="14.21875" bestFit="1" customWidth="1"/>
    <col min="7" max="8" width="13.33203125" bestFit="1" customWidth="1"/>
    <col min="9" max="9" width="15.21875" bestFit="1" customWidth="1"/>
    <col min="10" max="12" width="12.109375" bestFit="1" customWidth="1"/>
    <col min="13" max="13" width="14.21875" bestFit="1" customWidth="1"/>
    <col min="14" max="14" width="44.6640625" bestFit="1" customWidth="1"/>
  </cols>
  <sheetData>
    <row r="1" spans="1:14" ht="16.2" thickBot="1" x14ac:dyDescent="0.35">
      <c r="A1" s="142"/>
      <c r="B1" s="143" t="s">
        <v>197</v>
      </c>
      <c r="C1" s="143" t="s">
        <v>198</v>
      </c>
      <c r="D1" s="144" t="s">
        <v>182</v>
      </c>
      <c r="E1" s="144" t="s">
        <v>113</v>
      </c>
      <c r="F1" s="144" t="s">
        <v>186</v>
      </c>
      <c r="G1" s="144" t="s">
        <v>115</v>
      </c>
      <c r="H1" s="144" t="s">
        <v>116</v>
      </c>
      <c r="I1" s="144" t="s">
        <v>117</v>
      </c>
      <c r="J1" s="144" t="s">
        <v>118</v>
      </c>
      <c r="K1" s="144" t="s">
        <v>119</v>
      </c>
      <c r="L1" s="144" t="s">
        <v>120</v>
      </c>
      <c r="M1" s="145" t="s">
        <v>170</v>
      </c>
    </row>
    <row r="2" spans="1:14" s="125" customFormat="1" ht="15.6" thickTop="1" thickBot="1" x14ac:dyDescent="0.35">
      <c r="A2" s="146" t="s">
        <v>192</v>
      </c>
      <c r="B2" s="137">
        <v>1.7413930000000001E-2</v>
      </c>
      <c r="C2" s="138" t="s">
        <v>142</v>
      </c>
      <c r="D2" s="137">
        <v>0.30635651000000003</v>
      </c>
      <c r="E2" s="137">
        <v>0.14365518999999999</v>
      </c>
      <c r="F2" s="137">
        <v>0.16405243999999999</v>
      </c>
      <c r="G2" s="137">
        <v>9.2385869999999995E-2</v>
      </c>
      <c r="H2" s="137">
        <f>0.10651614-0.0008648</f>
        <v>0.10565134</v>
      </c>
      <c r="I2" s="2">
        <v>9.6924120000000002E-2</v>
      </c>
      <c r="J2" s="2">
        <f>0.08924367-0.00599632</f>
        <v>8.3247349999999998E-2</v>
      </c>
      <c r="K2" s="2">
        <v>6.7764690000000002E-2</v>
      </c>
      <c r="L2" s="137"/>
      <c r="M2" s="147">
        <f>SUM(B2:L2)</f>
        <v>1.0774514399999999</v>
      </c>
    </row>
    <row r="3" spans="1:14" s="125" customFormat="1" ht="15.6" thickTop="1" thickBot="1" x14ac:dyDescent="0.35">
      <c r="A3" s="148" t="s">
        <v>193</v>
      </c>
      <c r="B3" s="139">
        <f>B2*0.1</f>
        <v>1.7413930000000002E-3</v>
      </c>
      <c r="C3" s="136" t="s">
        <v>142</v>
      </c>
      <c r="D3" s="139">
        <f>D2*0.1</f>
        <v>3.0635651000000003E-2</v>
      </c>
      <c r="E3" s="139">
        <f t="shared" ref="E3:L3" si="0">E2*0.1</f>
        <v>1.4365519E-2</v>
      </c>
      <c r="F3" s="139">
        <f t="shared" si="0"/>
        <v>1.6405243999999999E-2</v>
      </c>
      <c r="G3" s="139">
        <f t="shared" si="0"/>
        <v>9.2385869999999995E-3</v>
      </c>
      <c r="H3" s="139">
        <f t="shared" si="0"/>
        <v>1.0565134E-2</v>
      </c>
      <c r="I3" s="139">
        <f t="shared" si="0"/>
        <v>9.6924120000000009E-3</v>
      </c>
      <c r="J3" s="139">
        <f t="shared" si="0"/>
        <v>8.3247349999999998E-3</v>
      </c>
      <c r="K3" s="139">
        <f t="shared" si="0"/>
        <v>6.7764690000000002E-3</v>
      </c>
      <c r="L3" s="139">
        <f t="shared" si="0"/>
        <v>0</v>
      </c>
      <c r="M3" s="149">
        <f t="shared" ref="M3:M13" si="1">SUM(B3:L3)</f>
        <v>0.10774514399999999</v>
      </c>
      <c r="N3" s="125" t="s">
        <v>214</v>
      </c>
    </row>
    <row r="4" spans="1:14" s="125" customFormat="1" ht="15.6" thickTop="1" thickBot="1" x14ac:dyDescent="0.35">
      <c r="A4" s="148" t="s">
        <v>200</v>
      </c>
      <c r="B4" s="135" t="s">
        <v>142</v>
      </c>
      <c r="C4" s="136" t="s">
        <v>142</v>
      </c>
      <c r="D4" s="139">
        <v>0.16997019031182448</v>
      </c>
      <c r="E4" s="139">
        <v>8.6883274328525564E-2</v>
      </c>
      <c r="F4" s="139">
        <v>0</v>
      </c>
      <c r="G4" s="139">
        <v>4.7956294078834734E-2</v>
      </c>
      <c r="H4" s="139">
        <v>0</v>
      </c>
      <c r="I4" s="139">
        <v>5.8003290074015591E-2</v>
      </c>
      <c r="J4" s="139">
        <f>J9/J6</f>
        <v>1.8161245574689914E-3</v>
      </c>
      <c r="K4" s="139">
        <f>K9/K6</f>
        <v>8.6378899216506891E-2</v>
      </c>
      <c r="L4" s="139"/>
      <c r="M4" s="149">
        <f>SUM(B4:L4)</f>
        <v>0.45100807256717623</v>
      </c>
      <c r="N4" s="83">
        <f>K4-K2</f>
        <v>1.8614209216506888E-2</v>
      </c>
    </row>
    <row r="5" spans="1:14" s="125" customFormat="1" ht="15.6" thickTop="1" thickBot="1" x14ac:dyDescent="0.35">
      <c r="A5" s="150" t="s">
        <v>205</v>
      </c>
      <c r="B5" s="151" t="s">
        <v>142</v>
      </c>
      <c r="C5" s="151" t="s">
        <v>142</v>
      </c>
      <c r="D5" s="151">
        <f t="shared" ref="D5:L5" si="2">D2-SUM(D3:D4)</f>
        <v>0.10575066868817554</v>
      </c>
      <c r="E5" s="151">
        <f t="shared" si="2"/>
        <v>4.2406396671474417E-2</v>
      </c>
      <c r="F5" s="151">
        <f t="shared" si="2"/>
        <v>0.14764719599999998</v>
      </c>
      <c r="G5" s="151">
        <f t="shared" si="2"/>
        <v>3.5190988921165262E-2</v>
      </c>
      <c r="H5" s="151">
        <f>H2-SUM(H3:H4)</f>
        <v>9.5086205999999993E-2</v>
      </c>
      <c r="I5" s="151">
        <f>I2-SUM(I3:I4)</f>
        <v>2.9228417925984407E-2</v>
      </c>
      <c r="J5" s="151">
        <f t="shared" si="2"/>
        <v>7.3106490442531008E-2</v>
      </c>
      <c r="K5" s="151">
        <f t="shared" si="2"/>
        <v>-2.5390678216506882E-2</v>
      </c>
      <c r="L5" s="151">
        <f t="shared" si="2"/>
        <v>0</v>
      </c>
      <c r="M5" s="152">
        <f>SUM(B5:L5)</f>
        <v>0.50302568643282375</v>
      </c>
    </row>
    <row r="6" spans="1:14" ht="15" thickBot="1" x14ac:dyDescent="0.35">
      <c r="A6" s="161" t="s">
        <v>104</v>
      </c>
      <c r="B6" s="162">
        <v>67454</v>
      </c>
      <c r="C6" s="162" t="s">
        <v>142</v>
      </c>
      <c r="D6" s="162">
        <v>55850.97</v>
      </c>
      <c r="E6" s="162">
        <v>47569.57</v>
      </c>
      <c r="F6" s="162">
        <v>40286.6</v>
      </c>
      <c r="G6" s="162">
        <v>48711.02</v>
      </c>
      <c r="H6" s="162">
        <v>44566</v>
      </c>
      <c r="I6" s="162">
        <v>42438</v>
      </c>
      <c r="J6" s="162">
        <v>41847.35</v>
      </c>
      <c r="K6" s="162">
        <v>27946.639999999999</v>
      </c>
      <c r="L6" s="162"/>
      <c r="M6" s="163"/>
    </row>
    <row r="7" spans="1:14" s="125" customFormat="1" ht="15" thickBot="1" x14ac:dyDescent="0.35">
      <c r="A7" s="157" t="s">
        <v>194</v>
      </c>
      <c r="B7" s="158">
        <f>B2*B6</f>
        <v>1174.6392342200002</v>
      </c>
      <c r="C7" s="159" t="s">
        <v>142</v>
      </c>
      <c r="D7" s="158">
        <f t="shared" ref="D7:L7" si="3">D2*D6</f>
        <v>17110.308249314701</v>
      </c>
      <c r="E7" s="158">
        <f t="shared" si="3"/>
        <v>6833.6156165682996</v>
      </c>
      <c r="F7" s="158">
        <f t="shared" si="3"/>
        <v>6609.1150293039991</v>
      </c>
      <c r="G7" s="158">
        <f t="shared" si="3"/>
        <v>4500.2099612873999</v>
      </c>
      <c r="H7" s="158">
        <f t="shared" si="3"/>
        <v>4708.4576184400003</v>
      </c>
      <c r="I7" s="158">
        <f>I2*I6</f>
        <v>4113.2658045600001</v>
      </c>
      <c r="J7" s="158">
        <f t="shared" si="3"/>
        <v>3483.6809920224996</v>
      </c>
      <c r="K7" s="158">
        <f t="shared" si="3"/>
        <v>1893.7953961416001</v>
      </c>
      <c r="L7" s="158">
        <f t="shared" si="3"/>
        <v>0</v>
      </c>
      <c r="M7" s="160">
        <f t="shared" si="1"/>
        <v>50427.087901858496</v>
      </c>
    </row>
    <row r="8" spans="1:14" s="125" customFormat="1" ht="15.6" thickTop="1" thickBot="1" x14ac:dyDescent="0.35">
      <c r="A8" s="148" t="s">
        <v>199</v>
      </c>
      <c r="B8" s="141">
        <f>B3*B6</f>
        <v>117.46392342200001</v>
      </c>
      <c r="C8" s="141" t="s">
        <v>142</v>
      </c>
      <c r="D8" s="141">
        <f>D3*D6</f>
        <v>1711.0308249314703</v>
      </c>
      <c r="E8" s="141">
        <f t="shared" ref="E8:L8" si="4">E3*E6</f>
        <v>683.36156165682996</v>
      </c>
      <c r="F8" s="141">
        <f t="shared" si="4"/>
        <v>660.91150293039993</v>
      </c>
      <c r="G8" s="141">
        <f t="shared" si="4"/>
        <v>450.02099612873997</v>
      </c>
      <c r="H8" s="141">
        <f t="shared" si="4"/>
        <v>470.84576184400004</v>
      </c>
      <c r="I8" s="141">
        <f t="shared" si="4"/>
        <v>411.32658045600004</v>
      </c>
      <c r="J8" s="141">
        <f t="shared" si="4"/>
        <v>348.36809920224999</v>
      </c>
      <c r="K8" s="141">
        <f t="shared" si="4"/>
        <v>189.37953961416</v>
      </c>
      <c r="L8" s="141">
        <f t="shared" si="4"/>
        <v>0</v>
      </c>
      <c r="M8" s="153">
        <f t="shared" si="1"/>
        <v>5042.7087901858504</v>
      </c>
    </row>
    <row r="9" spans="1:14" s="125" customFormat="1" ht="15.6" thickTop="1" thickBot="1" x14ac:dyDescent="0.35">
      <c r="A9" s="148" t="s">
        <v>201</v>
      </c>
      <c r="B9" s="141" t="s">
        <v>142</v>
      </c>
      <c r="C9" s="141" t="s">
        <v>142</v>
      </c>
      <c r="D9" s="141">
        <f>D4*D6</f>
        <v>9493</v>
      </c>
      <c r="E9" s="141">
        <f t="shared" ref="E9:L9" si="5">E4*E6</f>
        <v>4133</v>
      </c>
      <c r="F9" s="141">
        <f t="shared" si="5"/>
        <v>0</v>
      </c>
      <c r="G9" s="141">
        <f>G4*G6</f>
        <v>2336</v>
      </c>
      <c r="H9" s="141">
        <f>H4*H6</f>
        <v>0</v>
      </c>
      <c r="I9" s="141">
        <f>I4*I6</f>
        <v>2461.5436241610737</v>
      </c>
      <c r="J9" s="141">
        <v>76</v>
      </c>
      <c r="K9" s="141">
        <v>2414</v>
      </c>
      <c r="L9" s="141">
        <f t="shared" si="5"/>
        <v>0</v>
      </c>
      <c r="M9" s="153">
        <f t="shared" si="1"/>
        <v>20913.543624161073</v>
      </c>
    </row>
    <row r="10" spans="1:14" ht="15.6" thickTop="1" thickBot="1" x14ac:dyDescent="0.35">
      <c r="A10" s="148" t="s">
        <v>189</v>
      </c>
      <c r="B10" s="141" t="s">
        <v>142</v>
      </c>
      <c r="C10" s="141" t="s">
        <v>142</v>
      </c>
      <c r="D10" s="141">
        <v>2882.6578947368425</v>
      </c>
      <c r="E10" s="141">
        <v>2882.6578947368425</v>
      </c>
      <c r="F10" s="141">
        <v>2882.6578947368425</v>
      </c>
      <c r="G10" s="141">
        <v>2882.6578947368425</v>
      </c>
      <c r="H10" s="141">
        <v>2882.6578947368425</v>
      </c>
      <c r="I10" s="141">
        <v>2811.1184210526317</v>
      </c>
      <c r="J10" s="141">
        <f ca="1">$B$23*$B$20/$B$18</f>
        <v>2811.1184210526317</v>
      </c>
      <c r="K10" s="141">
        <f ca="1">$B$23*$B$20/$B$18</f>
        <v>2811.1184210526317</v>
      </c>
      <c r="L10" s="141"/>
      <c r="M10" s="153">
        <f t="shared" ca="1" si="1"/>
        <v>22846.644736842114</v>
      </c>
      <c r="N10" s="189" t="s">
        <v>207</v>
      </c>
    </row>
    <row r="11" spans="1:14" ht="15.6" thickTop="1" thickBot="1" x14ac:dyDescent="0.35">
      <c r="A11" s="148" t="s">
        <v>190</v>
      </c>
      <c r="B11" s="141" t="s">
        <v>142</v>
      </c>
      <c r="C11" s="141" t="s">
        <v>142</v>
      </c>
      <c r="D11" s="141">
        <v>161.2809722222222</v>
      </c>
      <c r="E11" s="141">
        <v>161.2809722222222</v>
      </c>
      <c r="F11" s="141">
        <v>161.2809722222222</v>
      </c>
      <c r="G11" s="141">
        <v>161.2809722222222</v>
      </c>
      <c r="H11" s="141">
        <v>161.2809722222222</v>
      </c>
      <c r="I11" s="141">
        <v>161.2809722222222</v>
      </c>
      <c r="J11" s="141">
        <f ca="1">$B$23*$B$21/$B$17</f>
        <v>161.2809722222222</v>
      </c>
      <c r="K11" s="141">
        <f ca="1">$B$23*$B$21/$B$17</f>
        <v>161.2809722222222</v>
      </c>
      <c r="L11" s="141"/>
      <c r="M11" s="153">
        <f t="shared" ca="1" si="1"/>
        <v>1290.2477777777776</v>
      </c>
      <c r="N11" s="189"/>
    </row>
    <row r="12" spans="1:14" ht="15.6" thickTop="1" thickBot="1" x14ac:dyDescent="0.35">
      <c r="A12" s="148" t="s">
        <v>191</v>
      </c>
      <c r="B12" s="141" t="s">
        <v>142</v>
      </c>
      <c r="C12" s="141" t="s">
        <v>142</v>
      </c>
      <c r="D12" s="141">
        <v>253.14558333333341</v>
      </c>
      <c r="E12" s="141">
        <v>253.14558333333341</v>
      </c>
      <c r="F12" s="141">
        <v>253.14558333333341</v>
      </c>
      <c r="G12" s="141">
        <v>253.14558333333341</v>
      </c>
      <c r="H12" s="141">
        <v>253.14558333333341</v>
      </c>
      <c r="I12" s="141">
        <v>253.14558333333341</v>
      </c>
      <c r="J12" s="141">
        <f ca="1">$B$23*$B$22/$B$19</f>
        <v>276.44558333333322</v>
      </c>
      <c r="K12" s="141">
        <f ca="1">$B$23*$B$22/$B$19</f>
        <v>276.44558333333322</v>
      </c>
      <c r="L12" s="141"/>
      <c r="M12" s="153">
        <f t="shared" ca="1" si="1"/>
        <v>2071.7646666666669</v>
      </c>
      <c r="N12" s="189"/>
    </row>
    <row r="13" spans="1:14" ht="15.6" thickTop="1" thickBot="1" x14ac:dyDescent="0.35">
      <c r="A13" s="154" t="s">
        <v>183</v>
      </c>
      <c r="B13" s="155" t="s">
        <v>142</v>
      </c>
      <c r="C13" s="155" t="s">
        <v>142</v>
      </c>
      <c r="D13" s="155">
        <f>D7-SUM(D8:D12)</f>
        <v>2609.1929740908326</v>
      </c>
      <c r="E13" s="155">
        <f t="shared" ref="E13:L13" si="6">E7-SUM(E8:E12)</f>
        <v>-1279.8303953809273</v>
      </c>
      <c r="F13" s="155">
        <f t="shared" si="6"/>
        <v>2651.119076081201</v>
      </c>
      <c r="G13" s="155">
        <f t="shared" si="6"/>
        <v>-1582.8954851337376</v>
      </c>
      <c r="H13" s="155">
        <f t="shared" si="6"/>
        <v>940.52740630360177</v>
      </c>
      <c r="I13" s="155">
        <f>I7-SUM(I8:I12)</f>
        <v>-1985.1493766652602</v>
      </c>
      <c r="J13" s="155">
        <f t="shared" ca="1" si="6"/>
        <v>-189.53208378793761</v>
      </c>
      <c r="K13" s="155">
        <f t="shared" ca="1" si="6"/>
        <v>-3958.4291200807461</v>
      </c>
      <c r="L13" s="155">
        <f t="shared" si="6"/>
        <v>0</v>
      </c>
      <c r="M13" s="156">
        <f t="shared" ca="1" si="1"/>
        <v>-2794.9970045729733</v>
      </c>
    </row>
    <row r="16" spans="1:14" s="126" customFormat="1" x14ac:dyDescent="0.3">
      <c r="A16" s="187" t="s">
        <v>180</v>
      </c>
      <c r="B16" s="188"/>
      <c r="C16" s="140"/>
      <c r="D16" s="140"/>
      <c r="E16" s="186" t="s">
        <v>202</v>
      </c>
      <c r="F16" s="186"/>
    </row>
    <row r="17" spans="1:16" x14ac:dyDescent="0.3">
      <c r="A17" s="128" t="s">
        <v>185</v>
      </c>
      <c r="B17" s="129">
        <f>6*12</f>
        <v>72</v>
      </c>
      <c r="C17" s="127"/>
      <c r="E17" s="108" t="s">
        <v>203</v>
      </c>
      <c r="F17" s="134">
        <v>0.2</v>
      </c>
      <c r="G17" s="125"/>
      <c r="H17" s="125"/>
    </row>
    <row r="18" spans="1:16" x14ac:dyDescent="0.3">
      <c r="A18" s="128" t="s">
        <v>195</v>
      </c>
      <c r="B18" s="129">
        <f>38</f>
        <v>38</v>
      </c>
      <c r="C18" s="127"/>
      <c r="E18" s="108" t="s">
        <v>204</v>
      </c>
      <c r="F18" s="110">
        <f ca="1">B23*B20*F17</f>
        <v>21364.5</v>
      </c>
      <c r="G18" s="125"/>
      <c r="H18" s="125"/>
    </row>
    <row r="19" spans="1:16" s="125" customFormat="1" x14ac:dyDescent="0.3">
      <c r="A19" s="128" t="s">
        <v>196</v>
      </c>
      <c r="B19" s="129">
        <f>10*12</f>
        <v>120</v>
      </c>
      <c r="C19" s="127"/>
    </row>
    <row r="20" spans="1:16" s="125" customFormat="1" ht="15.6" x14ac:dyDescent="0.3">
      <c r="A20" s="128" t="s">
        <v>184</v>
      </c>
      <c r="B20" s="130">
        <f ca="1">'TOTALS (ownership)'!B23</f>
        <v>0.70459579363121527</v>
      </c>
    </row>
    <row r="21" spans="1:16" x14ac:dyDescent="0.3">
      <c r="A21" s="128" t="s">
        <v>187</v>
      </c>
      <c r="B21" s="131">
        <f ca="1">'TOTALS (ownership)'!D23</f>
        <v>7.6593680289060884E-2</v>
      </c>
      <c r="D21" s="125"/>
      <c r="E21" s="125"/>
      <c r="F21" s="125"/>
      <c r="G21" s="125"/>
      <c r="H21" s="125"/>
      <c r="I21" s="125"/>
      <c r="J21" s="125"/>
      <c r="K21" s="125"/>
      <c r="L21" s="125"/>
      <c r="M21" s="125"/>
      <c r="N21" s="125"/>
      <c r="O21" s="125"/>
      <c r="P21" s="125"/>
    </row>
    <row r="22" spans="1:16" s="125" customFormat="1" x14ac:dyDescent="0.3">
      <c r="A22" s="128" t="s">
        <v>188</v>
      </c>
      <c r="B22" s="132">
        <f ca="1">100%-B20-B21</f>
        <v>0.21881052607972384</v>
      </c>
    </row>
    <row r="23" spans="1:16" x14ac:dyDescent="0.3">
      <c r="A23" s="128" t="s">
        <v>181</v>
      </c>
      <c r="B23" s="133">
        <f ca="1">'TOTALS (ownership)'!L22</f>
        <v>151608.19999999998</v>
      </c>
      <c r="D23" s="125"/>
      <c r="E23" s="125"/>
      <c r="F23" s="125"/>
      <c r="G23" s="125"/>
      <c r="H23" s="125"/>
      <c r="I23" s="125"/>
      <c r="J23" s="125"/>
      <c r="K23" s="125"/>
      <c r="L23" s="125"/>
      <c r="M23" s="125"/>
      <c r="N23" s="125"/>
      <c r="O23" s="125"/>
      <c r="P23" s="125"/>
    </row>
    <row r="24" spans="1:16" x14ac:dyDescent="0.3">
      <c r="D24" s="125"/>
      <c r="E24" s="125"/>
      <c r="F24" s="125"/>
      <c r="G24" s="125"/>
      <c r="H24" s="125"/>
      <c r="I24" s="125"/>
      <c r="J24" s="125"/>
      <c r="K24" s="125"/>
      <c r="L24" s="125"/>
      <c r="M24" s="125"/>
      <c r="N24" s="125"/>
      <c r="O24" s="125"/>
      <c r="P24" s="125"/>
    </row>
    <row r="25" spans="1:16" x14ac:dyDescent="0.3">
      <c r="D25" s="125"/>
      <c r="E25" s="125"/>
      <c r="F25" s="125"/>
      <c r="G25" s="125"/>
      <c r="H25" s="125"/>
      <c r="I25" s="125"/>
      <c r="J25" s="125"/>
      <c r="K25" s="125"/>
      <c r="L25" s="125"/>
      <c r="M25" s="125"/>
      <c r="N25" s="125"/>
      <c r="O25" s="125"/>
      <c r="P25" s="125"/>
    </row>
    <row r="26" spans="1:16" x14ac:dyDescent="0.3">
      <c r="D26" s="125"/>
      <c r="E26" s="125"/>
      <c r="F26" s="125"/>
      <c r="G26" s="125"/>
      <c r="H26" s="125"/>
      <c r="I26" s="125"/>
      <c r="J26" s="125"/>
      <c r="K26" s="125"/>
      <c r="L26" s="125"/>
      <c r="M26" s="125"/>
      <c r="N26" s="125"/>
      <c r="O26" s="125"/>
      <c r="P26" s="125"/>
    </row>
    <row r="27" spans="1:16" x14ac:dyDescent="0.3">
      <c r="D27" s="125"/>
      <c r="E27" s="125"/>
      <c r="F27" s="125"/>
      <c r="G27" s="125"/>
      <c r="H27" s="125"/>
      <c r="I27" s="125"/>
      <c r="J27" s="125"/>
      <c r="K27" s="125"/>
      <c r="L27" s="125"/>
      <c r="M27" s="125"/>
      <c r="N27" s="125"/>
      <c r="O27" s="125"/>
      <c r="P27" s="125"/>
    </row>
    <row r="28" spans="1:16" x14ac:dyDescent="0.3">
      <c r="D28" s="125"/>
      <c r="E28" s="125"/>
      <c r="F28" s="125"/>
      <c r="G28" s="125"/>
      <c r="H28" s="125"/>
      <c r="I28" s="125"/>
      <c r="J28" s="125"/>
      <c r="K28" s="125"/>
      <c r="L28" s="125"/>
      <c r="M28" s="125"/>
      <c r="N28" s="125"/>
      <c r="O28" s="125"/>
      <c r="P28" s="125"/>
    </row>
    <row r="29" spans="1:16" x14ac:dyDescent="0.3">
      <c r="D29" s="125"/>
      <c r="E29" s="125"/>
      <c r="F29" s="125"/>
      <c r="G29" s="125"/>
      <c r="H29" s="125"/>
      <c r="I29" s="125"/>
      <c r="J29" s="125"/>
      <c r="K29" s="125"/>
      <c r="L29" s="125"/>
      <c r="M29" s="125"/>
      <c r="N29" s="125"/>
      <c r="O29" s="125"/>
      <c r="P29" s="125"/>
    </row>
    <row r="30" spans="1:16" x14ac:dyDescent="0.3">
      <c r="D30" s="125"/>
      <c r="E30" s="125"/>
      <c r="F30" s="125"/>
      <c r="G30" s="125"/>
      <c r="H30" s="125"/>
      <c r="I30" s="125"/>
      <c r="J30" s="125"/>
      <c r="K30" s="125"/>
      <c r="L30" s="125"/>
      <c r="M30" s="125"/>
      <c r="N30" s="125"/>
      <c r="O30" s="125"/>
      <c r="P30" s="125"/>
    </row>
    <row r="31" spans="1:16" x14ac:dyDescent="0.3">
      <c r="D31" s="125"/>
      <c r="E31" s="125"/>
      <c r="F31" s="125"/>
      <c r="G31" s="125"/>
      <c r="H31" s="125"/>
      <c r="I31" s="125"/>
      <c r="J31" s="125"/>
      <c r="K31" s="125"/>
      <c r="L31" s="125"/>
      <c r="M31" s="125"/>
      <c r="N31" s="125"/>
      <c r="O31" s="125"/>
      <c r="P31" s="125"/>
    </row>
    <row r="32" spans="1:16" x14ac:dyDescent="0.3">
      <c r="D32" s="125"/>
      <c r="E32" s="125"/>
      <c r="F32" s="125"/>
      <c r="G32" s="125"/>
      <c r="H32" s="125"/>
      <c r="I32" s="125"/>
      <c r="J32" s="125"/>
      <c r="K32" s="125"/>
      <c r="L32" s="125"/>
      <c r="M32" s="125"/>
      <c r="N32" s="125"/>
      <c r="O32" s="125"/>
      <c r="P32" s="125"/>
    </row>
    <row r="33" spans="4:16" x14ac:dyDescent="0.3">
      <c r="D33" s="125"/>
      <c r="E33" s="125"/>
      <c r="F33" s="125"/>
      <c r="G33" s="125"/>
      <c r="H33" s="125"/>
      <c r="I33" s="125"/>
      <c r="J33" s="125"/>
      <c r="K33" s="125"/>
      <c r="L33" s="125"/>
      <c r="M33" s="125"/>
      <c r="N33" s="125"/>
      <c r="O33" s="125"/>
      <c r="P33" s="125"/>
    </row>
    <row r="34" spans="4:16" x14ac:dyDescent="0.3">
      <c r="D34" s="125"/>
      <c r="E34" s="125"/>
      <c r="F34" s="125"/>
      <c r="G34" s="125"/>
      <c r="H34" s="125"/>
      <c r="I34" s="125"/>
      <c r="J34" s="125"/>
      <c r="K34" s="125"/>
      <c r="L34" s="125"/>
      <c r="M34" s="125"/>
      <c r="N34" s="125"/>
      <c r="O34" s="125"/>
      <c r="P34" s="125"/>
    </row>
    <row r="35" spans="4:16" x14ac:dyDescent="0.3">
      <c r="D35" s="125"/>
      <c r="E35" s="125"/>
      <c r="F35" s="125"/>
      <c r="G35" s="125"/>
      <c r="H35" s="125"/>
      <c r="I35" s="125"/>
      <c r="J35" s="125"/>
      <c r="K35" s="125"/>
      <c r="L35" s="125"/>
      <c r="M35" s="125"/>
      <c r="N35" s="125"/>
      <c r="O35" s="125"/>
      <c r="P35" s="125"/>
    </row>
    <row r="36" spans="4:16" x14ac:dyDescent="0.3">
      <c r="D36" s="125"/>
      <c r="E36" s="125"/>
      <c r="F36" s="125"/>
      <c r="G36" s="125"/>
      <c r="H36" s="125"/>
      <c r="I36" s="125"/>
      <c r="J36" s="125"/>
      <c r="K36" s="125"/>
      <c r="L36" s="125"/>
      <c r="M36" s="125"/>
      <c r="N36" s="125"/>
      <c r="O36" s="125"/>
      <c r="P36" s="125"/>
    </row>
    <row r="37" spans="4:16" x14ac:dyDescent="0.3">
      <c r="D37" s="125"/>
      <c r="E37" s="125"/>
      <c r="F37" s="125"/>
      <c r="G37" s="125"/>
      <c r="H37" s="125"/>
      <c r="I37" s="125"/>
      <c r="J37" s="125"/>
      <c r="K37" s="125"/>
      <c r="L37" s="125"/>
      <c r="M37" s="125"/>
      <c r="N37" s="125"/>
      <c r="O37" s="125"/>
      <c r="P37" s="125"/>
    </row>
    <row r="38" spans="4:16" x14ac:dyDescent="0.3">
      <c r="D38" s="125"/>
      <c r="E38" s="125"/>
      <c r="F38" s="125"/>
      <c r="G38" s="125"/>
      <c r="H38" s="125"/>
      <c r="I38" s="125"/>
      <c r="J38" s="125"/>
      <c r="K38" s="125"/>
      <c r="L38" s="125"/>
      <c r="M38" s="125"/>
      <c r="N38" s="125"/>
      <c r="O38" s="125"/>
      <c r="P38" s="125"/>
    </row>
    <row r="39" spans="4:16" x14ac:dyDescent="0.3">
      <c r="D39" s="125"/>
      <c r="E39" s="125"/>
      <c r="F39" s="125"/>
      <c r="G39" s="125"/>
      <c r="H39" s="125"/>
      <c r="I39" s="125"/>
      <c r="J39" s="125"/>
      <c r="K39" s="125"/>
      <c r="L39" s="125"/>
      <c r="M39" s="125"/>
      <c r="N39" s="125"/>
      <c r="O39" s="125"/>
      <c r="P39" s="125"/>
    </row>
    <row r="40" spans="4:16" x14ac:dyDescent="0.3">
      <c r="D40" s="125"/>
      <c r="E40" s="125"/>
      <c r="F40" s="125"/>
      <c r="G40" s="125"/>
      <c r="H40" s="125"/>
      <c r="I40" s="125"/>
      <c r="J40" s="125"/>
      <c r="K40" s="125"/>
      <c r="L40" s="125"/>
      <c r="M40" s="125"/>
      <c r="N40" s="125"/>
      <c r="O40" s="125"/>
      <c r="P40" s="125"/>
    </row>
    <row r="41" spans="4:16" x14ac:dyDescent="0.3">
      <c r="D41" s="125"/>
      <c r="E41" s="125"/>
      <c r="F41" s="125"/>
      <c r="G41" s="125"/>
      <c r="H41" s="125"/>
      <c r="I41" s="125"/>
      <c r="J41" s="125"/>
      <c r="K41" s="125"/>
      <c r="L41" s="125"/>
      <c r="M41" s="125"/>
      <c r="N41" s="125"/>
      <c r="O41" s="125"/>
      <c r="P41" s="125"/>
    </row>
    <row r="42" spans="4:16" x14ac:dyDescent="0.3">
      <c r="D42" s="125"/>
      <c r="E42" s="125"/>
      <c r="F42" s="125"/>
      <c r="G42" s="125"/>
      <c r="H42" s="125"/>
      <c r="I42" s="125"/>
      <c r="J42" s="125"/>
      <c r="K42" s="125"/>
      <c r="L42" s="125"/>
      <c r="M42" s="125"/>
      <c r="N42" s="125"/>
      <c r="O42" s="125"/>
      <c r="P42" s="125"/>
    </row>
    <row r="43" spans="4:16" x14ac:dyDescent="0.3">
      <c r="D43" s="125"/>
      <c r="E43" s="125"/>
      <c r="F43" s="125"/>
      <c r="G43" s="125"/>
      <c r="H43" s="125"/>
      <c r="I43" s="125"/>
      <c r="J43" s="125"/>
      <c r="K43" s="125"/>
      <c r="L43" s="125"/>
      <c r="M43" s="125"/>
      <c r="N43" s="125"/>
      <c r="O43" s="125"/>
      <c r="P43" s="125"/>
    </row>
    <row r="44" spans="4:16" x14ac:dyDescent="0.3">
      <c r="D44" s="125"/>
      <c r="E44" s="125"/>
      <c r="F44" s="125"/>
      <c r="G44" s="125"/>
      <c r="H44" s="125"/>
      <c r="I44" s="125"/>
      <c r="J44" s="125"/>
      <c r="K44" s="125"/>
      <c r="L44" s="125"/>
      <c r="M44" s="125"/>
      <c r="N44" s="125"/>
      <c r="O44" s="125"/>
      <c r="P44" s="125"/>
    </row>
    <row r="45" spans="4:16" x14ac:dyDescent="0.3">
      <c r="D45" s="125"/>
      <c r="E45" s="125"/>
      <c r="F45" s="125"/>
      <c r="G45" s="125"/>
      <c r="H45" s="125"/>
      <c r="I45" s="125"/>
      <c r="J45" s="125"/>
      <c r="K45" s="125"/>
      <c r="L45" s="125"/>
      <c r="M45" s="125"/>
      <c r="N45" s="125"/>
      <c r="O45" s="125"/>
      <c r="P45" s="125"/>
    </row>
    <row r="46" spans="4:16" x14ac:dyDescent="0.3">
      <c r="D46" s="125"/>
      <c r="E46" s="125"/>
      <c r="F46" s="125"/>
      <c r="G46" s="125"/>
      <c r="H46" s="125"/>
      <c r="I46" s="125"/>
      <c r="J46" s="125"/>
      <c r="K46" s="125"/>
      <c r="L46" s="125"/>
      <c r="M46" s="125"/>
      <c r="N46" s="125"/>
      <c r="O46" s="125"/>
      <c r="P46" s="125"/>
    </row>
    <row r="47" spans="4:16" x14ac:dyDescent="0.3">
      <c r="D47" s="125"/>
      <c r="E47" s="125"/>
      <c r="F47" s="125"/>
      <c r="G47" s="125"/>
      <c r="H47" s="125"/>
      <c r="I47" s="125"/>
      <c r="J47" s="125"/>
      <c r="K47" s="125"/>
      <c r="L47" s="125"/>
      <c r="M47" s="125"/>
      <c r="N47" s="125"/>
      <c r="O47" s="125"/>
      <c r="P47" s="125"/>
    </row>
    <row r="48" spans="4:16" x14ac:dyDescent="0.3">
      <c r="D48" s="125"/>
      <c r="E48" s="125"/>
      <c r="F48" s="125"/>
      <c r="G48" s="125"/>
      <c r="H48" s="125"/>
      <c r="I48" s="125"/>
      <c r="J48" s="125"/>
      <c r="K48" s="125"/>
      <c r="L48" s="125"/>
      <c r="M48" s="125"/>
      <c r="N48" s="125"/>
      <c r="O48" s="125"/>
      <c r="P48" s="125"/>
    </row>
    <row r="49" spans="4:16" x14ac:dyDescent="0.3">
      <c r="D49" s="125"/>
      <c r="E49" s="125"/>
      <c r="F49" s="125"/>
      <c r="G49" s="125"/>
      <c r="H49" s="125"/>
      <c r="I49" s="125"/>
      <c r="J49" s="125"/>
      <c r="K49" s="125"/>
      <c r="L49" s="125"/>
      <c r="M49" s="125"/>
      <c r="N49" s="125"/>
      <c r="O49" s="125"/>
      <c r="P49" s="125"/>
    </row>
    <row r="50" spans="4:16" x14ac:dyDescent="0.3">
      <c r="D50" s="125"/>
      <c r="E50" s="125"/>
      <c r="F50" s="125"/>
      <c r="G50" s="125"/>
      <c r="H50" s="125"/>
      <c r="I50" s="125"/>
      <c r="J50" s="125"/>
      <c r="K50" s="125"/>
      <c r="L50" s="125"/>
      <c r="M50" s="125"/>
      <c r="N50" s="125"/>
      <c r="O50" s="125"/>
      <c r="P50" s="125"/>
    </row>
    <row r="51" spans="4:16" x14ac:dyDescent="0.3">
      <c r="D51" s="125"/>
      <c r="E51" s="125"/>
      <c r="F51" s="125"/>
      <c r="G51" s="125"/>
      <c r="H51" s="125"/>
      <c r="I51" s="125"/>
      <c r="J51" s="125"/>
      <c r="K51" s="125"/>
      <c r="L51" s="125"/>
      <c r="M51" s="125"/>
      <c r="N51" s="125"/>
      <c r="O51" s="125"/>
      <c r="P51" s="125"/>
    </row>
    <row r="52" spans="4:16" x14ac:dyDescent="0.3">
      <c r="D52" s="125"/>
      <c r="E52" s="125"/>
      <c r="F52" s="125"/>
      <c r="G52" s="125"/>
      <c r="H52" s="125"/>
      <c r="I52" s="125"/>
      <c r="J52" s="125"/>
      <c r="K52" s="125"/>
      <c r="L52" s="125"/>
      <c r="M52" s="125"/>
      <c r="N52" s="125"/>
      <c r="O52" s="125"/>
      <c r="P52" s="125"/>
    </row>
    <row r="53" spans="4:16" x14ac:dyDescent="0.3">
      <c r="D53" s="125"/>
      <c r="E53" s="125"/>
      <c r="F53" s="125"/>
      <c r="G53" s="125"/>
      <c r="H53" s="125"/>
      <c r="I53" s="125"/>
      <c r="J53" s="125"/>
      <c r="K53" s="125"/>
      <c r="L53" s="125"/>
      <c r="M53" s="125"/>
      <c r="N53" s="125"/>
      <c r="O53" s="125"/>
      <c r="P53" s="125"/>
    </row>
    <row r="54" spans="4:16" x14ac:dyDescent="0.3">
      <c r="D54" s="125"/>
      <c r="E54" s="125"/>
      <c r="F54" s="125"/>
      <c r="G54" s="125"/>
      <c r="H54" s="125"/>
      <c r="I54" s="125"/>
      <c r="J54" s="125"/>
      <c r="K54" s="125"/>
      <c r="L54" s="125"/>
      <c r="M54" s="125"/>
      <c r="N54" s="125"/>
      <c r="O54" s="125"/>
      <c r="P54" s="125"/>
    </row>
    <row r="55" spans="4:16" x14ac:dyDescent="0.3">
      <c r="D55" s="125"/>
      <c r="E55" s="125"/>
      <c r="F55" s="125"/>
      <c r="G55" s="125"/>
      <c r="H55" s="125"/>
      <c r="I55" s="125"/>
      <c r="J55" s="125"/>
      <c r="K55" s="125"/>
      <c r="L55" s="125"/>
      <c r="M55" s="125"/>
      <c r="N55" s="125"/>
      <c r="O55" s="125"/>
      <c r="P55" s="125"/>
    </row>
    <row r="56" spans="4:16" x14ac:dyDescent="0.3">
      <c r="D56" s="125"/>
      <c r="E56" s="125"/>
      <c r="F56" s="125"/>
      <c r="G56" s="125"/>
      <c r="H56" s="125"/>
      <c r="I56" s="125"/>
      <c r="J56" s="125"/>
      <c r="K56" s="125"/>
      <c r="L56" s="125"/>
      <c r="M56" s="125"/>
      <c r="N56" s="125"/>
      <c r="O56" s="125"/>
      <c r="P56" s="125"/>
    </row>
    <row r="57" spans="4:16" x14ac:dyDescent="0.3">
      <c r="D57" s="125"/>
      <c r="E57" s="125"/>
      <c r="F57" s="125"/>
      <c r="G57" s="125"/>
      <c r="H57" s="125"/>
      <c r="I57" s="125"/>
      <c r="J57" s="125"/>
      <c r="K57" s="125"/>
      <c r="L57" s="125"/>
      <c r="M57" s="125"/>
      <c r="N57" s="125"/>
      <c r="O57" s="125"/>
      <c r="P57" s="125"/>
    </row>
  </sheetData>
  <mergeCells count="3">
    <mergeCell ref="E16:F16"/>
    <mergeCell ref="A16:B16"/>
    <mergeCell ref="N10:N1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4EC39-4753-484C-AB14-4E0CB605D686}">
  <sheetPr>
    <tabColor theme="1"/>
  </sheetPr>
  <dimension ref="A1:O50"/>
  <sheetViews>
    <sheetView workbookViewId="0">
      <pane ySplit="1" topLeftCell="A2" activePane="bottomLeft" state="frozen"/>
      <selection pane="bottomLeft" activeCell="N10" sqref="A10:N11"/>
    </sheetView>
  </sheetViews>
  <sheetFormatPr defaultRowHeight="14.4" x14ac:dyDescent="0.3"/>
  <cols>
    <col min="1" max="1" width="18.88671875" bestFit="1" customWidth="1"/>
    <col min="2" max="2" width="14.21875" style="14" bestFit="1" customWidth="1"/>
    <col min="3" max="4" width="13.33203125" bestFit="1" customWidth="1"/>
    <col min="5" max="7" width="12.109375" bestFit="1" customWidth="1"/>
    <col min="8" max="8" width="13.33203125" bestFit="1" customWidth="1"/>
    <col min="9" max="10" width="12.109375" bestFit="1" customWidth="1"/>
    <col min="11" max="11" width="13.21875" bestFit="1" customWidth="1"/>
    <col min="12" max="12" width="15.5546875" bestFit="1" customWidth="1"/>
    <col min="13" max="13" width="14.33203125" bestFit="1" customWidth="1"/>
  </cols>
  <sheetData>
    <row r="1" spans="1:13" ht="15" thickBot="1" x14ac:dyDescent="0.35">
      <c r="A1" s="10" t="s">
        <v>1</v>
      </c>
      <c r="B1" s="15" t="s">
        <v>18</v>
      </c>
      <c r="C1" s="10" t="s">
        <v>19</v>
      </c>
      <c r="D1" s="10" t="s">
        <v>20</v>
      </c>
      <c r="E1" s="10" t="s">
        <v>21</v>
      </c>
      <c r="F1" s="10" t="s">
        <v>22</v>
      </c>
      <c r="G1" s="10" t="s">
        <v>23</v>
      </c>
      <c r="H1" s="10" t="s">
        <v>84</v>
      </c>
      <c r="I1" s="29" t="s">
        <v>85</v>
      </c>
      <c r="J1" s="29" t="s">
        <v>87</v>
      </c>
      <c r="K1" s="29" t="s">
        <v>97</v>
      </c>
      <c r="L1" s="32" t="s">
        <v>125</v>
      </c>
      <c r="M1" s="32" t="s">
        <v>126</v>
      </c>
    </row>
    <row r="2" spans="1:13" ht="15.6" thickTop="1" thickBot="1" x14ac:dyDescent="0.35">
      <c r="A2" s="24" t="s">
        <v>6</v>
      </c>
      <c r="B2" s="9">
        <f ca="1">SUMIF(GPU!$C$3:$H$250,'TOTALS (ownership)'!$A2,GPU!$H$3:$H$250)</f>
        <v>4586</v>
      </c>
      <c r="C2" s="9">
        <f ca="1">SUMIF(PSU!$C$3:$H$240,'TOTALS (ownership)'!$A2,PSU!$H$3:$H$240)</f>
        <v>0</v>
      </c>
      <c r="D2" s="9">
        <f ca="1">SUMIF(MB!$C$3:$H$244,'TOTALS (ownership)'!$A2,MB!$H$3:$H$244)</f>
        <v>0</v>
      </c>
      <c r="E2" s="9">
        <f ca="1">SUMIF(CPU!$C$3:$H$244,'TOTALS (ownership)'!$A2,CPU!$H$3:$H$244)</f>
        <v>0</v>
      </c>
      <c r="F2" s="9">
        <f ca="1">SUMIF(RAM!$C$3:$H$246,'TOTALS (ownership)'!$A2,RAM!$H$3:$H$246)</f>
        <v>0</v>
      </c>
      <c r="G2" s="9">
        <f ca="1">SUMIF(SSD!$C$3:$H$246,'TOTALS (ownership)'!$A2,SSD!$H$3:$H$246)</f>
        <v>0</v>
      </c>
      <c r="H2" s="9">
        <f ca="1">SUMIF(MISC!$C$3:$H$252,'TOTALS (ownership)'!$A2,MISC!$H$3:$H$252)</f>
        <v>0</v>
      </c>
      <c r="I2" s="9">
        <f ca="1">SUMIF(PROJECT!$B$3:$D$27,'TOTALS (ownership)'!$A2,PROJECT!$D$3:$D$27)</f>
        <v>0</v>
      </c>
      <c r="J2" s="9">
        <f ca="1">SUMIF(LOGISTIC!$B$3:$D$22,'TOTALS (ownership)'!$A2,LOGISTIC!$D$3:$D$22)</f>
        <v>0</v>
      </c>
      <c r="K2" s="9">
        <f ca="1">SUMIF(ELECTRICITY_HiveOS!$B$4:$E$87,'TOTALS (ownership)'!A2,ELECTRICITY_HiveOS!$E$4:$E$87)</f>
        <v>0</v>
      </c>
      <c r="L2" s="41">
        <f ca="1">SUM(B2:K2)</f>
        <v>4586</v>
      </c>
      <c r="M2" s="42">
        <f t="shared" ref="M2:M21" ca="1" si="0">$L2/$L$24</f>
        <v>2.8444941774151553E-2</v>
      </c>
    </row>
    <row r="3" spans="1:13" ht="15.6" thickTop="1" thickBot="1" x14ac:dyDescent="0.35">
      <c r="A3" t="s">
        <v>24</v>
      </c>
      <c r="B3" s="9">
        <f ca="1">SUMIF(GPU!$C$3:$H$250,'TOTALS (ownership)'!$A3,GPU!$H$3:$H$250)</f>
        <v>7300</v>
      </c>
      <c r="C3" s="9">
        <f ca="1">SUMIF(PSU!$C$3:$H$240,'TOTALS (ownership)'!$A3,PSU!$H$3:$H$240)</f>
        <v>0</v>
      </c>
      <c r="D3" s="9">
        <f ca="1">SUMIF(MB!$C$3:$H$244,'TOTALS (ownership)'!$A3,MB!$H$3:$H$244)</f>
        <v>0</v>
      </c>
      <c r="E3" s="9">
        <f ca="1">SUMIF(CPU!$C$3:$H$244,'TOTALS (ownership)'!$A3,CPU!$H$3:$H$244)</f>
        <v>0</v>
      </c>
      <c r="F3" s="9">
        <f ca="1">SUMIF(RAM!$C$3:$H$246,'TOTALS (ownership)'!$A3,RAM!$H$3:$H$246)</f>
        <v>0</v>
      </c>
      <c r="G3" s="9">
        <f ca="1">SUMIF(SSD!$C$3:$H$246,'TOTALS (ownership)'!$A3,SSD!$H$3:$H$246)</f>
        <v>0</v>
      </c>
      <c r="H3" s="9">
        <f ca="1">SUMIF(MISC!$C$3:$H$252,'TOTALS (ownership)'!$A3,MISC!$H$3:$H$252)</f>
        <v>0</v>
      </c>
      <c r="I3" s="9">
        <f ca="1">SUMIF(PROJECT!$B$3:$D$27,'TOTALS (ownership)'!$A3,PROJECT!$D$3:$D$27)</f>
        <v>0</v>
      </c>
      <c r="J3" s="9">
        <f ca="1">SUMIF(LOGISTIC!$B$3:$D$22,'TOTALS (ownership)'!$A3,LOGISTIC!$D$3:$D$22)</f>
        <v>0</v>
      </c>
      <c r="K3" s="9">
        <f ca="1">SUMIF(ELECTRICITY_HiveOS!$B$4:$E$87,'TOTALS (ownership)'!A3,ELECTRICITY_HiveOS!$E$4:$E$87)</f>
        <v>0</v>
      </c>
      <c r="L3" s="41">
        <f ca="1">SUM(B3:K3)</f>
        <v>7300</v>
      </c>
      <c r="M3" s="42">
        <f t="shared" ca="1" si="0"/>
        <v>4.5278690569408274E-2</v>
      </c>
    </row>
    <row r="4" spans="1:13" ht="15.6" thickTop="1" thickBot="1" x14ac:dyDescent="0.35">
      <c r="A4" t="s">
        <v>26</v>
      </c>
      <c r="B4" s="9">
        <f ca="1">SUMIF(GPU!$C$3:$H$250,'TOTALS (ownership)'!$A4,GPU!$H$3:$H$250)</f>
        <v>7300</v>
      </c>
      <c r="C4" s="9">
        <f ca="1">SUMIF(PSU!$C$3:$H$240,'TOTALS (ownership)'!$A4,PSU!$H$3:$H$240)</f>
        <v>0</v>
      </c>
      <c r="D4" s="9">
        <f ca="1">SUMIF(MB!$C$3:$H$244,'TOTALS (ownership)'!$A4,MB!$H$3:$H$244)</f>
        <v>0</v>
      </c>
      <c r="E4" s="9">
        <f ca="1">SUMIF(CPU!$C$3:$H$244,'TOTALS (ownership)'!$A4,CPU!$H$3:$H$244)</f>
        <v>0</v>
      </c>
      <c r="F4" s="9">
        <f ca="1">SUMIF(RAM!$C$3:$H$246,'TOTALS (ownership)'!$A4,RAM!$H$3:$H$246)</f>
        <v>0</v>
      </c>
      <c r="G4" s="9">
        <f ca="1">SUMIF(SSD!$C$3:$H$246,'TOTALS (ownership)'!$A4,SSD!$H$3:$H$246)</f>
        <v>0</v>
      </c>
      <c r="H4" s="9">
        <f ca="1">SUMIF(MISC!$C$3:$H$252,'TOTALS (ownership)'!$A4,MISC!$H$3:$H$252)</f>
        <v>0</v>
      </c>
      <c r="I4" s="9">
        <f ca="1">SUMIF(PROJECT!$B$3:$D$27,'TOTALS (ownership)'!$A4,PROJECT!$D$3:$D$27)</f>
        <v>0</v>
      </c>
      <c r="J4" s="9">
        <f ca="1">SUMIF(LOGISTIC!$B$3:$D$22,'TOTALS (ownership)'!$A4,LOGISTIC!$D$3:$D$22)</f>
        <v>0</v>
      </c>
      <c r="K4" s="9">
        <f ca="1">SUMIF(ELECTRICITY_HiveOS!$B$4:$E$87,'TOTALS (ownership)'!A4,ELECTRICITY_HiveOS!$E$4:$E$87)</f>
        <v>0</v>
      </c>
      <c r="L4" s="41">
        <f t="shared" ref="L4:L6" ca="1" si="1">SUM(B4:K4)</f>
        <v>7300</v>
      </c>
      <c r="M4" s="42">
        <f t="shared" ca="1" si="0"/>
        <v>4.5278690569408274E-2</v>
      </c>
    </row>
    <row r="5" spans="1:13" ht="15.6" thickTop="1" thickBot="1" x14ac:dyDescent="0.35">
      <c r="A5" t="s">
        <v>144</v>
      </c>
      <c r="B5" s="9">
        <f ca="1">SUMIF(GPU!$C$3:$H$250,'TOTALS (ownership)'!$A5,GPU!$H$3:$H$250)</f>
        <v>2336</v>
      </c>
      <c r="C5" s="9">
        <f ca="1">SUMIF(PSU!$C$3:$H$240,'TOTALS (ownership)'!$A5,PSU!$H$3:$H$240)</f>
        <v>0</v>
      </c>
      <c r="D5" s="9">
        <f ca="1">SUMIF(MB!$C$3:$H$244,'TOTALS (ownership)'!$A5,MB!$H$3:$H$244)</f>
        <v>3175.78</v>
      </c>
      <c r="E5" s="9">
        <f ca="1">SUMIF(CPU!$C$3:$H$244,'TOTALS (ownership)'!$A5,CPU!$H$3:$H$244)</f>
        <v>0</v>
      </c>
      <c r="F5" s="9">
        <f ca="1">SUMIF(RAM!$C$3:$H$246,'TOTALS (ownership)'!$A5,RAM!$H$3:$H$246)</f>
        <v>0</v>
      </c>
      <c r="G5" s="9">
        <f ca="1">SUMIF(SSD!$C$3:$H$246,'TOTALS (ownership)'!$A5,SSD!$H$3:$H$246)</f>
        <v>383</v>
      </c>
      <c r="H5" s="9">
        <f ca="1">SUMIF(MISC!$C$3:$H$252,'TOTALS (ownership)'!$A5,MISC!$H$3:$H$252)</f>
        <v>1175.69</v>
      </c>
      <c r="I5" s="9">
        <f ca="1">SUMIF(PROJECT!$B$3:$D$27,'TOTALS (ownership)'!$A5,PROJECT!$D$3:$D$27)</f>
        <v>0</v>
      </c>
      <c r="J5" s="9">
        <f ca="1">SUMIF(LOGISTIC!$B$3:$D$22,'TOTALS (ownership)'!$A5,LOGISTIC!$D$3:$D$22)</f>
        <v>0</v>
      </c>
      <c r="K5" s="9">
        <f ca="1">SUMIF(ELECTRICITY_HiveOS!$B$4:$E$87,'TOTALS (ownership)'!A5,ELECTRICITY_HiveOS!$E$4:$E$87)</f>
        <v>0</v>
      </c>
      <c r="L5" s="41">
        <f ca="1">SUM(B5:K5)</f>
        <v>7070.4700000000012</v>
      </c>
      <c r="M5" s="42">
        <f t="shared" ca="1" si="0"/>
        <v>4.3855016891819754E-2</v>
      </c>
    </row>
    <row r="6" spans="1:13" ht="15.6" thickTop="1" thickBot="1" x14ac:dyDescent="0.35">
      <c r="A6" t="s">
        <v>41</v>
      </c>
      <c r="B6" s="9">
        <f ca="1">SUMIF(GPU!$C$3:$H$250,'TOTALS (ownership)'!$A6,GPU!$H$3:$H$250)</f>
        <v>4394</v>
      </c>
      <c r="C6" s="9">
        <f ca="1">SUMIF(PSU!$C$3:$H$240,'TOTALS (ownership)'!$A6,PSU!$H$3:$H$240)</f>
        <v>0</v>
      </c>
      <c r="D6" s="9">
        <f ca="1">SUMIF(MB!$C$3:$H$244,'TOTALS (ownership)'!$A6,MB!$H$3:$H$244)</f>
        <v>0</v>
      </c>
      <c r="E6" s="9">
        <f ca="1">SUMIF(CPU!$C$3:$H$244,'TOTALS (ownership)'!$A6,CPU!$H$3:$H$244)</f>
        <v>0</v>
      </c>
      <c r="F6" s="9">
        <f ca="1">SUMIF(RAM!$C$3:$H$246,'TOTALS (ownership)'!$A6,RAM!$H$3:$H$246)</f>
        <v>0</v>
      </c>
      <c r="G6" s="9">
        <f ca="1">SUMIF(SSD!$C$3:$H$246,'TOTALS (ownership)'!$A6,SSD!$H$3:$H$246)</f>
        <v>0</v>
      </c>
      <c r="H6" s="9">
        <f ca="1">SUMIF(MISC!$C$3:$H$252,'TOTALS (ownership)'!$A6,MISC!$H$3:$H$252)</f>
        <v>0</v>
      </c>
      <c r="I6" s="9">
        <f ca="1">SUMIF(PROJECT!$B$3:$D$27,'TOTALS (ownership)'!$A6,PROJECT!$D$3:$D$27)</f>
        <v>0</v>
      </c>
      <c r="J6" s="9">
        <f ca="1">SUMIF(LOGISTIC!$B$3:$D$22,'TOTALS (ownership)'!$A6,LOGISTIC!$D$3:$D$22)</f>
        <v>0</v>
      </c>
      <c r="K6" s="9">
        <f ca="1">SUMIF(ELECTRICITY_HiveOS!$B$4:$E$87,'TOTALS (ownership)'!A6,ELECTRICITY_HiveOS!$E$4:$E$87)</f>
        <v>0</v>
      </c>
      <c r="L6" s="41">
        <f t="shared" ca="1" si="1"/>
        <v>4394</v>
      </c>
      <c r="M6" s="42">
        <f t="shared" ca="1" si="0"/>
        <v>2.7254050186572596E-2</v>
      </c>
    </row>
    <row r="7" spans="1:13" ht="15.6" thickTop="1" thickBot="1" x14ac:dyDescent="0.35">
      <c r="A7" t="s">
        <v>42</v>
      </c>
      <c r="B7" s="9">
        <f ca="1">SUMIF(GPU!$C$3:$H$250,'TOTALS (ownership)'!$A7,GPU!$H$3:$H$250)</f>
        <v>48040</v>
      </c>
      <c r="C7" s="9">
        <f ca="1">SUMIF(PSU!$C$3:$H$240,'TOTALS (ownership)'!$A7,PSU!$H$3:$H$240)</f>
        <v>7040</v>
      </c>
      <c r="D7" s="9">
        <f ca="1">SUMIF(MB!$C$3:$H$244,'TOTALS (ownership)'!$A7,MB!$H$3:$H$244)</f>
        <v>4944</v>
      </c>
      <c r="E7" s="9">
        <f ca="1">SUMIF(CPU!$C$3:$H$244,'TOTALS (ownership)'!$A7,CPU!$H$3:$H$244)</f>
        <v>812</v>
      </c>
      <c r="F7" s="9">
        <f ca="1">SUMIF(RAM!$C$3:$H$246,'TOTALS (ownership)'!$A7,RAM!$H$3:$H$246)</f>
        <v>852</v>
      </c>
      <c r="G7" s="9">
        <f ca="1">SUMIF(SSD!$C$3:$H$246,'TOTALS (ownership)'!$A7,SSD!$H$3:$H$246)</f>
        <v>764</v>
      </c>
      <c r="H7" s="9">
        <f ca="1">SUMIF(MISC!$C$3:$H$252,'TOTALS (ownership)'!$A7,MISC!$H$3:$H$252)</f>
        <v>2787</v>
      </c>
      <c r="I7" s="9">
        <f ca="1">SUMIF(PROJECT!$B$3:$D$27,'TOTALS (ownership)'!$A7,PROJECT!$D$3:$D$27)</f>
        <v>0</v>
      </c>
      <c r="J7" s="9">
        <f ca="1">SUMIF(LOGISTIC!$B$3:$D$22,'TOTALS (ownership)'!$A7,LOGISTIC!$D$3:$D$22)</f>
        <v>0</v>
      </c>
      <c r="K7" s="9">
        <f ca="1">SUMIF(ELECTRICITY_HiveOS!$B$4:$E$87,'TOTALS (ownership)'!A7,ELECTRICITY_HiveOS!$E$4:$E$87)</f>
        <v>0</v>
      </c>
      <c r="L7" s="41">
        <f t="shared" ref="L7:L21" ca="1" si="2">SUM(B7:K7)</f>
        <v>65239</v>
      </c>
      <c r="M7" s="42">
        <f t="shared" ca="1" si="0"/>
        <v>0.40464883480241459</v>
      </c>
    </row>
    <row r="8" spans="1:13" ht="15.6" thickTop="1" thickBot="1" x14ac:dyDescent="0.35">
      <c r="A8" t="s">
        <v>80</v>
      </c>
      <c r="B8" s="9">
        <f ca="1">SUMIF(GPU!$C$3:$H$250,'TOTALS (ownership)'!$A8,GPU!$H$3:$H$250)</f>
        <v>6897</v>
      </c>
      <c r="C8" s="9">
        <f ca="1">SUMIF(PSU!$C$3:$H$240,'TOTALS (ownership)'!$A8,PSU!$H$3:$H$240)</f>
        <v>0</v>
      </c>
      <c r="D8" s="9">
        <f ca="1">SUMIF(MB!$C$3:$H$244,'TOTALS (ownership)'!$A8,MB!$H$3:$H$244)</f>
        <v>0</v>
      </c>
      <c r="E8" s="9">
        <f ca="1">SUMIF(CPU!$C$3:$H$244,'TOTALS (ownership)'!$A8,CPU!$H$3:$H$244)</f>
        <v>0</v>
      </c>
      <c r="F8" s="9">
        <f ca="1">SUMIF(RAM!$C$3:$H$246,'TOTALS (ownership)'!$A8,RAM!$H$3:$H$246)</f>
        <v>0</v>
      </c>
      <c r="G8" s="9">
        <f ca="1">SUMIF(SSD!$C$3:$H$246,'TOTALS (ownership)'!$A8,SSD!$H$3:$H$246)</f>
        <v>0</v>
      </c>
      <c r="H8" s="9">
        <f ca="1">SUMIF(MISC!$C$3:$H$252,'TOTALS (ownership)'!$A8,MISC!$H$3:$H$252)</f>
        <v>0</v>
      </c>
      <c r="I8" s="9">
        <f ca="1">SUMIF(PROJECT!$B$3:$D$27,'TOTALS (ownership)'!$A8,PROJECT!$D$3:$D$27)</f>
        <v>0</v>
      </c>
      <c r="J8" s="9">
        <f ca="1">SUMIF(LOGISTIC!$B$3:$D$22,'TOTALS (ownership)'!$A8,LOGISTIC!$D$3:$D$22)</f>
        <v>0</v>
      </c>
      <c r="K8" s="9">
        <f ca="1">SUMIF(ELECTRICITY_HiveOS!$B$4:$E$87,'TOTALS (ownership)'!A8,ELECTRICITY_HiveOS!$E$4:$E$87)</f>
        <v>0</v>
      </c>
      <c r="L8" s="41">
        <f t="shared" ca="1" si="2"/>
        <v>6897</v>
      </c>
      <c r="M8" s="42">
        <f t="shared" ca="1" si="0"/>
        <v>4.2779058747562861E-2</v>
      </c>
    </row>
    <row r="9" spans="1:13" ht="15.6" thickTop="1" thickBot="1" x14ac:dyDescent="0.35">
      <c r="A9" t="s">
        <v>8</v>
      </c>
      <c r="B9" s="9">
        <f ca="1">SUMIF(GPU!$C$3:$H$250,'TOTALS (ownership)'!$A9,GPU!$H$3:$H$250)</f>
        <v>0</v>
      </c>
      <c r="C9" s="9">
        <f ca="1">SUMIF(PSU!$C$3:$H$240,'TOTALS (ownership)'!$A9,PSU!$H$3:$H$240)</f>
        <v>3123</v>
      </c>
      <c r="D9" s="9">
        <f ca="1">SUMIF(MB!$C$3:$H$244,'TOTALS (ownership)'!$A9,MB!$H$3:$H$244)</f>
        <v>0</v>
      </c>
      <c r="E9" s="9">
        <f ca="1">SUMIF(CPU!$C$3:$H$244,'TOTALS (ownership)'!$A9,CPU!$H$3:$H$244)</f>
        <v>402</v>
      </c>
      <c r="F9" s="9">
        <f ca="1">SUMIF(RAM!$C$3:$H$246,'TOTALS (ownership)'!$A9,RAM!$H$3:$H$246)</f>
        <v>364</v>
      </c>
      <c r="G9" s="9">
        <f ca="1">SUMIF(SSD!$C$3:$H$246,'TOTALS (ownership)'!$A9,SSD!$H$3:$H$246)</f>
        <v>0</v>
      </c>
      <c r="H9" s="9">
        <f ca="1">SUMIF(MISC!$C$3:$H$252,'TOTALS (ownership)'!$A9,MISC!$H$3:$H$252)</f>
        <v>0</v>
      </c>
      <c r="I9" s="9">
        <f ca="1">SUMIF(PROJECT!$B$3:$D$27,'TOTALS (ownership)'!$A9,PROJECT!$D$3:$D$27)</f>
        <v>0</v>
      </c>
      <c r="J9" s="9">
        <f ca="1">SUMIF(LOGISTIC!$B$3:$D$22,'TOTALS (ownership)'!$A9,LOGISTIC!$D$3:$D$22)</f>
        <v>0</v>
      </c>
      <c r="K9" s="9">
        <f ca="1">SUMIF(ELECTRICITY_HiveOS!$B$4:$E$87,'TOTALS (ownership)'!A9,ELECTRICITY_HiveOS!$E$4:$E$87)</f>
        <v>0</v>
      </c>
      <c r="L9" s="41">
        <f t="shared" ca="1" si="2"/>
        <v>3889</v>
      </c>
      <c r="M9" s="42">
        <f t="shared" ca="1" si="0"/>
        <v>2.412175720882586E-2</v>
      </c>
    </row>
    <row r="10" spans="1:13" ht="15.6" thickTop="1" thickBot="1" x14ac:dyDescent="0.35">
      <c r="A10" t="s">
        <v>11</v>
      </c>
      <c r="B10" s="9">
        <f ca="1">SUMIF(GPU!$C$3:$H$250,'TOTALS (ownership)'!$A10,GPU!$H$3:$H$250)</f>
        <v>0</v>
      </c>
      <c r="C10" s="9">
        <f ca="1">SUMIF(PSU!$C$3:$H$240,'TOTALS (ownership)'!$A10,PSU!$H$3:$H$240)</f>
        <v>1337</v>
      </c>
      <c r="D10" s="9">
        <f ca="1">SUMIF(MB!$C$3:$H$244,'TOTALS (ownership)'!$A10,MB!$H$3:$H$244)</f>
        <v>0</v>
      </c>
      <c r="E10" s="9">
        <f ca="1">SUMIF(CPU!$C$3:$H$244,'TOTALS (ownership)'!$A10,CPU!$H$3:$H$244)</f>
        <v>388</v>
      </c>
      <c r="F10" s="9">
        <f ca="1">SUMIF(RAM!$C$3:$H$246,'TOTALS (ownership)'!$A10,RAM!$H$3:$H$246)</f>
        <v>434</v>
      </c>
      <c r="G10" s="9">
        <f ca="1">SUMIF(SSD!$C$3:$H$246,'TOTALS (ownership)'!$A10,SSD!$H$3:$H$246)</f>
        <v>380</v>
      </c>
      <c r="H10" s="9">
        <f ca="1">SUMIF(MISC!$C$3:$H$252,'TOTALS (ownership)'!$A10,MISC!$H$3:$H$252)</f>
        <v>1907.61</v>
      </c>
      <c r="I10" s="9">
        <f ca="1">SUMIF(PROJECT!$B$3:$D$27,'TOTALS (ownership)'!$A10,PROJECT!$D$3:$D$27)</f>
        <v>0</v>
      </c>
      <c r="J10" s="9">
        <f ca="1">SUMIF(LOGISTIC!$B$3:$D$22,'TOTALS (ownership)'!$A10,LOGISTIC!$F$3:$F$22)</f>
        <v>0</v>
      </c>
      <c r="K10" s="9">
        <f ca="1">SUMIF(ELECTRICITY_HiveOS!$B$4:$E$87,'TOTALS (ownership)'!A10,ELECTRICITY_HiveOS!$E$4:$E$87)</f>
        <v>534</v>
      </c>
      <c r="L10" s="41">
        <f t="shared" ca="1" si="2"/>
        <v>4980.6099999999997</v>
      </c>
      <c r="M10" s="42">
        <f t="shared" ca="1" si="0"/>
        <v>3.0892534114643908E-2</v>
      </c>
    </row>
    <row r="11" spans="1:13" ht="15.6" thickTop="1" thickBot="1" x14ac:dyDescent="0.35">
      <c r="A11" t="s">
        <v>31</v>
      </c>
      <c r="B11" s="9">
        <f ca="1">SUMIF(GPU!$C$3:$H$250,'TOTALS (ownership)'!$A11,GPU!$H$3:$H$250)</f>
        <v>0</v>
      </c>
      <c r="C11" s="9">
        <f ca="1">SUMIF(PSU!$C$3:$H$240,'TOTALS (ownership)'!$A11,PSU!$H$3:$H$240)</f>
        <v>1337</v>
      </c>
      <c r="D11" s="9">
        <f ca="1">SUMIF(MB!$C$3:$H$244,'TOTALS (ownership)'!$A11,MB!$H$3:$H$244)</f>
        <v>3492.45</v>
      </c>
      <c r="E11" s="9">
        <f ca="1">SUMIF(CPU!$C$3:$H$244,'TOTALS (ownership)'!$A11,CPU!$H$3:$H$244)</f>
        <v>0</v>
      </c>
      <c r="F11" s="9">
        <f ca="1">SUMIF(RAM!$C$3:$H$246,'TOTALS (ownership)'!$A11,RAM!$H$3:$H$246)</f>
        <v>0</v>
      </c>
      <c r="G11" s="9">
        <f ca="1">SUMIF(SSD!$C$3:$H$246,'TOTALS (ownership)'!$A11,SSD!$H$3:$H$246)</f>
        <v>0</v>
      </c>
      <c r="H11" s="9">
        <f ca="1">SUMIF(MISC!$C$3:$H$252,'TOTALS (ownership)'!$A11,MISC!$H$3:$H$252)</f>
        <v>3833</v>
      </c>
      <c r="I11" s="9">
        <f ca="1">SUMIF(PROJECT!$B$3:$D$27,'TOTALS (ownership)'!$A11,PROJECT!$F$3:$F$27)</f>
        <v>0</v>
      </c>
      <c r="J11" s="9">
        <f ca="1">SUMIF(LOGISTIC!$B$3:$D$22,'TOTALS (ownership)'!$A11,LOGISTIC!$D$3:$D$22)</f>
        <v>0</v>
      </c>
      <c r="K11" s="9">
        <f ca="1">SUMIF(ELECTRICITY_HiveOS!$B$4:$E$87,'TOTALS (ownership)'!A11,ELECTRICITY_HiveOS!$G$4:$G$87)</f>
        <v>2338</v>
      </c>
      <c r="L11" s="41">
        <f t="shared" ca="1" si="2"/>
        <v>11000.45</v>
      </c>
      <c r="M11" s="42">
        <f t="shared" ca="1" si="0"/>
        <v>6.8230955023869486E-2</v>
      </c>
    </row>
    <row r="12" spans="1:13" ht="15.6" thickTop="1" thickBot="1" x14ac:dyDescent="0.35">
      <c r="A12" s="24" t="s">
        <v>25</v>
      </c>
      <c r="B12" s="9">
        <f ca="1">SUMIF(GPU!$C$3:$H$250,'TOTALS (ownership)'!$A12,GPU!$H$3:$H$250)</f>
        <v>2265</v>
      </c>
      <c r="C12" s="9">
        <f ca="1">SUMIF(PSU!$C$3:$H$240,'TOTALS (ownership)'!$A12,PSU!$H$3:$H$240)</f>
        <v>0</v>
      </c>
      <c r="D12" s="9">
        <f ca="1">SUMIF(MB!$C$3:$H$244,'TOTALS (ownership)'!$A12,MB!$H$3:$H$244)</f>
        <v>0</v>
      </c>
      <c r="E12" s="9">
        <f ca="1">SUMIF(CPU!$C$3:$H$244,'TOTALS (ownership)'!$A12,CPU!$H$3:$H$244)</f>
        <v>0</v>
      </c>
      <c r="F12" s="9">
        <f ca="1">SUMIF(RAM!$C$3:$H$246,'TOTALS (ownership)'!$A12,RAM!$H$3:$H$246)</f>
        <v>0</v>
      </c>
      <c r="G12" s="9">
        <f ca="1">SUMIF(SSD!$C$3:$H$246,'TOTALS (ownership)'!$A12,SSD!$H$3:$H$246)</f>
        <v>0</v>
      </c>
      <c r="H12" s="9">
        <f ca="1">SUMIF(MISC!$C$3:$H$252,'TOTALS (ownership)'!$A12,MISC!$H$3:$H$252)</f>
        <v>1514.34</v>
      </c>
      <c r="I12" s="9">
        <f ca="1">SUMIF(PROJECT!$B$3:$D$27,'TOTALS (ownership)'!$A12,PROJECT!$D$3:$D$27)</f>
        <v>0</v>
      </c>
      <c r="J12" s="9">
        <f ca="1">SUMIF(LOGISTIC!$B$3:$D$22,'TOTALS (ownership)'!$A12,LOGISTIC!$D$3:$D$22)</f>
        <v>0</v>
      </c>
      <c r="K12" s="9">
        <f ca="1">SUMIF(ELECTRICITY_HiveOS!$B$4:$E$87,'TOTALS (ownership)'!A12,ELECTRICITY_HiveOS!$E$4:$E$87)</f>
        <v>0</v>
      </c>
      <c r="L12" s="41">
        <f t="shared" ca="1" si="2"/>
        <v>3779.34</v>
      </c>
      <c r="M12" s="42">
        <f t="shared" ca="1" si="0"/>
        <v>2.3441584440628421E-2</v>
      </c>
    </row>
    <row r="13" spans="1:13" ht="15.6" thickTop="1" thickBot="1" x14ac:dyDescent="0.35">
      <c r="A13" s="4" t="s">
        <v>98</v>
      </c>
      <c r="B13" s="9">
        <f ca="1">SUMIF(GPU!$C$3:$H$250,'TOTALS (ownership)'!$A13,GPU!$H$3:$H$250)</f>
        <v>0</v>
      </c>
      <c r="C13" s="9">
        <f ca="1">SUMIF(PSU!$C$3:$H$240,'TOTALS (ownership)'!$A13,PSU!$H$3:$H$240)</f>
        <v>0</v>
      </c>
      <c r="D13" s="9">
        <f ca="1">SUMIF(MB!$C$3:$H$244,'TOTALS (ownership)'!$A13,MB!$H$3:$H$244)</f>
        <v>0</v>
      </c>
      <c r="E13" s="9">
        <f ca="1">SUMIF(CPU!$C$3:$H$244,'TOTALS (ownership)'!$A13,CPU!$H$3:$H$244)</f>
        <v>0</v>
      </c>
      <c r="F13" s="9">
        <f ca="1">SUMIF(RAM!$C$3:$H$246,'TOTALS (ownership)'!$A13,RAM!$H$3:$H$246)</f>
        <v>0</v>
      </c>
      <c r="G13" s="9">
        <f ca="1">SUMIF(SSD!$C$3:$H$246,'TOTALS (ownership)'!$A13,SSD!$H$3:$H$246)</f>
        <v>0</v>
      </c>
      <c r="H13" s="9">
        <f ca="1">SUMIF(MISC!$C$3:$H$252,'TOTALS (ownership)'!$A13,MISC!$H$3:$H$252)</f>
        <v>0</v>
      </c>
      <c r="I13" s="9">
        <f ca="1">SUMIF(PROJECT!$B$3:$D$27,'TOTALS (ownership)'!$A13,PROJECT!$D$3:$D$27)</f>
        <v>0</v>
      </c>
      <c r="J13" s="9">
        <f ca="1">SUMIF(LOGISTIC!$B$3:$D$22,'TOTALS (ownership)'!$A13,LOGISTIC!$D$3:$D$22)</f>
        <v>0</v>
      </c>
      <c r="K13" s="9">
        <f ca="1">SUMIF(ELECTRICITY_HiveOS!$B$4:$E$87,'TOTALS (ownership)'!A13,ELECTRICITY_HiveOS!$E$4:$E$87)</f>
        <v>0</v>
      </c>
      <c r="L13" s="41">
        <f t="shared" ca="1" si="2"/>
        <v>0</v>
      </c>
      <c r="M13" s="42">
        <f t="shared" ca="1" si="0"/>
        <v>0</v>
      </c>
    </row>
    <row r="14" spans="1:13" ht="15.6" thickTop="1" thickBot="1" x14ac:dyDescent="0.35">
      <c r="A14" t="s">
        <v>136</v>
      </c>
      <c r="B14" s="9">
        <f ca="1">SUMIF(GPU!$C$3:$H$250,'TOTALS (ownership)'!$A14,GPU!$H$3:$H$250)</f>
        <v>6040</v>
      </c>
      <c r="C14" s="9">
        <f ca="1">SUMIF(PSU!$C$3:$H$240,'TOTALS (ownership)'!$A14,PSU!$H$3:$H$240)</f>
        <v>0</v>
      </c>
      <c r="D14" s="9">
        <f ca="1">SUMIF(MB!$C$3:$H$244,'TOTALS (ownership)'!$A14,MB!$H$3:$H$244)</f>
        <v>0</v>
      </c>
      <c r="E14" s="9">
        <f ca="1">SUMIF(CPU!$C$3:$H$244,'TOTALS (ownership)'!$A14,CPU!$H$3:$H$244)</f>
        <v>0</v>
      </c>
      <c r="F14" s="9">
        <f ca="1">SUMIF(RAM!$C$3:$H$246,'TOTALS (ownership)'!$A14,RAM!$H$3:$H$246)</f>
        <v>0</v>
      </c>
      <c r="G14" s="9">
        <f ca="1">SUMIF(SSD!$C$3:$H$246,'TOTALS (ownership)'!$A14,SSD!$H$3:$H$246)</f>
        <v>0</v>
      </c>
      <c r="H14" s="9">
        <f ca="1">SUMIF(MISC!$C$3:$H$252,'TOTALS (ownership)'!$A14,MISC!$H$3:$H$252)</f>
        <v>321.83</v>
      </c>
      <c r="I14" s="9">
        <f ca="1">SUMIF(PROJECT!$B$3:$D$27,'TOTALS (ownership)'!$A14,PROJECT!$D$3:$D$27)</f>
        <v>0</v>
      </c>
      <c r="J14" s="9">
        <f ca="1">SUMIF(LOGISTIC!$B$3:$D$22,'TOTALS (ownership)'!$A14,LOGISTIC!$D$3:$D$22)</f>
        <v>0</v>
      </c>
      <c r="K14" s="9">
        <f ca="1">SUMIF(ELECTRICITY_HiveOS!$B$4:$E$87,'TOTALS (ownership)'!A14,ELECTRICITY_HiveOS!$E$4:$E$87)</f>
        <v>0</v>
      </c>
      <c r="L14" s="41">
        <f t="shared" ca="1" si="2"/>
        <v>6361.83</v>
      </c>
      <c r="M14" s="42">
        <f t="shared" ca="1" si="0"/>
        <v>3.9459634523997075E-2</v>
      </c>
    </row>
    <row r="15" spans="1:13" ht="15.6" thickTop="1" thickBot="1" x14ac:dyDescent="0.35">
      <c r="A15" s="28" t="s">
        <v>139</v>
      </c>
      <c r="B15" s="9">
        <f ca="1">SUMIF(GPU!$C$3:$H$250,'TOTALS (ownership)'!$A15,GPU!$H$3:$H$250)</f>
        <v>5646</v>
      </c>
      <c r="C15" s="9">
        <f ca="1">SUMIF(PSU!$C$3:$H$240,'TOTALS (ownership)'!$A15,PSU!$H$3:$H$240)</f>
        <v>0</v>
      </c>
      <c r="D15" s="9">
        <f ca="1">SUMIF(MB!$C$3:$H$244,'TOTALS (ownership)'!$A15,MB!$H$3:$H$244)</f>
        <v>0</v>
      </c>
      <c r="E15" s="9">
        <f ca="1">SUMIF(CPU!$C$3:$H$244,'TOTALS (ownership)'!$A15,CPU!$H$3:$H$244)</f>
        <v>0</v>
      </c>
      <c r="F15" s="9">
        <f ca="1">SUMIF(RAM!$C$3:$H$246,'TOTALS (ownership)'!$A15,RAM!$H$3:$H$246)</f>
        <v>0</v>
      </c>
      <c r="G15" s="9">
        <f ca="1">SUMIF(SSD!$C$3:$H$246,'TOTALS (ownership)'!$A15,SSD!$H$3:$H$246)</f>
        <v>0</v>
      </c>
      <c r="H15" s="9">
        <f ca="1">SUMIF(MISC!$C$3:$H$252,'TOTALS (ownership)'!$A15,MISC!$H$3:$H$252)</f>
        <v>384</v>
      </c>
      <c r="I15" s="9">
        <f ca="1">SUMIF(PROJECT!$B$3:$D$27,'TOTALS (ownership)'!$A15,PROJECT!$D$3:$D$27)</f>
        <v>0</v>
      </c>
      <c r="J15" s="9">
        <f ca="1">SUMIF(LOGISTIC!$B$3:$D$22,'TOTALS (ownership)'!$A15,LOGISTIC!$D$3:$D$22)</f>
        <v>0</v>
      </c>
      <c r="K15" s="9">
        <f ca="1">SUMIF(ELECTRICITY_HiveOS!$B$4:$E$87,'TOTALS (ownership)'!A15,ELECTRICITY_HiveOS!$E$4:$E$87)</f>
        <v>0</v>
      </c>
      <c r="L15" s="41">
        <f t="shared" ca="1" si="2"/>
        <v>6030</v>
      </c>
      <c r="M15" s="42">
        <f t="shared" ca="1" si="0"/>
        <v>3.7401438922401629E-2</v>
      </c>
    </row>
    <row r="16" spans="1:13" ht="15.6" thickTop="1" thickBot="1" x14ac:dyDescent="0.35">
      <c r="A16" s="28" t="s">
        <v>141</v>
      </c>
      <c r="B16" s="9">
        <f ca="1">SUMIF(GPU!$C$3:$H$250,'TOTALS (ownership)'!$A16,GPU!$H$3:$H$250)</f>
        <v>12018.5</v>
      </c>
      <c r="C16" s="9">
        <f ca="1">SUMIF(PSU!$C$3:$H$240,'TOTALS (ownership)'!$A16,PSU!$H$3:$H$240)</f>
        <v>0</v>
      </c>
      <c r="D16" s="9">
        <f ca="1">SUMIF(MB!$C$3:$H$244,'TOTALS (ownership)'!$A16,MB!$H$3:$H$244)</f>
        <v>0</v>
      </c>
      <c r="E16" s="9">
        <f ca="1">SUMIF(CPU!$C$3:$H$244,'TOTALS (ownership)'!$A16,CPU!$H$3:$H$244)</f>
        <v>0</v>
      </c>
      <c r="F16" s="9">
        <f ca="1">SUMIF(RAM!$C$3:$H$246,'TOTALS (ownership)'!$A16,RAM!$H$3:$H$246)</f>
        <v>0</v>
      </c>
      <c r="G16" s="9">
        <f ca="1">SUMIF(SSD!$C$3:$H$246,'TOTALS (ownership)'!$A16,SSD!$H$3:$H$246)</f>
        <v>0</v>
      </c>
      <c r="H16" s="9">
        <f ca="1">SUMIF(MISC!$C$3:$H$252,'TOTALS (ownership)'!$A16,MISC!$H$3:$H$252)</f>
        <v>762</v>
      </c>
      <c r="I16" s="9">
        <f ca="1">SUMIF(PROJECT!$B$3:$D$27,'TOTALS (ownership)'!$A16,PROJECT!$D$3:$D$27)</f>
        <v>0</v>
      </c>
      <c r="J16" s="9">
        <f ca="1">SUMIF(LOGISTIC!$B$3:$D$22,'TOTALS (ownership)'!$A16,LOGISTIC!$D$3:$D$22)</f>
        <v>0</v>
      </c>
      <c r="K16" s="9">
        <f ca="1">SUMIF(ELECTRICITY_HiveOS!$B$4:$E$87,'TOTALS (ownership)'!A16,ELECTRICITY_HiveOS!$E$4:$E$87)</f>
        <v>0</v>
      </c>
      <c r="L16" s="41">
        <f t="shared" ca="1" si="2"/>
        <v>12780.5</v>
      </c>
      <c r="M16" s="42">
        <f t="shared" ca="1" si="0"/>
        <v>7.9271822578400333E-2</v>
      </c>
    </row>
    <row r="17" spans="1:15" ht="15.6" thickTop="1" thickBot="1" x14ac:dyDescent="0.35">
      <c r="A17" s="28" t="s">
        <v>99</v>
      </c>
      <c r="B17" s="9">
        <f ca="1">SUMIF(GPU!$C$3:$H$250,'TOTALS (ownership)'!$A17,GPU!$H$3:$H$250)</f>
        <v>0</v>
      </c>
      <c r="C17" s="9">
        <f ca="1">SUMIF(PSU!$C$3:$H$240,'TOTALS (ownership)'!$A17,PSU!$H$3:$H$240)</f>
        <v>0</v>
      </c>
      <c r="D17" s="9">
        <f ca="1">SUMIF(MB!$C$3:$H$244,'TOTALS (ownership)'!$A17,MB!$H$3:$H$244)</f>
        <v>0</v>
      </c>
      <c r="E17" s="9">
        <f ca="1">SUMIF(CPU!$C$3:$H$244,'TOTALS (ownership)'!$A17,CPU!$H$3:$H$244)</f>
        <v>0</v>
      </c>
      <c r="F17" s="9">
        <f ca="1">SUMIF(RAM!$C$3:$H$246,'TOTALS (ownership)'!$A17,RAM!$H$3:$H$246)</f>
        <v>0</v>
      </c>
      <c r="G17" s="9">
        <f ca="1">SUMIF(SSD!$C$3:$H$246,'TOTALS (ownership)'!$A17,SSD!$H$3:$H$246)</f>
        <v>0</v>
      </c>
      <c r="H17" s="9">
        <f ca="1">SUMIF(MISC!$C$3:$H$252,'TOTALS (ownership)'!$A17,MISC!$H$3:$H$252)</f>
        <v>0</v>
      </c>
      <c r="I17" s="9">
        <f ca="1">SUMIF(PROJECT!$B$3:$D$27,'TOTALS (ownership)'!$A17,PROJECT!$D$3:$D$27)</f>
        <v>0</v>
      </c>
      <c r="J17" s="9">
        <f ca="1">SUMIF(LOGISTIC!$B$3:$D$22,'TOTALS (ownership)'!$A17,LOGISTIC!$D$3:$D$22)</f>
        <v>0</v>
      </c>
      <c r="K17" s="9">
        <f ca="1">SUMIF(ELECTRICITY_HiveOS!$B$4:$E$87,'TOTALS (ownership)'!A17,ELECTRICITY_HiveOS!$E$4:$E$87)</f>
        <v>0</v>
      </c>
      <c r="L17" s="41">
        <f t="shared" ca="1" si="2"/>
        <v>0</v>
      </c>
      <c r="M17" s="42">
        <f t="shared" ca="1" si="0"/>
        <v>0</v>
      </c>
    </row>
    <row r="18" spans="1:15" ht="15.6" thickTop="1" thickBot="1" x14ac:dyDescent="0.35">
      <c r="A18" s="28" t="s">
        <v>99</v>
      </c>
      <c r="B18" s="9">
        <f ca="1">SUMIF(GPU!$C$3:$H$250,'TOTALS (ownership)'!$A18,GPU!$H$3:$H$250)</f>
        <v>0</v>
      </c>
      <c r="C18" s="9">
        <f ca="1">SUMIF(PSU!$C$3:$H$240,'TOTALS (ownership)'!$A18,PSU!$H$3:$H$240)</f>
        <v>0</v>
      </c>
      <c r="D18" s="9">
        <f ca="1">SUMIF(MB!$C$3:$H$244,'TOTALS (ownership)'!$A18,MB!$H$3:$H$244)</f>
        <v>0</v>
      </c>
      <c r="E18" s="9">
        <f ca="1">SUMIF(CPU!$C$3:$H$244,'TOTALS (ownership)'!$A18,CPU!$H$3:$H$244)</f>
        <v>0</v>
      </c>
      <c r="F18" s="9">
        <f ca="1">SUMIF(RAM!$C$3:$H$246,'TOTALS (ownership)'!$A18,RAM!$H$3:$H$246)</f>
        <v>0</v>
      </c>
      <c r="G18" s="9">
        <f ca="1">SUMIF(SSD!$C$3:$H$246,'TOTALS (ownership)'!$A18,SSD!$H$3:$H$246)</f>
        <v>0</v>
      </c>
      <c r="H18" s="9">
        <f ca="1">SUMIF(MISC!$C$3:$H$252,'TOTALS (ownership)'!$A18,MISC!$H$3:$H$252)</f>
        <v>0</v>
      </c>
      <c r="I18" s="9">
        <f ca="1">SUMIF(PROJECT!$B$3:$D$27,'TOTALS (ownership)'!$A18,PROJECT!$D$3:$D$27)</f>
        <v>0</v>
      </c>
      <c r="J18" s="9">
        <f ca="1">SUMIF(LOGISTIC!$B$3:$D$22,'TOTALS (ownership)'!$A18,LOGISTIC!$D$3:$D$22)</f>
        <v>0</v>
      </c>
      <c r="K18" s="9">
        <f ca="1">SUMIF(ELECTRICITY_HiveOS!$B$4:$E$87,'TOTALS (ownership)'!A18,ELECTRICITY_HiveOS!$E$4:$E$87)</f>
        <v>0</v>
      </c>
      <c r="L18" s="41">
        <f t="shared" ca="1" si="2"/>
        <v>0</v>
      </c>
      <c r="M18" s="42">
        <f t="shared" ca="1" si="0"/>
        <v>0</v>
      </c>
    </row>
    <row r="19" spans="1:15" ht="15.6" thickTop="1" thickBot="1" x14ac:dyDescent="0.35">
      <c r="A19" s="28" t="s">
        <v>99</v>
      </c>
      <c r="B19" s="9">
        <f ca="1">SUMIF(GPU!$C$3:$H$250,'TOTALS (ownership)'!$A19,GPU!$H$3:$H$250)</f>
        <v>0</v>
      </c>
      <c r="C19" s="9">
        <f ca="1">SUMIF(PSU!$C$3:$H$240,'TOTALS (ownership)'!$A19,PSU!$H$3:$H$240)</f>
        <v>0</v>
      </c>
      <c r="D19" s="9">
        <f ca="1">SUMIF(MB!$C$3:$H$244,'TOTALS (ownership)'!$A19,MB!$H$3:$H$244)</f>
        <v>0</v>
      </c>
      <c r="E19" s="9">
        <f ca="1">SUMIF(CPU!$C$3:$H$244,'TOTALS (ownership)'!$A19,CPU!$H$3:$H$244)</f>
        <v>0</v>
      </c>
      <c r="F19" s="9">
        <f ca="1">SUMIF(RAM!$C$3:$H$246,'TOTALS (ownership)'!$A19,RAM!$H$3:$H$246)</f>
        <v>0</v>
      </c>
      <c r="G19" s="9">
        <f ca="1">SUMIF(SSD!$C$3:$H$246,'TOTALS (ownership)'!$A19,SSD!$H$3:$H$246)</f>
        <v>0</v>
      </c>
      <c r="H19" s="9">
        <f ca="1">SUMIF(MISC!$C$3:$H$252,'TOTALS (ownership)'!$A19,MISC!$H$3:$H$252)</f>
        <v>0</v>
      </c>
      <c r="I19" s="9">
        <f ca="1">SUMIF(PROJECT!$B$3:$D$27,'TOTALS (ownership)'!$A19,PROJECT!$D$3:$D$27)</f>
        <v>0</v>
      </c>
      <c r="J19" s="9">
        <f ca="1">SUMIF(LOGISTIC!$B$3:$D$22,'TOTALS (ownership)'!$A19,LOGISTIC!$D$3:$D$22)</f>
        <v>0</v>
      </c>
      <c r="K19" s="9">
        <f ca="1">SUMIF(ELECTRICITY_HiveOS!$B$4:$E$87,'TOTALS (ownership)'!A19,ELECTRICITY_HiveOS!$E$4:$E$87)</f>
        <v>0</v>
      </c>
      <c r="L19" s="41">
        <f t="shared" ca="1" si="2"/>
        <v>0</v>
      </c>
      <c r="M19" s="42">
        <f t="shared" ca="1" si="0"/>
        <v>0</v>
      </c>
    </row>
    <row r="20" spans="1:15" ht="15.6" thickTop="1" thickBot="1" x14ac:dyDescent="0.35">
      <c r="A20" s="28" t="s">
        <v>99</v>
      </c>
      <c r="B20" s="9">
        <f ca="1">SUMIF(GPU!$C$3:$H$250,'TOTALS (ownership)'!$A20,GPU!$H$3:$H$250)</f>
        <v>0</v>
      </c>
      <c r="C20" s="9">
        <f ca="1">SUMIF(PSU!$C$3:$H$240,'TOTALS (ownership)'!$A20,PSU!$H$3:$H$240)</f>
        <v>0</v>
      </c>
      <c r="D20" s="9">
        <f ca="1">SUMIF(MB!$C$3:$H$244,'TOTALS (ownership)'!$A20,MB!$H$3:$H$244)</f>
        <v>0</v>
      </c>
      <c r="E20" s="9">
        <f ca="1">SUMIF(CPU!$C$3:$H$244,'TOTALS (ownership)'!$A20,CPU!$H$3:$H$244)</f>
        <v>0</v>
      </c>
      <c r="F20" s="9">
        <f ca="1">SUMIF(RAM!$C$3:$H$246,'TOTALS (ownership)'!$A20,RAM!$H$3:$H$246)</f>
        <v>0</v>
      </c>
      <c r="G20" s="9">
        <f ca="1">SUMIF(SSD!$C$3:$H$246,'TOTALS (ownership)'!$A20,SSD!$H$3:$H$246)</f>
        <v>0</v>
      </c>
      <c r="H20" s="9">
        <f ca="1">SUMIF(MISC!$C$3:$H$252,'TOTALS (ownership)'!$A20,MISC!$H$3:$H$252)</f>
        <v>0</v>
      </c>
      <c r="I20" s="9">
        <f ca="1">SUMIF(PROJECT!$B$3:$D$27,'TOTALS (ownership)'!$A20,PROJECT!$D$3:$D$27)</f>
        <v>0</v>
      </c>
      <c r="J20" s="9">
        <f ca="1">SUMIF(LOGISTIC!$B$3:$D$22,'TOTALS (ownership)'!$A20,LOGISTIC!$D$3:$D$22)</f>
        <v>0</v>
      </c>
      <c r="K20" s="9">
        <f ca="1">SUMIF(ELECTRICITY_HiveOS!$B$4:$E$87,'TOTALS (ownership)'!A20,ELECTRICITY_HiveOS!$E$4:$E$87)</f>
        <v>0</v>
      </c>
      <c r="L20" s="41">
        <f t="shared" ca="1" si="2"/>
        <v>0</v>
      </c>
      <c r="M20" s="42">
        <f t="shared" ca="1" si="0"/>
        <v>0</v>
      </c>
    </row>
    <row r="21" spans="1:15" ht="15.6" thickTop="1" thickBot="1" x14ac:dyDescent="0.35">
      <c r="A21" s="28" t="s">
        <v>99</v>
      </c>
      <c r="B21" s="9">
        <f ca="1">SUMIF(GPU!$C$3:$H$250,'TOTALS (ownership)'!$A21,GPU!$H$3:$H$250)</f>
        <v>0</v>
      </c>
      <c r="C21" s="9">
        <f ca="1">SUMIF(PSU!$C$3:$H$240,'TOTALS (ownership)'!$A21,PSU!$H$3:$H$240)</f>
        <v>0</v>
      </c>
      <c r="D21" s="9">
        <f ca="1">SUMIF(MB!$C$3:$H$244,'TOTALS (ownership)'!$A21,MB!$H$3:$H$244)</f>
        <v>0</v>
      </c>
      <c r="E21" s="9">
        <f ca="1">SUMIF(CPU!$C$3:$H$244,'TOTALS (ownership)'!$A21,CPU!$H$3:$H$244)</f>
        <v>0</v>
      </c>
      <c r="F21" s="9">
        <f ca="1">SUMIF(RAM!$C$3:$H$246,'TOTALS (ownership)'!$A21,RAM!$H$3:$H$246)</f>
        <v>0</v>
      </c>
      <c r="G21" s="9">
        <f ca="1">SUMIF(SSD!$C$3:$H$246,'TOTALS (ownership)'!$A21,SSD!$H$3:$H$246)</f>
        <v>0</v>
      </c>
      <c r="H21" s="9">
        <f ca="1">SUMIF(MISC!$C$3:$H$252,'TOTALS (ownership)'!$A21,MISC!$H$3:$H$252)</f>
        <v>0</v>
      </c>
      <c r="I21" s="9">
        <f ca="1">SUMIF(PROJECT!$B$3:$D$27,'TOTALS (ownership)'!$A21,PROJECT!$D$3:$D$27)</f>
        <v>0</v>
      </c>
      <c r="J21" s="9">
        <f ca="1">SUMIF(LOGISTIC!$B$3:$D$22,'TOTALS (ownership)'!$A21,LOGISTIC!$D$3:$D$22)</f>
        <v>0</v>
      </c>
      <c r="K21" s="9">
        <f ca="1">SUMIF(ELECTRICITY_HiveOS!$B$4:$E$87,'TOTALS (ownership)'!A21,ELECTRICITY_HiveOS!$E$4:$E$87)</f>
        <v>0</v>
      </c>
      <c r="L21" s="41">
        <f t="shared" ca="1" si="2"/>
        <v>0</v>
      </c>
      <c r="M21" s="42">
        <f t="shared" ca="1" si="0"/>
        <v>0</v>
      </c>
    </row>
    <row r="22" spans="1:15" ht="30" thickTop="1" thickBot="1" x14ac:dyDescent="0.35">
      <c r="A22" s="39" t="s">
        <v>88</v>
      </c>
      <c r="B22" s="35">
        <f ca="1">SUM(B2:B21)</f>
        <v>106822.5</v>
      </c>
      <c r="C22" s="35">
        <f t="shared" ref="C22:K22" ca="1" si="3">SUM(C2:C21)</f>
        <v>12837</v>
      </c>
      <c r="D22" s="35">
        <f t="shared" ca="1" si="3"/>
        <v>11612.23</v>
      </c>
      <c r="E22" s="35">
        <f t="shared" ca="1" si="3"/>
        <v>1602</v>
      </c>
      <c r="F22" s="35">
        <f t="shared" ca="1" si="3"/>
        <v>1650</v>
      </c>
      <c r="G22" s="35">
        <f t="shared" ca="1" si="3"/>
        <v>1527</v>
      </c>
      <c r="H22" s="35">
        <f t="shared" ca="1" si="3"/>
        <v>12685.47</v>
      </c>
      <c r="I22" s="35">
        <f t="shared" ca="1" si="3"/>
        <v>0</v>
      </c>
      <c r="J22" s="35">
        <f t="shared" ca="1" si="3"/>
        <v>0</v>
      </c>
      <c r="K22" s="35">
        <f t="shared" ca="1" si="3"/>
        <v>2872</v>
      </c>
      <c r="L22" s="35">
        <f ca="1">SUM(L2:L21)</f>
        <v>151608.19999999998</v>
      </c>
      <c r="M22" s="36"/>
    </row>
    <row r="23" spans="1:15" ht="15.6" thickTop="1" thickBot="1" x14ac:dyDescent="0.35">
      <c r="A23" s="39" t="s">
        <v>86</v>
      </c>
      <c r="B23" s="49">
        <f t="shared" ref="B23:K23" ca="1" si="4">B$22/$L$22</f>
        <v>0.70459579363121527</v>
      </c>
      <c r="C23" s="49">
        <f t="shared" ca="1" si="4"/>
        <v>8.4672201107855657E-2</v>
      </c>
      <c r="D23" s="49">
        <f t="shared" ca="1" si="4"/>
        <v>7.6593680289060884E-2</v>
      </c>
      <c r="E23" s="49">
        <f t="shared" ca="1" si="4"/>
        <v>1.0566710771580957E-2</v>
      </c>
      <c r="F23" s="49">
        <f t="shared" ca="1" si="4"/>
        <v>1.0883316337770649E-2</v>
      </c>
      <c r="G23" s="49">
        <f t="shared" ca="1" si="4"/>
        <v>1.0072014574409564E-2</v>
      </c>
      <c r="H23" s="49">
        <f t="shared" ca="1" si="4"/>
        <v>8.3672716911090572E-2</v>
      </c>
      <c r="I23" s="49">
        <f t="shared" ca="1" si="4"/>
        <v>0</v>
      </c>
      <c r="J23" s="49">
        <f t="shared" ca="1" si="4"/>
        <v>0</v>
      </c>
      <c r="K23" s="49">
        <f t="shared" ca="1" si="4"/>
        <v>1.8943566377016548E-2</v>
      </c>
      <c r="L23" s="36">
        <f ca="1">SUM(B23:K23)</f>
        <v>1</v>
      </c>
      <c r="M23" s="36"/>
    </row>
    <row r="24" spans="1:15" ht="30" thickTop="1" thickBot="1" x14ac:dyDescent="0.35">
      <c r="A24" s="40" t="s">
        <v>89</v>
      </c>
      <c r="B24" s="37">
        <f>GPU!H2</f>
        <v>106822.5</v>
      </c>
      <c r="C24" s="37">
        <f>PSU!H2</f>
        <v>12837</v>
      </c>
      <c r="D24" s="37">
        <f>MB!H2</f>
        <v>11612.23</v>
      </c>
      <c r="E24" s="37">
        <f>CPU!H2</f>
        <v>1602</v>
      </c>
      <c r="F24" s="37">
        <f>RAM!H2</f>
        <v>1650</v>
      </c>
      <c r="G24" s="37">
        <f>SSD!H2</f>
        <v>1527</v>
      </c>
      <c r="H24" s="37">
        <f>MISC!H2</f>
        <v>12685.47</v>
      </c>
      <c r="I24" s="37">
        <f>PROJECT!F2</f>
        <v>0</v>
      </c>
      <c r="J24" s="37">
        <f>LOGISTIC!F2</f>
        <v>0</v>
      </c>
      <c r="K24" s="37">
        <f>ELECTRICITY_HiveOS!E2</f>
        <v>12487.543624161073</v>
      </c>
      <c r="L24" s="37">
        <f>SUM(B24:K24)</f>
        <v>161223.74362416108</v>
      </c>
      <c r="M24" s="38"/>
    </row>
    <row r="25" spans="1:15" ht="15" thickTop="1" x14ac:dyDescent="0.3"/>
    <row r="27" spans="1:15" x14ac:dyDescent="0.3">
      <c r="A27" s="125"/>
      <c r="B27" s="125"/>
      <c r="C27" s="125"/>
      <c r="D27" s="125"/>
      <c r="E27" s="125"/>
      <c r="F27" s="125"/>
      <c r="G27" s="125"/>
      <c r="H27" s="125"/>
      <c r="I27" s="125"/>
      <c r="J27" s="125"/>
      <c r="K27" s="125"/>
      <c r="L27" s="125"/>
      <c r="M27" s="125"/>
      <c r="N27" s="125"/>
      <c r="O27" s="125"/>
    </row>
    <row r="28" spans="1:15" x14ac:dyDescent="0.3">
      <c r="A28" s="125"/>
      <c r="B28" s="125"/>
      <c r="C28" s="125"/>
      <c r="D28" s="125"/>
      <c r="E28" s="125"/>
      <c r="F28" s="125"/>
      <c r="G28" s="125"/>
      <c r="H28" s="125"/>
      <c r="I28" s="125"/>
      <c r="J28" s="125"/>
      <c r="K28" s="125"/>
      <c r="L28" s="125"/>
      <c r="M28" s="125"/>
      <c r="N28" s="125"/>
      <c r="O28" s="125"/>
    </row>
    <row r="29" spans="1:15" x14ac:dyDescent="0.3">
      <c r="A29" s="125"/>
      <c r="B29" s="125"/>
      <c r="C29" s="125"/>
      <c r="D29" s="125"/>
      <c r="E29" s="125"/>
      <c r="F29" s="125"/>
      <c r="G29" s="125"/>
      <c r="H29" s="125"/>
      <c r="I29" s="125"/>
      <c r="J29" s="125"/>
      <c r="K29" s="125"/>
      <c r="L29" s="125"/>
      <c r="M29" s="125"/>
      <c r="N29" s="125"/>
      <c r="O29" s="125"/>
    </row>
    <row r="30" spans="1:15" x14ac:dyDescent="0.3">
      <c r="A30" s="44"/>
      <c r="B30" s="44"/>
      <c r="C30" s="44"/>
      <c r="D30" s="125"/>
      <c r="E30" s="125"/>
      <c r="F30" s="125"/>
      <c r="G30" s="125"/>
      <c r="H30" s="125"/>
      <c r="I30" s="125"/>
      <c r="J30" s="125"/>
      <c r="K30" s="125"/>
      <c r="L30" s="125"/>
      <c r="M30" s="125"/>
      <c r="N30" s="125"/>
      <c r="O30" s="125"/>
    </row>
    <row r="31" spans="1:15" x14ac:dyDescent="0.3">
      <c r="A31" s="44"/>
      <c r="B31" s="44"/>
      <c r="C31" s="44"/>
      <c r="D31" s="125"/>
      <c r="E31" s="125"/>
      <c r="F31" s="125"/>
      <c r="G31" s="125"/>
      <c r="H31" s="125"/>
      <c r="I31" s="125"/>
      <c r="J31" s="125"/>
      <c r="K31" s="125"/>
      <c r="L31" s="125"/>
      <c r="M31" s="125"/>
      <c r="N31" s="125"/>
      <c r="O31" s="125"/>
    </row>
    <row r="32" spans="1:15" x14ac:dyDescent="0.3">
      <c r="A32" s="125"/>
      <c r="B32" s="125"/>
      <c r="C32" s="125"/>
      <c r="D32" s="125"/>
      <c r="E32" s="125"/>
      <c r="F32" s="125"/>
      <c r="G32" s="125"/>
      <c r="H32" s="125"/>
      <c r="I32" s="125"/>
      <c r="J32" s="125"/>
      <c r="K32" s="125"/>
      <c r="L32" s="125"/>
      <c r="M32" s="125"/>
      <c r="N32" s="125"/>
      <c r="O32" s="125"/>
    </row>
    <row r="33" spans="1:15" x14ac:dyDescent="0.3">
      <c r="A33" s="125"/>
      <c r="B33" s="125"/>
      <c r="C33" s="125"/>
      <c r="D33" s="125"/>
      <c r="E33" s="125"/>
      <c r="F33" s="125"/>
      <c r="G33" s="125"/>
      <c r="H33" s="125"/>
      <c r="I33" s="125"/>
      <c r="J33" s="125"/>
      <c r="K33" s="125"/>
      <c r="L33" s="125"/>
      <c r="M33" s="125"/>
      <c r="N33" s="125"/>
      <c r="O33" s="125"/>
    </row>
    <row r="34" spans="1:15" x14ac:dyDescent="0.3">
      <c r="A34" s="125"/>
      <c r="B34" s="125"/>
      <c r="C34" s="125"/>
      <c r="D34" s="125"/>
      <c r="E34" s="125"/>
      <c r="F34" s="125"/>
      <c r="G34" s="125"/>
      <c r="H34" s="125"/>
      <c r="I34" s="125"/>
      <c r="J34" s="125"/>
      <c r="K34" s="125"/>
      <c r="L34" s="125"/>
      <c r="M34" s="125"/>
      <c r="N34" s="125"/>
      <c r="O34" s="125"/>
    </row>
    <row r="35" spans="1:15" x14ac:dyDescent="0.3">
      <c r="A35" s="125"/>
      <c r="B35" s="125"/>
      <c r="C35" s="125"/>
      <c r="D35" s="125"/>
      <c r="E35" s="125"/>
      <c r="F35" s="125"/>
      <c r="G35" s="125"/>
      <c r="H35" s="125"/>
      <c r="I35" s="125"/>
      <c r="J35" s="125"/>
      <c r="K35" s="125"/>
      <c r="L35" s="125"/>
      <c r="M35" s="125"/>
      <c r="N35" s="125"/>
      <c r="O35" s="125"/>
    </row>
    <row r="36" spans="1:15" x14ac:dyDescent="0.3">
      <c r="A36" s="44"/>
      <c r="B36" s="44"/>
      <c r="C36" s="44"/>
      <c r="D36" s="44"/>
      <c r="E36" s="44"/>
      <c r="F36" s="44"/>
      <c r="G36" s="44"/>
      <c r="H36" s="44"/>
      <c r="I36" s="44"/>
      <c r="J36" s="44"/>
      <c r="K36" s="44"/>
      <c r="L36" s="44"/>
      <c r="M36" s="44"/>
      <c r="N36" s="44"/>
      <c r="O36" s="44"/>
    </row>
    <row r="37" spans="1:15" x14ac:dyDescent="0.3">
      <c r="A37" s="125"/>
      <c r="B37" s="125"/>
      <c r="C37" s="125"/>
      <c r="D37" s="125"/>
      <c r="E37" s="125"/>
      <c r="F37" s="125"/>
      <c r="G37" s="125"/>
      <c r="H37" s="125"/>
      <c r="I37" s="125"/>
      <c r="J37" s="125"/>
      <c r="K37" s="125"/>
      <c r="L37" s="125"/>
      <c r="M37" s="125"/>
      <c r="N37" s="125"/>
      <c r="O37" s="125"/>
    </row>
    <row r="38" spans="1:15" s="125" customFormat="1" x14ac:dyDescent="0.3"/>
    <row r="39" spans="1:15" s="125" customFormat="1" x14ac:dyDescent="0.3"/>
    <row r="40" spans="1:15" x14ac:dyDescent="0.3">
      <c r="A40" s="125"/>
      <c r="B40" s="125"/>
      <c r="C40" s="125"/>
      <c r="D40" s="125"/>
      <c r="E40" s="125"/>
      <c r="F40" s="125"/>
      <c r="G40" s="125"/>
      <c r="H40" s="125"/>
      <c r="I40" s="125"/>
      <c r="J40" s="125"/>
      <c r="K40" s="125"/>
      <c r="L40" s="125"/>
      <c r="M40" s="125"/>
      <c r="N40" s="125"/>
      <c r="O40" s="125"/>
    </row>
    <row r="41" spans="1:15" x14ac:dyDescent="0.3">
      <c r="A41" s="125"/>
      <c r="B41" s="125"/>
      <c r="C41" s="125"/>
      <c r="D41" s="125"/>
      <c r="E41" s="125"/>
      <c r="F41" s="125"/>
      <c r="G41" s="125"/>
      <c r="H41" s="125"/>
      <c r="I41" s="125"/>
      <c r="J41" s="125"/>
      <c r="K41" s="125"/>
      <c r="L41" s="125"/>
      <c r="M41" s="125"/>
      <c r="N41" s="125"/>
      <c r="O41" s="125"/>
    </row>
    <row r="42" spans="1:15" x14ac:dyDescent="0.3">
      <c r="A42" s="125"/>
      <c r="B42" s="125"/>
      <c r="C42" s="125"/>
      <c r="D42" s="125"/>
      <c r="E42" s="125"/>
      <c r="F42" s="125"/>
      <c r="G42" s="125"/>
      <c r="H42" s="125"/>
      <c r="I42" s="125"/>
      <c r="J42" s="125"/>
      <c r="K42" s="125"/>
      <c r="L42" s="125"/>
      <c r="M42" s="125"/>
      <c r="N42" s="125"/>
      <c r="O42" s="125"/>
    </row>
    <row r="43" spans="1:15" x14ac:dyDescent="0.3">
      <c r="A43" s="125"/>
      <c r="B43" s="125"/>
      <c r="C43" s="125"/>
      <c r="D43" s="125"/>
      <c r="E43" s="125"/>
      <c r="F43" s="125"/>
      <c r="G43" s="125"/>
      <c r="H43" s="125"/>
      <c r="I43" s="125"/>
      <c r="J43" s="125"/>
      <c r="K43" s="125"/>
      <c r="L43" s="125"/>
      <c r="M43" s="125"/>
      <c r="N43" s="125"/>
      <c r="O43" s="125"/>
    </row>
    <row r="44" spans="1:15" x14ac:dyDescent="0.3">
      <c r="A44" s="125"/>
      <c r="B44" s="125"/>
      <c r="C44" s="125"/>
      <c r="D44" s="125"/>
      <c r="E44" s="125"/>
      <c r="F44" s="125"/>
      <c r="G44" s="125"/>
      <c r="H44" s="125"/>
      <c r="I44" s="125"/>
      <c r="J44" s="125"/>
      <c r="K44" s="125"/>
      <c r="L44" s="125"/>
      <c r="M44" s="125"/>
      <c r="N44" s="125"/>
      <c r="O44" s="125"/>
    </row>
    <row r="45" spans="1:15" x14ac:dyDescent="0.3">
      <c r="A45" s="125"/>
      <c r="B45" s="125"/>
      <c r="C45" s="125"/>
      <c r="D45" s="125"/>
      <c r="E45" s="125"/>
      <c r="F45" s="125"/>
      <c r="G45" s="125"/>
      <c r="H45" s="125"/>
      <c r="I45" s="125"/>
      <c r="J45" s="125"/>
      <c r="K45" s="125"/>
      <c r="L45" s="125"/>
      <c r="M45" s="125"/>
      <c r="N45" s="125"/>
      <c r="O45" s="125"/>
    </row>
    <row r="46" spans="1:15" x14ac:dyDescent="0.3">
      <c r="A46" s="125"/>
      <c r="B46" s="125"/>
      <c r="C46" s="125"/>
      <c r="D46" s="125"/>
      <c r="E46" s="125"/>
      <c r="F46" s="125"/>
      <c r="G46" s="125"/>
      <c r="H46" s="125"/>
      <c r="I46" s="125"/>
      <c r="J46" s="125"/>
      <c r="K46" s="125"/>
      <c r="L46" s="125"/>
      <c r="M46" s="125"/>
      <c r="N46" s="125"/>
      <c r="O46" s="125"/>
    </row>
    <row r="47" spans="1:15" x14ac:dyDescent="0.3">
      <c r="A47" s="125"/>
      <c r="B47" s="125"/>
      <c r="C47" s="125"/>
      <c r="D47" s="125"/>
      <c r="E47" s="125"/>
      <c r="F47" s="125"/>
      <c r="G47" s="125"/>
      <c r="H47" s="125"/>
      <c r="I47" s="125"/>
      <c r="J47" s="125"/>
      <c r="K47" s="125"/>
      <c r="L47" s="125"/>
      <c r="M47" s="125"/>
      <c r="N47" s="125"/>
      <c r="O47" s="125"/>
    </row>
    <row r="48" spans="1:15" x14ac:dyDescent="0.3">
      <c r="A48" s="125"/>
      <c r="B48" s="125"/>
      <c r="C48" s="125"/>
      <c r="D48" s="125"/>
      <c r="E48" s="125"/>
      <c r="F48" s="125"/>
      <c r="G48" s="125"/>
      <c r="H48" s="125"/>
      <c r="I48" s="125"/>
      <c r="J48" s="125"/>
      <c r="K48" s="125"/>
      <c r="L48" s="125"/>
      <c r="M48" s="125"/>
      <c r="N48" s="125"/>
      <c r="O48" s="125"/>
    </row>
    <row r="49" spans="1:15" x14ac:dyDescent="0.3">
      <c r="A49" s="125"/>
      <c r="B49" s="125"/>
      <c r="C49" s="125"/>
      <c r="D49" s="125"/>
      <c r="E49" s="125"/>
      <c r="F49" s="125"/>
      <c r="G49" s="125"/>
      <c r="H49" s="125"/>
      <c r="I49" s="125"/>
      <c r="J49" s="125"/>
      <c r="K49" s="125"/>
      <c r="L49" s="125"/>
      <c r="M49" s="125"/>
      <c r="N49" s="125"/>
      <c r="O49" s="125"/>
    </row>
    <row r="50" spans="1:15" x14ac:dyDescent="0.3">
      <c r="A50" s="125"/>
      <c r="B50" s="125"/>
      <c r="C50" s="125"/>
      <c r="D50" s="125"/>
      <c r="E50" s="125"/>
      <c r="F50" s="125"/>
      <c r="G50" s="125"/>
      <c r="H50" s="125"/>
      <c r="I50" s="125"/>
      <c r="J50" s="125"/>
      <c r="K50" s="125"/>
      <c r="L50" s="125"/>
      <c r="M50" s="125"/>
      <c r="N50" s="125"/>
      <c r="O50" s="125"/>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
  <sheetViews>
    <sheetView workbookViewId="0">
      <pane ySplit="2" topLeftCell="A3" activePane="bottomLeft" state="frozen"/>
      <selection pane="bottomLeft" activeCell="A23" sqref="A23:N23"/>
    </sheetView>
  </sheetViews>
  <sheetFormatPr defaultRowHeight="14.4" x14ac:dyDescent="0.3"/>
  <cols>
    <col min="1" max="2" width="8.88671875" style="125"/>
    <col min="3" max="3" width="18.5546875" bestFit="1" customWidth="1"/>
    <col min="4" max="4" width="9.33203125" bestFit="1" customWidth="1"/>
    <col min="5" max="5" width="77.109375" bestFit="1" customWidth="1"/>
    <col min="6" max="6" width="11.88671875" bestFit="1" customWidth="1"/>
    <col min="7" max="7" width="12.33203125" bestFit="1" customWidth="1"/>
    <col min="8" max="8" width="15.6640625" bestFit="1" customWidth="1"/>
    <col min="9" max="9" width="10" bestFit="1" customWidth="1"/>
    <col min="10" max="10" width="10.5546875" bestFit="1" customWidth="1"/>
    <col min="11" max="11" width="10.44140625" customWidth="1"/>
    <col min="12" max="12" width="6.109375" bestFit="1" customWidth="1"/>
    <col min="13" max="13" width="9.6640625" bestFit="1" customWidth="1"/>
  </cols>
  <sheetData>
    <row r="1" spans="1:13" ht="15" thickBot="1" x14ac:dyDescent="0.35">
      <c r="A1" s="125" t="s">
        <v>218</v>
      </c>
      <c r="B1" s="125" t="s">
        <v>220</v>
      </c>
      <c r="C1" s="10" t="s">
        <v>3</v>
      </c>
      <c r="D1" s="10" t="s">
        <v>0</v>
      </c>
      <c r="E1" s="10" t="s">
        <v>2</v>
      </c>
      <c r="F1" s="10" t="s">
        <v>43</v>
      </c>
      <c r="G1" s="10" t="s">
        <v>7</v>
      </c>
      <c r="H1" s="10" t="s">
        <v>44</v>
      </c>
      <c r="I1" s="10" t="s">
        <v>27</v>
      </c>
      <c r="J1" s="10" t="s">
        <v>28</v>
      </c>
      <c r="K1" s="11" t="s">
        <v>60</v>
      </c>
      <c r="L1" s="11" t="s">
        <v>212</v>
      </c>
      <c r="M1" s="172" t="s">
        <v>249</v>
      </c>
    </row>
    <row r="2" spans="1:13" ht="15" thickBot="1" x14ac:dyDescent="0.35">
      <c r="C2" s="12"/>
      <c r="D2" s="12"/>
      <c r="E2" s="12"/>
      <c r="F2" s="12"/>
      <c r="G2" s="12"/>
      <c r="H2" s="34">
        <f>SUM(H3:H27)</f>
        <v>106822.5</v>
      </c>
      <c r="I2" s="12"/>
      <c r="J2" s="12"/>
      <c r="K2" s="13"/>
      <c r="L2" s="13"/>
    </row>
    <row r="3" spans="1:13" ht="15" thickTop="1" x14ac:dyDescent="0.3">
      <c r="A3" s="125">
        <v>2</v>
      </c>
      <c r="B3" s="125" t="s">
        <v>18</v>
      </c>
      <c r="C3" s="2" t="s">
        <v>24</v>
      </c>
      <c r="D3" s="2" t="s">
        <v>4</v>
      </c>
      <c r="E3" s="2" t="s">
        <v>245</v>
      </c>
      <c r="F3" s="7">
        <v>1825</v>
      </c>
      <c r="G3" s="2">
        <v>4</v>
      </c>
      <c r="H3" s="7">
        <f>F3*G3</f>
        <v>7300</v>
      </c>
      <c r="I3" s="3">
        <v>43114</v>
      </c>
      <c r="J3" s="3">
        <v>43117</v>
      </c>
      <c r="K3" s="2" t="s">
        <v>61</v>
      </c>
    </row>
    <row r="4" spans="1:13" x14ac:dyDescent="0.3">
      <c r="A4" s="125">
        <v>3</v>
      </c>
      <c r="B4" s="125" t="s">
        <v>18</v>
      </c>
      <c r="C4" s="2" t="s">
        <v>26</v>
      </c>
      <c r="D4" s="2" t="s">
        <v>4</v>
      </c>
      <c r="E4" s="2" t="s">
        <v>245</v>
      </c>
      <c r="F4" s="7">
        <v>1825</v>
      </c>
      <c r="G4" s="2">
        <v>4</v>
      </c>
      <c r="H4" s="7">
        <f t="shared" ref="H4:H9" si="0">F4*G4</f>
        <v>7300</v>
      </c>
      <c r="I4" s="3">
        <v>43114</v>
      </c>
      <c r="J4" s="3">
        <v>43117</v>
      </c>
      <c r="K4" s="2" t="s">
        <v>61</v>
      </c>
    </row>
    <row r="5" spans="1:13" x14ac:dyDescent="0.3">
      <c r="A5" s="125">
        <v>4</v>
      </c>
      <c r="B5" s="125" t="s">
        <v>18</v>
      </c>
      <c r="C5" s="2" t="s">
        <v>144</v>
      </c>
      <c r="D5" s="2" t="s">
        <v>4</v>
      </c>
      <c r="E5" s="2" t="s">
        <v>245</v>
      </c>
      <c r="F5" s="7">
        <v>2336</v>
      </c>
      <c r="G5" s="2">
        <v>1</v>
      </c>
      <c r="H5" s="7">
        <f t="shared" si="0"/>
        <v>2336</v>
      </c>
      <c r="I5" s="3">
        <v>43118</v>
      </c>
      <c r="J5" s="3">
        <v>43125</v>
      </c>
      <c r="K5" s="2" t="s">
        <v>62</v>
      </c>
    </row>
    <row r="6" spans="1:13" x14ac:dyDescent="0.3">
      <c r="A6" s="125">
        <v>5</v>
      </c>
      <c r="B6" s="125" t="s">
        <v>18</v>
      </c>
      <c r="C6" s="79" t="s">
        <v>41</v>
      </c>
      <c r="D6" s="87" t="s">
        <v>40</v>
      </c>
      <c r="E6" s="87" t="s">
        <v>246</v>
      </c>
      <c r="F6" s="169">
        <v>2197</v>
      </c>
      <c r="G6" s="87">
        <v>2</v>
      </c>
      <c r="H6" s="169">
        <f t="shared" si="0"/>
        <v>4394</v>
      </c>
      <c r="I6" s="170">
        <v>43120</v>
      </c>
      <c r="J6" s="170">
        <v>43129</v>
      </c>
      <c r="K6" s="79" t="s">
        <v>62</v>
      </c>
    </row>
    <row r="7" spans="1:13" s="2" customFormat="1" x14ac:dyDescent="0.3">
      <c r="A7" s="2">
        <v>6</v>
      </c>
      <c r="B7" s="2" t="s">
        <v>18</v>
      </c>
      <c r="C7" s="2" t="s">
        <v>42</v>
      </c>
      <c r="D7" s="2" t="s">
        <v>58</v>
      </c>
      <c r="E7" s="2" t="s">
        <v>244</v>
      </c>
      <c r="F7" s="7">
        <v>2216</v>
      </c>
      <c r="G7" s="6">
        <v>3</v>
      </c>
      <c r="H7" s="7">
        <f t="shared" si="0"/>
        <v>6648</v>
      </c>
      <c r="I7" s="3">
        <v>43128</v>
      </c>
      <c r="J7" s="3">
        <v>43143</v>
      </c>
      <c r="K7" s="2" t="s">
        <v>62</v>
      </c>
    </row>
    <row r="8" spans="1:13" s="2" customFormat="1" x14ac:dyDescent="0.3">
      <c r="A8" s="2">
        <v>8</v>
      </c>
      <c r="B8" s="2" t="s">
        <v>18</v>
      </c>
      <c r="C8" s="2" t="s">
        <v>42</v>
      </c>
      <c r="D8" s="2" t="s">
        <v>58</v>
      </c>
      <c r="E8" s="2" t="s">
        <v>244</v>
      </c>
      <c r="F8" s="7">
        <v>2216</v>
      </c>
      <c r="G8" s="6">
        <v>3</v>
      </c>
      <c r="H8" s="7">
        <f t="shared" si="0"/>
        <v>6648</v>
      </c>
      <c r="I8" s="3">
        <v>43128</v>
      </c>
      <c r="J8" s="3">
        <v>43143</v>
      </c>
      <c r="K8" s="2" t="s">
        <v>62</v>
      </c>
    </row>
    <row r="9" spans="1:13" s="2" customFormat="1" x14ac:dyDescent="0.3">
      <c r="A9" s="2">
        <v>9</v>
      </c>
      <c r="B9" s="2" t="s">
        <v>18</v>
      </c>
      <c r="C9" s="2" t="s">
        <v>42</v>
      </c>
      <c r="D9" s="2" t="s">
        <v>4</v>
      </c>
      <c r="E9" s="2" t="s">
        <v>245</v>
      </c>
      <c r="F9" s="7">
        <v>2099</v>
      </c>
      <c r="G9" s="6">
        <v>10</v>
      </c>
      <c r="H9" s="7">
        <f t="shared" si="0"/>
        <v>20990</v>
      </c>
      <c r="I9" s="3">
        <v>43128</v>
      </c>
      <c r="J9" s="3">
        <v>43133</v>
      </c>
      <c r="K9" s="2" t="s">
        <v>61</v>
      </c>
    </row>
    <row r="10" spans="1:13" s="2" customFormat="1" x14ac:dyDescent="0.3">
      <c r="A10" s="2">
        <v>10</v>
      </c>
      <c r="B10" s="2" t="s">
        <v>18</v>
      </c>
      <c r="C10" s="2" t="s">
        <v>42</v>
      </c>
      <c r="D10" s="2" t="s">
        <v>59</v>
      </c>
      <c r="E10" s="2" t="s">
        <v>247</v>
      </c>
      <c r="F10" s="7">
        <v>2326</v>
      </c>
      <c r="G10" s="6">
        <v>4</v>
      </c>
      <c r="H10" s="7">
        <f t="shared" ref="H10:H18" si="1">F10*G10</f>
        <v>9304</v>
      </c>
      <c r="I10" s="3">
        <v>43129</v>
      </c>
      <c r="J10" s="3">
        <v>43144</v>
      </c>
      <c r="K10" s="2" t="s">
        <v>62</v>
      </c>
    </row>
    <row r="11" spans="1:13" s="2" customFormat="1" x14ac:dyDescent="0.3">
      <c r="A11" s="2">
        <v>11</v>
      </c>
      <c r="B11" s="2" t="s">
        <v>18</v>
      </c>
      <c r="C11" s="2" t="s">
        <v>42</v>
      </c>
      <c r="D11" s="2" t="s">
        <v>40</v>
      </c>
      <c r="E11" s="2" t="s">
        <v>247</v>
      </c>
      <c r="F11" s="7">
        <v>2180</v>
      </c>
      <c r="G11" s="6">
        <v>1</v>
      </c>
      <c r="H11" s="7">
        <f t="shared" si="1"/>
        <v>2180</v>
      </c>
      <c r="I11" s="3">
        <v>43129</v>
      </c>
      <c r="J11" s="3">
        <v>43139</v>
      </c>
      <c r="K11" s="2" t="s">
        <v>62</v>
      </c>
    </row>
    <row r="12" spans="1:13" s="2" customFormat="1" x14ac:dyDescent="0.3">
      <c r="A12" s="2">
        <v>12</v>
      </c>
      <c r="B12" s="2" t="s">
        <v>18</v>
      </c>
      <c r="C12" s="2" t="s">
        <v>42</v>
      </c>
      <c r="D12" s="2" t="s">
        <v>40</v>
      </c>
      <c r="E12" s="2" t="s">
        <v>247</v>
      </c>
      <c r="F12" s="7">
        <v>2270</v>
      </c>
      <c r="G12" s="6">
        <v>1</v>
      </c>
      <c r="H12" s="7">
        <f t="shared" si="1"/>
        <v>2270</v>
      </c>
      <c r="I12" s="3">
        <v>43129</v>
      </c>
      <c r="J12" s="3">
        <v>43139</v>
      </c>
      <c r="K12" s="2" t="s">
        <v>62</v>
      </c>
    </row>
    <row r="13" spans="1:13" s="2" customFormat="1" x14ac:dyDescent="0.3">
      <c r="A13" s="2">
        <v>13</v>
      </c>
      <c r="B13" s="2" t="s">
        <v>18</v>
      </c>
      <c r="C13" s="2" t="s">
        <v>80</v>
      </c>
      <c r="D13" s="2" t="s">
        <v>4</v>
      </c>
      <c r="E13" s="2" t="s">
        <v>245</v>
      </c>
      <c r="F13" s="7">
        <v>2299</v>
      </c>
      <c r="G13" s="6">
        <v>3</v>
      </c>
      <c r="H13" s="7">
        <f t="shared" si="1"/>
        <v>6897</v>
      </c>
      <c r="I13" s="3">
        <v>43142</v>
      </c>
      <c r="J13" s="3">
        <v>43144</v>
      </c>
      <c r="K13" s="2" t="s">
        <v>61</v>
      </c>
    </row>
    <row r="14" spans="1:13" s="2" customFormat="1" x14ac:dyDescent="0.3">
      <c r="A14" s="2">
        <v>14</v>
      </c>
      <c r="B14" s="2" t="s">
        <v>18</v>
      </c>
      <c r="C14" s="2" t="s">
        <v>25</v>
      </c>
      <c r="D14" s="2" t="s">
        <v>40</v>
      </c>
      <c r="E14" s="2" t="s">
        <v>241</v>
      </c>
      <c r="F14" s="7">
        <v>2265</v>
      </c>
      <c r="G14" s="6">
        <v>1</v>
      </c>
      <c r="H14" s="7">
        <f t="shared" si="1"/>
        <v>2265</v>
      </c>
      <c r="I14" s="3">
        <v>43136</v>
      </c>
      <c r="J14" s="3">
        <v>43143</v>
      </c>
      <c r="K14" s="2" t="s">
        <v>82</v>
      </c>
      <c r="L14" s="2">
        <v>1</v>
      </c>
    </row>
    <row r="15" spans="1:13" s="2" customFormat="1" x14ac:dyDescent="0.3">
      <c r="A15" s="2">
        <v>15</v>
      </c>
      <c r="B15" s="2" t="s">
        <v>18</v>
      </c>
      <c r="C15" s="2" t="s">
        <v>6</v>
      </c>
      <c r="D15" s="2" t="s">
        <v>4</v>
      </c>
      <c r="E15" s="2" t="s">
        <v>245</v>
      </c>
      <c r="F15" s="7">
        <v>2293</v>
      </c>
      <c r="G15" s="6">
        <v>2</v>
      </c>
      <c r="H15" s="7">
        <f t="shared" si="1"/>
        <v>4586</v>
      </c>
      <c r="I15" s="3">
        <v>43147</v>
      </c>
      <c r="J15" s="3">
        <v>43151</v>
      </c>
      <c r="K15" s="2" t="s">
        <v>62</v>
      </c>
    </row>
    <row r="16" spans="1:13" s="2" customFormat="1" x14ac:dyDescent="0.3">
      <c r="A16" s="2">
        <v>16</v>
      </c>
      <c r="B16" s="2" t="s">
        <v>18</v>
      </c>
      <c r="C16" s="6" t="s">
        <v>139</v>
      </c>
      <c r="D16" s="2" t="s">
        <v>40</v>
      </c>
      <c r="E16" s="2" t="s">
        <v>248</v>
      </c>
      <c r="F16" s="7">
        <v>2823</v>
      </c>
      <c r="G16" s="6">
        <v>2</v>
      </c>
      <c r="H16" s="7">
        <f t="shared" si="1"/>
        <v>5646</v>
      </c>
      <c r="I16" s="3">
        <v>43188</v>
      </c>
      <c r="J16" s="3">
        <v>43199</v>
      </c>
      <c r="K16" s="2" t="s">
        <v>62</v>
      </c>
    </row>
    <row r="17" spans="1:14" x14ac:dyDescent="0.3">
      <c r="A17" s="125">
        <v>17</v>
      </c>
      <c r="B17" s="125" t="s">
        <v>18</v>
      </c>
      <c r="C17" s="2" t="s">
        <v>136</v>
      </c>
      <c r="D17" s="2" t="s">
        <v>4</v>
      </c>
      <c r="E17" s="2" t="s">
        <v>248</v>
      </c>
      <c r="F17" s="7">
        <v>3020</v>
      </c>
      <c r="G17" s="6">
        <v>2</v>
      </c>
      <c r="H17" s="7">
        <f t="shared" si="1"/>
        <v>6040</v>
      </c>
      <c r="I17" s="3">
        <v>43193</v>
      </c>
      <c r="J17" s="3">
        <v>43200</v>
      </c>
      <c r="K17" s="2" t="s">
        <v>62</v>
      </c>
    </row>
    <row r="18" spans="1:14" x14ac:dyDescent="0.3">
      <c r="A18" s="125">
        <v>18</v>
      </c>
      <c r="B18" s="125" t="s">
        <v>18</v>
      </c>
      <c r="C18" s="2" t="s">
        <v>141</v>
      </c>
      <c r="D18" s="2" t="s">
        <v>40</v>
      </c>
      <c r="E18" s="2" t="s">
        <v>243</v>
      </c>
      <c r="F18" s="7">
        <v>3100</v>
      </c>
      <c r="G18" s="6">
        <v>3</v>
      </c>
      <c r="H18" s="7">
        <f t="shared" si="1"/>
        <v>9300</v>
      </c>
      <c r="I18" s="3">
        <v>43221</v>
      </c>
      <c r="J18" s="3">
        <v>43233</v>
      </c>
      <c r="K18" s="2" t="s">
        <v>62</v>
      </c>
    </row>
    <row r="19" spans="1:14" x14ac:dyDescent="0.3">
      <c r="A19" s="125">
        <v>19</v>
      </c>
      <c r="B19" s="125" t="s">
        <v>18</v>
      </c>
      <c r="C19" s="2" t="s">
        <v>141</v>
      </c>
      <c r="D19" s="2" t="s">
        <v>4</v>
      </c>
      <c r="E19" s="2" t="s">
        <v>242</v>
      </c>
      <c r="F19" s="7">
        <v>2458</v>
      </c>
      <c r="G19" s="6">
        <v>1</v>
      </c>
      <c r="H19" s="7">
        <v>2718.5</v>
      </c>
      <c r="I19" s="3">
        <v>43221</v>
      </c>
      <c r="J19" s="3">
        <v>43233</v>
      </c>
      <c r="K19" s="2" t="s">
        <v>62</v>
      </c>
    </row>
    <row r="20" spans="1:14" x14ac:dyDescent="0.3">
      <c r="H20" s="125"/>
    </row>
    <row r="22" spans="1:14" x14ac:dyDescent="0.3">
      <c r="A22" s="190" t="s">
        <v>219</v>
      </c>
      <c r="B22" s="190"/>
      <c r="C22" s="190"/>
      <c r="D22" s="190"/>
      <c r="E22" s="190"/>
      <c r="F22" s="190"/>
      <c r="G22" s="190"/>
      <c r="H22" s="190"/>
      <c r="I22" s="190"/>
      <c r="J22" s="190"/>
      <c r="K22" s="190"/>
      <c r="L22" s="190"/>
      <c r="M22" s="190"/>
      <c r="N22" s="190"/>
    </row>
    <row r="23" spans="1:14" x14ac:dyDescent="0.3">
      <c r="A23" s="191" t="s">
        <v>250</v>
      </c>
      <c r="B23" s="191"/>
      <c r="C23" s="191"/>
      <c r="D23" s="191"/>
      <c r="E23" s="191"/>
      <c r="F23" s="191"/>
      <c r="G23" s="191"/>
      <c r="H23" s="191"/>
      <c r="I23" s="191"/>
      <c r="J23" s="191"/>
      <c r="K23" s="191"/>
      <c r="L23" s="191"/>
      <c r="M23" s="191"/>
      <c r="N23" s="191"/>
    </row>
  </sheetData>
  <mergeCells count="2">
    <mergeCell ref="A22:N22"/>
    <mergeCell ref="A23:N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BB52A-975F-49F5-B5BD-D42E8C9B5DC5}">
  <dimension ref="A1:N12"/>
  <sheetViews>
    <sheetView workbookViewId="0">
      <pane ySplit="2" topLeftCell="A3" activePane="bottomLeft" state="frozen"/>
      <selection pane="bottomLeft" activeCell="H10" sqref="H10"/>
    </sheetView>
  </sheetViews>
  <sheetFormatPr defaultRowHeight="14.4" x14ac:dyDescent="0.3"/>
  <cols>
    <col min="1" max="2" width="8.88671875" style="125"/>
    <col min="3" max="3" width="18.88671875" bestFit="1" customWidth="1"/>
    <col min="5" max="5" width="38.88671875" bestFit="1" customWidth="1"/>
    <col min="6" max="6" width="11.88671875" bestFit="1" customWidth="1"/>
    <col min="8" max="8" width="15.6640625" bestFit="1" customWidth="1"/>
    <col min="9" max="9" width="10" bestFit="1" customWidth="1"/>
    <col min="10" max="10" width="11.88671875" bestFit="1" customWidth="1"/>
    <col min="11" max="11" width="9.6640625" customWidth="1"/>
    <col min="12" max="12" width="6.109375" bestFit="1" customWidth="1"/>
    <col min="13" max="13" width="50.77734375" bestFit="1" customWidth="1"/>
    <col min="14" max="14" width="9.6640625" bestFit="1" customWidth="1"/>
  </cols>
  <sheetData>
    <row r="1" spans="1:14" ht="15" thickBot="1" x14ac:dyDescent="0.35">
      <c r="A1" s="125" t="s">
        <v>218</v>
      </c>
      <c r="B1" s="125" t="s">
        <v>220</v>
      </c>
      <c r="C1" s="10" t="s">
        <v>3</v>
      </c>
      <c r="D1" s="10" t="s">
        <v>0</v>
      </c>
      <c r="E1" s="10" t="s">
        <v>2</v>
      </c>
      <c r="F1" s="10" t="s">
        <v>43</v>
      </c>
      <c r="G1" s="10" t="s">
        <v>7</v>
      </c>
      <c r="H1" s="10" t="s">
        <v>44</v>
      </c>
      <c r="I1" s="10" t="s">
        <v>27</v>
      </c>
      <c r="J1" s="10" t="s">
        <v>28</v>
      </c>
      <c r="K1" s="11" t="s">
        <v>60</v>
      </c>
      <c r="L1" s="171" t="s">
        <v>212</v>
      </c>
      <c r="M1" s="172" t="s">
        <v>215</v>
      </c>
      <c r="N1" s="172" t="s">
        <v>249</v>
      </c>
    </row>
    <row r="2" spans="1:14" ht="15" thickBot="1" x14ac:dyDescent="0.35">
      <c r="C2" s="12"/>
      <c r="D2" s="12"/>
      <c r="E2" s="12"/>
      <c r="F2" s="12"/>
      <c r="G2" s="12"/>
      <c r="H2" s="34">
        <f>SUM(H3:H19)</f>
        <v>12837</v>
      </c>
      <c r="I2" s="12"/>
      <c r="J2" s="12"/>
      <c r="K2" s="12"/>
      <c r="L2" s="13"/>
    </row>
    <row r="3" spans="1:14" ht="15" thickTop="1" x14ac:dyDescent="0.3">
      <c r="A3" s="125">
        <v>2</v>
      </c>
      <c r="B3" s="125" t="s">
        <v>19</v>
      </c>
      <c r="C3" s="2" t="s">
        <v>11</v>
      </c>
      <c r="D3" s="2" t="s">
        <v>5</v>
      </c>
      <c r="E3" s="2" t="s">
        <v>12</v>
      </c>
      <c r="F3" s="7">
        <v>1337</v>
      </c>
      <c r="G3" s="2">
        <v>1</v>
      </c>
      <c r="H3" s="7">
        <f>F3*G3</f>
        <v>1337</v>
      </c>
      <c r="I3" s="3">
        <v>43108</v>
      </c>
      <c r="J3" s="3">
        <v>43116</v>
      </c>
      <c r="K3" s="2" t="s">
        <v>62</v>
      </c>
      <c r="L3" s="2"/>
    </row>
    <row r="4" spans="1:14" x14ac:dyDescent="0.3">
      <c r="A4" s="125">
        <v>3</v>
      </c>
      <c r="B4" s="125" t="s">
        <v>19</v>
      </c>
      <c r="C4" s="2" t="s">
        <v>31</v>
      </c>
      <c r="D4" s="2" t="s">
        <v>5</v>
      </c>
      <c r="E4" s="2" t="s">
        <v>12</v>
      </c>
      <c r="F4" s="7">
        <v>1337</v>
      </c>
      <c r="G4" s="2">
        <v>1</v>
      </c>
      <c r="H4" s="7">
        <f>F4*G4</f>
        <v>1337</v>
      </c>
      <c r="I4" s="3">
        <v>43108</v>
      </c>
      <c r="J4" s="3">
        <v>43116</v>
      </c>
      <c r="K4" s="2" t="s">
        <v>62</v>
      </c>
      <c r="L4" s="2"/>
    </row>
    <row r="5" spans="1:14" x14ac:dyDescent="0.3">
      <c r="A5" s="125">
        <v>6</v>
      </c>
      <c r="B5" s="125" t="s">
        <v>19</v>
      </c>
      <c r="C5" s="2" t="s">
        <v>42</v>
      </c>
      <c r="D5" s="2" t="s">
        <v>5</v>
      </c>
      <c r="E5" s="2" t="s">
        <v>64</v>
      </c>
      <c r="F5" s="22">
        <v>2290</v>
      </c>
      <c r="G5" s="6">
        <v>1</v>
      </c>
      <c r="H5" s="7">
        <f t="shared" ref="H5:H6" si="0">F5*G5</f>
        <v>2290</v>
      </c>
      <c r="I5" s="3">
        <v>43128</v>
      </c>
      <c r="J5" s="3">
        <v>43161</v>
      </c>
      <c r="K5" s="2" t="s">
        <v>62</v>
      </c>
      <c r="L5" s="2"/>
    </row>
    <row r="6" spans="1:14" x14ac:dyDescent="0.3">
      <c r="A6" s="125">
        <v>7</v>
      </c>
      <c r="B6" s="125" t="s">
        <v>19</v>
      </c>
      <c r="C6" s="2" t="s">
        <v>42</v>
      </c>
      <c r="D6" s="2" t="s">
        <v>5</v>
      </c>
      <c r="E6" s="2" t="s">
        <v>64</v>
      </c>
      <c r="F6" s="22">
        <v>2652</v>
      </c>
      <c r="G6" s="6">
        <v>1</v>
      </c>
      <c r="H6" s="7">
        <f t="shared" si="0"/>
        <v>2652</v>
      </c>
      <c r="I6" s="3">
        <v>43128</v>
      </c>
      <c r="J6" s="3">
        <v>43141</v>
      </c>
      <c r="K6" s="2" t="s">
        <v>62</v>
      </c>
      <c r="L6" s="2"/>
    </row>
    <row r="7" spans="1:14" x14ac:dyDescent="0.3">
      <c r="A7" s="125">
        <v>8</v>
      </c>
      <c r="B7" s="125" t="s">
        <v>19</v>
      </c>
      <c r="C7" s="2" t="s">
        <v>42</v>
      </c>
      <c r="D7" s="2" t="s">
        <v>5</v>
      </c>
      <c r="E7" s="2" t="s">
        <v>65</v>
      </c>
      <c r="F7" s="7">
        <v>1049</v>
      </c>
      <c r="G7" s="2">
        <v>2</v>
      </c>
      <c r="H7" s="7">
        <f>F7*G7</f>
        <v>2098</v>
      </c>
      <c r="I7" s="3">
        <v>43128</v>
      </c>
      <c r="J7" s="3">
        <v>43133</v>
      </c>
      <c r="K7" s="2" t="s">
        <v>62</v>
      </c>
      <c r="L7" s="2"/>
      <c r="M7" t="s">
        <v>216</v>
      </c>
    </row>
    <row r="8" spans="1:14" x14ac:dyDescent="0.3">
      <c r="A8" s="125">
        <v>9</v>
      </c>
      <c r="B8" s="125" t="s">
        <v>19</v>
      </c>
      <c r="C8" s="79" t="s">
        <v>8</v>
      </c>
      <c r="D8" s="79" t="s">
        <v>5</v>
      </c>
      <c r="E8" s="79" t="s">
        <v>70</v>
      </c>
      <c r="F8" s="169">
        <v>1747</v>
      </c>
      <c r="G8" s="79">
        <v>1</v>
      </c>
      <c r="H8" s="169">
        <f>F8*G8</f>
        <v>1747</v>
      </c>
      <c r="I8" s="170">
        <v>43129</v>
      </c>
      <c r="J8" s="170">
        <v>43133</v>
      </c>
      <c r="K8" s="79" t="s">
        <v>71</v>
      </c>
      <c r="L8" s="2"/>
    </row>
    <row r="9" spans="1:14" x14ac:dyDescent="0.3">
      <c r="A9" s="125">
        <v>10</v>
      </c>
      <c r="B9" s="125" t="s">
        <v>19</v>
      </c>
      <c r="C9" s="79" t="s">
        <v>8</v>
      </c>
      <c r="D9" s="79" t="s">
        <v>5</v>
      </c>
      <c r="E9" s="79" t="s">
        <v>72</v>
      </c>
      <c r="F9" s="169">
        <v>1376</v>
      </c>
      <c r="G9" s="79">
        <v>1</v>
      </c>
      <c r="H9" s="169">
        <f>F9*G9</f>
        <v>1376</v>
      </c>
      <c r="I9" s="170">
        <v>43129</v>
      </c>
      <c r="J9" s="170">
        <v>43139</v>
      </c>
      <c r="K9" s="79" t="s">
        <v>62</v>
      </c>
      <c r="L9" s="2"/>
    </row>
    <row r="10" spans="1:14" x14ac:dyDescent="0.3">
      <c r="H10" s="125"/>
    </row>
    <row r="11" spans="1:14" x14ac:dyDescent="0.3">
      <c r="A11" s="190" t="s">
        <v>219</v>
      </c>
      <c r="B11" s="190"/>
      <c r="C11" s="190"/>
      <c r="D11" s="190"/>
      <c r="E11" s="190"/>
      <c r="F11" s="190"/>
      <c r="G11" s="190"/>
      <c r="H11" s="190"/>
      <c r="I11" s="190"/>
      <c r="J11" s="190"/>
      <c r="K11" s="190"/>
      <c r="L11" s="190"/>
      <c r="M11" s="190"/>
      <c r="N11" s="190"/>
    </row>
    <row r="12" spans="1:14" x14ac:dyDescent="0.3">
      <c r="A12" s="191" t="s">
        <v>250</v>
      </c>
      <c r="B12" s="191"/>
      <c r="C12" s="191"/>
      <c r="D12" s="191"/>
      <c r="E12" s="191"/>
      <c r="F12" s="191"/>
      <c r="G12" s="191"/>
      <c r="H12" s="191"/>
      <c r="I12" s="191"/>
      <c r="J12" s="191"/>
      <c r="K12" s="191"/>
      <c r="L12" s="191"/>
      <c r="M12" s="191"/>
      <c r="N12" s="191"/>
    </row>
  </sheetData>
  <mergeCells count="2">
    <mergeCell ref="A11:N11"/>
    <mergeCell ref="A12:N12"/>
  </mergeCells>
  <hyperlinks>
    <hyperlink ref="E3" r:id="rId1" display="https://www.amazon.de/gp/product/B00ZRL7WYY/ref=oh_aui_detailpage_o01_s00?ie=UTF8&amp;psc=1" xr:uid="{21FE4484-18AD-4387-9D77-D8BAF49764A2}"/>
    <hyperlink ref="E5" r:id="rId2" display="https://www.amazon.de/gp/product/B015Q7F5AQ/ref=oh_aui_detailpage_o05_s00?ie=UTF8&amp;psc=1" xr:uid="{C23375DE-0A2D-4E52-9C30-BFD19789CD08}"/>
    <hyperlink ref="E6" r:id="rId3" display="https://www.amazon.de/gp/product/B015Q7F5AQ/ref=oh_aui_detailpage_o05_s00?ie=UTF8&amp;psc=1" xr:uid="{4C8FB6A9-153E-45D7-8678-E518560D2CEF}"/>
    <hyperlink ref="E7" r:id="rId4" display="https://www.amazon.de/gp/product/B015Q7F4WA/ref=od_aui_detailpages00?ie=UTF8&amp;psc=1" xr:uid="{57A84696-FD36-4801-9B4D-B808860372C8}"/>
    <hyperlink ref="E8" r:id="rId5" display="https://www.amazon.it/gp/product/B015Q7F5AQ/ref=oh_aui_detailpage_o00_s00?ie=UTF8&amp;psc=1" xr:uid="{30A70C0A-9421-48C9-B031-38016630F0F1}"/>
    <hyperlink ref="E9" r:id="rId6" display="https://www.amazon.de/gp/product/B073BG6B8T/ref=od_aui_detailpages00?ie=UTF8&amp;psc=1" xr:uid="{8EEB11B8-2754-4A88-B93C-D47CCBF054E9}"/>
    <hyperlink ref="E4" r:id="rId7" display="https://www.amazon.de/gp/product/B00ZRL7WYY/ref=oh_aui_detailpage_o01_s00?ie=UTF8&amp;psc=1" xr:uid="{DE366106-61E8-43FD-BC8E-1F16231A114A}"/>
  </hyperlinks>
  <pageMargins left="0.7" right="0.7" top="0.75" bottom="0.75" header="0.3" footer="0.3"/>
  <pageSetup orientation="portrait"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81DA1-9398-4842-B23B-8B0658F186C8}">
  <dimension ref="A1:N9"/>
  <sheetViews>
    <sheetView workbookViewId="0">
      <pane ySplit="2" topLeftCell="A3" activePane="bottomLeft" state="frozen"/>
      <selection pane="bottomLeft" activeCell="H6" sqref="H6"/>
    </sheetView>
  </sheetViews>
  <sheetFormatPr defaultRowHeight="14.4" x14ac:dyDescent="0.3"/>
  <cols>
    <col min="1" max="2" width="8.88671875" style="125"/>
    <col min="3" max="3" width="14.5546875" bestFit="1" customWidth="1"/>
    <col min="5" max="5" width="16.6640625" bestFit="1" customWidth="1"/>
    <col min="6" max="6" width="11.88671875" bestFit="1" customWidth="1"/>
    <col min="7" max="7" width="4" bestFit="1" customWidth="1"/>
    <col min="8" max="8" width="15.6640625" bestFit="1" customWidth="1"/>
    <col min="9" max="9" width="10" bestFit="1" customWidth="1"/>
    <col min="10" max="10" width="10.5546875" bestFit="1" customWidth="1"/>
    <col min="11" max="11" width="10.109375" bestFit="1" customWidth="1"/>
    <col min="12" max="12" width="47.77734375" bestFit="1" customWidth="1"/>
    <col min="13" max="13" width="9.6640625" bestFit="1" customWidth="1"/>
  </cols>
  <sheetData>
    <row r="1" spans="1:14" ht="15" thickBot="1" x14ac:dyDescent="0.35">
      <c r="A1" s="125" t="s">
        <v>218</v>
      </c>
      <c r="B1" s="125" t="s">
        <v>220</v>
      </c>
      <c r="C1" s="10" t="s">
        <v>3</v>
      </c>
      <c r="D1" s="10" t="s">
        <v>0</v>
      </c>
      <c r="E1" s="10" t="s">
        <v>2</v>
      </c>
      <c r="F1" s="10" t="s">
        <v>43</v>
      </c>
      <c r="G1" s="10" t="s">
        <v>7</v>
      </c>
      <c r="H1" s="10" t="s">
        <v>44</v>
      </c>
      <c r="I1" s="10" t="s">
        <v>27</v>
      </c>
      <c r="J1" s="10" t="s">
        <v>28</v>
      </c>
      <c r="K1" s="11" t="s">
        <v>60</v>
      </c>
      <c r="L1" s="11" t="s">
        <v>212</v>
      </c>
      <c r="M1" s="172" t="s">
        <v>249</v>
      </c>
    </row>
    <row r="2" spans="1:14" ht="15" thickBot="1" x14ac:dyDescent="0.35">
      <c r="C2" s="12"/>
      <c r="D2" s="12"/>
      <c r="E2" s="12"/>
      <c r="F2" s="12"/>
      <c r="G2" s="12"/>
      <c r="H2" s="34">
        <f>SUM(H3:H22)</f>
        <v>11612.23</v>
      </c>
      <c r="I2" s="12"/>
      <c r="J2" s="12"/>
      <c r="K2" s="13"/>
      <c r="L2" s="13"/>
    </row>
    <row r="3" spans="1:14" ht="15" thickTop="1" x14ac:dyDescent="0.3">
      <c r="A3" s="125">
        <v>1</v>
      </c>
      <c r="B3" s="125" t="s">
        <v>20</v>
      </c>
      <c r="C3" s="2" t="s">
        <v>31</v>
      </c>
      <c r="D3" s="2" t="s">
        <v>4</v>
      </c>
      <c r="E3" s="2" t="s">
        <v>10</v>
      </c>
      <c r="F3" s="7">
        <v>3492.45</v>
      </c>
      <c r="G3" s="2">
        <v>1</v>
      </c>
      <c r="H3" s="7">
        <f t="shared" ref="H3:H4" si="0">F3*G3</f>
        <v>3492.45</v>
      </c>
      <c r="I3" s="3">
        <v>43109</v>
      </c>
      <c r="J3" s="3">
        <v>43116</v>
      </c>
      <c r="K3" s="2" t="s">
        <v>63</v>
      </c>
    </row>
    <row r="4" spans="1:14" x14ac:dyDescent="0.3">
      <c r="A4" s="125">
        <v>2</v>
      </c>
      <c r="B4" s="125" t="s">
        <v>20</v>
      </c>
      <c r="C4" s="2" t="s">
        <v>144</v>
      </c>
      <c r="D4" s="2" t="s">
        <v>4</v>
      </c>
      <c r="E4" s="2" t="s">
        <v>10</v>
      </c>
      <c r="F4" s="7">
        <v>3175.78</v>
      </c>
      <c r="G4" s="2">
        <v>1</v>
      </c>
      <c r="H4" s="7">
        <f t="shared" si="0"/>
        <v>3175.78</v>
      </c>
      <c r="I4" s="3">
        <v>43118</v>
      </c>
      <c r="J4" s="3">
        <v>43125</v>
      </c>
      <c r="K4" s="2" t="s">
        <v>62</v>
      </c>
    </row>
    <row r="5" spans="1:14" x14ac:dyDescent="0.3">
      <c r="A5" s="125">
        <v>3</v>
      </c>
      <c r="B5" s="125" t="s">
        <v>20</v>
      </c>
      <c r="C5" s="2" t="s">
        <v>42</v>
      </c>
      <c r="D5" s="2" t="s">
        <v>4</v>
      </c>
      <c r="E5" s="2" t="s">
        <v>45</v>
      </c>
      <c r="F5" s="7">
        <v>2472</v>
      </c>
      <c r="G5" s="2">
        <v>2</v>
      </c>
      <c r="H5" s="7">
        <f>F5*G5</f>
        <v>4944</v>
      </c>
      <c r="I5" s="3">
        <v>43128</v>
      </c>
      <c r="J5" s="3">
        <v>43136</v>
      </c>
      <c r="K5" s="2" t="s">
        <v>62</v>
      </c>
      <c r="L5" t="s">
        <v>206</v>
      </c>
    </row>
    <row r="6" spans="1:14" x14ac:dyDescent="0.3">
      <c r="F6" s="8"/>
      <c r="H6" s="125"/>
    </row>
    <row r="8" spans="1:14" x14ac:dyDescent="0.3">
      <c r="A8" s="190" t="s">
        <v>219</v>
      </c>
      <c r="B8" s="190"/>
      <c r="C8" s="190"/>
      <c r="D8" s="190"/>
      <c r="E8" s="190"/>
      <c r="F8" s="190"/>
      <c r="G8" s="190"/>
      <c r="H8" s="190"/>
      <c r="I8" s="190"/>
      <c r="J8" s="190"/>
      <c r="K8" s="190"/>
      <c r="L8" s="190"/>
      <c r="M8" s="190"/>
      <c r="N8" s="190"/>
    </row>
    <row r="9" spans="1:14" x14ac:dyDescent="0.3">
      <c r="A9" s="191" t="s">
        <v>250</v>
      </c>
      <c r="B9" s="191"/>
      <c r="C9" s="191"/>
      <c r="D9" s="191"/>
      <c r="E9" s="191"/>
      <c r="F9" s="191"/>
      <c r="G9" s="191"/>
      <c r="H9" s="191"/>
      <c r="I9" s="191"/>
      <c r="J9" s="191"/>
      <c r="K9" s="191"/>
      <c r="L9" s="191"/>
      <c r="M9" s="191"/>
      <c r="N9" s="191"/>
    </row>
  </sheetData>
  <mergeCells count="2">
    <mergeCell ref="A8:N8"/>
    <mergeCell ref="A9:N9"/>
  </mergeCells>
  <hyperlinks>
    <hyperlink ref="E5" r:id="rId1" display="https://www.amazon.de/gp/product/B075D7R8DL/ref=od_aui_detailpages00?ie=UTF8&amp;psc=1" xr:uid="{FCB68894-3365-4781-B5DE-13CC130C861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member info</vt:lpstr>
      <vt:lpstr>sent_BTC</vt:lpstr>
      <vt:lpstr>P | person</vt:lpstr>
      <vt:lpstr>C | person</vt:lpstr>
      <vt:lpstr>Profitability</vt:lpstr>
      <vt:lpstr>TOTALS (ownership)</vt:lpstr>
      <vt:lpstr>GPU</vt:lpstr>
      <vt:lpstr>PSU</vt:lpstr>
      <vt:lpstr>MB</vt:lpstr>
      <vt:lpstr>CPU</vt:lpstr>
      <vt:lpstr>RAM</vt:lpstr>
      <vt:lpstr>SSD</vt:lpstr>
      <vt:lpstr>MISC</vt:lpstr>
      <vt:lpstr>PROJECT</vt:lpstr>
      <vt:lpstr>LOGISTIC</vt:lpstr>
      <vt:lpstr>ELECTRICITY_HiveOS</vt:lpstr>
      <vt:lpstr>P|C|BTC totals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2018-12-07T21:34:26Z</dcterms:modified>
</cp:coreProperties>
</file>