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sarm\OneDrive\Escritorio\APUNTES\BIBLIOSPORT\"/>
    </mc:Choice>
  </mc:AlternateContent>
  <xr:revisionPtr revIDLastSave="0" documentId="13_ncr:1_{6DE6DA7E-C172-4988-9C1B-FD03C935C088}" xr6:coauthVersionLast="47" xr6:coauthVersionMax="47" xr10:uidLastSave="{00000000-0000-0000-0000-000000000000}"/>
  <bookViews>
    <workbookView xWindow="-108" yWindow="-108" windowWidth="23256" windowHeight="12456" activeTab="1" xr2:uid="{15CA4220-3E20-48F5-B6D0-CF77CB33BCCA}"/>
  </bookViews>
  <sheets>
    <sheet name="Hoja1" sheetId="3" r:id="rId1"/>
    <sheet name="WELLNESS DIARIO" sheetId="2" r:id="rId2"/>
    <sheet name="WELLNESS CRÓNICO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6" i="1" l="1"/>
  <c r="AU39" i="2"/>
  <c r="AT39" i="2"/>
  <c r="AS39" i="2"/>
  <c r="AR39" i="2"/>
  <c r="AQ39" i="2"/>
  <c r="AP39" i="2"/>
  <c r="AO39" i="2"/>
  <c r="AN39" i="2"/>
  <c r="AM39" i="2"/>
  <c r="AL39" i="2"/>
  <c r="AK39" i="2"/>
  <c r="AJ39" i="2"/>
  <c r="AI39" i="2"/>
  <c r="AH39" i="2"/>
  <c r="AG39" i="2"/>
  <c r="AF39" i="2"/>
  <c r="AE39" i="2"/>
  <c r="AD39" i="2"/>
  <c r="AC39" i="2"/>
  <c r="AB39" i="2"/>
  <c r="AA39" i="2"/>
  <c r="Z39" i="2"/>
  <c r="Y39" i="2"/>
  <c r="X39" i="2"/>
  <c r="W39" i="2"/>
  <c r="V39" i="2"/>
  <c r="U39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F39" i="2"/>
  <c r="AU38" i="2"/>
  <c r="AT38" i="2"/>
  <c r="AS38" i="2"/>
  <c r="AR38" i="2"/>
  <c r="AQ38" i="2"/>
  <c r="AP38" i="2"/>
  <c r="AO38" i="2"/>
  <c r="AN38" i="2"/>
  <c r="AM38" i="2"/>
  <c r="AL38" i="2"/>
  <c r="AK38" i="2"/>
  <c r="AJ38" i="2"/>
  <c r="AI38" i="2"/>
  <c r="AH38" i="2"/>
  <c r="AG38" i="2"/>
  <c r="AF38" i="2"/>
  <c r="AE38" i="2"/>
  <c r="AD38" i="2"/>
  <c r="AC38" i="2"/>
  <c r="AB38" i="2"/>
  <c r="AA38" i="2"/>
  <c r="Z38" i="2"/>
  <c r="Y38" i="2"/>
  <c r="X38" i="2"/>
  <c r="W38" i="2"/>
  <c r="V38" i="2"/>
  <c r="U38" i="2"/>
  <c r="T38" i="2"/>
  <c r="S38" i="2"/>
  <c r="R38" i="2"/>
  <c r="Q38" i="2"/>
  <c r="P38" i="2"/>
  <c r="O38" i="2"/>
  <c r="N38" i="2"/>
  <c r="N37" i="2"/>
  <c r="M38" i="2"/>
  <c r="L38" i="2"/>
  <c r="K38" i="2"/>
  <c r="J38" i="2"/>
  <c r="I38" i="2"/>
  <c r="H38" i="2"/>
  <c r="G38" i="2"/>
  <c r="F38" i="2"/>
  <c r="AU37" i="2"/>
  <c r="AT37" i="2"/>
  <c r="AS37" i="2"/>
  <c r="AR37" i="2"/>
  <c r="AQ37" i="2"/>
  <c r="AP37" i="2"/>
  <c r="AO37" i="2"/>
  <c r="AN37" i="2"/>
  <c r="AM37" i="2"/>
  <c r="AL37" i="2"/>
  <c r="AK37" i="2"/>
  <c r="AJ37" i="2"/>
  <c r="AI37" i="2"/>
  <c r="AH37" i="2"/>
  <c r="AG37" i="2"/>
  <c r="AF37" i="2"/>
  <c r="AE37" i="2"/>
  <c r="AD37" i="2"/>
  <c r="AC37" i="2"/>
  <c r="AB37" i="2"/>
  <c r="AA37" i="2"/>
  <c r="Z37" i="2"/>
  <c r="Y37" i="2"/>
  <c r="X37" i="2"/>
  <c r="W37" i="2"/>
  <c r="V37" i="2"/>
  <c r="U37" i="2"/>
  <c r="T37" i="2"/>
  <c r="S37" i="2"/>
  <c r="R37" i="2"/>
  <c r="Q37" i="2"/>
  <c r="P37" i="2"/>
  <c r="O37" i="2"/>
  <c r="M37" i="2"/>
  <c r="L37" i="2"/>
  <c r="K37" i="2"/>
  <c r="J37" i="2"/>
  <c r="I37" i="2"/>
  <c r="H37" i="2"/>
  <c r="G37" i="2"/>
  <c r="F37" i="2"/>
  <c r="AU36" i="2"/>
  <c r="AT36" i="2"/>
  <c r="AS36" i="2"/>
  <c r="AR36" i="2"/>
  <c r="AQ36" i="2"/>
  <c r="AP36" i="2"/>
  <c r="AO36" i="2"/>
  <c r="AN36" i="2"/>
  <c r="AM36" i="2"/>
  <c r="AL36" i="2"/>
  <c r="AK36" i="2"/>
  <c r="AJ36" i="2"/>
  <c r="AI36" i="2"/>
  <c r="AH36" i="2"/>
  <c r="AG36" i="2"/>
  <c r="AF36" i="2"/>
  <c r="AE36" i="2"/>
  <c r="AD36" i="2"/>
  <c r="AC36" i="2"/>
  <c r="AB36" i="2"/>
  <c r="AA36" i="2"/>
  <c r="Z36" i="2"/>
  <c r="Y36" i="2"/>
  <c r="X36" i="2"/>
  <c r="W36" i="2"/>
  <c r="V36" i="2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AU35" i="2"/>
  <c r="AT35" i="2"/>
  <c r="AS35" i="2"/>
  <c r="AR35" i="2"/>
  <c r="AQ35" i="2"/>
  <c r="AP35" i="2"/>
  <c r="AO35" i="2"/>
  <c r="AN35" i="2"/>
  <c r="AM35" i="2"/>
  <c r="AL35" i="2"/>
  <c r="AK35" i="2"/>
  <c r="AJ35" i="2"/>
  <c r="AI35" i="2"/>
  <c r="AH35" i="2"/>
  <c r="AG35" i="2"/>
  <c r="AF35" i="2"/>
  <c r="AE35" i="2"/>
  <c r="AD35" i="2"/>
  <c r="AC35" i="2"/>
  <c r="AB35" i="2"/>
  <c r="AA35" i="2"/>
  <c r="Z35" i="2"/>
  <c r="Y35" i="2"/>
  <c r="X35" i="2"/>
  <c r="W35" i="2"/>
  <c r="V35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CG7" i="1"/>
  <c r="CG8" i="1"/>
  <c r="CG9" i="1"/>
  <c r="CG10" i="1"/>
  <c r="CG11" i="1"/>
  <c r="CG12" i="1"/>
  <c r="CG13" i="1"/>
  <c r="CG14" i="1"/>
  <c r="CG15" i="1"/>
  <c r="CG16" i="1"/>
  <c r="CG17" i="1"/>
  <c r="CG18" i="1"/>
  <c r="CG19" i="1"/>
  <c r="CG20" i="1"/>
  <c r="CG21" i="1"/>
  <c r="CG22" i="1"/>
  <c r="CG23" i="1"/>
  <c r="CG24" i="1"/>
  <c r="CG25" i="1"/>
  <c r="CG26" i="1"/>
  <c r="CG27" i="1"/>
  <c r="CG28" i="1"/>
  <c r="CG6" i="1"/>
  <c r="CF7" i="1"/>
  <c r="CF8" i="1"/>
  <c r="CF9" i="1"/>
  <c r="CF10" i="1"/>
  <c r="CF11" i="1"/>
  <c r="CF12" i="1"/>
  <c r="CF13" i="1"/>
  <c r="CF14" i="1"/>
  <c r="CF15" i="1"/>
  <c r="CF16" i="1"/>
  <c r="CF17" i="1"/>
  <c r="CF18" i="1"/>
  <c r="CF19" i="1"/>
  <c r="CF20" i="1"/>
  <c r="CF21" i="1"/>
  <c r="CF22" i="1"/>
  <c r="CF23" i="1"/>
  <c r="CF24" i="1"/>
  <c r="CF25" i="1"/>
  <c r="CF26" i="1"/>
  <c r="CF27" i="1"/>
  <c r="CF28" i="1"/>
  <c r="CF6" i="1"/>
  <c r="CE7" i="1"/>
  <c r="CE8" i="1"/>
  <c r="CE9" i="1"/>
  <c r="CE10" i="1"/>
  <c r="CE11" i="1"/>
  <c r="CE12" i="1"/>
  <c r="CE13" i="1"/>
  <c r="CE14" i="1"/>
  <c r="CE15" i="1"/>
  <c r="CE16" i="1"/>
  <c r="CE17" i="1"/>
  <c r="CE18" i="1"/>
  <c r="CE19" i="1"/>
  <c r="CE20" i="1"/>
  <c r="CE21" i="1"/>
  <c r="CE22" i="1"/>
  <c r="CE23" i="1"/>
  <c r="CE24" i="1"/>
  <c r="CE25" i="1"/>
  <c r="CE26" i="1"/>
  <c r="CE27" i="1"/>
  <c r="CE28" i="1"/>
  <c r="CE6" i="1"/>
  <c r="BZ7" i="1"/>
  <c r="BZ8" i="1"/>
  <c r="BZ9" i="1"/>
  <c r="BZ10" i="1"/>
  <c r="BZ11" i="1"/>
  <c r="BZ12" i="1"/>
  <c r="BZ13" i="1"/>
  <c r="BZ14" i="1"/>
  <c r="BZ15" i="1"/>
  <c r="BZ16" i="1"/>
  <c r="BZ17" i="1"/>
  <c r="BZ18" i="1"/>
  <c r="BZ19" i="1"/>
  <c r="BZ20" i="1"/>
  <c r="BZ21" i="1"/>
  <c r="BZ22" i="1"/>
  <c r="BZ23" i="1"/>
  <c r="BZ24" i="1"/>
  <c r="BZ25" i="1"/>
  <c r="BZ26" i="1"/>
  <c r="BZ27" i="1"/>
  <c r="BZ28" i="1"/>
  <c r="BZ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6" i="1"/>
  <c r="BX7" i="1"/>
  <c r="BX8" i="1"/>
  <c r="BX9" i="1"/>
  <c r="BX10" i="1"/>
  <c r="BX11" i="1"/>
  <c r="BX12" i="1"/>
  <c r="BX13" i="1"/>
  <c r="BX14" i="1"/>
  <c r="BX15" i="1"/>
  <c r="BX16" i="1"/>
  <c r="BX17" i="1"/>
  <c r="BX18" i="1"/>
  <c r="BX19" i="1"/>
  <c r="BX20" i="1"/>
  <c r="BX21" i="1"/>
  <c r="BX22" i="1"/>
  <c r="BX23" i="1"/>
  <c r="BX24" i="1"/>
  <c r="BX25" i="1"/>
  <c r="BX26" i="1"/>
  <c r="BX27" i="1"/>
  <c r="BX28" i="1"/>
  <c r="BX6" i="1"/>
  <c r="HC27" i="2"/>
  <c r="HC26" i="2"/>
  <c r="HC25" i="2"/>
  <c r="HC24" i="2"/>
  <c r="HC23" i="2"/>
  <c r="HC22" i="2"/>
  <c r="HC21" i="2"/>
  <c r="HC20" i="2"/>
  <c r="HC19" i="2"/>
  <c r="HC18" i="2"/>
  <c r="HC17" i="2"/>
  <c r="HC16" i="2"/>
  <c r="HC15" i="2"/>
  <c r="HC14" i="2"/>
  <c r="HC13" i="2"/>
  <c r="HC12" i="2"/>
  <c r="HC11" i="2"/>
  <c r="HC10" i="2"/>
  <c r="HC9" i="2"/>
  <c r="HC8" i="2"/>
  <c r="HC7" i="2"/>
  <c r="HC6" i="2"/>
  <c r="HC5" i="2"/>
  <c r="GX27" i="2"/>
  <c r="GX26" i="2"/>
  <c r="GX25" i="2"/>
  <c r="GX24" i="2"/>
  <c r="GX23" i="2"/>
  <c r="GX22" i="2"/>
  <c r="GX21" i="2"/>
  <c r="GX20" i="2"/>
  <c r="GX19" i="2"/>
  <c r="GX18" i="2"/>
  <c r="GX17" i="2"/>
  <c r="GX16" i="2"/>
  <c r="GX15" i="2"/>
  <c r="GX14" i="2"/>
  <c r="GX13" i="2"/>
  <c r="GX12" i="2"/>
  <c r="GX11" i="2"/>
  <c r="GX10" i="2"/>
  <c r="GX9" i="2"/>
  <c r="GX8" i="2"/>
  <c r="GX7" i="2"/>
  <c r="GX6" i="2"/>
  <c r="GX5" i="2"/>
  <c r="GS27" i="2"/>
  <c r="GS26" i="2"/>
  <c r="GS25" i="2"/>
  <c r="GS24" i="2"/>
  <c r="GS23" i="2"/>
  <c r="GS22" i="2"/>
  <c r="GS21" i="2"/>
  <c r="GS20" i="2"/>
  <c r="GS19" i="2"/>
  <c r="GS18" i="2"/>
  <c r="GS17" i="2"/>
  <c r="GS16" i="2"/>
  <c r="GS15" i="2"/>
  <c r="GS14" i="2"/>
  <c r="GS13" i="2"/>
  <c r="GS12" i="2"/>
  <c r="GS11" i="2"/>
  <c r="GS10" i="2"/>
  <c r="GS9" i="2"/>
  <c r="GS8" i="2"/>
  <c r="GS7" i="2"/>
  <c r="GS6" i="2"/>
  <c r="GS5" i="2"/>
  <c r="GN27" i="2"/>
  <c r="GN26" i="2"/>
  <c r="GN25" i="2"/>
  <c r="GN24" i="2"/>
  <c r="GN23" i="2"/>
  <c r="GN22" i="2"/>
  <c r="GN21" i="2"/>
  <c r="GN20" i="2"/>
  <c r="GN19" i="2"/>
  <c r="GN18" i="2"/>
  <c r="GN17" i="2"/>
  <c r="GN16" i="2"/>
  <c r="GN15" i="2"/>
  <c r="GN14" i="2"/>
  <c r="GN13" i="2"/>
  <c r="GN12" i="2"/>
  <c r="GN11" i="2"/>
  <c r="GN10" i="2"/>
  <c r="GN9" i="2"/>
  <c r="GN8" i="2"/>
  <c r="GN7" i="2"/>
  <c r="GN6" i="2"/>
  <c r="GN5" i="2"/>
  <c r="GN28" i="2" s="1"/>
  <c r="GI27" i="2"/>
  <c r="GI26" i="2"/>
  <c r="GI25" i="2"/>
  <c r="GI24" i="2"/>
  <c r="GI23" i="2"/>
  <c r="GI22" i="2"/>
  <c r="GI21" i="2"/>
  <c r="GI20" i="2"/>
  <c r="GI19" i="2"/>
  <c r="GI18" i="2"/>
  <c r="GI17" i="2"/>
  <c r="GI16" i="2"/>
  <c r="GI15" i="2"/>
  <c r="GI14" i="2"/>
  <c r="GI13" i="2"/>
  <c r="GI12" i="2"/>
  <c r="GI11" i="2"/>
  <c r="GI10" i="2"/>
  <c r="GI9" i="2"/>
  <c r="GI8" i="2"/>
  <c r="GI7" i="2"/>
  <c r="GI6" i="2"/>
  <c r="GI5" i="2"/>
  <c r="GD27" i="2"/>
  <c r="GD26" i="2"/>
  <c r="GD25" i="2"/>
  <c r="GD24" i="2"/>
  <c r="GD23" i="2"/>
  <c r="GD22" i="2"/>
  <c r="GD21" i="2"/>
  <c r="GD20" i="2"/>
  <c r="GD19" i="2"/>
  <c r="GD18" i="2"/>
  <c r="GD17" i="2"/>
  <c r="GD16" i="2"/>
  <c r="GD15" i="2"/>
  <c r="GD14" i="2"/>
  <c r="GD13" i="2"/>
  <c r="GD12" i="2"/>
  <c r="GD11" i="2"/>
  <c r="GD10" i="2"/>
  <c r="GD9" i="2"/>
  <c r="GD8" i="2"/>
  <c r="GD28" i="2" s="1"/>
  <c r="GD7" i="2"/>
  <c r="GD6" i="2"/>
  <c r="GD5" i="2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6" i="1"/>
  <c r="BR7" i="1"/>
  <c r="BR8" i="1"/>
  <c r="BR9" i="1"/>
  <c r="BR10" i="1"/>
  <c r="BR11" i="1"/>
  <c r="BR12" i="1"/>
  <c r="BR13" i="1"/>
  <c r="BR14" i="1"/>
  <c r="BR15" i="1"/>
  <c r="BR16" i="1"/>
  <c r="BR17" i="1"/>
  <c r="BR18" i="1"/>
  <c r="BR19" i="1"/>
  <c r="BR20" i="1"/>
  <c r="BR21" i="1"/>
  <c r="BR22" i="1"/>
  <c r="BR23" i="1"/>
  <c r="BR24" i="1"/>
  <c r="BR25" i="1"/>
  <c r="BR26" i="1"/>
  <c r="BR27" i="1"/>
  <c r="BR28" i="1"/>
  <c r="BR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6" i="1"/>
  <c r="BL7" i="1"/>
  <c r="BL8" i="1"/>
  <c r="BL9" i="1"/>
  <c r="BL10" i="1"/>
  <c r="BL11" i="1"/>
  <c r="BL12" i="1"/>
  <c r="BL13" i="1"/>
  <c r="BL14" i="1"/>
  <c r="BL15" i="1"/>
  <c r="BL16" i="1"/>
  <c r="BL17" i="1"/>
  <c r="BL18" i="1"/>
  <c r="BL19" i="1"/>
  <c r="BL20" i="1"/>
  <c r="BL21" i="1"/>
  <c r="BL22" i="1"/>
  <c r="BL23" i="1"/>
  <c r="BL24" i="1"/>
  <c r="BL25" i="1"/>
  <c r="BL26" i="1"/>
  <c r="BL27" i="1"/>
  <c r="BL28" i="1"/>
  <c r="BL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6" i="1"/>
  <c r="BJ7" i="1"/>
  <c r="BJ8" i="1"/>
  <c r="BJ9" i="1"/>
  <c r="BJ10" i="1"/>
  <c r="BJ11" i="1"/>
  <c r="BJ12" i="1"/>
  <c r="BJ13" i="1"/>
  <c r="BJ14" i="1"/>
  <c r="BJ15" i="1"/>
  <c r="BJ16" i="1"/>
  <c r="BJ17" i="1"/>
  <c r="BJ18" i="1"/>
  <c r="BJ19" i="1"/>
  <c r="BJ20" i="1"/>
  <c r="BJ21" i="1"/>
  <c r="BJ22" i="1"/>
  <c r="BJ23" i="1"/>
  <c r="BJ24" i="1"/>
  <c r="BJ25" i="1"/>
  <c r="BJ26" i="1"/>
  <c r="BJ27" i="1"/>
  <c r="BJ28" i="1"/>
  <c r="BJ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6" i="1"/>
  <c r="BC7" i="1"/>
  <c r="BC8" i="1"/>
  <c r="BC9" i="1"/>
  <c r="BC10" i="1"/>
  <c r="BC11" i="1"/>
  <c r="BC12" i="1"/>
  <c r="BC13" i="1"/>
  <c r="BC14" i="1"/>
  <c r="BC15" i="1"/>
  <c r="BC16" i="1"/>
  <c r="BC17" i="1"/>
  <c r="BC18" i="1"/>
  <c r="BC19" i="1"/>
  <c r="BC20" i="1"/>
  <c r="BC21" i="1"/>
  <c r="BC22" i="1"/>
  <c r="BC23" i="1"/>
  <c r="BC24" i="1"/>
  <c r="BC25" i="1"/>
  <c r="BC26" i="1"/>
  <c r="BC27" i="1"/>
  <c r="BC28" i="1"/>
  <c r="BC6" i="1"/>
  <c r="AX7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X20" i="1"/>
  <c r="AX21" i="1"/>
  <c r="AX22" i="1"/>
  <c r="AX23" i="1"/>
  <c r="AX24" i="1"/>
  <c r="AX25" i="1"/>
  <c r="AX26" i="1"/>
  <c r="AX27" i="1"/>
  <c r="AX28" i="1"/>
  <c r="AX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6" i="1"/>
  <c r="FY27" i="2"/>
  <c r="FY26" i="2"/>
  <c r="FY25" i="2"/>
  <c r="FY24" i="2"/>
  <c r="FY23" i="2"/>
  <c r="FY22" i="2"/>
  <c r="FY21" i="2"/>
  <c r="FY20" i="2"/>
  <c r="FY19" i="2"/>
  <c r="FY18" i="2"/>
  <c r="FY17" i="2"/>
  <c r="FY16" i="2"/>
  <c r="FY15" i="2"/>
  <c r="FY14" i="2"/>
  <c r="FY13" i="2"/>
  <c r="FY12" i="2"/>
  <c r="FY11" i="2"/>
  <c r="FY10" i="2"/>
  <c r="FY9" i="2"/>
  <c r="FY8" i="2"/>
  <c r="FY7" i="2"/>
  <c r="FY6" i="2"/>
  <c r="FY5" i="2"/>
  <c r="FT27" i="2"/>
  <c r="FT26" i="2"/>
  <c r="FT25" i="2"/>
  <c r="FT24" i="2"/>
  <c r="FT23" i="2"/>
  <c r="FT22" i="2"/>
  <c r="FT21" i="2"/>
  <c r="FT20" i="2"/>
  <c r="FT19" i="2"/>
  <c r="FT18" i="2"/>
  <c r="FT17" i="2"/>
  <c r="FT16" i="2"/>
  <c r="FT15" i="2"/>
  <c r="FT14" i="2"/>
  <c r="FT13" i="2"/>
  <c r="FT12" i="2"/>
  <c r="FT11" i="2"/>
  <c r="FT10" i="2"/>
  <c r="FT9" i="2"/>
  <c r="FT8" i="2"/>
  <c r="FT7" i="2"/>
  <c r="FT6" i="2"/>
  <c r="FT5" i="2"/>
  <c r="FT28" i="2" s="1"/>
  <c r="FO27" i="2"/>
  <c r="FO26" i="2"/>
  <c r="FO25" i="2"/>
  <c r="FO24" i="2"/>
  <c r="FO23" i="2"/>
  <c r="FO22" i="2"/>
  <c r="FO21" i="2"/>
  <c r="FO20" i="2"/>
  <c r="FO19" i="2"/>
  <c r="FO18" i="2"/>
  <c r="FO17" i="2"/>
  <c r="FO16" i="2"/>
  <c r="FO15" i="2"/>
  <c r="FO14" i="2"/>
  <c r="FO13" i="2"/>
  <c r="FO12" i="2"/>
  <c r="FO11" i="2"/>
  <c r="FO10" i="2"/>
  <c r="FO9" i="2"/>
  <c r="FO8" i="2"/>
  <c r="FO7" i="2"/>
  <c r="FO6" i="2"/>
  <c r="FO5" i="2"/>
  <c r="FJ27" i="2"/>
  <c r="FJ26" i="2"/>
  <c r="FJ25" i="2"/>
  <c r="FJ24" i="2"/>
  <c r="FJ23" i="2"/>
  <c r="FJ22" i="2"/>
  <c r="FJ21" i="2"/>
  <c r="FJ20" i="2"/>
  <c r="FJ19" i="2"/>
  <c r="FJ18" i="2"/>
  <c r="FJ17" i="2"/>
  <c r="FJ16" i="2"/>
  <c r="FJ15" i="2"/>
  <c r="FJ14" i="2"/>
  <c r="FJ13" i="2"/>
  <c r="FJ12" i="2"/>
  <c r="FJ11" i="2"/>
  <c r="FJ10" i="2"/>
  <c r="FJ9" i="2"/>
  <c r="FJ8" i="2"/>
  <c r="FJ7" i="2"/>
  <c r="FJ6" i="2"/>
  <c r="FJ5" i="2"/>
  <c r="FJ28" i="2" s="1"/>
  <c r="FE27" i="2"/>
  <c r="FE26" i="2"/>
  <c r="FE25" i="2"/>
  <c r="FE24" i="2"/>
  <c r="FE23" i="2"/>
  <c r="FE22" i="2"/>
  <c r="FE21" i="2"/>
  <c r="FE20" i="2"/>
  <c r="FE19" i="2"/>
  <c r="FE18" i="2"/>
  <c r="FE17" i="2"/>
  <c r="FE16" i="2"/>
  <c r="FE15" i="2"/>
  <c r="FE14" i="2"/>
  <c r="FE13" i="2"/>
  <c r="FE12" i="2"/>
  <c r="FE11" i="2"/>
  <c r="FE10" i="2"/>
  <c r="FE9" i="2"/>
  <c r="FE8" i="2"/>
  <c r="FE7" i="2"/>
  <c r="FE6" i="2"/>
  <c r="FE5" i="2"/>
  <c r="EZ27" i="2"/>
  <c r="EZ26" i="2"/>
  <c r="EZ25" i="2"/>
  <c r="EZ24" i="2"/>
  <c r="EZ23" i="2"/>
  <c r="EZ22" i="2"/>
  <c r="EZ21" i="2"/>
  <c r="EZ20" i="2"/>
  <c r="EZ19" i="2"/>
  <c r="EZ18" i="2"/>
  <c r="EZ17" i="2"/>
  <c r="EZ16" i="2"/>
  <c r="EZ15" i="2"/>
  <c r="EZ14" i="2"/>
  <c r="EZ13" i="2"/>
  <c r="EZ12" i="2"/>
  <c r="EZ11" i="2"/>
  <c r="EZ10" i="2"/>
  <c r="EZ9" i="2"/>
  <c r="EZ8" i="2"/>
  <c r="EZ7" i="2"/>
  <c r="EZ6" i="2"/>
  <c r="EZ5" i="2"/>
  <c r="EZ28" i="2" s="1"/>
  <c r="EU27" i="2"/>
  <c r="EU26" i="2"/>
  <c r="EU25" i="2"/>
  <c r="EU24" i="2"/>
  <c r="EU23" i="2"/>
  <c r="EU22" i="2"/>
  <c r="EU21" i="2"/>
  <c r="EU20" i="2"/>
  <c r="EU19" i="2"/>
  <c r="EU18" i="2"/>
  <c r="EU17" i="2"/>
  <c r="EU16" i="2"/>
  <c r="EU15" i="2"/>
  <c r="EU14" i="2"/>
  <c r="EU13" i="2"/>
  <c r="EU12" i="2"/>
  <c r="EU11" i="2"/>
  <c r="EU10" i="2"/>
  <c r="EU9" i="2"/>
  <c r="EU8" i="2"/>
  <c r="EU7" i="2"/>
  <c r="EU6" i="2"/>
  <c r="EU5" i="2"/>
  <c r="EP27" i="2"/>
  <c r="EP26" i="2"/>
  <c r="EP25" i="2"/>
  <c r="EP24" i="2"/>
  <c r="EP23" i="2"/>
  <c r="EP22" i="2"/>
  <c r="EP21" i="2"/>
  <c r="EP20" i="2"/>
  <c r="EP19" i="2"/>
  <c r="EP18" i="2"/>
  <c r="EP17" i="2"/>
  <c r="EP16" i="2"/>
  <c r="EP15" i="2"/>
  <c r="EP14" i="2"/>
  <c r="EP13" i="2"/>
  <c r="EP12" i="2"/>
  <c r="EP11" i="2"/>
  <c r="EP10" i="2"/>
  <c r="EP9" i="2"/>
  <c r="EP8" i="2"/>
  <c r="EP7" i="2"/>
  <c r="EP6" i="2"/>
  <c r="EP5" i="2"/>
  <c r="EP28" i="2" s="1"/>
  <c r="EK27" i="2"/>
  <c r="EK26" i="2"/>
  <c r="EK25" i="2"/>
  <c r="EK24" i="2"/>
  <c r="EK23" i="2"/>
  <c r="EK22" i="2"/>
  <c r="EK21" i="2"/>
  <c r="EK20" i="2"/>
  <c r="EK19" i="2"/>
  <c r="EK18" i="2"/>
  <c r="EK17" i="2"/>
  <c r="EK16" i="2"/>
  <c r="EK15" i="2"/>
  <c r="EK14" i="2"/>
  <c r="EK13" i="2"/>
  <c r="EK12" i="2"/>
  <c r="EK11" i="2"/>
  <c r="EK10" i="2"/>
  <c r="EK9" i="2"/>
  <c r="EK8" i="2"/>
  <c r="EK28" i="2" s="1"/>
  <c r="EK7" i="2"/>
  <c r="EK6" i="2"/>
  <c r="EK5" i="2"/>
  <c r="EF27" i="2"/>
  <c r="EF26" i="2"/>
  <c r="EF25" i="2"/>
  <c r="EF24" i="2"/>
  <c r="EF23" i="2"/>
  <c r="EF22" i="2"/>
  <c r="EF21" i="2"/>
  <c r="EF20" i="2"/>
  <c r="EF19" i="2"/>
  <c r="EF18" i="2"/>
  <c r="EF17" i="2"/>
  <c r="EF16" i="2"/>
  <c r="EF15" i="2"/>
  <c r="EF14" i="2"/>
  <c r="EF13" i="2"/>
  <c r="EF12" i="2"/>
  <c r="EF11" i="2"/>
  <c r="EF10" i="2"/>
  <c r="EF9" i="2"/>
  <c r="EF8" i="2"/>
  <c r="EF7" i="2"/>
  <c r="EF6" i="2"/>
  <c r="EF5" i="2"/>
  <c r="EF28" i="2" s="1"/>
  <c r="EA5" i="2"/>
  <c r="EA6" i="2"/>
  <c r="EA7" i="2"/>
  <c r="EA8" i="2"/>
  <c r="EA9" i="2"/>
  <c r="EA10" i="2"/>
  <c r="EA11" i="2"/>
  <c r="EA12" i="2"/>
  <c r="EA13" i="2"/>
  <c r="EA14" i="2"/>
  <c r="EA15" i="2"/>
  <c r="EA16" i="2"/>
  <c r="EA17" i="2"/>
  <c r="EA18" i="2"/>
  <c r="EA19" i="2"/>
  <c r="EA20" i="2"/>
  <c r="EA21" i="2"/>
  <c r="EA22" i="2"/>
  <c r="EA23" i="2"/>
  <c r="EA24" i="2"/>
  <c r="EA25" i="2"/>
  <c r="EA26" i="2"/>
  <c r="EA27" i="2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6" i="1"/>
  <c r="AH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Z6" i="1"/>
  <c r="AE6" i="1" s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6" i="1"/>
  <c r="DV27" i="2"/>
  <c r="DV26" i="2"/>
  <c r="DV25" i="2"/>
  <c r="DV24" i="2"/>
  <c r="DV23" i="2"/>
  <c r="DV22" i="2"/>
  <c r="DV21" i="2"/>
  <c r="DV20" i="2"/>
  <c r="DV19" i="2"/>
  <c r="DV18" i="2"/>
  <c r="DV17" i="2"/>
  <c r="DV16" i="2"/>
  <c r="DV15" i="2"/>
  <c r="DV14" i="2"/>
  <c r="DV13" i="2"/>
  <c r="DV12" i="2"/>
  <c r="DV11" i="2"/>
  <c r="DV10" i="2"/>
  <c r="DV9" i="2"/>
  <c r="DV8" i="2"/>
  <c r="DV7" i="2"/>
  <c r="DV6" i="2"/>
  <c r="DV5" i="2"/>
  <c r="DV28" i="2" s="1"/>
  <c r="DQ27" i="2"/>
  <c r="DQ26" i="2"/>
  <c r="DQ25" i="2"/>
  <c r="DQ24" i="2"/>
  <c r="DQ23" i="2"/>
  <c r="DQ22" i="2"/>
  <c r="DQ21" i="2"/>
  <c r="DQ20" i="2"/>
  <c r="DQ19" i="2"/>
  <c r="DQ18" i="2"/>
  <c r="DQ17" i="2"/>
  <c r="DQ16" i="2"/>
  <c r="DQ15" i="2"/>
  <c r="DQ14" i="2"/>
  <c r="DQ13" i="2"/>
  <c r="DQ12" i="2"/>
  <c r="DQ11" i="2"/>
  <c r="DQ10" i="2"/>
  <c r="DQ9" i="2"/>
  <c r="DQ8" i="2"/>
  <c r="DQ28" i="2" s="1"/>
  <c r="DQ7" i="2"/>
  <c r="DQ6" i="2"/>
  <c r="DQ5" i="2"/>
  <c r="DL27" i="2"/>
  <c r="DL26" i="2"/>
  <c r="DL25" i="2"/>
  <c r="DL24" i="2"/>
  <c r="DL23" i="2"/>
  <c r="DL22" i="2"/>
  <c r="DL21" i="2"/>
  <c r="DL20" i="2"/>
  <c r="DL19" i="2"/>
  <c r="DL18" i="2"/>
  <c r="DL17" i="2"/>
  <c r="DL16" i="2"/>
  <c r="DL15" i="2"/>
  <c r="DL14" i="2"/>
  <c r="DL13" i="2"/>
  <c r="DL12" i="2"/>
  <c r="DL11" i="2"/>
  <c r="DL10" i="2"/>
  <c r="DL9" i="2"/>
  <c r="DL8" i="2"/>
  <c r="DL7" i="2"/>
  <c r="DL6" i="2"/>
  <c r="DL5" i="2"/>
  <c r="DL28" i="2" s="1"/>
  <c r="DG27" i="2"/>
  <c r="DG26" i="2"/>
  <c r="DG25" i="2"/>
  <c r="DG24" i="2"/>
  <c r="DG23" i="2"/>
  <c r="DG22" i="2"/>
  <c r="DG21" i="2"/>
  <c r="DG20" i="2"/>
  <c r="DG19" i="2"/>
  <c r="DG18" i="2"/>
  <c r="DG17" i="2"/>
  <c r="DG16" i="2"/>
  <c r="DG15" i="2"/>
  <c r="DG14" i="2"/>
  <c r="DG13" i="2"/>
  <c r="DG12" i="2"/>
  <c r="DG11" i="2"/>
  <c r="DG10" i="2"/>
  <c r="DG9" i="2"/>
  <c r="DG8" i="2"/>
  <c r="DG7" i="2"/>
  <c r="DG6" i="2"/>
  <c r="DG5" i="2"/>
  <c r="DG28" i="2"/>
  <c r="DB27" i="2"/>
  <c r="DB26" i="2"/>
  <c r="DB25" i="2"/>
  <c r="DB24" i="2"/>
  <c r="DB23" i="2"/>
  <c r="DB22" i="2"/>
  <c r="DB21" i="2"/>
  <c r="DB20" i="2"/>
  <c r="DB19" i="2"/>
  <c r="DB18" i="2"/>
  <c r="DB17" i="2"/>
  <c r="DB16" i="2"/>
  <c r="DB15" i="2"/>
  <c r="DB14" i="2"/>
  <c r="DB13" i="2"/>
  <c r="DB12" i="2"/>
  <c r="DB11" i="2"/>
  <c r="DB10" i="2"/>
  <c r="DB9" i="2"/>
  <c r="DB8" i="2"/>
  <c r="DB7" i="2"/>
  <c r="DB6" i="2"/>
  <c r="DB5" i="2"/>
  <c r="CW27" i="2"/>
  <c r="CW26" i="2"/>
  <c r="CW25" i="2"/>
  <c r="CW24" i="2"/>
  <c r="CW23" i="2"/>
  <c r="CW22" i="2"/>
  <c r="CW21" i="2"/>
  <c r="CW20" i="2"/>
  <c r="CW19" i="2"/>
  <c r="CW18" i="2"/>
  <c r="CW17" i="2"/>
  <c r="CW16" i="2"/>
  <c r="CW15" i="2"/>
  <c r="CW14" i="2"/>
  <c r="CW13" i="2"/>
  <c r="CW12" i="2"/>
  <c r="CW11" i="2"/>
  <c r="CW10" i="2"/>
  <c r="CW9" i="2"/>
  <c r="CW8" i="2"/>
  <c r="CW7" i="2"/>
  <c r="CW6" i="2"/>
  <c r="CW5" i="2"/>
  <c r="CW28" i="2" s="1"/>
  <c r="CR27" i="2"/>
  <c r="CR26" i="2"/>
  <c r="CR25" i="2"/>
  <c r="CR24" i="2"/>
  <c r="CR23" i="2"/>
  <c r="CR22" i="2"/>
  <c r="CR21" i="2"/>
  <c r="CR20" i="2"/>
  <c r="CR19" i="2"/>
  <c r="CR18" i="2"/>
  <c r="CR17" i="2"/>
  <c r="CR16" i="2"/>
  <c r="CR15" i="2"/>
  <c r="CR14" i="2"/>
  <c r="CR13" i="2"/>
  <c r="CR12" i="2"/>
  <c r="CR11" i="2"/>
  <c r="CR10" i="2"/>
  <c r="CR9" i="2"/>
  <c r="CR8" i="2"/>
  <c r="CR7" i="2"/>
  <c r="CR6" i="2"/>
  <c r="CR5" i="2"/>
  <c r="CR28" i="2" s="1"/>
  <c r="CM27" i="2"/>
  <c r="CM26" i="2"/>
  <c r="CM25" i="2"/>
  <c r="CM24" i="2"/>
  <c r="CM23" i="2"/>
  <c r="CM22" i="2"/>
  <c r="CM21" i="2"/>
  <c r="CM20" i="2"/>
  <c r="CM19" i="2"/>
  <c r="CM18" i="2"/>
  <c r="CM17" i="2"/>
  <c r="CM16" i="2"/>
  <c r="CM15" i="2"/>
  <c r="CM14" i="2"/>
  <c r="CM13" i="2"/>
  <c r="CM12" i="2"/>
  <c r="CM11" i="2"/>
  <c r="CM10" i="2"/>
  <c r="CM9" i="2"/>
  <c r="CM8" i="2"/>
  <c r="CM7" i="2"/>
  <c r="CM6" i="2"/>
  <c r="CM5" i="2"/>
  <c r="CH27" i="2"/>
  <c r="CH26" i="2"/>
  <c r="CH25" i="2"/>
  <c r="CH24" i="2"/>
  <c r="CH23" i="2"/>
  <c r="CH22" i="2"/>
  <c r="CH21" i="2"/>
  <c r="CH20" i="2"/>
  <c r="CH19" i="2"/>
  <c r="CH18" i="2"/>
  <c r="CH17" i="2"/>
  <c r="CH16" i="2"/>
  <c r="CH15" i="2"/>
  <c r="CH14" i="2"/>
  <c r="CH13" i="2"/>
  <c r="CH12" i="2"/>
  <c r="CH11" i="2"/>
  <c r="CH10" i="2"/>
  <c r="CH9" i="2"/>
  <c r="CH8" i="2"/>
  <c r="CH7" i="2"/>
  <c r="CH6" i="2"/>
  <c r="CH5" i="2"/>
  <c r="CC6" i="2"/>
  <c r="AA7" i="1" s="1"/>
  <c r="CC7" i="2"/>
  <c r="AA8" i="1" s="1"/>
  <c r="CC8" i="2"/>
  <c r="AA9" i="1" s="1"/>
  <c r="CC9" i="2"/>
  <c r="AA10" i="1" s="1"/>
  <c r="CC10" i="2"/>
  <c r="AA11" i="1" s="1"/>
  <c r="CC11" i="2"/>
  <c r="AA12" i="1" s="1"/>
  <c r="CC12" i="2"/>
  <c r="AA13" i="1" s="1"/>
  <c r="CC13" i="2"/>
  <c r="AA14" i="1" s="1"/>
  <c r="CC14" i="2"/>
  <c r="AA15" i="1" s="1"/>
  <c r="CC15" i="2"/>
  <c r="AA16" i="1" s="1"/>
  <c r="CC16" i="2"/>
  <c r="AA17" i="1" s="1"/>
  <c r="CC17" i="2"/>
  <c r="AA18" i="1" s="1"/>
  <c r="CC18" i="2"/>
  <c r="AA19" i="1" s="1"/>
  <c r="CC19" i="2"/>
  <c r="AA20" i="1" s="1"/>
  <c r="CC20" i="2"/>
  <c r="AA21" i="1" s="1"/>
  <c r="CC21" i="2"/>
  <c r="AA22" i="1" s="1"/>
  <c r="CC22" i="2"/>
  <c r="AA23" i="1" s="1"/>
  <c r="CC23" i="2"/>
  <c r="AA24" i="1" s="1"/>
  <c r="CC24" i="2"/>
  <c r="AA25" i="1" s="1"/>
  <c r="CC25" i="2"/>
  <c r="AA26" i="1" s="1"/>
  <c r="CC26" i="2"/>
  <c r="AA27" i="1" s="1"/>
  <c r="CC27" i="2"/>
  <c r="AA28" i="1" s="1"/>
  <c r="CC5" i="2"/>
  <c r="AA6" i="1" s="1"/>
  <c r="HC28" i="2"/>
  <c r="HB28" i="2"/>
  <c r="HA28" i="2"/>
  <c r="GZ28" i="2"/>
  <c r="GY28" i="2"/>
  <c r="GW28" i="2"/>
  <c r="GV28" i="2"/>
  <c r="GU28" i="2"/>
  <c r="GT28" i="2"/>
  <c r="GS28" i="2"/>
  <c r="GR28" i="2"/>
  <c r="GQ28" i="2"/>
  <c r="GP28" i="2"/>
  <c r="GO28" i="2"/>
  <c r="GM28" i="2"/>
  <c r="GL28" i="2"/>
  <c r="GK28" i="2"/>
  <c r="GJ28" i="2"/>
  <c r="GI28" i="2"/>
  <c r="GH28" i="2"/>
  <c r="GG28" i="2"/>
  <c r="GF28" i="2"/>
  <c r="GE28" i="2"/>
  <c r="GC28" i="2"/>
  <c r="GB28" i="2"/>
  <c r="GA28" i="2"/>
  <c r="FY28" i="2"/>
  <c r="FX28" i="2"/>
  <c r="FW28" i="2"/>
  <c r="FV28" i="2"/>
  <c r="FU28" i="2"/>
  <c r="FS28" i="2"/>
  <c r="FR28" i="2"/>
  <c r="FQ28" i="2"/>
  <c r="FP28" i="2"/>
  <c r="FO28" i="2"/>
  <c r="FN28" i="2"/>
  <c r="FM28" i="2"/>
  <c r="FL28" i="2"/>
  <c r="FK28" i="2"/>
  <c r="FI28" i="2"/>
  <c r="FH28" i="2"/>
  <c r="FG28" i="2"/>
  <c r="FF28" i="2"/>
  <c r="FE28" i="2"/>
  <c r="FD28" i="2"/>
  <c r="FC28" i="2"/>
  <c r="FB28" i="2"/>
  <c r="FA28" i="2"/>
  <c r="EY28" i="2"/>
  <c r="EX28" i="2"/>
  <c r="EW28" i="2"/>
  <c r="EV28" i="2"/>
  <c r="EU28" i="2"/>
  <c r="ET28" i="2"/>
  <c r="ES28" i="2"/>
  <c r="ER28" i="2"/>
  <c r="EQ28" i="2"/>
  <c r="EO28" i="2"/>
  <c r="EN28" i="2"/>
  <c r="EM28" i="2"/>
  <c r="EL28" i="2"/>
  <c r="EJ28" i="2"/>
  <c r="EI28" i="2"/>
  <c r="EH28" i="2"/>
  <c r="EG28" i="2"/>
  <c r="EE28" i="2"/>
  <c r="ED28" i="2"/>
  <c r="EC28" i="2"/>
  <c r="EB28" i="2"/>
  <c r="DZ28" i="2"/>
  <c r="DY28" i="2"/>
  <c r="DX28" i="2"/>
  <c r="DU28" i="2"/>
  <c r="DT28" i="2"/>
  <c r="DS28" i="2"/>
  <c r="DR28" i="2"/>
  <c r="DP28" i="2"/>
  <c r="DO28" i="2"/>
  <c r="DN28" i="2"/>
  <c r="DM28" i="2"/>
  <c r="DK28" i="2"/>
  <c r="DJ28" i="2"/>
  <c r="DI28" i="2"/>
  <c r="DH28" i="2"/>
  <c r="BZ28" i="2"/>
  <c r="CA28" i="2"/>
  <c r="CB28" i="2"/>
  <c r="CD28" i="2"/>
  <c r="CE28" i="2"/>
  <c r="CF28" i="2"/>
  <c r="CG28" i="2"/>
  <c r="CH28" i="2"/>
  <c r="CI28" i="2"/>
  <c r="CJ28" i="2"/>
  <c r="CK28" i="2"/>
  <c r="CL28" i="2"/>
  <c r="CM28" i="2"/>
  <c r="CN28" i="2"/>
  <c r="CO28" i="2"/>
  <c r="CP28" i="2"/>
  <c r="CQ28" i="2"/>
  <c r="CS28" i="2"/>
  <c r="CT28" i="2"/>
  <c r="CU28" i="2"/>
  <c r="CV28" i="2"/>
  <c r="CX28" i="2"/>
  <c r="CY28" i="2"/>
  <c r="CZ28" i="2"/>
  <c r="DA28" i="2"/>
  <c r="DB28" i="2"/>
  <c r="DC28" i="2"/>
  <c r="DD28" i="2"/>
  <c r="DE28" i="2"/>
  <c r="DF28" i="2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8" i="1"/>
  <c r="I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6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6" i="1"/>
  <c r="BX8" i="2"/>
  <c r="BX5" i="2"/>
  <c r="BS5" i="2"/>
  <c r="BS6" i="2"/>
  <c r="BN5" i="2"/>
  <c r="BD5" i="2"/>
  <c r="AY5" i="2"/>
  <c r="AT5" i="2"/>
  <c r="AO5" i="2"/>
  <c r="AJ5" i="2"/>
  <c r="P6" i="2"/>
  <c r="P5" i="2"/>
  <c r="BD23" i="2"/>
  <c r="AY23" i="2"/>
  <c r="AT23" i="2"/>
  <c r="AO23" i="2"/>
  <c r="AJ23" i="2"/>
  <c r="AE23" i="2"/>
  <c r="Z23" i="2"/>
  <c r="U23" i="2"/>
  <c r="P23" i="2"/>
  <c r="K23" i="2"/>
  <c r="F26" i="2"/>
  <c r="F25" i="2"/>
  <c r="F23" i="2"/>
  <c r="F19" i="2"/>
  <c r="F16" i="2"/>
  <c r="F8" i="2"/>
  <c r="BW28" i="2"/>
  <c r="BV28" i="2"/>
  <c r="BU28" i="2"/>
  <c r="BT28" i="2"/>
  <c r="BR28" i="2"/>
  <c r="BQ28" i="2"/>
  <c r="BP28" i="2"/>
  <c r="BO28" i="2"/>
  <c r="BM28" i="2"/>
  <c r="BL28" i="2"/>
  <c r="BK28" i="2"/>
  <c r="BJ28" i="2"/>
  <c r="BH28" i="2"/>
  <c r="BG28" i="2"/>
  <c r="BF28" i="2"/>
  <c r="BE28" i="2"/>
  <c r="BC28" i="2"/>
  <c r="BB28" i="2"/>
  <c r="BA28" i="2"/>
  <c r="AZ28" i="2"/>
  <c r="AX28" i="2"/>
  <c r="AW28" i="2"/>
  <c r="AV28" i="2"/>
  <c r="AU28" i="2"/>
  <c r="AS28" i="2"/>
  <c r="AR28" i="2"/>
  <c r="AQ28" i="2"/>
  <c r="AP28" i="2"/>
  <c r="AN28" i="2"/>
  <c r="AM28" i="2"/>
  <c r="AL28" i="2"/>
  <c r="AK28" i="2"/>
  <c r="AI28" i="2"/>
  <c r="AH28" i="2"/>
  <c r="AG28" i="2"/>
  <c r="AF28" i="2"/>
  <c r="AD28" i="2"/>
  <c r="AC28" i="2"/>
  <c r="AB28" i="2"/>
  <c r="AA28" i="2"/>
  <c r="Y28" i="2"/>
  <c r="X28" i="2"/>
  <c r="W28" i="2"/>
  <c r="V28" i="2"/>
  <c r="T28" i="2"/>
  <c r="S28" i="2"/>
  <c r="R28" i="2"/>
  <c r="Q28" i="2"/>
  <c r="O28" i="2"/>
  <c r="N28" i="2"/>
  <c r="M28" i="2"/>
  <c r="L28" i="2"/>
  <c r="J28" i="2"/>
  <c r="I28" i="2"/>
  <c r="H28" i="2"/>
  <c r="G28" i="2"/>
  <c r="E28" i="2"/>
  <c r="D28" i="2"/>
  <c r="C28" i="2"/>
  <c r="B28" i="2"/>
  <c r="BX27" i="2"/>
  <c r="BS27" i="2"/>
  <c r="BN27" i="2"/>
  <c r="BI27" i="2"/>
  <c r="BD27" i="2"/>
  <c r="AY27" i="2"/>
  <c r="AT27" i="2"/>
  <c r="AO27" i="2"/>
  <c r="AJ27" i="2"/>
  <c r="AE27" i="2"/>
  <c r="Z27" i="2"/>
  <c r="U27" i="2"/>
  <c r="P27" i="2"/>
  <c r="K27" i="2"/>
  <c r="F27" i="2"/>
  <c r="BX26" i="2"/>
  <c r="BS26" i="2"/>
  <c r="BN26" i="2"/>
  <c r="BI26" i="2"/>
  <c r="BD26" i="2"/>
  <c r="AY26" i="2"/>
  <c r="AT26" i="2"/>
  <c r="AO26" i="2"/>
  <c r="AJ26" i="2"/>
  <c r="AE26" i="2"/>
  <c r="I27" i="1" s="1"/>
  <c r="Z26" i="2"/>
  <c r="U26" i="2"/>
  <c r="P26" i="2"/>
  <c r="K26" i="2"/>
  <c r="BX25" i="2"/>
  <c r="BS25" i="2"/>
  <c r="BN25" i="2"/>
  <c r="BI25" i="2"/>
  <c r="BD25" i="2"/>
  <c r="AY25" i="2"/>
  <c r="AT25" i="2"/>
  <c r="AO25" i="2"/>
  <c r="AJ25" i="2"/>
  <c r="AE25" i="2"/>
  <c r="Z25" i="2"/>
  <c r="U25" i="2"/>
  <c r="P25" i="2"/>
  <c r="K25" i="2"/>
  <c r="BX24" i="2"/>
  <c r="BS24" i="2"/>
  <c r="BN24" i="2"/>
  <c r="BI24" i="2"/>
  <c r="BD24" i="2"/>
  <c r="AY24" i="2"/>
  <c r="AT24" i="2"/>
  <c r="AO24" i="2"/>
  <c r="AJ24" i="2"/>
  <c r="AE24" i="2"/>
  <c r="Z24" i="2"/>
  <c r="U24" i="2"/>
  <c r="P24" i="2"/>
  <c r="K24" i="2"/>
  <c r="F24" i="2"/>
  <c r="BX23" i="2"/>
  <c r="BS23" i="2"/>
  <c r="BN23" i="2"/>
  <c r="BI23" i="2"/>
  <c r="BX22" i="2"/>
  <c r="BS22" i="2"/>
  <c r="BN22" i="2"/>
  <c r="BI22" i="2"/>
  <c r="BD22" i="2"/>
  <c r="AY22" i="2"/>
  <c r="AT22" i="2"/>
  <c r="AO22" i="2"/>
  <c r="AJ22" i="2"/>
  <c r="AE22" i="2"/>
  <c r="Z22" i="2"/>
  <c r="U22" i="2"/>
  <c r="P22" i="2"/>
  <c r="K22" i="2"/>
  <c r="F22" i="2"/>
  <c r="BX21" i="2"/>
  <c r="BS21" i="2"/>
  <c r="BN21" i="2"/>
  <c r="BI21" i="2"/>
  <c r="BD21" i="2"/>
  <c r="AY21" i="2"/>
  <c r="AT21" i="2"/>
  <c r="AO21" i="2"/>
  <c r="AJ21" i="2"/>
  <c r="AE21" i="2"/>
  <c r="Z21" i="2"/>
  <c r="U21" i="2"/>
  <c r="P21" i="2"/>
  <c r="K21" i="2"/>
  <c r="F21" i="2"/>
  <c r="BX20" i="2"/>
  <c r="BS20" i="2"/>
  <c r="BN20" i="2"/>
  <c r="BI20" i="2"/>
  <c r="BD20" i="2"/>
  <c r="AY20" i="2"/>
  <c r="AT20" i="2"/>
  <c r="AO20" i="2"/>
  <c r="AJ20" i="2"/>
  <c r="AE20" i="2"/>
  <c r="Z20" i="2"/>
  <c r="U20" i="2"/>
  <c r="P20" i="2"/>
  <c r="K20" i="2"/>
  <c r="F20" i="2"/>
  <c r="BX19" i="2"/>
  <c r="BS19" i="2"/>
  <c r="BN19" i="2"/>
  <c r="BI19" i="2"/>
  <c r="BD19" i="2"/>
  <c r="AY19" i="2"/>
  <c r="AT19" i="2"/>
  <c r="AO19" i="2"/>
  <c r="AJ19" i="2"/>
  <c r="AE19" i="2"/>
  <c r="Z19" i="2"/>
  <c r="U19" i="2"/>
  <c r="P19" i="2"/>
  <c r="K19" i="2"/>
  <c r="BX18" i="2"/>
  <c r="BS18" i="2"/>
  <c r="BN18" i="2"/>
  <c r="BI18" i="2"/>
  <c r="BD18" i="2"/>
  <c r="AY18" i="2"/>
  <c r="AT18" i="2"/>
  <c r="AO18" i="2"/>
  <c r="AJ18" i="2"/>
  <c r="AE18" i="2"/>
  <c r="Z18" i="2"/>
  <c r="U18" i="2"/>
  <c r="P18" i="2"/>
  <c r="K18" i="2"/>
  <c r="F18" i="2"/>
  <c r="BX17" i="2"/>
  <c r="BS17" i="2"/>
  <c r="BN17" i="2"/>
  <c r="BI17" i="2"/>
  <c r="BD17" i="2"/>
  <c r="AY17" i="2"/>
  <c r="AT17" i="2"/>
  <c r="AO17" i="2"/>
  <c r="AJ17" i="2"/>
  <c r="AE17" i="2"/>
  <c r="Z17" i="2"/>
  <c r="U17" i="2"/>
  <c r="P17" i="2"/>
  <c r="K17" i="2"/>
  <c r="F17" i="2"/>
  <c r="BX16" i="2"/>
  <c r="BS16" i="2"/>
  <c r="BN16" i="2"/>
  <c r="BI16" i="2"/>
  <c r="BD16" i="2"/>
  <c r="AY16" i="2"/>
  <c r="AT16" i="2"/>
  <c r="AO16" i="2"/>
  <c r="AJ16" i="2"/>
  <c r="AE16" i="2"/>
  <c r="Z16" i="2"/>
  <c r="U16" i="2"/>
  <c r="P16" i="2"/>
  <c r="K16" i="2"/>
  <c r="BX15" i="2"/>
  <c r="BS15" i="2"/>
  <c r="BN15" i="2"/>
  <c r="BI15" i="2"/>
  <c r="BD15" i="2"/>
  <c r="AY15" i="2"/>
  <c r="AT15" i="2"/>
  <c r="AO15" i="2"/>
  <c r="AJ15" i="2"/>
  <c r="AE15" i="2"/>
  <c r="Z15" i="2"/>
  <c r="U15" i="2"/>
  <c r="P15" i="2"/>
  <c r="K15" i="2"/>
  <c r="F15" i="2"/>
  <c r="BX14" i="2"/>
  <c r="BS14" i="2"/>
  <c r="BN14" i="2"/>
  <c r="BI14" i="2"/>
  <c r="BD14" i="2"/>
  <c r="AY14" i="2"/>
  <c r="AT14" i="2"/>
  <c r="AO14" i="2"/>
  <c r="AJ14" i="2"/>
  <c r="AE14" i="2"/>
  <c r="Z14" i="2"/>
  <c r="U14" i="2"/>
  <c r="P14" i="2"/>
  <c r="K14" i="2"/>
  <c r="F14" i="2"/>
  <c r="BX13" i="2"/>
  <c r="BS13" i="2"/>
  <c r="BN13" i="2"/>
  <c r="BI13" i="2"/>
  <c r="BD13" i="2"/>
  <c r="AY13" i="2"/>
  <c r="AT13" i="2"/>
  <c r="AO13" i="2"/>
  <c r="AJ13" i="2"/>
  <c r="AE13" i="2"/>
  <c r="Z13" i="2"/>
  <c r="U13" i="2"/>
  <c r="P13" i="2"/>
  <c r="K13" i="2"/>
  <c r="F13" i="2"/>
  <c r="BX12" i="2"/>
  <c r="BS12" i="2"/>
  <c r="BN12" i="2"/>
  <c r="BI12" i="2"/>
  <c r="BD12" i="2"/>
  <c r="AY12" i="2"/>
  <c r="AT12" i="2"/>
  <c r="AO12" i="2"/>
  <c r="AJ12" i="2"/>
  <c r="AE12" i="2"/>
  <c r="Z12" i="2"/>
  <c r="U12" i="2"/>
  <c r="P12" i="2"/>
  <c r="K12" i="2"/>
  <c r="F12" i="2"/>
  <c r="BX11" i="2"/>
  <c r="BS11" i="2"/>
  <c r="BN11" i="2"/>
  <c r="BI11" i="2"/>
  <c r="BD11" i="2"/>
  <c r="AY11" i="2"/>
  <c r="AT11" i="2"/>
  <c r="AO11" i="2"/>
  <c r="AJ11" i="2"/>
  <c r="AE11" i="2"/>
  <c r="Z11" i="2"/>
  <c r="U11" i="2"/>
  <c r="P11" i="2"/>
  <c r="K11" i="2"/>
  <c r="F11" i="2"/>
  <c r="BX10" i="2"/>
  <c r="BS10" i="2"/>
  <c r="BN10" i="2"/>
  <c r="BI10" i="2"/>
  <c r="BD10" i="2"/>
  <c r="AY10" i="2"/>
  <c r="AT10" i="2"/>
  <c r="AO10" i="2"/>
  <c r="AJ10" i="2"/>
  <c r="AE10" i="2"/>
  <c r="Z10" i="2"/>
  <c r="U10" i="2"/>
  <c r="P10" i="2"/>
  <c r="K10" i="2"/>
  <c r="F10" i="2"/>
  <c r="BX9" i="2"/>
  <c r="BS9" i="2"/>
  <c r="BN9" i="2"/>
  <c r="BI9" i="2"/>
  <c r="BD9" i="2"/>
  <c r="AY9" i="2"/>
  <c r="AT9" i="2"/>
  <c r="AO9" i="2"/>
  <c r="AJ9" i="2"/>
  <c r="AE9" i="2"/>
  <c r="Z9" i="2"/>
  <c r="U9" i="2"/>
  <c r="P9" i="2"/>
  <c r="K9" i="2"/>
  <c r="F9" i="2"/>
  <c r="BS8" i="2"/>
  <c r="BN8" i="2"/>
  <c r="BI8" i="2"/>
  <c r="BD8" i="2"/>
  <c r="AY8" i="2"/>
  <c r="AT8" i="2"/>
  <c r="AO8" i="2"/>
  <c r="AJ8" i="2"/>
  <c r="AE8" i="2"/>
  <c r="Z8" i="2"/>
  <c r="U8" i="2"/>
  <c r="P8" i="2"/>
  <c r="K8" i="2"/>
  <c r="BX7" i="2"/>
  <c r="BS7" i="2"/>
  <c r="BN7" i="2"/>
  <c r="BI7" i="2"/>
  <c r="BD7" i="2"/>
  <c r="AY7" i="2"/>
  <c r="AT7" i="2"/>
  <c r="AO7" i="2"/>
  <c r="AJ7" i="2"/>
  <c r="AE7" i="2"/>
  <c r="Z7" i="2"/>
  <c r="U7" i="2"/>
  <c r="P7" i="2"/>
  <c r="K7" i="2"/>
  <c r="F7" i="2"/>
  <c r="BX6" i="2"/>
  <c r="BN6" i="2"/>
  <c r="BI6" i="2"/>
  <c r="BD6" i="2"/>
  <c r="AY6" i="2"/>
  <c r="AT6" i="2"/>
  <c r="AO6" i="2"/>
  <c r="AJ6" i="2"/>
  <c r="AE6" i="2"/>
  <c r="Z6" i="2"/>
  <c r="U6" i="2"/>
  <c r="K6" i="2"/>
  <c r="F6" i="2"/>
  <c r="BI5" i="2"/>
  <c r="AE5" i="2"/>
  <c r="Z5" i="2"/>
  <c r="U5" i="2"/>
  <c r="K5" i="2"/>
  <c r="F5" i="2"/>
  <c r="GX28" i="2" l="1"/>
  <c r="FZ28" i="2"/>
  <c r="EA28" i="2"/>
  <c r="DW28" i="2"/>
  <c r="CC28" i="2"/>
  <c r="BY28" i="2"/>
  <c r="BI28" i="2"/>
  <c r="AJ28" i="2"/>
  <c r="BD28" i="2"/>
  <c r="BX28" i="2"/>
  <c r="AO28" i="2"/>
  <c r="F28" i="2"/>
  <c r="Z28" i="2"/>
  <c r="AT28" i="2"/>
  <c r="BN28" i="2"/>
  <c r="U28" i="2"/>
  <c r="K28" i="2"/>
  <c r="AE28" i="2"/>
  <c r="P28" i="2"/>
  <c r="AY28" i="2"/>
  <c r="BS28" i="2"/>
  <c r="P34" i="1" l="1"/>
  <c r="AK7" i="1"/>
  <c r="AK8" i="1"/>
  <c r="AK12" i="1"/>
  <c r="AK16" i="1"/>
  <c r="AK20" i="1"/>
  <c r="AK24" i="1"/>
  <c r="AK28" i="1"/>
  <c r="BF6" i="1"/>
  <c r="AY6" i="1"/>
  <c r="BM6" i="1"/>
  <c r="BT6" i="1"/>
  <c r="CA6" i="1"/>
  <c r="CH6" i="1"/>
  <c r="BM7" i="1"/>
  <c r="BT7" i="1"/>
  <c r="CA7" i="1"/>
  <c r="CH7" i="1"/>
  <c r="BM8" i="1"/>
  <c r="BT8" i="1"/>
  <c r="CA8" i="1"/>
  <c r="CH8" i="1"/>
  <c r="BM9" i="1"/>
  <c r="BT9" i="1"/>
  <c r="CA9" i="1"/>
  <c r="CH9" i="1"/>
  <c r="BM10" i="1"/>
  <c r="BT10" i="1"/>
  <c r="CA10" i="1"/>
  <c r="CH10" i="1"/>
  <c r="BM11" i="1"/>
  <c r="BT11" i="1"/>
  <c r="CA11" i="1"/>
  <c r="CH11" i="1"/>
  <c r="BM12" i="1"/>
  <c r="BT12" i="1"/>
  <c r="CA12" i="1"/>
  <c r="CH12" i="1"/>
  <c r="BM13" i="1"/>
  <c r="BT13" i="1"/>
  <c r="CA13" i="1"/>
  <c r="CH13" i="1"/>
  <c r="BM14" i="1"/>
  <c r="BT14" i="1"/>
  <c r="CA14" i="1"/>
  <c r="CH14" i="1"/>
  <c r="BM15" i="1"/>
  <c r="BT15" i="1"/>
  <c r="CA15" i="1"/>
  <c r="CH15" i="1"/>
  <c r="BM16" i="1"/>
  <c r="BT16" i="1"/>
  <c r="CA16" i="1"/>
  <c r="CH16" i="1"/>
  <c r="BM17" i="1"/>
  <c r="BT17" i="1"/>
  <c r="CA17" i="1"/>
  <c r="CH17" i="1"/>
  <c r="BM18" i="1"/>
  <c r="BT18" i="1"/>
  <c r="CA18" i="1"/>
  <c r="CH18" i="1"/>
  <c r="BM19" i="1"/>
  <c r="BT19" i="1"/>
  <c r="CA19" i="1"/>
  <c r="CH19" i="1"/>
  <c r="BM20" i="1"/>
  <c r="BT20" i="1"/>
  <c r="CA20" i="1"/>
  <c r="CH20" i="1"/>
  <c r="BM21" i="1"/>
  <c r="BT21" i="1"/>
  <c r="CA21" i="1"/>
  <c r="CH21" i="1"/>
  <c r="BM22" i="1"/>
  <c r="BT22" i="1"/>
  <c r="CA22" i="1"/>
  <c r="CH22" i="1"/>
  <c r="BM23" i="1"/>
  <c r="BT23" i="1"/>
  <c r="Q34" i="1" s="1"/>
  <c r="CA23" i="1"/>
  <c r="R34" i="1" s="1"/>
  <c r="CH23" i="1"/>
  <c r="S34" i="1" s="1"/>
  <c r="BM24" i="1"/>
  <c r="BT24" i="1"/>
  <c r="CA24" i="1"/>
  <c r="CH24" i="1"/>
  <c r="BM25" i="1"/>
  <c r="BT25" i="1"/>
  <c r="CA25" i="1"/>
  <c r="CH25" i="1"/>
  <c r="BM26" i="1"/>
  <c r="BT26" i="1"/>
  <c r="CA26" i="1"/>
  <c r="CH26" i="1"/>
  <c r="BM27" i="1"/>
  <c r="BT27" i="1"/>
  <c r="CA27" i="1"/>
  <c r="CH27" i="1"/>
  <c r="BM28" i="1"/>
  <c r="BT28" i="1"/>
  <c r="CA28" i="1"/>
  <c r="CH28" i="1"/>
  <c r="BJ29" i="1"/>
  <c r="BK29" i="1"/>
  <c r="BL29" i="1"/>
  <c r="BQ29" i="1"/>
  <c r="BR29" i="1"/>
  <c r="BS29" i="1"/>
  <c r="BX29" i="1"/>
  <c r="BY29" i="1"/>
  <c r="BZ29" i="1"/>
  <c r="CE29" i="1"/>
  <c r="CF29" i="1"/>
  <c r="CG29" i="1"/>
  <c r="AY7" i="1"/>
  <c r="BF7" i="1"/>
  <c r="AY8" i="1"/>
  <c r="BF8" i="1"/>
  <c r="AY9" i="1"/>
  <c r="BF9" i="1"/>
  <c r="AY10" i="1"/>
  <c r="BF10" i="1"/>
  <c r="AY11" i="1"/>
  <c r="BF11" i="1"/>
  <c r="AY12" i="1"/>
  <c r="BF12" i="1"/>
  <c r="AY13" i="1"/>
  <c r="BF13" i="1"/>
  <c r="AY14" i="1"/>
  <c r="BF14" i="1"/>
  <c r="AY15" i="1"/>
  <c r="BF15" i="1"/>
  <c r="AY16" i="1"/>
  <c r="BF16" i="1"/>
  <c r="AY17" i="1"/>
  <c r="BF17" i="1"/>
  <c r="AY18" i="1"/>
  <c r="BF18" i="1"/>
  <c r="AY19" i="1"/>
  <c r="BF19" i="1"/>
  <c r="AY20" i="1"/>
  <c r="BF20" i="1"/>
  <c r="AY21" i="1"/>
  <c r="BF21" i="1"/>
  <c r="AY22" i="1"/>
  <c r="BF22" i="1"/>
  <c r="AY23" i="1"/>
  <c r="N34" i="1" s="1"/>
  <c r="BF23" i="1"/>
  <c r="O34" i="1" s="1"/>
  <c r="AY24" i="1"/>
  <c r="BF24" i="1"/>
  <c r="AY25" i="1"/>
  <c r="BF25" i="1"/>
  <c r="AY26" i="1"/>
  <c r="BF26" i="1"/>
  <c r="AY27" i="1"/>
  <c r="BF27" i="1"/>
  <c r="AY28" i="1"/>
  <c r="BF28" i="1"/>
  <c r="AV29" i="1"/>
  <c r="AW29" i="1"/>
  <c r="AX29" i="1"/>
  <c r="BC29" i="1"/>
  <c r="BD29" i="1"/>
  <c r="BE29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M34" i="1" s="1"/>
  <c r="AR24" i="1"/>
  <c r="AR25" i="1"/>
  <c r="AR26" i="1"/>
  <c r="AR27" i="1"/>
  <c r="AR28" i="1"/>
  <c r="AO29" i="1"/>
  <c r="AP29" i="1"/>
  <c r="AQ29" i="1"/>
  <c r="AK27" i="1"/>
  <c r="AK23" i="1"/>
  <c r="L34" i="1" s="1"/>
  <c r="AK19" i="1"/>
  <c r="AK15" i="1"/>
  <c r="AK11" i="1"/>
  <c r="J6" i="1"/>
  <c r="CA29" i="1" l="1"/>
  <c r="CK22" i="1"/>
  <c r="CK21" i="1"/>
  <c r="CK20" i="1"/>
  <c r="CK19" i="1"/>
  <c r="CK18" i="1"/>
  <c r="CK17" i="1"/>
  <c r="CK16" i="1"/>
  <c r="CK15" i="1"/>
  <c r="CK14" i="1"/>
  <c r="CK13" i="1"/>
  <c r="CK12" i="1"/>
  <c r="CK11" i="1"/>
  <c r="CK10" i="1"/>
  <c r="CK9" i="1"/>
  <c r="CK8" i="1"/>
  <c r="CK28" i="1"/>
  <c r="CK27" i="1"/>
  <c r="CK26" i="1"/>
  <c r="CK25" i="1"/>
  <c r="CK24" i="1"/>
  <c r="CK23" i="1"/>
  <c r="CK7" i="1"/>
  <c r="CK6" i="1"/>
  <c r="CD26" i="1"/>
  <c r="CD22" i="1"/>
  <c r="CD20" i="1"/>
  <c r="CD18" i="1"/>
  <c r="CD16" i="1"/>
  <c r="CD14" i="1"/>
  <c r="CD12" i="1"/>
  <c r="CD10" i="1"/>
  <c r="CD8" i="1"/>
  <c r="CD28" i="1"/>
  <c r="CD24" i="1"/>
  <c r="CD6" i="1"/>
  <c r="CD27" i="1"/>
  <c r="CI27" i="1" s="1"/>
  <c r="CJ27" i="1" s="1"/>
  <c r="CD25" i="1"/>
  <c r="CD21" i="1"/>
  <c r="CD19" i="1"/>
  <c r="CD17" i="1"/>
  <c r="CD15" i="1"/>
  <c r="CD13" i="1"/>
  <c r="CD11" i="1"/>
  <c r="CD9" i="1"/>
  <c r="CD7" i="1"/>
  <c r="BW27" i="1"/>
  <c r="BW25" i="1"/>
  <c r="BW6" i="1"/>
  <c r="BW26" i="1"/>
  <c r="BW20" i="1"/>
  <c r="BW14" i="1"/>
  <c r="CD23" i="1"/>
  <c r="CI23" i="1" s="1"/>
  <c r="CJ23" i="1" s="1"/>
  <c r="BW28" i="1"/>
  <c r="BW24" i="1"/>
  <c r="BW22" i="1"/>
  <c r="BW18" i="1"/>
  <c r="BW16" i="1"/>
  <c r="BW12" i="1"/>
  <c r="BW10" i="1"/>
  <c r="BW8" i="1"/>
  <c r="BW21" i="1"/>
  <c r="BW19" i="1"/>
  <c r="BW17" i="1"/>
  <c r="BW15" i="1"/>
  <c r="BW13" i="1"/>
  <c r="BW11" i="1"/>
  <c r="BW9" i="1"/>
  <c r="BW7" i="1"/>
  <c r="BP27" i="1"/>
  <c r="BP19" i="1"/>
  <c r="BP15" i="1"/>
  <c r="BP11" i="1"/>
  <c r="BP7" i="1"/>
  <c r="BP21" i="1"/>
  <c r="BP17" i="1"/>
  <c r="BP13" i="1"/>
  <c r="BP9" i="1"/>
  <c r="BP25" i="1"/>
  <c r="BW23" i="1"/>
  <c r="AY29" i="1"/>
  <c r="BP6" i="1"/>
  <c r="BP28" i="1"/>
  <c r="BP24" i="1"/>
  <c r="BP20" i="1"/>
  <c r="BP16" i="1"/>
  <c r="BP12" i="1"/>
  <c r="BP8" i="1"/>
  <c r="BP26" i="1"/>
  <c r="BP22" i="1"/>
  <c r="BU22" i="1" s="1"/>
  <c r="BP18" i="1"/>
  <c r="BP14" i="1"/>
  <c r="BP10" i="1"/>
  <c r="AR29" i="1"/>
  <c r="BP23" i="1"/>
  <c r="CH29" i="1"/>
  <c r="BT29" i="1"/>
  <c r="BM29" i="1"/>
  <c r="BF29" i="1"/>
  <c r="BI16" i="1"/>
  <c r="BN16" i="1" s="1"/>
  <c r="BO16" i="1" s="1"/>
  <c r="BI8" i="1"/>
  <c r="BN8" i="1" s="1"/>
  <c r="BO8" i="1" s="1"/>
  <c r="BI24" i="1"/>
  <c r="BN24" i="1" s="1"/>
  <c r="BO24" i="1" s="1"/>
  <c r="BI28" i="1"/>
  <c r="BN28" i="1" s="1"/>
  <c r="BO28" i="1" s="1"/>
  <c r="BI20" i="1"/>
  <c r="BN20" i="1" s="1"/>
  <c r="BO20" i="1" s="1"/>
  <c r="BI12" i="1"/>
  <c r="BN12" i="1" s="1"/>
  <c r="BO12" i="1" s="1"/>
  <c r="BI27" i="1"/>
  <c r="BN27" i="1" s="1"/>
  <c r="BO27" i="1" s="1"/>
  <c r="BI23" i="1"/>
  <c r="BN23" i="1" s="1"/>
  <c r="BO23" i="1" s="1"/>
  <c r="BI19" i="1"/>
  <c r="BN19" i="1" s="1"/>
  <c r="BO19" i="1" s="1"/>
  <c r="BI15" i="1"/>
  <c r="BN15" i="1" s="1"/>
  <c r="BO15" i="1" s="1"/>
  <c r="BI11" i="1"/>
  <c r="BN11" i="1" s="1"/>
  <c r="BO11" i="1" s="1"/>
  <c r="BI7" i="1"/>
  <c r="BN7" i="1" s="1"/>
  <c r="BO7" i="1" s="1"/>
  <c r="AC29" i="1"/>
  <c r="AD8" i="1"/>
  <c r="BB8" i="1" s="1"/>
  <c r="BG8" i="1" s="1"/>
  <c r="BH8" i="1" s="1"/>
  <c r="AD12" i="1"/>
  <c r="BB12" i="1" s="1"/>
  <c r="BG12" i="1" s="1"/>
  <c r="BH12" i="1" s="1"/>
  <c r="AD16" i="1"/>
  <c r="BB16" i="1" s="1"/>
  <c r="BG16" i="1" s="1"/>
  <c r="BH16" i="1" s="1"/>
  <c r="AD20" i="1"/>
  <c r="BB20" i="1" s="1"/>
  <c r="BG20" i="1" s="1"/>
  <c r="BH20" i="1" s="1"/>
  <c r="AD24" i="1"/>
  <c r="BB24" i="1" s="1"/>
  <c r="BG24" i="1" s="1"/>
  <c r="BH24" i="1" s="1"/>
  <c r="AD28" i="1"/>
  <c r="BB28" i="1" s="1"/>
  <c r="BG28" i="1" s="1"/>
  <c r="BH28" i="1" s="1"/>
  <c r="CI28" i="1" s="1"/>
  <c r="CJ28" i="1" s="1"/>
  <c r="AI29" i="1"/>
  <c r="AK9" i="1"/>
  <c r="AK10" i="1"/>
  <c r="AK13" i="1"/>
  <c r="AK14" i="1"/>
  <c r="AK17" i="1"/>
  <c r="AK18" i="1"/>
  <c r="AK21" i="1"/>
  <c r="AK22" i="1"/>
  <c r="AK25" i="1"/>
  <c r="AK26" i="1"/>
  <c r="AH29" i="1"/>
  <c r="AJ29" i="1"/>
  <c r="AK6" i="1"/>
  <c r="BI6" i="1" s="1"/>
  <c r="AD6" i="1"/>
  <c r="AD7" i="1"/>
  <c r="BB7" i="1" s="1"/>
  <c r="BG7" i="1" s="1"/>
  <c r="BH7" i="1" s="1"/>
  <c r="CI7" i="1" s="1"/>
  <c r="CJ7" i="1" s="1"/>
  <c r="AD9" i="1"/>
  <c r="AD10" i="1"/>
  <c r="AD11" i="1"/>
  <c r="BB11" i="1" s="1"/>
  <c r="BG11" i="1" s="1"/>
  <c r="BH11" i="1" s="1"/>
  <c r="AD13" i="1"/>
  <c r="AD14" i="1"/>
  <c r="AD15" i="1"/>
  <c r="BB15" i="1" s="1"/>
  <c r="BG15" i="1" s="1"/>
  <c r="BH15" i="1" s="1"/>
  <c r="AD17" i="1"/>
  <c r="AD18" i="1"/>
  <c r="AD19" i="1"/>
  <c r="BB19" i="1" s="1"/>
  <c r="BG19" i="1" s="1"/>
  <c r="BH19" i="1" s="1"/>
  <c r="AD21" i="1"/>
  <c r="BB21" i="1" s="1"/>
  <c r="AD22" i="1"/>
  <c r="AD23" i="1"/>
  <c r="K34" i="1" s="1"/>
  <c r="AD25" i="1"/>
  <c r="AD26" i="1"/>
  <c r="AD27" i="1"/>
  <c r="BB27" i="1" s="1"/>
  <c r="BG27" i="1" s="1"/>
  <c r="BH27" i="1" s="1"/>
  <c r="W18" i="1"/>
  <c r="W26" i="1"/>
  <c r="AB29" i="1"/>
  <c r="AA29" i="1"/>
  <c r="R28" i="1"/>
  <c r="N27" i="1"/>
  <c r="R24" i="1"/>
  <c r="N23" i="1"/>
  <c r="H34" i="1" s="1"/>
  <c r="R20" i="1"/>
  <c r="N19" i="1"/>
  <c r="R16" i="1"/>
  <c r="R12" i="1"/>
  <c r="R8" i="1"/>
  <c r="R27" i="1"/>
  <c r="N26" i="1"/>
  <c r="R25" i="1"/>
  <c r="R23" i="1"/>
  <c r="I34" i="1" s="1"/>
  <c r="N22" i="1"/>
  <c r="R21" i="1"/>
  <c r="N21" i="1"/>
  <c r="R19" i="1"/>
  <c r="N18" i="1"/>
  <c r="R17" i="1"/>
  <c r="N17" i="1"/>
  <c r="R15" i="1"/>
  <c r="N14" i="1"/>
  <c r="R13" i="1"/>
  <c r="N13" i="1"/>
  <c r="R11" i="1"/>
  <c r="N10" i="1"/>
  <c r="R9" i="1"/>
  <c r="N9" i="1"/>
  <c r="R7" i="1"/>
  <c r="N6" i="1"/>
  <c r="R26" i="1"/>
  <c r="R22" i="1"/>
  <c r="R18" i="1"/>
  <c r="R14" i="1"/>
  <c r="R10" i="1"/>
  <c r="R6" i="1"/>
  <c r="N15" i="1"/>
  <c r="N11" i="1"/>
  <c r="N7" i="1"/>
  <c r="J28" i="1"/>
  <c r="J24" i="1"/>
  <c r="N28" i="1"/>
  <c r="N24" i="1"/>
  <c r="N20" i="1"/>
  <c r="N16" i="1"/>
  <c r="N12" i="1"/>
  <c r="N8" i="1"/>
  <c r="N25" i="1"/>
  <c r="V29" i="1"/>
  <c r="J22" i="1"/>
  <c r="J18" i="1"/>
  <c r="J14" i="1"/>
  <c r="J10" i="1"/>
  <c r="W27" i="1"/>
  <c r="F24" i="1"/>
  <c r="F16" i="1"/>
  <c r="F12" i="1"/>
  <c r="J23" i="1"/>
  <c r="G34" i="1" s="1"/>
  <c r="J19" i="1"/>
  <c r="J15" i="1"/>
  <c r="J11" i="1"/>
  <c r="J7" i="1"/>
  <c r="W9" i="1"/>
  <c r="W25" i="1"/>
  <c r="F6" i="1"/>
  <c r="F26" i="1"/>
  <c r="F28" i="1"/>
  <c r="F20" i="1"/>
  <c r="F8" i="1"/>
  <c r="J26" i="1"/>
  <c r="F27" i="1"/>
  <c r="F23" i="1"/>
  <c r="F34" i="1" s="1"/>
  <c r="F19" i="1"/>
  <c r="F15" i="1"/>
  <c r="F11" i="1"/>
  <c r="F7" i="1"/>
  <c r="J27" i="1"/>
  <c r="J25" i="1"/>
  <c r="J21" i="1"/>
  <c r="J20" i="1"/>
  <c r="J17" i="1"/>
  <c r="J16" i="1"/>
  <c r="J13" i="1"/>
  <c r="J12" i="1"/>
  <c r="J9" i="1"/>
  <c r="J8" i="1"/>
  <c r="F25" i="1"/>
  <c r="F21" i="1"/>
  <c r="F17" i="1"/>
  <c r="F13" i="1"/>
  <c r="F9" i="1"/>
  <c r="F22" i="1"/>
  <c r="F18" i="1"/>
  <c r="F14" i="1"/>
  <c r="F10" i="1"/>
  <c r="W22" i="1"/>
  <c r="AU22" i="1" s="1"/>
  <c r="W20" i="1"/>
  <c r="W14" i="1"/>
  <c r="AU14" i="1" s="1"/>
  <c r="W10" i="1"/>
  <c r="W6" i="1"/>
  <c r="AU6" i="1" s="1"/>
  <c r="W8" i="1"/>
  <c r="W12" i="1"/>
  <c r="AU12" i="1" s="1"/>
  <c r="AZ12" i="1" s="1"/>
  <c r="BA12" i="1" s="1"/>
  <c r="CB12" i="1" s="1"/>
  <c r="CC12" i="1" s="1"/>
  <c r="W16" i="1"/>
  <c r="W24" i="1"/>
  <c r="AU24" i="1" s="1"/>
  <c r="AZ24" i="1" s="1"/>
  <c r="BA24" i="1" s="1"/>
  <c r="W28" i="1"/>
  <c r="AU28" i="1" s="1"/>
  <c r="AZ28" i="1" s="1"/>
  <c r="BA28" i="1" s="1"/>
  <c r="W21" i="1"/>
  <c r="W17" i="1"/>
  <c r="W13" i="1"/>
  <c r="AU13" i="1" s="1"/>
  <c r="U29" i="1"/>
  <c r="W7" i="1"/>
  <c r="AU7" i="1" s="1"/>
  <c r="AZ7" i="1" s="1"/>
  <c r="BA7" i="1" s="1"/>
  <c r="W11" i="1"/>
  <c r="W15" i="1"/>
  <c r="AU15" i="1" s="1"/>
  <c r="AZ15" i="1" s="1"/>
  <c r="BA15" i="1" s="1"/>
  <c r="W19" i="1"/>
  <c r="W23" i="1"/>
  <c r="T29" i="1"/>
  <c r="Q29" i="1"/>
  <c r="M29" i="1"/>
  <c r="I29" i="1"/>
  <c r="E29" i="1"/>
  <c r="P29" i="1"/>
  <c r="L29" i="1"/>
  <c r="H29" i="1"/>
  <c r="O29" i="1"/>
  <c r="K29" i="1"/>
  <c r="G29" i="1"/>
  <c r="D29" i="1"/>
  <c r="C29" i="1"/>
  <c r="CI12" i="1" l="1"/>
  <c r="CJ12" i="1" s="1"/>
  <c r="CI19" i="1"/>
  <c r="CJ19" i="1" s="1"/>
  <c r="CI16" i="1"/>
  <c r="CJ16" i="1" s="1"/>
  <c r="CI8" i="1"/>
  <c r="CJ8" i="1" s="1"/>
  <c r="CK29" i="1"/>
  <c r="CB24" i="1"/>
  <c r="CC24" i="1" s="1"/>
  <c r="CI24" i="1"/>
  <c r="CJ24" i="1" s="1"/>
  <c r="CI15" i="1"/>
  <c r="CJ15" i="1" s="1"/>
  <c r="CI20" i="1"/>
  <c r="CJ20" i="1" s="1"/>
  <c r="CI11" i="1"/>
  <c r="CJ11" i="1" s="1"/>
  <c r="CD29" i="1"/>
  <c r="CB7" i="1"/>
  <c r="CC7" i="1" s="1"/>
  <c r="CB28" i="1"/>
  <c r="CC28" i="1" s="1"/>
  <c r="CB15" i="1"/>
  <c r="CC15" i="1" s="1"/>
  <c r="BP29" i="1"/>
  <c r="AU10" i="1"/>
  <c r="AZ10" i="1" s="1"/>
  <c r="BA10" i="1" s="1"/>
  <c r="CB10" i="1" s="1"/>
  <c r="CC10" i="1" s="1"/>
  <c r="AU18" i="1"/>
  <c r="AU25" i="1"/>
  <c r="AZ25" i="1" s="1"/>
  <c r="BA25" i="1" s="1"/>
  <c r="CB25" i="1" s="1"/>
  <c r="CC25" i="1" s="1"/>
  <c r="AU16" i="1"/>
  <c r="AZ16" i="1" s="1"/>
  <c r="BA16" i="1" s="1"/>
  <c r="CB16" i="1" s="1"/>
  <c r="CC16" i="1" s="1"/>
  <c r="AU9" i="1"/>
  <c r="AZ9" i="1" s="1"/>
  <c r="BA9" i="1" s="1"/>
  <c r="CB9" i="1" s="1"/>
  <c r="CC9" i="1" s="1"/>
  <c r="AU11" i="1"/>
  <c r="AZ11" i="1" s="1"/>
  <c r="BA11" i="1" s="1"/>
  <c r="CB11" i="1" s="1"/>
  <c r="CC11" i="1" s="1"/>
  <c r="AU17" i="1"/>
  <c r="AZ17" i="1" s="1"/>
  <c r="BA17" i="1" s="1"/>
  <c r="CB17" i="1" s="1"/>
  <c r="CC17" i="1" s="1"/>
  <c r="AU21" i="1"/>
  <c r="AZ21" i="1" s="1"/>
  <c r="BA21" i="1" s="1"/>
  <c r="CB21" i="1" s="1"/>
  <c r="CC21" i="1" s="1"/>
  <c r="AU27" i="1"/>
  <c r="AZ27" i="1" s="1"/>
  <c r="BA27" i="1" s="1"/>
  <c r="CB27" i="1" s="1"/>
  <c r="CC27" i="1" s="1"/>
  <c r="AU26" i="1"/>
  <c r="AZ26" i="1" s="1"/>
  <c r="BA26" i="1" s="1"/>
  <c r="CB26" i="1" s="1"/>
  <c r="CC26" i="1" s="1"/>
  <c r="AU19" i="1"/>
  <c r="AZ19" i="1" s="1"/>
  <c r="BA19" i="1" s="1"/>
  <c r="CB19" i="1" s="1"/>
  <c r="CC19" i="1" s="1"/>
  <c r="AU8" i="1"/>
  <c r="AZ8" i="1" s="1"/>
  <c r="BA8" i="1" s="1"/>
  <c r="CB8" i="1" s="1"/>
  <c r="CC8" i="1" s="1"/>
  <c r="AU20" i="1"/>
  <c r="AZ20" i="1" s="1"/>
  <c r="BA20" i="1" s="1"/>
  <c r="CB20" i="1" s="1"/>
  <c r="CC20" i="1" s="1"/>
  <c r="BB23" i="1"/>
  <c r="BG23" i="1" s="1"/>
  <c r="BH23" i="1" s="1"/>
  <c r="J34" i="1"/>
  <c r="AU23" i="1"/>
  <c r="AZ23" i="1" s="1"/>
  <c r="BA23" i="1" s="1"/>
  <c r="CB23" i="1" s="1"/>
  <c r="CC23" i="1" s="1"/>
  <c r="AG10" i="1"/>
  <c r="AL10" i="1" s="1"/>
  <c r="AM10" i="1" s="1"/>
  <c r="BI9" i="1"/>
  <c r="BN9" i="1" s="1"/>
  <c r="BO9" i="1" s="1"/>
  <c r="BB9" i="1"/>
  <c r="BG9" i="1" s="1"/>
  <c r="BH9" i="1" s="1"/>
  <c r="CI9" i="1" s="1"/>
  <c r="CJ9" i="1" s="1"/>
  <c r="BI22" i="1"/>
  <c r="BN22" i="1" s="1"/>
  <c r="BO22" i="1" s="1"/>
  <c r="BB22" i="1"/>
  <c r="BG22" i="1" s="1"/>
  <c r="BH22" i="1" s="1"/>
  <c r="CI22" i="1" s="1"/>
  <c r="CJ22" i="1" s="1"/>
  <c r="AZ22" i="1"/>
  <c r="BA22" i="1" s="1"/>
  <c r="CB22" i="1" s="1"/>
  <c r="CC22" i="1" s="1"/>
  <c r="BI14" i="1"/>
  <c r="BN14" i="1" s="1"/>
  <c r="BO14" i="1" s="1"/>
  <c r="AZ14" i="1"/>
  <c r="BA14" i="1" s="1"/>
  <c r="CB14" i="1" s="1"/>
  <c r="CC14" i="1" s="1"/>
  <c r="BB14" i="1"/>
  <c r="BG14" i="1" s="1"/>
  <c r="BH14" i="1" s="1"/>
  <c r="CI14" i="1" s="1"/>
  <c r="CJ14" i="1" s="1"/>
  <c r="BI17" i="1"/>
  <c r="BN17" i="1" s="1"/>
  <c r="BO17" i="1" s="1"/>
  <c r="BB17" i="1"/>
  <c r="BG17" i="1" s="1"/>
  <c r="BH17" i="1" s="1"/>
  <c r="CI17" i="1" s="1"/>
  <c r="CJ17" i="1" s="1"/>
  <c r="BI21" i="1"/>
  <c r="BN21" i="1" s="1"/>
  <c r="BO21" i="1" s="1"/>
  <c r="BG21" i="1"/>
  <c r="BH21" i="1" s="1"/>
  <c r="CI21" i="1" s="1"/>
  <c r="CJ21" i="1" s="1"/>
  <c r="AZ13" i="1"/>
  <c r="BA13" i="1" s="1"/>
  <c r="CB13" i="1" s="1"/>
  <c r="CC13" i="1" s="1"/>
  <c r="BB13" i="1"/>
  <c r="BG13" i="1" s="1"/>
  <c r="BH13" i="1" s="1"/>
  <c r="CI13" i="1" s="1"/>
  <c r="CJ13" i="1" s="1"/>
  <c r="BI13" i="1"/>
  <c r="BN13" i="1" s="1"/>
  <c r="BO13" i="1" s="1"/>
  <c r="BB25" i="1"/>
  <c r="BG25" i="1" s="1"/>
  <c r="BH25" i="1" s="1"/>
  <c r="CI25" i="1" s="1"/>
  <c r="CJ25" i="1" s="1"/>
  <c r="BI25" i="1"/>
  <c r="BN25" i="1" s="1"/>
  <c r="BO25" i="1" s="1"/>
  <c r="BI26" i="1"/>
  <c r="BN26" i="1" s="1"/>
  <c r="BO26" i="1" s="1"/>
  <c r="BB26" i="1"/>
  <c r="BG26" i="1" s="1"/>
  <c r="BH26" i="1" s="1"/>
  <c r="CI26" i="1" s="1"/>
  <c r="CJ26" i="1" s="1"/>
  <c r="BI18" i="1"/>
  <c r="BN18" i="1" s="1"/>
  <c r="BO18" i="1" s="1"/>
  <c r="AZ18" i="1"/>
  <c r="BA18" i="1" s="1"/>
  <c r="CB18" i="1" s="1"/>
  <c r="CC18" i="1" s="1"/>
  <c r="BB18" i="1"/>
  <c r="BG18" i="1" s="1"/>
  <c r="BH18" i="1" s="1"/>
  <c r="CI18" i="1" s="1"/>
  <c r="CJ18" i="1" s="1"/>
  <c r="BI10" i="1"/>
  <c r="BN10" i="1" s="1"/>
  <c r="BO10" i="1" s="1"/>
  <c r="BB10" i="1"/>
  <c r="BG10" i="1" s="1"/>
  <c r="BH10" i="1" s="1"/>
  <c r="CI10" i="1" s="1"/>
  <c r="CJ10" i="1" s="1"/>
  <c r="BN6" i="1"/>
  <c r="BO6" i="1" s="1"/>
  <c r="AZ6" i="1"/>
  <c r="BA6" i="1" s="1"/>
  <c r="CB6" i="1" s="1"/>
  <c r="CC6" i="1" s="1"/>
  <c r="BB6" i="1"/>
  <c r="BG6" i="1" s="1"/>
  <c r="BH6" i="1" s="1"/>
  <c r="CI6" i="1" s="1"/>
  <c r="CJ6" i="1" s="1"/>
  <c r="AK29" i="1"/>
  <c r="AN10" i="1"/>
  <c r="AS10" i="1" s="1"/>
  <c r="AT10" i="1" s="1"/>
  <c r="BU10" i="1" s="1"/>
  <c r="BV10" i="1" s="1"/>
  <c r="AD29" i="1"/>
  <c r="R29" i="1"/>
  <c r="N29" i="1"/>
  <c r="J29" i="1"/>
  <c r="F29" i="1"/>
  <c r="AG7" i="1"/>
  <c r="AN13" i="1"/>
  <c r="AS13" i="1" s="1"/>
  <c r="AT13" i="1" s="1"/>
  <c r="BU13" i="1" s="1"/>
  <c r="BV13" i="1" s="1"/>
  <c r="AN21" i="1"/>
  <c r="AS21" i="1" s="1"/>
  <c r="AT21" i="1" s="1"/>
  <c r="BU21" i="1" s="1"/>
  <c r="BV21" i="1" s="1"/>
  <c r="AG6" i="1"/>
  <c r="AL6" i="1" s="1"/>
  <c r="AM6" i="1" s="1"/>
  <c r="AG25" i="1"/>
  <c r="AL25" i="1" s="1"/>
  <c r="AM25" i="1" s="1"/>
  <c r="AG27" i="1"/>
  <c r="AG17" i="1"/>
  <c r="AL17" i="1" s="1"/>
  <c r="AM17" i="1" s="1"/>
  <c r="AG24" i="1"/>
  <c r="AL24" i="1" s="1"/>
  <c r="AM24" i="1" s="1"/>
  <c r="AG18" i="1"/>
  <c r="AL18" i="1" s="1"/>
  <c r="AM18" i="1" s="1"/>
  <c r="AG8" i="1"/>
  <c r="AL8" i="1" s="1"/>
  <c r="AM8" i="1" s="1"/>
  <c r="AN15" i="1"/>
  <c r="AS15" i="1" s="1"/>
  <c r="AT15" i="1" s="1"/>
  <c r="BU15" i="1" s="1"/>
  <c r="BV15" i="1" s="1"/>
  <c r="AN23" i="1"/>
  <c r="AS23" i="1" s="1"/>
  <c r="AT23" i="1" s="1"/>
  <c r="BU23" i="1" s="1"/>
  <c r="BV23" i="1" s="1"/>
  <c r="AN17" i="1"/>
  <c r="AS17" i="1" s="1"/>
  <c r="AT17" i="1" s="1"/>
  <c r="BU17" i="1" s="1"/>
  <c r="BV17" i="1" s="1"/>
  <c r="AN19" i="1"/>
  <c r="AS19" i="1" s="1"/>
  <c r="AT19" i="1" s="1"/>
  <c r="BU19" i="1" s="1"/>
  <c r="BV19" i="1" s="1"/>
  <c r="AN8" i="1"/>
  <c r="AS8" i="1" s="1"/>
  <c r="AT8" i="1" s="1"/>
  <c r="BU8" i="1" s="1"/>
  <c r="BV8" i="1" s="1"/>
  <c r="AG11" i="1"/>
  <c r="AL11" i="1" s="1"/>
  <c r="AM11" i="1" s="1"/>
  <c r="AG20" i="1"/>
  <c r="AL20" i="1" s="1"/>
  <c r="AM20" i="1" s="1"/>
  <c r="AG26" i="1"/>
  <c r="AL26" i="1" s="1"/>
  <c r="AM26" i="1" s="1"/>
  <c r="AG22" i="1"/>
  <c r="AL22" i="1" s="1"/>
  <c r="AM22" i="1" s="1"/>
  <c r="AN16" i="1"/>
  <c r="AS16" i="1" s="1"/>
  <c r="AT16" i="1" s="1"/>
  <c r="BU16" i="1" s="1"/>
  <c r="BV16" i="1" s="1"/>
  <c r="AN27" i="1"/>
  <c r="AS27" i="1" s="1"/>
  <c r="AT27" i="1" s="1"/>
  <c r="BU27" i="1" s="1"/>
  <c r="BV27" i="1" s="1"/>
  <c r="AN24" i="1"/>
  <c r="AS24" i="1" s="1"/>
  <c r="AT24" i="1" s="1"/>
  <c r="BU24" i="1" s="1"/>
  <c r="BV24" i="1" s="1"/>
  <c r="AN28" i="1"/>
  <c r="AS28" i="1" s="1"/>
  <c r="AT28" i="1" s="1"/>
  <c r="BU28" i="1" s="1"/>
  <c r="BV28" i="1" s="1"/>
  <c r="AN26" i="1"/>
  <c r="AS26" i="1" s="1"/>
  <c r="AT26" i="1" s="1"/>
  <c r="BU26" i="1" s="1"/>
  <c r="BV26" i="1" s="1"/>
  <c r="AG13" i="1"/>
  <c r="AL13" i="1" s="1"/>
  <c r="AM13" i="1" s="1"/>
  <c r="AG9" i="1"/>
  <c r="AL9" i="1" s="1"/>
  <c r="AM9" i="1" s="1"/>
  <c r="AG19" i="1"/>
  <c r="AL19" i="1" s="1"/>
  <c r="AM19" i="1" s="1"/>
  <c r="AG28" i="1"/>
  <c r="AL28" i="1" s="1"/>
  <c r="AM28" i="1" s="1"/>
  <c r="AG12" i="1"/>
  <c r="AL12" i="1" s="1"/>
  <c r="AM12" i="1" s="1"/>
  <c r="AN9" i="1"/>
  <c r="AS9" i="1" s="1"/>
  <c r="AT9" i="1" s="1"/>
  <c r="BU9" i="1" s="1"/>
  <c r="BV9" i="1" s="1"/>
  <c r="AN7" i="1"/>
  <c r="AS7" i="1" s="1"/>
  <c r="AT7" i="1" s="1"/>
  <c r="BU7" i="1" s="1"/>
  <c r="BV7" i="1" s="1"/>
  <c r="AN12" i="1"/>
  <c r="AS12" i="1" s="1"/>
  <c r="AT12" i="1" s="1"/>
  <c r="BU12" i="1" s="1"/>
  <c r="BV12" i="1" s="1"/>
  <c r="AN14" i="1"/>
  <c r="AS14" i="1" s="1"/>
  <c r="AT14" i="1" s="1"/>
  <c r="BU14" i="1" s="1"/>
  <c r="BV14" i="1" s="1"/>
  <c r="AG23" i="1"/>
  <c r="AL23" i="1" s="1"/>
  <c r="AM23" i="1" s="1"/>
  <c r="AG16" i="1"/>
  <c r="AL16" i="1" s="1"/>
  <c r="AM16" i="1" s="1"/>
  <c r="AG15" i="1"/>
  <c r="AL15" i="1" s="1"/>
  <c r="AM15" i="1" s="1"/>
  <c r="AG21" i="1"/>
  <c r="AL21" i="1" s="1"/>
  <c r="AM21" i="1" s="1"/>
  <c r="AG14" i="1"/>
  <c r="AL14" i="1" s="1"/>
  <c r="AM14" i="1" s="1"/>
  <c r="AN18" i="1"/>
  <c r="AS18" i="1" s="1"/>
  <c r="AT18" i="1" s="1"/>
  <c r="BU18" i="1" s="1"/>
  <c r="BV18" i="1" s="1"/>
  <c r="AN11" i="1"/>
  <c r="AS11" i="1" s="1"/>
  <c r="AT11" i="1" s="1"/>
  <c r="BU11" i="1" s="1"/>
  <c r="BV11" i="1" s="1"/>
  <c r="AN20" i="1"/>
  <c r="AS20" i="1" s="1"/>
  <c r="AT20" i="1" s="1"/>
  <c r="BU20" i="1" s="1"/>
  <c r="BV20" i="1" s="1"/>
  <c r="AN6" i="1"/>
  <c r="AS6" i="1" s="1"/>
  <c r="AT6" i="1" s="1"/>
  <c r="BU6" i="1" s="1"/>
  <c r="BV6" i="1" s="1"/>
  <c r="AN22" i="1"/>
  <c r="AS22" i="1" s="1"/>
  <c r="AT22" i="1" s="1"/>
  <c r="BV22" i="1" s="1"/>
  <c r="AN25" i="1"/>
  <c r="AS25" i="1" s="1"/>
  <c r="AT25" i="1" s="1"/>
  <c r="BU25" i="1" s="1"/>
  <c r="BV25" i="1" s="1"/>
  <c r="AF6" i="1"/>
  <c r="Z8" i="1"/>
  <c r="AE8" i="1" s="1"/>
  <c r="AF8" i="1" s="1"/>
  <c r="Z28" i="1"/>
  <c r="AE28" i="1" s="1"/>
  <c r="AF28" i="1" s="1"/>
  <c r="Z25" i="1"/>
  <c r="AE25" i="1" s="1"/>
  <c r="AF25" i="1" s="1"/>
  <c r="Z7" i="1"/>
  <c r="AE7" i="1" s="1"/>
  <c r="AF7" i="1" s="1"/>
  <c r="Z10" i="1"/>
  <c r="AE10" i="1" s="1"/>
  <c r="AF10" i="1" s="1"/>
  <c r="Z13" i="1"/>
  <c r="AE13" i="1" s="1"/>
  <c r="AF13" i="1" s="1"/>
  <c r="Z12" i="1"/>
  <c r="AE12" i="1" s="1"/>
  <c r="AF12" i="1" s="1"/>
  <c r="Z16" i="1"/>
  <c r="AE16" i="1" s="1"/>
  <c r="AF16" i="1" s="1"/>
  <c r="Z9" i="1"/>
  <c r="AE9" i="1" s="1"/>
  <c r="Z14" i="1"/>
  <c r="AE14" i="1" s="1"/>
  <c r="AF14" i="1" s="1"/>
  <c r="Z26" i="1"/>
  <c r="AE26" i="1" s="1"/>
  <c r="AF26" i="1" s="1"/>
  <c r="Z17" i="1"/>
  <c r="AE17" i="1" s="1"/>
  <c r="AF17" i="1" s="1"/>
  <c r="Z21" i="1"/>
  <c r="AE21" i="1" s="1"/>
  <c r="AF21" i="1" s="1"/>
  <c r="Z20" i="1"/>
  <c r="AE20" i="1" s="1"/>
  <c r="AF20" i="1" s="1"/>
  <c r="Z15" i="1"/>
  <c r="AE15" i="1" s="1"/>
  <c r="AF15" i="1" s="1"/>
  <c r="Z19" i="1"/>
  <c r="AE19" i="1" s="1"/>
  <c r="AF19" i="1" s="1"/>
  <c r="Z11" i="1"/>
  <c r="AE11" i="1" s="1"/>
  <c r="AF11" i="1" s="1"/>
  <c r="Z23" i="1"/>
  <c r="AE23" i="1" s="1"/>
  <c r="AF23" i="1" s="1"/>
  <c r="Z27" i="1"/>
  <c r="AE27" i="1" s="1"/>
  <c r="AF27" i="1" s="1"/>
  <c r="Z24" i="1"/>
  <c r="AE24" i="1" s="1"/>
  <c r="AF24" i="1" s="1"/>
  <c r="Z18" i="1"/>
  <c r="AE18" i="1" s="1"/>
  <c r="AF18" i="1" s="1"/>
  <c r="Z22" i="1"/>
  <c r="AE22" i="1" s="1"/>
  <c r="AF22" i="1" s="1"/>
  <c r="W29" i="1"/>
  <c r="S24" i="1"/>
  <c r="X24" i="1" s="1"/>
  <c r="Y24" i="1" s="1"/>
  <c r="S18" i="1"/>
  <c r="X18" i="1" s="1"/>
  <c r="Y18" i="1" s="1"/>
  <c r="S21" i="1"/>
  <c r="X21" i="1" s="1"/>
  <c r="Y21" i="1" s="1"/>
  <c r="S7" i="1"/>
  <c r="X7" i="1" s="1"/>
  <c r="S27" i="1"/>
  <c r="X27" i="1" s="1"/>
  <c r="Y27" i="1" s="1"/>
  <c r="S25" i="1"/>
  <c r="X25" i="1" s="1"/>
  <c r="Y25" i="1" s="1"/>
  <c r="S8" i="1"/>
  <c r="X8" i="1" s="1"/>
  <c r="Y8" i="1" s="1"/>
  <c r="S10" i="1"/>
  <c r="X10" i="1" s="1"/>
  <c r="Y10" i="1" s="1"/>
  <c r="S26" i="1"/>
  <c r="X26" i="1" s="1"/>
  <c r="Y26" i="1" s="1"/>
  <c r="S13" i="1"/>
  <c r="X13" i="1" s="1"/>
  <c r="Y13" i="1" s="1"/>
  <c r="S20" i="1"/>
  <c r="X20" i="1" s="1"/>
  <c r="Y20" i="1" s="1"/>
  <c r="S19" i="1"/>
  <c r="X19" i="1" s="1"/>
  <c r="Y19" i="1" s="1"/>
  <c r="S23" i="1"/>
  <c r="X23" i="1" s="1"/>
  <c r="Y23" i="1" s="1"/>
  <c r="S14" i="1"/>
  <c r="X14" i="1" s="1"/>
  <c r="Y14" i="1" s="1"/>
  <c r="S12" i="1"/>
  <c r="X12" i="1" s="1"/>
  <c r="Y12" i="1" s="1"/>
  <c r="S28" i="1"/>
  <c r="X28" i="1" s="1"/>
  <c r="Y28" i="1" s="1"/>
  <c r="S17" i="1"/>
  <c r="X17" i="1" s="1"/>
  <c r="Y17" i="1" s="1"/>
  <c r="S22" i="1"/>
  <c r="X22" i="1" s="1"/>
  <c r="Y22" i="1" s="1"/>
  <c r="S9" i="1"/>
  <c r="X9" i="1" s="1"/>
  <c r="Y9" i="1" s="1"/>
  <c r="S16" i="1"/>
  <c r="X16" i="1" s="1"/>
  <c r="Y16" i="1" s="1"/>
  <c r="S11" i="1"/>
  <c r="X11" i="1" s="1"/>
  <c r="Y11" i="1" s="1"/>
  <c r="S15" i="1"/>
  <c r="X15" i="1" s="1"/>
  <c r="Y15" i="1" s="1"/>
  <c r="AL27" i="1" l="1"/>
  <c r="AM27" i="1" s="1"/>
  <c r="BI29" i="1"/>
  <c r="BN29" i="1" s="1"/>
  <c r="BO29" i="1" s="1"/>
  <c r="AU29" i="1"/>
  <c r="AZ29" i="1" s="1"/>
  <c r="BA29" i="1" s="1"/>
  <c r="BW29" i="1" s="1"/>
  <c r="CB29" i="1" s="1"/>
  <c r="CC29" i="1" s="1"/>
  <c r="BB29" i="1"/>
  <c r="BG29" i="1" s="1"/>
  <c r="BH29" i="1" s="1"/>
  <c r="CI29" i="1" s="1"/>
  <c r="CJ29" i="1" s="1"/>
  <c r="X6" i="1"/>
  <c r="Y6" i="1" s="1"/>
  <c r="AL7" i="1"/>
  <c r="AM7" i="1" s="1"/>
  <c r="Y7" i="1"/>
  <c r="AG29" i="1"/>
  <c r="AN29" i="1"/>
  <c r="AS29" i="1" s="1"/>
  <c r="AT29" i="1" s="1"/>
  <c r="BU29" i="1" s="1"/>
  <c r="BV29" i="1" s="1"/>
  <c r="Z29" i="1"/>
  <c r="AE29" i="1" s="1"/>
  <c r="AF29" i="1" s="1"/>
  <c r="S29" i="1"/>
  <c r="X29" i="1" s="1"/>
  <c r="AL29" i="1" l="1"/>
  <c r="AM29" i="1" s="1"/>
  <c r="Y29" i="1"/>
</calcChain>
</file>

<file path=xl/sharedStrings.xml><?xml version="1.0" encoding="utf-8"?>
<sst xmlns="http://schemas.openxmlformats.org/spreadsheetml/2006/main" count="459" uniqueCount="69">
  <si>
    <t>TEMPORADA</t>
  </si>
  <si>
    <t>MICROCICLO 1</t>
  </si>
  <si>
    <t>MICROCICLO 7</t>
  </si>
  <si>
    <t>JUGADOR</t>
  </si>
  <si>
    <t>MEDIA</t>
  </si>
  <si>
    <t>Jugador 1</t>
  </si>
  <si>
    <t>Jugador 2</t>
  </si>
  <si>
    <t>Jugador 3</t>
  </si>
  <si>
    <t>Jugador 4</t>
  </si>
  <si>
    <t>Jugador 5</t>
  </si>
  <si>
    <t>Jugador 6</t>
  </si>
  <si>
    <t>Jugador 7</t>
  </si>
  <si>
    <t>Jugador 8</t>
  </si>
  <si>
    <t>Jugador 9</t>
  </si>
  <si>
    <t>Jugador 10</t>
  </si>
  <si>
    <t>Jugador 11</t>
  </si>
  <si>
    <t>Jugador 12</t>
  </si>
  <si>
    <t>Jugador 13</t>
  </si>
  <si>
    <t>Jugador 14</t>
  </si>
  <si>
    <t>Jugador 15</t>
  </si>
  <si>
    <t>Jugador 16</t>
  </si>
  <si>
    <t>Jugador 17</t>
  </si>
  <si>
    <t>Jugador 18</t>
  </si>
  <si>
    <t>Jugador 19</t>
  </si>
  <si>
    <t>Jugador 20</t>
  </si>
  <si>
    <t>Jugador 21</t>
  </si>
  <si>
    <t>Jugador 22</t>
  </si>
  <si>
    <t>Jugador 23</t>
  </si>
  <si>
    <t>MICROCICLO 5</t>
  </si>
  <si>
    <t>MICROCICLO 4</t>
  </si>
  <si>
    <t>MICROCICLO 3</t>
  </si>
  <si>
    <t>MICROCICLO 2</t>
  </si>
  <si>
    <t>MICROCICLO 6</t>
  </si>
  <si>
    <t>W</t>
  </si>
  <si>
    <t>Wellness acumulado</t>
  </si>
  <si>
    <t>WELLNESS ACUMULADO CRÓNICO</t>
  </si>
  <si>
    <t>% WELL AGUDO</t>
  </si>
  <si>
    <t>% WELL IDÓNEO</t>
  </si>
  <si>
    <t>MICROCICLO 8</t>
  </si>
  <si>
    <t>MICROCICLO 9</t>
  </si>
  <si>
    <t>MICROCICLO 10</t>
  </si>
  <si>
    <t>MICROCICLO 11</t>
  </si>
  <si>
    <t>MICROCICLO 12</t>
  </si>
  <si>
    <t>MICROCICLO 13</t>
  </si>
  <si>
    <t>MICROCICLO 14</t>
  </si>
  <si>
    <t>MC1</t>
  </si>
  <si>
    <t>MC2</t>
  </si>
  <si>
    <t>MC3</t>
  </si>
  <si>
    <t>MC4</t>
  </si>
  <si>
    <t>MC5</t>
  </si>
  <si>
    <t>MC6</t>
  </si>
  <si>
    <t>MC7</t>
  </si>
  <si>
    <t>MC8</t>
  </si>
  <si>
    <t>MC9</t>
  </si>
  <si>
    <t>MC10</t>
  </si>
  <si>
    <t>MC11</t>
  </si>
  <si>
    <t>MC12</t>
  </si>
  <si>
    <t>MC13</t>
  </si>
  <si>
    <t>MC14</t>
  </si>
  <si>
    <t>NOMBRE</t>
  </si>
  <si>
    <t>S</t>
  </si>
  <si>
    <t>DM</t>
  </si>
  <si>
    <t>E</t>
  </si>
  <si>
    <t>F</t>
  </si>
  <si>
    <t>T</t>
  </si>
  <si>
    <t>SESIÓN 1</t>
  </si>
  <si>
    <t>SESIÓN 2</t>
  </si>
  <si>
    <t>SESIÓN 3</t>
  </si>
  <si>
    <t>@cesarmuni98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</si>
</sst>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4"/>
      <color theme="0"/>
      <name val="Arial"/>
      <family val="2"/>
    </font>
    <font>
      <b/>
      <sz val="11"/>
      <color theme="0"/>
      <name val="Arial"/>
      <family val="2"/>
    </font>
    <font>
      <b/>
      <sz val="12"/>
      <color theme="0"/>
      <name val="Arial"/>
      <family val="2"/>
    </font>
    <font>
      <sz val="8"/>
      <name val="Calibri"/>
      <family val="2"/>
      <scheme val="minor"/>
    </font>
    <font>
      <b/>
      <sz val="9"/>
      <color theme="0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i/>
      <sz val="14"/>
      <color theme="0"/>
      <name val="Arial"/>
      <family val="2"/>
    </font>
    <font>
      <b/>
      <i/>
      <sz val="14"/>
      <color rgb="FFFF0000"/>
      <name val="Arial"/>
      <family val="2"/>
    </font>
    <font>
      <b/>
      <sz val="14"/>
      <color theme="1"/>
      <name val="Arial"/>
      <family val="2"/>
    </font>
    <font>
      <b/>
      <sz val="11"/>
      <color rgb="FFFF0000"/>
      <name val="Arial"/>
      <family val="2"/>
    </font>
    <font>
      <b/>
      <sz val="10"/>
      <color theme="0"/>
      <name val="Arial"/>
      <family val="2"/>
    </font>
    <font>
      <b/>
      <sz val="12"/>
      <color rgb="FF002060"/>
      <name val="Arial"/>
      <family val="2"/>
    </font>
    <font>
      <b/>
      <sz val="12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2"/>
      <color theme="7"/>
      <name val="Calibri"/>
      <family val="2"/>
      <scheme val="minor"/>
    </font>
    <font>
      <sz val="12"/>
      <color theme="7"/>
      <name val="Calibri"/>
      <family val="2"/>
      <scheme val="minor"/>
    </font>
    <font>
      <sz val="11"/>
      <color theme="1"/>
      <name val="Amasis MT Pro Black"/>
      <family val="1"/>
    </font>
  </fonts>
  <fills count="16">
    <fill>
      <patternFill patternType="none"/>
    </fill>
    <fill>
      <patternFill patternType="gray125"/>
    </fill>
    <fill>
      <patternFill patternType="solid">
        <fgColor rgb="FFFF818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2F2F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FF3333"/>
        <bgColor indexed="64"/>
      </patternFill>
    </fill>
  </fills>
  <borders count="6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0">
    <xf numFmtId="0" fontId="0" fillId="0" borderId="0" xfId="0"/>
    <xf numFmtId="0" fontId="1" fillId="2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8" fillId="0" borderId="3" xfId="0" applyFont="1" applyBorder="1" applyAlignment="1">
      <alignment horizontal="left" vertical="center" wrapText="1"/>
    </xf>
    <xf numFmtId="0" fontId="6" fillId="4" borderId="24" xfId="0" applyFont="1" applyFill="1" applyBorder="1" applyAlignment="1">
      <alignment horizontal="center" vertical="center"/>
    </xf>
    <xf numFmtId="0" fontId="6" fillId="4" borderId="13" xfId="0" applyFont="1" applyFill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6" fillId="4" borderId="14" xfId="0" applyFont="1" applyFill="1" applyBorder="1" applyAlignment="1">
      <alignment horizontal="center" vertical="center"/>
    </xf>
    <xf numFmtId="0" fontId="6" fillId="4" borderId="15" xfId="0" applyFont="1" applyFill="1" applyBorder="1" applyAlignment="1">
      <alignment horizontal="center" vertical="center"/>
    </xf>
    <xf numFmtId="0" fontId="4" fillId="5" borderId="9" xfId="0" applyFont="1" applyFill="1" applyBorder="1" applyAlignment="1">
      <alignment horizontal="center" vertical="center"/>
    </xf>
    <xf numFmtId="0" fontId="4" fillId="5" borderId="11" xfId="0" applyFont="1" applyFill="1" applyBorder="1" applyAlignment="1">
      <alignment horizontal="center" vertical="center"/>
    </xf>
    <xf numFmtId="164" fontId="3" fillId="3" borderId="28" xfId="0" applyNumberFormat="1" applyFont="1" applyFill="1" applyBorder="1" applyAlignment="1">
      <alignment horizontal="center" vertical="center"/>
    </xf>
    <xf numFmtId="164" fontId="3" fillId="3" borderId="29" xfId="0" applyNumberFormat="1" applyFont="1" applyFill="1" applyBorder="1" applyAlignment="1">
      <alignment horizontal="center" vertical="center"/>
    </xf>
    <xf numFmtId="164" fontId="3" fillId="3" borderId="25" xfId="0" applyNumberFormat="1" applyFont="1" applyFill="1" applyBorder="1" applyAlignment="1">
      <alignment horizontal="center" vertical="center"/>
    </xf>
    <xf numFmtId="164" fontId="3" fillId="3" borderId="26" xfId="0" applyNumberFormat="1" applyFont="1" applyFill="1" applyBorder="1" applyAlignment="1">
      <alignment horizontal="center" vertical="center"/>
    </xf>
    <xf numFmtId="164" fontId="3" fillId="3" borderId="27" xfId="0" applyNumberFormat="1" applyFont="1" applyFill="1" applyBorder="1" applyAlignment="1">
      <alignment horizontal="center" vertical="center"/>
    </xf>
    <xf numFmtId="0" fontId="11" fillId="0" borderId="32" xfId="0" applyFont="1" applyBorder="1" applyAlignment="1">
      <alignment horizontal="center" vertical="center"/>
    </xf>
    <xf numFmtId="0" fontId="6" fillId="4" borderId="19" xfId="0" applyFont="1" applyFill="1" applyBorder="1" applyAlignment="1">
      <alignment horizontal="center" vertical="center"/>
    </xf>
    <xf numFmtId="0" fontId="4" fillId="5" borderId="18" xfId="0" applyFont="1" applyFill="1" applyBorder="1" applyAlignment="1">
      <alignment horizontal="center" vertical="center"/>
    </xf>
    <xf numFmtId="0" fontId="11" fillId="0" borderId="35" xfId="0" applyFont="1" applyBorder="1" applyAlignment="1">
      <alignment horizontal="center" vertical="center"/>
    </xf>
    <xf numFmtId="0" fontId="6" fillId="4" borderId="16" xfId="0" applyFont="1" applyFill="1" applyBorder="1" applyAlignment="1">
      <alignment horizontal="center" vertical="center"/>
    </xf>
    <xf numFmtId="0" fontId="4" fillId="5" borderId="12" xfId="0" applyFont="1" applyFill="1" applyBorder="1" applyAlignment="1">
      <alignment horizontal="center" vertical="center"/>
    </xf>
    <xf numFmtId="0" fontId="6" fillId="4" borderId="36" xfId="0" applyFont="1" applyFill="1" applyBorder="1" applyAlignment="1">
      <alignment horizontal="center" vertical="center"/>
    </xf>
    <xf numFmtId="0" fontId="6" fillId="4" borderId="17" xfId="0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11" fillId="0" borderId="37" xfId="0" applyFont="1" applyBorder="1" applyAlignment="1">
      <alignment horizontal="center" vertical="center"/>
    </xf>
    <xf numFmtId="164" fontId="3" fillId="3" borderId="39" xfId="0" applyNumberFormat="1" applyFont="1" applyFill="1" applyBorder="1" applyAlignment="1">
      <alignment horizontal="center" vertical="center"/>
    </xf>
    <xf numFmtId="1" fontId="9" fillId="4" borderId="40" xfId="0" applyNumberFormat="1" applyFont="1" applyFill="1" applyBorder="1" applyAlignment="1">
      <alignment horizontal="center" vertical="center"/>
    </xf>
    <xf numFmtId="1" fontId="7" fillId="0" borderId="7" xfId="0" applyNumberFormat="1" applyFont="1" applyBorder="1" applyAlignment="1">
      <alignment horizontal="center" vertical="center"/>
    </xf>
    <xf numFmtId="1" fontId="7" fillId="0" borderId="8" xfId="0" applyNumberFormat="1" applyFont="1" applyBorder="1" applyAlignment="1">
      <alignment horizontal="center" vertical="center"/>
    </xf>
    <xf numFmtId="0" fontId="11" fillId="8" borderId="38" xfId="0" applyFont="1" applyFill="1" applyBorder="1" applyAlignment="1">
      <alignment horizontal="center" vertical="center"/>
    </xf>
    <xf numFmtId="1" fontId="9" fillId="4" borderId="32" xfId="0" applyNumberFormat="1" applyFont="1" applyFill="1" applyBorder="1" applyAlignment="1">
      <alignment horizontal="center" vertical="center"/>
    </xf>
    <xf numFmtId="1" fontId="7" fillId="10" borderId="8" xfId="0" applyNumberFormat="1" applyFont="1" applyFill="1" applyBorder="1" applyAlignment="1">
      <alignment horizontal="center" vertical="center"/>
    </xf>
    <xf numFmtId="0" fontId="6" fillId="4" borderId="48" xfId="0" applyFont="1" applyFill="1" applyBorder="1" applyAlignment="1">
      <alignment horizontal="center" vertical="center"/>
    </xf>
    <xf numFmtId="1" fontId="9" fillId="4" borderId="50" xfId="0" applyNumberFormat="1" applyFont="1" applyFill="1" applyBorder="1" applyAlignment="1">
      <alignment horizontal="center" vertical="center"/>
    </xf>
    <xf numFmtId="0" fontId="11" fillId="8" borderId="42" xfId="0" applyFont="1" applyFill="1" applyBorder="1" applyAlignment="1">
      <alignment horizontal="center" vertical="center"/>
    </xf>
    <xf numFmtId="1" fontId="7" fillId="0" borderId="38" xfId="0" applyNumberFormat="1" applyFont="1" applyBorder="1" applyAlignment="1">
      <alignment horizontal="center" vertical="center"/>
    </xf>
    <xf numFmtId="1" fontId="7" fillId="10" borderId="38" xfId="0" applyNumberFormat="1" applyFont="1" applyFill="1" applyBorder="1" applyAlignment="1">
      <alignment horizontal="center" vertical="center"/>
    </xf>
    <xf numFmtId="0" fontId="8" fillId="8" borderId="7" xfId="0" applyFont="1" applyFill="1" applyBorder="1" applyAlignment="1">
      <alignment horizontal="center" vertical="center"/>
    </xf>
    <xf numFmtId="1" fontId="9" fillId="4" borderId="35" xfId="0" applyNumberFormat="1" applyFont="1" applyFill="1" applyBorder="1" applyAlignment="1">
      <alignment horizontal="center" vertical="center"/>
    </xf>
    <xf numFmtId="0" fontId="11" fillId="8" borderId="54" xfId="0" applyFont="1" applyFill="1" applyBorder="1" applyAlignment="1">
      <alignment horizontal="center" vertical="center"/>
    </xf>
    <xf numFmtId="1" fontId="7" fillId="0" borderId="51" xfId="0" applyNumberFormat="1" applyFont="1" applyBorder="1" applyAlignment="1">
      <alignment horizontal="center" vertical="center"/>
    </xf>
    <xf numFmtId="1" fontId="7" fillId="0" borderId="52" xfId="0" applyNumberFormat="1" applyFont="1" applyBorder="1" applyAlignment="1">
      <alignment horizontal="center" vertical="center"/>
    </xf>
    <xf numFmtId="1" fontId="9" fillId="4" borderId="55" xfId="0" applyNumberFormat="1" applyFont="1" applyFill="1" applyBorder="1" applyAlignment="1">
      <alignment horizontal="center" vertical="center"/>
    </xf>
    <xf numFmtId="0" fontId="11" fillId="8" borderId="56" xfId="0" applyFont="1" applyFill="1" applyBorder="1" applyAlignment="1">
      <alignment horizontal="center" vertical="center"/>
    </xf>
    <xf numFmtId="0" fontId="8" fillId="8" borderId="51" xfId="0" applyFont="1" applyFill="1" applyBorder="1" applyAlignment="1">
      <alignment horizontal="center" vertical="center"/>
    </xf>
    <xf numFmtId="1" fontId="7" fillId="0" borderId="54" xfId="0" applyNumberFormat="1" applyFont="1" applyBorder="1" applyAlignment="1">
      <alignment horizontal="center" vertical="center"/>
    </xf>
    <xf numFmtId="164" fontId="2" fillId="3" borderId="27" xfId="0" applyNumberFormat="1" applyFont="1" applyFill="1" applyBorder="1" applyAlignment="1">
      <alignment horizontal="center" vertical="center"/>
    </xf>
    <xf numFmtId="164" fontId="10" fillId="3" borderId="47" xfId="0" applyNumberFormat="1" applyFont="1" applyFill="1" applyBorder="1" applyAlignment="1">
      <alignment horizontal="center" vertical="center"/>
    </xf>
    <xf numFmtId="164" fontId="3" fillId="3" borderId="57" xfId="0" applyNumberFormat="1" applyFont="1" applyFill="1" applyBorder="1" applyAlignment="1">
      <alignment horizontal="center" vertical="center"/>
    </xf>
    <xf numFmtId="164" fontId="3" fillId="3" borderId="58" xfId="0" applyNumberFormat="1" applyFont="1" applyFill="1" applyBorder="1" applyAlignment="1">
      <alignment horizontal="center" vertical="center"/>
    </xf>
    <xf numFmtId="164" fontId="2" fillId="3" borderId="23" xfId="0" applyNumberFormat="1" applyFont="1" applyFill="1" applyBorder="1" applyAlignment="1">
      <alignment horizontal="center" vertical="center"/>
    </xf>
    <xf numFmtId="1" fontId="11" fillId="0" borderId="25" xfId="0" applyNumberFormat="1" applyFont="1" applyBorder="1" applyAlignment="1">
      <alignment horizontal="center" vertical="center"/>
    </xf>
    <xf numFmtId="1" fontId="11" fillId="0" borderId="27" xfId="0" applyNumberFormat="1" applyFont="1" applyBorder="1" applyAlignment="1">
      <alignment horizontal="center" vertical="center"/>
    </xf>
    <xf numFmtId="164" fontId="10" fillId="3" borderId="46" xfId="0" applyNumberFormat="1" applyFont="1" applyFill="1" applyBorder="1" applyAlignment="1">
      <alignment horizontal="center" vertical="center"/>
    </xf>
    <xf numFmtId="164" fontId="2" fillId="3" borderId="46" xfId="0" applyNumberFormat="1" applyFont="1" applyFill="1" applyBorder="1" applyAlignment="1">
      <alignment horizontal="center" vertical="center"/>
    </xf>
    <xf numFmtId="1" fontId="11" fillId="0" borderId="23" xfId="0" applyNumberFormat="1" applyFont="1" applyBorder="1" applyAlignment="1">
      <alignment horizontal="center" vertical="center"/>
    </xf>
    <xf numFmtId="1" fontId="11" fillId="0" borderId="47" xfId="0" applyNumberFormat="1" applyFont="1" applyBorder="1" applyAlignment="1">
      <alignment horizontal="center" vertical="center"/>
    </xf>
    <xf numFmtId="0" fontId="8" fillId="0" borderId="20" xfId="0" applyFont="1" applyBorder="1" applyAlignment="1">
      <alignment horizontal="left" vertical="center" wrapText="1"/>
    </xf>
    <xf numFmtId="0" fontId="3" fillId="6" borderId="23" xfId="0" applyFont="1" applyFill="1" applyBorder="1" applyAlignment="1">
      <alignment horizontal="left" vertical="center"/>
    </xf>
    <xf numFmtId="164" fontId="2" fillId="3" borderId="25" xfId="0" applyNumberFormat="1" applyFont="1" applyFill="1" applyBorder="1" applyAlignment="1">
      <alignment horizontal="center" vertical="center"/>
    </xf>
    <xf numFmtId="164" fontId="10" fillId="3" borderId="23" xfId="0" applyNumberFormat="1" applyFont="1" applyFill="1" applyBorder="1" applyAlignment="1">
      <alignment horizontal="center" vertical="center"/>
    </xf>
    <xf numFmtId="0" fontId="11" fillId="8" borderId="53" xfId="0" applyFont="1" applyFill="1" applyBorder="1" applyAlignment="1">
      <alignment horizontal="center" vertical="center"/>
    </xf>
    <xf numFmtId="1" fontId="7" fillId="0" borderId="24" xfId="0" applyNumberFormat="1" applyFont="1" applyBorder="1" applyAlignment="1">
      <alignment horizontal="center" vertical="center"/>
    </xf>
    <xf numFmtId="1" fontId="7" fillId="0" borderId="48" xfId="0" applyNumberFormat="1" applyFont="1" applyBorder="1" applyAlignment="1">
      <alignment horizontal="center" vertical="center"/>
    </xf>
    <xf numFmtId="0" fontId="8" fillId="8" borderId="24" xfId="0" applyFont="1" applyFill="1" applyBorder="1" applyAlignment="1">
      <alignment horizontal="center" vertical="center"/>
    </xf>
    <xf numFmtId="1" fontId="7" fillId="0" borderId="49" xfId="0" applyNumberFormat="1" applyFont="1" applyBorder="1" applyAlignment="1">
      <alignment horizontal="center" vertical="center"/>
    </xf>
    <xf numFmtId="1" fontId="9" fillId="4" borderId="37" xfId="0" applyNumberFormat="1" applyFont="1" applyFill="1" applyBorder="1" applyAlignment="1">
      <alignment horizontal="center" vertical="center"/>
    </xf>
    <xf numFmtId="0" fontId="11" fillId="8" borderId="49" xfId="0" applyFont="1" applyFill="1" applyBorder="1" applyAlignment="1">
      <alignment horizontal="center" vertical="center"/>
    </xf>
    <xf numFmtId="0" fontId="4" fillId="5" borderId="10" xfId="0" applyFont="1" applyFill="1" applyBorder="1" applyAlignment="1">
      <alignment horizontal="center" vertical="center"/>
    </xf>
    <xf numFmtId="1" fontId="7" fillId="11" borderId="38" xfId="0" applyNumberFormat="1" applyFont="1" applyFill="1" applyBorder="1" applyAlignment="1">
      <alignment horizontal="center" vertical="center"/>
    </xf>
    <xf numFmtId="1" fontId="7" fillId="12" borderId="38" xfId="0" applyNumberFormat="1" applyFont="1" applyFill="1" applyBorder="1" applyAlignment="1">
      <alignment horizontal="center" vertical="center"/>
    </xf>
    <xf numFmtId="1" fontId="7" fillId="13" borderId="38" xfId="0" applyNumberFormat="1" applyFont="1" applyFill="1" applyBorder="1" applyAlignment="1">
      <alignment horizontal="center" vertical="center"/>
    </xf>
    <xf numFmtId="1" fontId="7" fillId="13" borderId="49" xfId="0" applyNumberFormat="1" applyFont="1" applyFill="1" applyBorder="1" applyAlignment="1">
      <alignment horizontal="center" vertical="center"/>
    </xf>
    <xf numFmtId="0" fontId="11" fillId="8" borderId="36" xfId="0" applyFont="1" applyFill="1" applyBorder="1" applyAlignment="1">
      <alignment horizontal="center" vertical="center"/>
    </xf>
    <xf numFmtId="0" fontId="11" fillId="8" borderId="4" xfId="0" applyFont="1" applyFill="1" applyBorder="1" applyAlignment="1">
      <alignment horizontal="center" vertical="center"/>
    </xf>
    <xf numFmtId="0" fontId="11" fillId="8" borderId="34" xfId="0" applyFont="1" applyFill="1" applyBorder="1" applyAlignment="1">
      <alignment horizontal="center" vertical="center"/>
    </xf>
    <xf numFmtId="0" fontId="3" fillId="14" borderId="15" xfId="0" applyFont="1" applyFill="1" applyBorder="1" applyAlignment="1">
      <alignment horizontal="center" vertical="center"/>
    </xf>
    <xf numFmtId="0" fontId="3" fillId="14" borderId="16" xfId="0" applyFont="1" applyFill="1" applyBorder="1" applyAlignment="1">
      <alignment horizontal="center" vertical="center"/>
    </xf>
    <xf numFmtId="0" fontId="3" fillId="14" borderId="11" xfId="0" applyFont="1" applyFill="1" applyBorder="1" applyAlignment="1">
      <alignment horizontal="center" vertical="center"/>
    </xf>
    <xf numFmtId="0" fontId="3" fillId="14" borderId="12" xfId="0" applyFont="1" applyFill="1" applyBorder="1" applyAlignment="1">
      <alignment horizontal="center" vertical="center"/>
    </xf>
    <xf numFmtId="0" fontId="3" fillId="14" borderId="62" xfId="0" applyFont="1" applyFill="1" applyBorder="1" applyAlignment="1">
      <alignment horizontal="center" vertical="center"/>
    </xf>
    <xf numFmtId="0" fontId="3" fillId="14" borderId="10" xfId="0" applyFont="1" applyFill="1" applyBorder="1" applyAlignment="1">
      <alignment horizontal="center" vertical="center"/>
    </xf>
    <xf numFmtId="0" fontId="12" fillId="0" borderId="48" xfId="0" applyFont="1" applyBorder="1" applyAlignment="1">
      <alignment horizontal="center" vertical="center"/>
    </xf>
    <xf numFmtId="1" fontId="12" fillId="0" borderId="8" xfId="0" applyNumberFormat="1" applyFont="1" applyBorder="1" applyAlignment="1">
      <alignment horizontal="center" vertical="center"/>
    </xf>
    <xf numFmtId="164" fontId="14" fillId="0" borderId="9" xfId="0" applyNumberFormat="1" applyFont="1" applyBorder="1" applyAlignment="1">
      <alignment horizontal="center" vertical="center"/>
    </xf>
    <xf numFmtId="164" fontId="4" fillId="3" borderId="9" xfId="0" applyNumberFormat="1" applyFont="1" applyFill="1" applyBorder="1" applyAlignment="1">
      <alignment horizontal="center" vertical="center"/>
    </xf>
    <xf numFmtId="0" fontId="4" fillId="5" borderId="28" xfId="0" applyFont="1" applyFill="1" applyBorder="1" applyAlignment="1">
      <alignment horizontal="center" vertical="center"/>
    </xf>
    <xf numFmtId="0" fontId="4" fillId="5" borderId="29" xfId="0" applyFont="1" applyFill="1" applyBorder="1" applyAlignment="1">
      <alignment horizontal="center" vertical="center"/>
    </xf>
    <xf numFmtId="0" fontId="4" fillId="5" borderId="65" xfId="0" applyFont="1" applyFill="1" applyBorder="1" applyAlignment="1">
      <alignment horizontal="center" vertical="center"/>
    </xf>
    <xf numFmtId="0" fontId="4" fillId="5" borderId="39" xfId="0" applyFont="1" applyFill="1" applyBorder="1" applyAlignment="1">
      <alignment horizontal="center" vertical="center"/>
    </xf>
    <xf numFmtId="0" fontId="4" fillId="5" borderId="24" xfId="0" applyFont="1" applyFill="1" applyBorder="1" applyAlignment="1">
      <alignment horizontal="center" vertical="center"/>
    </xf>
    <xf numFmtId="0" fontId="4" fillId="5" borderId="13" xfId="0" applyFont="1" applyFill="1" applyBorder="1" applyAlignment="1">
      <alignment horizontal="center" vertical="center"/>
    </xf>
    <xf numFmtId="0" fontId="4" fillId="5" borderId="48" xfId="0" applyFont="1" applyFill="1" applyBorder="1" applyAlignment="1">
      <alignment horizontal="center" vertical="center"/>
    </xf>
    <xf numFmtId="0" fontId="4" fillId="5" borderId="36" xfId="0" applyFont="1" applyFill="1" applyBorder="1" applyAlignment="1">
      <alignment horizontal="center" vertical="center"/>
    </xf>
    <xf numFmtId="0" fontId="4" fillId="5" borderId="17" xfId="0" applyFont="1" applyFill="1" applyBorder="1" applyAlignment="1">
      <alignment horizontal="center" vertical="center"/>
    </xf>
    <xf numFmtId="0" fontId="17" fillId="14" borderId="51" xfId="0" applyFont="1" applyFill="1" applyBorder="1" applyAlignment="1">
      <alignment horizontal="center" vertical="center"/>
    </xf>
    <xf numFmtId="0" fontId="17" fillId="14" borderId="21" xfId="0" applyFont="1" applyFill="1" applyBorder="1" applyAlignment="1">
      <alignment horizontal="center" vertical="center"/>
    </xf>
    <xf numFmtId="0" fontId="17" fillId="14" borderId="52" xfId="0" applyFont="1" applyFill="1" applyBorder="1" applyAlignment="1">
      <alignment horizontal="center" vertical="center"/>
    </xf>
    <xf numFmtId="0" fontId="15" fillId="14" borderId="15" xfId="0" applyFont="1" applyFill="1" applyBorder="1" applyAlignment="1">
      <alignment horizontal="center" vertical="center"/>
    </xf>
    <xf numFmtId="0" fontId="15" fillId="14" borderId="19" xfId="0" applyFont="1" applyFill="1" applyBorder="1" applyAlignment="1">
      <alignment horizontal="center" vertical="center"/>
    </xf>
    <xf numFmtId="0" fontId="15" fillId="14" borderId="62" xfId="0" applyFont="1" applyFill="1" applyBorder="1" applyAlignment="1">
      <alignment horizontal="center" vertical="center"/>
    </xf>
    <xf numFmtId="0" fontId="15" fillId="14" borderId="14" xfId="0" applyFont="1" applyFill="1" applyBorder="1" applyAlignment="1">
      <alignment horizontal="center" vertical="center"/>
    </xf>
    <xf numFmtId="0" fontId="15" fillId="14" borderId="16" xfId="0" applyFont="1" applyFill="1" applyBorder="1" applyAlignment="1">
      <alignment horizontal="center" vertical="center"/>
    </xf>
    <xf numFmtId="0" fontId="18" fillId="14" borderId="34" xfId="0" applyFont="1" applyFill="1" applyBorder="1" applyAlignment="1">
      <alignment horizontal="center" vertical="center"/>
    </xf>
    <xf numFmtId="0" fontId="18" fillId="14" borderId="21" xfId="0" applyFont="1" applyFill="1" applyBorder="1" applyAlignment="1">
      <alignment horizontal="center" vertical="center"/>
    </xf>
    <xf numFmtId="0" fontId="18" fillId="14" borderId="20" xfId="0" applyFont="1" applyFill="1" applyBorder="1" applyAlignment="1">
      <alignment horizontal="center" vertical="center"/>
    </xf>
    <xf numFmtId="0" fontId="15" fillId="14" borderId="31" xfId="0" applyFont="1" applyFill="1" applyBorder="1" applyAlignment="1">
      <alignment horizontal="center" vertical="center"/>
    </xf>
    <xf numFmtId="0" fontId="15" fillId="14" borderId="32" xfId="0" applyFont="1" applyFill="1" applyBorder="1" applyAlignment="1">
      <alignment horizontal="center" vertical="center"/>
    </xf>
    <xf numFmtId="0" fontId="15" fillId="14" borderId="33" xfId="0" applyFont="1" applyFill="1" applyBorder="1" applyAlignment="1">
      <alignment horizontal="center" vertical="center"/>
    </xf>
    <xf numFmtId="0" fontId="0" fillId="9" borderId="0" xfId="0" applyFill="1"/>
    <xf numFmtId="0" fontId="1" fillId="9" borderId="0" xfId="0" applyFont="1" applyFill="1"/>
    <xf numFmtId="0" fontId="4" fillId="5" borderId="31" xfId="0" applyFont="1" applyFill="1" applyBorder="1"/>
    <xf numFmtId="0" fontId="1" fillId="0" borderId="37" xfId="0" applyFont="1" applyBorder="1" applyAlignment="1">
      <alignment wrapText="1"/>
    </xf>
    <xf numFmtId="0" fontId="13" fillId="15" borderId="33" xfId="0" applyFont="1" applyFill="1" applyBorder="1"/>
    <xf numFmtId="0" fontId="0" fillId="8" borderId="0" xfId="0" applyFill="1"/>
    <xf numFmtId="0" fontId="19" fillId="8" borderId="0" xfId="0" quotePrefix="1" applyFont="1" applyFill="1"/>
    <xf numFmtId="0" fontId="17" fillId="14" borderId="14" xfId="0" applyFont="1" applyFill="1" applyBorder="1" applyAlignment="1">
      <alignment horizontal="center" vertical="center"/>
    </xf>
    <xf numFmtId="0" fontId="17" fillId="14" borderId="15" xfId="0" applyFont="1" applyFill="1" applyBorder="1" applyAlignment="1">
      <alignment horizontal="center" vertical="center"/>
    </xf>
    <xf numFmtId="0" fontId="17" fillId="14" borderId="16" xfId="0" applyFont="1" applyFill="1" applyBorder="1" applyAlignment="1">
      <alignment horizontal="center" vertical="center"/>
    </xf>
    <xf numFmtId="0" fontId="16" fillId="14" borderId="14" xfId="0" applyFont="1" applyFill="1" applyBorder="1" applyAlignment="1">
      <alignment horizontal="center" vertical="center"/>
    </xf>
    <xf numFmtId="0" fontId="16" fillId="14" borderId="15" xfId="0" applyFont="1" applyFill="1" applyBorder="1" applyAlignment="1">
      <alignment horizontal="center" vertical="center"/>
    </xf>
    <xf numFmtId="0" fontId="16" fillId="14" borderId="16" xfId="0" applyFont="1" applyFill="1" applyBorder="1" applyAlignment="1">
      <alignment horizontal="center" vertical="center"/>
    </xf>
    <xf numFmtId="0" fontId="16" fillId="14" borderId="7" xfId="0" applyFont="1" applyFill="1" applyBorder="1" applyAlignment="1">
      <alignment horizontal="center" vertical="center"/>
    </xf>
    <xf numFmtId="0" fontId="16" fillId="14" borderId="5" xfId="0" applyFont="1" applyFill="1" applyBorder="1" applyAlignment="1">
      <alignment horizontal="center" vertical="center"/>
    </xf>
    <xf numFmtId="0" fontId="16" fillId="14" borderId="8" xfId="0" applyFont="1" applyFill="1" applyBorder="1" applyAlignment="1">
      <alignment horizontal="center" vertical="center"/>
    </xf>
    <xf numFmtId="0" fontId="16" fillId="14" borderId="9" xfId="0" applyFont="1" applyFill="1" applyBorder="1" applyAlignment="1">
      <alignment horizontal="center" vertical="center"/>
    </xf>
    <xf numFmtId="0" fontId="16" fillId="14" borderId="11" xfId="0" applyFont="1" applyFill="1" applyBorder="1" applyAlignment="1">
      <alignment horizontal="center" vertical="center"/>
    </xf>
    <xf numFmtId="0" fontId="16" fillId="14" borderId="12" xfId="0" applyFont="1" applyFill="1" applyBorder="1" applyAlignment="1">
      <alignment horizontal="center" vertical="center"/>
    </xf>
    <xf numFmtId="0" fontId="18" fillId="14" borderId="62" xfId="0" applyFont="1" applyFill="1" applyBorder="1" applyAlignment="1">
      <alignment horizontal="center" vertical="center"/>
    </xf>
    <xf numFmtId="0" fontId="18" fillId="14" borderId="15" xfId="0" applyFont="1" applyFill="1" applyBorder="1" applyAlignment="1">
      <alignment horizontal="center" vertical="center"/>
    </xf>
    <xf numFmtId="0" fontId="18" fillId="14" borderId="19" xfId="0" applyFont="1" applyFill="1" applyBorder="1" applyAlignment="1">
      <alignment horizontal="center" vertical="center"/>
    </xf>
    <xf numFmtId="0" fontId="4" fillId="5" borderId="45" xfId="0" applyFont="1" applyFill="1" applyBorder="1" applyAlignment="1">
      <alignment horizontal="center" vertical="center"/>
    </xf>
    <xf numFmtId="0" fontId="4" fillId="5" borderId="46" xfId="0" applyFont="1" applyFill="1" applyBorder="1" applyAlignment="1">
      <alignment horizontal="center" vertical="center"/>
    </xf>
    <xf numFmtId="0" fontId="4" fillId="5" borderId="47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4" fillId="4" borderId="66" xfId="0" applyFont="1" applyFill="1" applyBorder="1" applyAlignment="1">
      <alignment horizontal="center" vertical="center"/>
    </xf>
    <xf numFmtId="0" fontId="4" fillId="4" borderId="67" xfId="0" applyFont="1" applyFill="1" applyBorder="1" applyAlignment="1">
      <alignment horizontal="center" vertical="center"/>
    </xf>
    <xf numFmtId="0" fontId="2" fillId="3" borderId="45" xfId="0" applyFont="1" applyFill="1" applyBorder="1" applyAlignment="1">
      <alignment horizontal="center" vertical="center"/>
    </xf>
    <xf numFmtId="0" fontId="2" fillId="3" borderId="46" xfId="0" applyFont="1" applyFill="1" applyBorder="1" applyAlignment="1">
      <alignment horizontal="center" vertical="center"/>
    </xf>
    <xf numFmtId="0" fontId="2" fillId="3" borderId="47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63" xfId="0" applyFont="1" applyFill="1" applyBorder="1" applyAlignment="1">
      <alignment horizontal="center" vertical="center"/>
    </xf>
    <xf numFmtId="0" fontId="4" fillId="4" borderId="45" xfId="0" applyFont="1" applyFill="1" applyBorder="1" applyAlignment="1">
      <alignment horizontal="center" vertical="center"/>
    </xf>
    <xf numFmtId="0" fontId="4" fillId="4" borderId="46" xfId="0" applyFont="1" applyFill="1" applyBorder="1" applyAlignment="1">
      <alignment horizontal="center" vertical="center"/>
    </xf>
    <xf numFmtId="0" fontId="4" fillId="4" borderId="47" xfId="0" applyFont="1" applyFill="1" applyBorder="1" applyAlignment="1">
      <alignment horizontal="center" vertical="center"/>
    </xf>
    <xf numFmtId="0" fontId="2" fillId="3" borderId="22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4" borderId="31" xfId="0" applyFont="1" applyFill="1" applyBorder="1" applyAlignment="1">
      <alignment horizontal="center" vertical="center" wrapText="1"/>
    </xf>
    <xf numFmtId="0" fontId="3" fillId="4" borderId="32" xfId="0" applyFont="1" applyFill="1" applyBorder="1" applyAlignment="1">
      <alignment horizontal="center" vertical="center" wrapText="1"/>
    </xf>
    <xf numFmtId="0" fontId="3" fillId="4" borderId="33" xfId="0" applyFont="1" applyFill="1" applyBorder="1" applyAlignment="1">
      <alignment horizontal="center" vertical="center" wrapText="1"/>
    </xf>
    <xf numFmtId="0" fontId="4" fillId="4" borderId="25" xfId="0" applyFont="1" applyFill="1" applyBorder="1" applyAlignment="1">
      <alignment horizontal="center" vertical="center"/>
    </xf>
    <xf numFmtId="0" fontId="4" fillId="4" borderId="26" xfId="0" applyFont="1" applyFill="1" applyBorder="1" applyAlignment="1">
      <alignment horizontal="center" vertical="center"/>
    </xf>
    <xf numFmtId="0" fontId="4" fillId="4" borderId="27" xfId="0" applyFont="1" applyFill="1" applyBorder="1" applyAlignment="1">
      <alignment horizontal="center" vertical="center"/>
    </xf>
    <xf numFmtId="0" fontId="3" fillId="7" borderId="37" xfId="0" applyFont="1" applyFill="1" applyBorder="1" applyAlignment="1">
      <alignment horizontal="center" vertical="center" wrapText="1"/>
    </xf>
    <xf numFmtId="0" fontId="3" fillId="7" borderId="33" xfId="0" applyFont="1" applyFill="1" applyBorder="1" applyAlignment="1">
      <alignment horizontal="center" vertical="center" wrapText="1"/>
    </xf>
    <xf numFmtId="0" fontId="3" fillId="4" borderId="59" xfId="0" applyFont="1" applyFill="1" applyBorder="1" applyAlignment="1">
      <alignment horizontal="center" vertical="center" wrapText="1"/>
    </xf>
    <xf numFmtId="0" fontId="3" fillId="4" borderId="39" xfId="0" applyFont="1" applyFill="1" applyBorder="1" applyAlignment="1">
      <alignment horizontal="center" vertical="center" wrapText="1"/>
    </xf>
    <xf numFmtId="0" fontId="3" fillId="4" borderId="60" xfId="0" applyFont="1" applyFill="1" applyBorder="1" applyAlignment="1">
      <alignment horizontal="center" vertical="center" wrapText="1"/>
    </xf>
    <xf numFmtId="0" fontId="3" fillId="4" borderId="61" xfId="0" applyFont="1" applyFill="1" applyBorder="1" applyAlignment="1">
      <alignment horizontal="center" vertical="center" wrapText="1"/>
    </xf>
    <xf numFmtId="0" fontId="3" fillId="7" borderId="31" xfId="0" applyFont="1" applyFill="1" applyBorder="1" applyAlignment="1">
      <alignment horizontal="center" vertical="center" wrapText="1"/>
    </xf>
    <xf numFmtId="0" fontId="4" fillId="14" borderId="2" xfId="0" applyFont="1" applyFill="1" applyBorder="1" applyAlignment="1">
      <alignment horizontal="center" vertical="center"/>
    </xf>
    <xf numFmtId="0" fontId="4" fillId="14" borderId="63" xfId="0" applyFont="1" applyFill="1" applyBorder="1" applyAlignment="1">
      <alignment horizontal="center" vertical="center"/>
    </xf>
    <xf numFmtId="0" fontId="4" fillId="14" borderId="64" xfId="0" applyFont="1" applyFill="1" applyBorder="1" applyAlignment="1">
      <alignment horizontal="center" vertical="center"/>
    </xf>
    <xf numFmtId="0" fontId="4" fillId="14" borderId="22" xfId="0" applyFont="1" applyFill="1" applyBorder="1" applyAlignment="1">
      <alignment horizontal="center" vertical="center"/>
    </xf>
    <xf numFmtId="0" fontId="4" fillId="14" borderId="1" xfId="0" applyFont="1" applyFill="1" applyBorder="1" applyAlignment="1">
      <alignment horizontal="center" vertical="center"/>
    </xf>
    <xf numFmtId="0" fontId="4" fillId="14" borderId="65" xfId="0" applyFont="1" applyFill="1" applyBorder="1" applyAlignment="1">
      <alignment horizontal="center" vertical="center"/>
    </xf>
    <xf numFmtId="0" fontId="3" fillId="7" borderId="6" xfId="0" applyFont="1" applyFill="1" applyBorder="1" applyAlignment="1">
      <alignment horizontal="center" vertical="center" wrapText="1"/>
    </xf>
    <xf numFmtId="0" fontId="3" fillId="7" borderId="43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3" fillId="4" borderId="22" xfId="0" applyFont="1" applyFill="1" applyBorder="1" applyAlignment="1">
      <alignment horizontal="center" vertical="center" wrapText="1"/>
    </xf>
    <xf numFmtId="0" fontId="3" fillId="4" borderId="30" xfId="0" applyFont="1" applyFill="1" applyBorder="1" applyAlignment="1">
      <alignment horizontal="center" vertical="center" wrapText="1"/>
    </xf>
    <xf numFmtId="0" fontId="3" fillId="4" borderId="41" xfId="0" applyFont="1" applyFill="1" applyBorder="1" applyAlignment="1">
      <alignment horizontal="center" vertical="center" wrapText="1"/>
    </xf>
    <xf numFmtId="0" fontId="3" fillId="4" borderId="44" xfId="0" applyFont="1" applyFill="1" applyBorder="1" applyAlignment="1">
      <alignment horizontal="center" vertical="center" wrapText="1"/>
    </xf>
  </cellXfs>
  <cellStyles count="1">
    <cellStyle name="Normal" xfId="0" builtinId="0"/>
  </cellStyles>
  <dxfs count="157"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FFFF33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FF4F"/>
        </patternFill>
      </fill>
    </dxf>
    <dxf>
      <font>
        <color auto="1"/>
      </font>
      <fill>
        <patternFill>
          <bgColor rgb="FFFF2F2F"/>
        </patternFill>
      </fill>
    </dxf>
    <dxf>
      <fill>
        <patternFill>
          <bgColor theme="7" tint="0.39994506668294322"/>
        </patternFill>
      </fill>
    </dxf>
    <dxf>
      <font>
        <color auto="1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s-ES"/>
              <a:t>SUEÑO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'WELLNESS DIARIO'!$F$35:$AU$35</c:f>
              <c:numCache>
                <c:formatCode>General</c:formatCode>
                <c:ptCount val="4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3</c:v>
                </c:pt>
                <c:pt idx="17">
                  <c:v>1</c:v>
                </c:pt>
                <c:pt idx="18">
                  <c:v>2</c:v>
                </c:pt>
                <c:pt idx="19">
                  <c:v>1</c:v>
                </c:pt>
                <c:pt idx="20">
                  <c:v>5</c:v>
                </c:pt>
                <c:pt idx="21">
                  <c:v>2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4</c:v>
                </c:pt>
                <c:pt idx="28">
                  <c:v>1</c:v>
                </c:pt>
                <c:pt idx="29">
                  <c:v>2</c:v>
                </c:pt>
                <c:pt idx="30">
                  <c:v>4</c:v>
                </c:pt>
                <c:pt idx="31">
                  <c:v>2</c:v>
                </c:pt>
                <c:pt idx="32">
                  <c:v>2</c:v>
                </c:pt>
                <c:pt idx="33">
                  <c:v>4</c:v>
                </c:pt>
                <c:pt idx="34">
                  <c:v>2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1</c:v>
                </c:pt>
                <c:pt idx="39">
                  <c:v>3</c:v>
                </c:pt>
                <c:pt idx="40">
                  <c:v>2</c:v>
                </c:pt>
                <c:pt idx="4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36-4D0F-857A-39EB75FCD9E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762495440"/>
        <c:axId val="762495856"/>
      </c:barChart>
      <c:catAx>
        <c:axId val="762495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s-ES"/>
          </a:p>
        </c:txPr>
        <c:crossAx val="762495856"/>
        <c:crosses val="autoZero"/>
        <c:auto val="1"/>
        <c:lblAlgn val="ctr"/>
        <c:lblOffset val="100"/>
        <c:noMultiLvlLbl val="0"/>
      </c:catAx>
      <c:valAx>
        <c:axId val="76249585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762495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s-ES"/>
              <a:t>DOLOR MUSCULAR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'WELLNESS DIARIO'!$F$36:$AU$36</c:f>
              <c:numCache>
                <c:formatCode>General</c:formatCode>
                <c:ptCount val="42"/>
                <c:pt idx="0">
                  <c:v>3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1</c:v>
                </c:pt>
                <c:pt idx="12">
                  <c:v>3</c:v>
                </c:pt>
                <c:pt idx="13">
                  <c:v>2</c:v>
                </c:pt>
                <c:pt idx="14">
                  <c:v>2</c:v>
                </c:pt>
                <c:pt idx="15">
                  <c:v>3</c:v>
                </c:pt>
                <c:pt idx="16">
                  <c:v>5</c:v>
                </c:pt>
                <c:pt idx="17">
                  <c:v>2</c:v>
                </c:pt>
                <c:pt idx="18">
                  <c:v>3</c:v>
                </c:pt>
                <c:pt idx="19">
                  <c:v>1</c:v>
                </c:pt>
                <c:pt idx="20">
                  <c:v>3</c:v>
                </c:pt>
                <c:pt idx="21">
                  <c:v>2</c:v>
                </c:pt>
                <c:pt idx="22">
                  <c:v>4</c:v>
                </c:pt>
                <c:pt idx="23">
                  <c:v>3</c:v>
                </c:pt>
                <c:pt idx="24">
                  <c:v>1</c:v>
                </c:pt>
                <c:pt idx="25">
                  <c:v>4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4</c:v>
                </c:pt>
                <c:pt idx="31">
                  <c:v>2</c:v>
                </c:pt>
                <c:pt idx="32">
                  <c:v>2</c:v>
                </c:pt>
                <c:pt idx="33">
                  <c:v>3</c:v>
                </c:pt>
                <c:pt idx="34">
                  <c:v>4</c:v>
                </c:pt>
                <c:pt idx="35">
                  <c:v>4</c:v>
                </c:pt>
                <c:pt idx="36">
                  <c:v>1</c:v>
                </c:pt>
                <c:pt idx="37">
                  <c:v>4</c:v>
                </c:pt>
                <c:pt idx="38">
                  <c:v>3</c:v>
                </c:pt>
                <c:pt idx="39">
                  <c:v>3</c:v>
                </c:pt>
                <c:pt idx="40">
                  <c:v>1</c:v>
                </c:pt>
                <c:pt idx="4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5F-42AB-A988-CB45F609987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762495440"/>
        <c:axId val="762495856"/>
      </c:barChart>
      <c:catAx>
        <c:axId val="762495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s-ES"/>
          </a:p>
        </c:txPr>
        <c:crossAx val="762495856"/>
        <c:crosses val="autoZero"/>
        <c:auto val="1"/>
        <c:lblAlgn val="ctr"/>
        <c:lblOffset val="100"/>
        <c:noMultiLvlLbl val="0"/>
      </c:catAx>
      <c:valAx>
        <c:axId val="76249585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762495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s-ES"/>
              <a:t>ESTRÉS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'WELLNESS DIARIO'!$F$37:$AU$37</c:f>
              <c:numCache>
                <c:formatCode>General</c:formatCode>
                <c:ptCount val="42"/>
                <c:pt idx="0">
                  <c:v>4</c:v>
                </c:pt>
                <c:pt idx="1">
                  <c:v>5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3</c:v>
                </c:pt>
                <c:pt idx="9">
                  <c:v>3</c:v>
                </c:pt>
                <c:pt idx="10">
                  <c:v>4</c:v>
                </c:pt>
                <c:pt idx="11">
                  <c:v>3</c:v>
                </c:pt>
                <c:pt idx="12">
                  <c:v>3</c:v>
                </c:pt>
                <c:pt idx="13">
                  <c:v>5</c:v>
                </c:pt>
                <c:pt idx="14">
                  <c:v>4</c:v>
                </c:pt>
                <c:pt idx="15">
                  <c:v>2</c:v>
                </c:pt>
                <c:pt idx="16">
                  <c:v>1</c:v>
                </c:pt>
                <c:pt idx="17">
                  <c:v>1</c:v>
                </c:pt>
                <c:pt idx="18">
                  <c:v>4</c:v>
                </c:pt>
                <c:pt idx="19">
                  <c:v>5</c:v>
                </c:pt>
                <c:pt idx="20">
                  <c:v>1</c:v>
                </c:pt>
                <c:pt idx="21">
                  <c:v>1</c:v>
                </c:pt>
                <c:pt idx="22">
                  <c:v>2</c:v>
                </c:pt>
                <c:pt idx="23">
                  <c:v>2</c:v>
                </c:pt>
                <c:pt idx="24">
                  <c:v>4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2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4</c:v>
                </c:pt>
                <c:pt idx="33">
                  <c:v>1</c:v>
                </c:pt>
                <c:pt idx="34">
                  <c:v>2</c:v>
                </c:pt>
                <c:pt idx="35">
                  <c:v>1</c:v>
                </c:pt>
                <c:pt idx="36">
                  <c:v>2</c:v>
                </c:pt>
                <c:pt idx="37">
                  <c:v>4</c:v>
                </c:pt>
                <c:pt idx="38">
                  <c:v>3</c:v>
                </c:pt>
                <c:pt idx="39">
                  <c:v>1</c:v>
                </c:pt>
                <c:pt idx="40">
                  <c:v>3</c:v>
                </c:pt>
                <c:pt idx="4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F6-46DA-9C37-CDF3095307F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762495440"/>
        <c:axId val="762495856"/>
      </c:barChart>
      <c:catAx>
        <c:axId val="762495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s-ES"/>
          </a:p>
        </c:txPr>
        <c:crossAx val="762495856"/>
        <c:crosses val="autoZero"/>
        <c:auto val="1"/>
        <c:lblAlgn val="ctr"/>
        <c:lblOffset val="100"/>
        <c:noMultiLvlLbl val="0"/>
      </c:catAx>
      <c:valAx>
        <c:axId val="76249585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762495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s-ES"/>
              <a:t>FATIGA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'WELLNESS DIARIO'!$F$38:$AU$38</c:f>
              <c:numCache>
                <c:formatCode>General</c:formatCode>
                <c:ptCount val="4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2</c:v>
                </c:pt>
                <c:pt idx="15">
                  <c:v>4</c:v>
                </c:pt>
                <c:pt idx="16">
                  <c:v>2</c:v>
                </c:pt>
                <c:pt idx="17">
                  <c:v>1</c:v>
                </c:pt>
                <c:pt idx="18">
                  <c:v>2</c:v>
                </c:pt>
                <c:pt idx="19">
                  <c:v>1</c:v>
                </c:pt>
                <c:pt idx="20">
                  <c:v>4</c:v>
                </c:pt>
                <c:pt idx="21">
                  <c:v>1</c:v>
                </c:pt>
                <c:pt idx="22">
                  <c:v>4</c:v>
                </c:pt>
                <c:pt idx="23">
                  <c:v>4</c:v>
                </c:pt>
                <c:pt idx="24">
                  <c:v>2</c:v>
                </c:pt>
                <c:pt idx="25">
                  <c:v>3</c:v>
                </c:pt>
                <c:pt idx="26">
                  <c:v>2</c:v>
                </c:pt>
                <c:pt idx="27">
                  <c:v>4</c:v>
                </c:pt>
                <c:pt idx="28">
                  <c:v>1</c:v>
                </c:pt>
                <c:pt idx="29">
                  <c:v>1</c:v>
                </c:pt>
                <c:pt idx="30">
                  <c:v>4</c:v>
                </c:pt>
                <c:pt idx="31">
                  <c:v>2</c:v>
                </c:pt>
                <c:pt idx="32">
                  <c:v>2</c:v>
                </c:pt>
                <c:pt idx="33">
                  <c:v>1</c:v>
                </c:pt>
                <c:pt idx="34">
                  <c:v>2</c:v>
                </c:pt>
                <c:pt idx="35">
                  <c:v>3</c:v>
                </c:pt>
                <c:pt idx="36">
                  <c:v>3</c:v>
                </c:pt>
                <c:pt idx="37">
                  <c:v>5</c:v>
                </c:pt>
                <c:pt idx="38">
                  <c:v>3</c:v>
                </c:pt>
                <c:pt idx="39">
                  <c:v>2</c:v>
                </c:pt>
                <c:pt idx="40">
                  <c:v>4</c:v>
                </c:pt>
                <c:pt idx="4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22-48F5-83C4-972EA48AF5E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762495440"/>
        <c:axId val="762495856"/>
      </c:barChart>
      <c:catAx>
        <c:axId val="762495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s-ES"/>
          </a:p>
        </c:txPr>
        <c:crossAx val="762495856"/>
        <c:crosses val="autoZero"/>
        <c:auto val="1"/>
        <c:lblAlgn val="ctr"/>
        <c:lblOffset val="100"/>
        <c:noMultiLvlLbl val="0"/>
      </c:catAx>
      <c:valAx>
        <c:axId val="76249585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762495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s-ES"/>
              <a:t>WELLNESS TOTAL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'WELLNESS DIARIO'!$F$39:$AU$39</c:f>
              <c:numCache>
                <c:formatCode>General</c:formatCode>
                <c:ptCount val="42"/>
                <c:pt idx="0">
                  <c:v>11</c:v>
                </c:pt>
                <c:pt idx="1">
                  <c:v>13</c:v>
                </c:pt>
                <c:pt idx="2">
                  <c:v>10</c:v>
                </c:pt>
                <c:pt idx="3">
                  <c:v>9</c:v>
                </c:pt>
                <c:pt idx="4">
                  <c:v>11</c:v>
                </c:pt>
                <c:pt idx="5">
                  <c:v>9</c:v>
                </c:pt>
                <c:pt idx="6">
                  <c:v>9</c:v>
                </c:pt>
                <c:pt idx="7">
                  <c:v>12</c:v>
                </c:pt>
                <c:pt idx="8">
                  <c:v>9</c:v>
                </c:pt>
                <c:pt idx="9">
                  <c:v>8</c:v>
                </c:pt>
                <c:pt idx="10">
                  <c:v>10</c:v>
                </c:pt>
                <c:pt idx="11">
                  <c:v>6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5</c:v>
                </c:pt>
                <c:pt idx="18">
                  <c:v>11</c:v>
                </c:pt>
                <c:pt idx="19">
                  <c:v>8</c:v>
                </c:pt>
                <c:pt idx="20">
                  <c:v>13</c:v>
                </c:pt>
                <c:pt idx="21">
                  <c:v>6</c:v>
                </c:pt>
                <c:pt idx="22">
                  <c:v>11</c:v>
                </c:pt>
                <c:pt idx="23">
                  <c:v>10</c:v>
                </c:pt>
                <c:pt idx="24">
                  <c:v>8</c:v>
                </c:pt>
                <c:pt idx="25">
                  <c:v>10</c:v>
                </c:pt>
                <c:pt idx="26">
                  <c:v>9</c:v>
                </c:pt>
                <c:pt idx="27">
                  <c:v>14</c:v>
                </c:pt>
                <c:pt idx="28">
                  <c:v>6</c:v>
                </c:pt>
                <c:pt idx="29">
                  <c:v>8</c:v>
                </c:pt>
                <c:pt idx="30">
                  <c:v>15</c:v>
                </c:pt>
                <c:pt idx="31">
                  <c:v>9</c:v>
                </c:pt>
                <c:pt idx="32">
                  <c:v>10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9</c:v>
                </c:pt>
                <c:pt idx="37">
                  <c:v>16</c:v>
                </c:pt>
                <c:pt idx="38">
                  <c:v>10</c:v>
                </c:pt>
                <c:pt idx="39">
                  <c:v>9</c:v>
                </c:pt>
                <c:pt idx="40">
                  <c:v>10</c:v>
                </c:pt>
                <c:pt idx="4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6C-44E3-9295-F42133F8B61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762495440"/>
        <c:axId val="762495856"/>
      </c:barChart>
      <c:catAx>
        <c:axId val="762495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s-ES"/>
          </a:p>
        </c:txPr>
        <c:crossAx val="762495856"/>
        <c:crosses val="autoZero"/>
        <c:auto val="1"/>
        <c:lblAlgn val="ctr"/>
        <c:lblOffset val="100"/>
        <c:noMultiLvlLbl val="0"/>
      </c:catAx>
      <c:valAx>
        <c:axId val="76249585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762495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WELLNESS ACUMULADO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'WELLNESS CRÓNICO'!$C$33</c:f>
              <c:strCache>
                <c:ptCount val="1"/>
                <c:pt idx="0">
                  <c:v>Jugador 21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'WELLNESS CRÓNICO'!$F$33:$S$33</c:f>
              <c:strCache>
                <c:ptCount val="14"/>
                <c:pt idx="0">
                  <c:v>MC1</c:v>
                </c:pt>
                <c:pt idx="1">
                  <c:v>MC2</c:v>
                </c:pt>
                <c:pt idx="2">
                  <c:v>MC3</c:v>
                </c:pt>
                <c:pt idx="3">
                  <c:v>MC4</c:v>
                </c:pt>
                <c:pt idx="4">
                  <c:v>MC5</c:v>
                </c:pt>
                <c:pt idx="5">
                  <c:v>MC6</c:v>
                </c:pt>
                <c:pt idx="6">
                  <c:v>MC7</c:v>
                </c:pt>
                <c:pt idx="7">
                  <c:v>MC8</c:v>
                </c:pt>
                <c:pt idx="8">
                  <c:v>MC9</c:v>
                </c:pt>
                <c:pt idx="9">
                  <c:v>MC10</c:v>
                </c:pt>
                <c:pt idx="10">
                  <c:v>MC11</c:v>
                </c:pt>
                <c:pt idx="11">
                  <c:v>MC12</c:v>
                </c:pt>
                <c:pt idx="12">
                  <c:v>MC13</c:v>
                </c:pt>
                <c:pt idx="13">
                  <c:v>MC14</c:v>
                </c:pt>
              </c:strCache>
            </c:strRef>
          </c:cat>
          <c:val>
            <c:numRef>
              <c:f>'WELLNESS CRÓNICO'!$F$34:$S$34</c:f>
              <c:numCache>
                <c:formatCode>General</c:formatCode>
                <c:ptCount val="14"/>
                <c:pt idx="0">
                  <c:v>25</c:v>
                </c:pt>
                <c:pt idx="1">
                  <c:v>27</c:v>
                </c:pt>
                <c:pt idx="2">
                  <c:v>28</c:v>
                </c:pt>
                <c:pt idx="3">
                  <c:v>27</c:v>
                </c:pt>
                <c:pt idx="4">
                  <c:v>27</c:v>
                </c:pt>
                <c:pt idx="5">
                  <c:v>36</c:v>
                </c:pt>
                <c:pt idx="6">
                  <c:v>44</c:v>
                </c:pt>
                <c:pt idx="7">
                  <c:v>32</c:v>
                </c:pt>
                <c:pt idx="8">
                  <c:v>31</c:v>
                </c:pt>
                <c:pt idx="9">
                  <c:v>31</c:v>
                </c:pt>
                <c:pt idx="10">
                  <c:v>27</c:v>
                </c:pt>
                <c:pt idx="11">
                  <c:v>30</c:v>
                </c:pt>
                <c:pt idx="12">
                  <c:v>32</c:v>
                </c:pt>
                <c:pt idx="1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00-46FB-A3A2-0DEADE6DE49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118655599"/>
        <c:axId val="1118657263"/>
      </c:lineChart>
      <c:catAx>
        <c:axId val="1118655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18657263"/>
        <c:crosses val="autoZero"/>
        <c:auto val="1"/>
        <c:lblAlgn val="ctr"/>
        <c:lblOffset val="100"/>
        <c:noMultiLvlLbl val="0"/>
      </c:catAx>
      <c:valAx>
        <c:axId val="111865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186555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640080</xdr:colOff>
      <xdr:row>31</xdr:row>
      <xdr:rowOff>160019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971182A0-3211-AD70-4E58-3AE61DF276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772400" cy="5829299"/>
        </a:xfrm>
        <a:prstGeom prst="rect">
          <a:avLst/>
        </a:prstGeom>
      </xdr:spPr>
    </xdr:pic>
    <xdr:clientData/>
  </xdr:twoCellAnchor>
  <xdr:twoCellAnchor editAs="oneCell">
    <xdr:from>
      <xdr:col>11</xdr:col>
      <xdr:colOff>161924</xdr:colOff>
      <xdr:row>3</xdr:row>
      <xdr:rowOff>45839</xdr:rowOff>
    </xdr:from>
    <xdr:to>
      <xdr:col>21</xdr:col>
      <xdr:colOff>436625</xdr:colOff>
      <xdr:row>28</xdr:row>
      <xdr:rowOff>122968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3C9D32F6-44F8-B49F-4DBD-314B867807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048749" y="588764"/>
          <a:ext cx="8180451" cy="460150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40</xdr:row>
      <xdr:rowOff>66674</xdr:rowOff>
    </xdr:from>
    <xdr:to>
      <xdr:col>46</xdr:col>
      <xdr:colOff>304800</xdr:colOff>
      <xdr:row>58</xdr:row>
      <xdr:rowOff>57149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E57537B-01B5-2FC7-121E-2AFEEF6B3C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1228725</xdr:colOff>
      <xdr:row>58</xdr:row>
      <xdr:rowOff>161925</xdr:rowOff>
    </xdr:from>
    <xdr:to>
      <xdr:col>46</xdr:col>
      <xdr:colOff>295275</xdr:colOff>
      <xdr:row>76</xdr:row>
      <xdr:rowOff>152400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7C98180-2AA4-47A8-9687-835D0A17FE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77</xdr:row>
      <xdr:rowOff>47625</xdr:rowOff>
    </xdr:from>
    <xdr:to>
      <xdr:col>46</xdr:col>
      <xdr:colOff>304800</xdr:colOff>
      <xdr:row>95</xdr:row>
      <xdr:rowOff>38100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160AB6C-2D5C-4E9F-B68F-C581AB15EE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96</xdr:row>
      <xdr:rowOff>0</xdr:rowOff>
    </xdr:from>
    <xdr:to>
      <xdr:col>46</xdr:col>
      <xdr:colOff>304800</xdr:colOff>
      <xdr:row>113</xdr:row>
      <xdr:rowOff>171450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5509D9BA-7A6D-4EFB-83F6-F245353C2D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115</xdr:row>
      <xdr:rowOff>0</xdr:rowOff>
    </xdr:from>
    <xdr:to>
      <xdr:col>46</xdr:col>
      <xdr:colOff>304800</xdr:colOff>
      <xdr:row>132</xdr:row>
      <xdr:rowOff>171450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9F4B5DB6-0F92-4CEA-8607-D723D280B9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21771</xdr:colOff>
      <xdr:row>35</xdr:row>
      <xdr:rowOff>103412</xdr:rowOff>
    </xdr:from>
    <xdr:to>
      <xdr:col>31</xdr:col>
      <xdr:colOff>228600</xdr:colOff>
      <xdr:row>63</xdr:row>
      <xdr:rowOff>119742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801D1C5-5BF9-06BC-564F-A5EF1B857D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8409F-F8B1-4603-A79B-952C9468C400}">
  <dimension ref="K7:K31"/>
  <sheetViews>
    <sheetView zoomScale="80" zoomScaleNormal="80" workbookViewId="0">
      <selection activeCell="K10" sqref="K10"/>
    </sheetView>
  </sheetViews>
  <sheetFormatPr baseColWidth="10" defaultRowHeight="14.4" x14ac:dyDescent="0.3"/>
  <cols>
    <col min="1" max="10" width="11.5546875" style="121"/>
    <col min="11" max="11" width="19.77734375" style="121" customWidth="1"/>
    <col min="12" max="16384" width="11.5546875" style="121"/>
  </cols>
  <sheetData>
    <row r="7" spans="11:11" x14ac:dyDescent="0.3">
      <c r="K7" s="122" t="s">
        <v>68</v>
      </c>
    </row>
    <row r="13" spans="11:11" x14ac:dyDescent="0.3">
      <c r="K13" s="122" t="s">
        <v>68</v>
      </c>
    </row>
    <row r="19" spans="11:11" x14ac:dyDescent="0.3">
      <c r="K19" s="122" t="s">
        <v>68</v>
      </c>
    </row>
    <row r="25" spans="11:11" x14ac:dyDescent="0.3">
      <c r="K25" s="122" t="s">
        <v>68</v>
      </c>
    </row>
    <row r="31" spans="11:11" x14ac:dyDescent="0.3">
      <c r="K31" s="122" t="s">
        <v>68</v>
      </c>
    </row>
  </sheetData>
  <sheetProtection algorithmName="SHA-512" hashValue="pKJ8pqFuI4w6iF5MYyNYBOYrdhlIXaLNLUlTVjInggq1z9tHaqVXsL8A+yb9UQO2Tm/CmqdNGM3vZ1uurm/XmA==" saltValue="B55tnx5Wb91RGouZmPcirQ==" spinCount="100000" sheet="1" objects="1" scenarios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95156-D91C-433B-A7CC-B4DD98D13571}">
  <dimension ref="A1:JN505"/>
  <sheetViews>
    <sheetView tabSelected="1" zoomScale="40" zoomScaleNormal="40" workbookViewId="0">
      <pane xSplit="1" topLeftCell="B1" activePane="topRight" state="frozen"/>
      <selection pane="topRight" activeCell="F35" sqref="F35"/>
    </sheetView>
  </sheetViews>
  <sheetFormatPr baseColWidth="10" defaultRowHeight="14.4" x14ac:dyDescent="0.3"/>
  <cols>
    <col min="1" max="1" width="18" customWidth="1"/>
    <col min="2" max="211" width="5.5546875" customWidth="1"/>
    <col min="212" max="274" width="11.5546875" style="116"/>
  </cols>
  <sheetData>
    <row r="1" spans="1:211" ht="15" customHeight="1" thickBot="1" x14ac:dyDescent="0.35">
      <c r="A1" s="117"/>
      <c r="B1" s="144" t="s">
        <v>0</v>
      </c>
      <c r="C1" s="145"/>
      <c r="D1" s="145"/>
      <c r="E1" s="145"/>
      <c r="F1" s="145"/>
      <c r="G1" s="145"/>
      <c r="H1" s="145"/>
      <c r="I1" s="145"/>
      <c r="J1" s="145"/>
      <c r="K1" s="145"/>
      <c r="L1" s="145"/>
      <c r="M1" s="145"/>
      <c r="N1" s="145"/>
      <c r="O1" s="145"/>
      <c r="P1" s="145"/>
      <c r="Q1" s="145"/>
      <c r="R1" s="145"/>
      <c r="S1" s="145"/>
      <c r="T1" s="145"/>
      <c r="U1" s="145"/>
      <c r="V1" s="145"/>
      <c r="W1" s="145"/>
      <c r="X1" s="145"/>
      <c r="Y1" s="145"/>
      <c r="Z1" s="145"/>
      <c r="AA1" s="145"/>
      <c r="AB1" s="145"/>
      <c r="AC1" s="145"/>
      <c r="AD1" s="145"/>
      <c r="AE1" s="145"/>
      <c r="AF1" s="145"/>
      <c r="AG1" s="145"/>
      <c r="AH1" s="145"/>
      <c r="AI1" s="145"/>
      <c r="AJ1" s="145"/>
      <c r="AK1" s="145"/>
      <c r="AL1" s="145"/>
      <c r="AM1" s="145"/>
      <c r="AN1" s="145"/>
      <c r="AO1" s="145"/>
      <c r="AP1" s="145"/>
      <c r="AQ1" s="145"/>
      <c r="AR1" s="145"/>
      <c r="AS1" s="145"/>
      <c r="AT1" s="145"/>
      <c r="AU1" s="145"/>
      <c r="AV1" s="145"/>
      <c r="AW1" s="145"/>
      <c r="AX1" s="145"/>
      <c r="AY1" s="145"/>
      <c r="AZ1" s="145"/>
      <c r="BA1" s="145"/>
      <c r="BB1" s="145"/>
      <c r="BC1" s="145"/>
      <c r="BD1" s="145"/>
      <c r="BE1" s="145"/>
      <c r="BF1" s="145"/>
      <c r="BG1" s="145"/>
      <c r="BH1" s="145"/>
      <c r="BI1" s="145"/>
      <c r="BJ1" s="145"/>
      <c r="BK1" s="145"/>
      <c r="BL1" s="145"/>
      <c r="BM1" s="145"/>
      <c r="BN1" s="145"/>
      <c r="BO1" s="145"/>
      <c r="BP1" s="145"/>
      <c r="BQ1" s="145"/>
      <c r="BR1" s="145"/>
      <c r="BS1" s="145"/>
      <c r="BT1" s="145"/>
      <c r="BU1" s="145"/>
      <c r="BV1" s="145"/>
      <c r="BW1" s="145"/>
      <c r="BX1" s="145"/>
      <c r="BY1" s="145"/>
      <c r="BZ1" s="145"/>
      <c r="CA1" s="145"/>
      <c r="CB1" s="145"/>
      <c r="CC1" s="145"/>
      <c r="CD1" s="145"/>
      <c r="CE1" s="145"/>
      <c r="CF1" s="145"/>
      <c r="CG1" s="145"/>
      <c r="CH1" s="145"/>
      <c r="CI1" s="145"/>
      <c r="CJ1" s="145"/>
      <c r="CK1" s="145"/>
      <c r="CL1" s="145"/>
      <c r="CM1" s="145"/>
      <c r="CN1" s="145"/>
      <c r="CO1" s="145"/>
      <c r="CP1" s="145"/>
      <c r="CQ1" s="145"/>
      <c r="CR1" s="145"/>
      <c r="CS1" s="145"/>
      <c r="CT1" s="145"/>
      <c r="CU1" s="145"/>
      <c r="CV1" s="145"/>
      <c r="CW1" s="145"/>
      <c r="CX1" s="145"/>
      <c r="CY1" s="145"/>
      <c r="CZ1" s="145"/>
      <c r="DA1" s="145"/>
      <c r="DB1" s="145"/>
      <c r="DC1" s="145"/>
      <c r="DD1" s="145"/>
      <c r="DE1" s="145"/>
      <c r="DF1" s="145"/>
      <c r="DG1" s="145"/>
      <c r="DH1" s="145"/>
      <c r="DI1" s="145"/>
      <c r="DJ1" s="145"/>
      <c r="DK1" s="145"/>
      <c r="DL1" s="145"/>
      <c r="DM1" s="145"/>
      <c r="DN1" s="145"/>
      <c r="DO1" s="145"/>
      <c r="DP1" s="145"/>
      <c r="DQ1" s="145"/>
      <c r="DR1" s="145"/>
      <c r="DS1" s="145"/>
      <c r="DT1" s="145"/>
      <c r="DU1" s="145"/>
      <c r="DV1" s="145"/>
      <c r="DW1" s="145"/>
      <c r="DX1" s="145"/>
      <c r="DY1" s="145"/>
      <c r="DZ1" s="145"/>
      <c r="EA1" s="145"/>
      <c r="EB1" s="145"/>
      <c r="EC1" s="145"/>
      <c r="ED1" s="145"/>
      <c r="EE1" s="145"/>
      <c r="EF1" s="145"/>
      <c r="EG1" s="145"/>
      <c r="EH1" s="145"/>
      <c r="EI1" s="145"/>
      <c r="EJ1" s="145"/>
      <c r="EK1" s="145"/>
      <c r="EL1" s="145"/>
      <c r="EM1" s="145"/>
      <c r="EN1" s="145"/>
      <c r="EO1" s="145"/>
      <c r="EP1" s="145"/>
      <c r="EQ1" s="145"/>
      <c r="ER1" s="145"/>
      <c r="ES1" s="145"/>
      <c r="ET1" s="145"/>
      <c r="EU1" s="145"/>
      <c r="EV1" s="145"/>
      <c r="EW1" s="145"/>
      <c r="EX1" s="145"/>
      <c r="EY1" s="145"/>
      <c r="EZ1" s="145"/>
      <c r="FA1" s="145"/>
      <c r="FB1" s="145"/>
      <c r="FC1" s="145"/>
      <c r="FD1" s="145"/>
      <c r="FE1" s="145"/>
      <c r="FF1" s="145"/>
      <c r="FG1" s="145"/>
      <c r="FH1" s="145"/>
      <c r="FI1" s="145"/>
      <c r="FJ1" s="145"/>
      <c r="FK1" s="145"/>
      <c r="FL1" s="145"/>
      <c r="FM1" s="145"/>
      <c r="FN1" s="145"/>
      <c r="FO1" s="145"/>
      <c r="FP1" s="145"/>
      <c r="FQ1" s="145"/>
      <c r="FR1" s="145"/>
      <c r="FS1" s="145"/>
      <c r="FT1" s="145"/>
      <c r="FU1" s="145"/>
      <c r="FV1" s="145"/>
      <c r="FW1" s="145"/>
      <c r="FX1" s="145"/>
      <c r="FY1" s="145"/>
      <c r="FZ1" s="145"/>
      <c r="GA1" s="145"/>
      <c r="GB1" s="145"/>
      <c r="GC1" s="145"/>
      <c r="GD1" s="145"/>
      <c r="GE1" s="145"/>
      <c r="GF1" s="145"/>
      <c r="GG1" s="145"/>
      <c r="GH1" s="145"/>
      <c r="GI1" s="145"/>
      <c r="GJ1" s="145"/>
      <c r="GK1" s="145"/>
      <c r="GL1" s="145"/>
      <c r="GM1" s="145"/>
      <c r="GN1" s="145"/>
      <c r="GO1" s="145"/>
      <c r="GP1" s="145"/>
      <c r="GQ1" s="145"/>
      <c r="GR1" s="145"/>
      <c r="GS1" s="145"/>
      <c r="GT1" s="145"/>
      <c r="GU1" s="145"/>
      <c r="GV1" s="145"/>
      <c r="GW1" s="145"/>
      <c r="GX1" s="145"/>
      <c r="GY1" s="145"/>
      <c r="GZ1" s="145"/>
      <c r="HA1" s="145"/>
      <c r="HB1" s="145"/>
      <c r="HC1" s="146"/>
    </row>
    <row r="2" spans="1:211" ht="15" customHeight="1" thickBot="1" x14ac:dyDescent="0.35">
      <c r="A2" s="117"/>
      <c r="B2" s="147" t="s">
        <v>1</v>
      </c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7" t="s">
        <v>31</v>
      </c>
      <c r="R2" s="148"/>
      <c r="S2" s="148"/>
      <c r="T2" s="148"/>
      <c r="U2" s="148"/>
      <c r="V2" s="148"/>
      <c r="W2" s="148"/>
      <c r="X2" s="148"/>
      <c r="Y2" s="148"/>
      <c r="Z2" s="148"/>
      <c r="AA2" s="142"/>
      <c r="AB2" s="142"/>
      <c r="AC2" s="142"/>
      <c r="AD2" s="142"/>
      <c r="AE2" s="143"/>
      <c r="AF2" s="141" t="s">
        <v>30</v>
      </c>
      <c r="AG2" s="142"/>
      <c r="AH2" s="142"/>
      <c r="AI2" s="142"/>
      <c r="AJ2" s="142"/>
      <c r="AK2" s="142"/>
      <c r="AL2" s="142"/>
      <c r="AM2" s="142"/>
      <c r="AN2" s="142"/>
      <c r="AO2" s="142"/>
      <c r="AP2" s="142"/>
      <c r="AQ2" s="142"/>
      <c r="AR2" s="142"/>
      <c r="AS2" s="142"/>
      <c r="AT2" s="143"/>
      <c r="AU2" s="141" t="s">
        <v>29</v>
      </c>
      <c r="AV2" s="142"/>
      <c r="AW2" s="142"/>
      <c r="AX2" s="142"/>
      <c r="AY2" s="142"/>
      <c r="AZ2" s="142"/>
      <c r="BA2" s="142"/>
      <c r="BB2" s="142"/>
      <c r="BC2" s="142"/>
      <c r="BD2" s="142"/>
      <c r="BE2" s="142"/>
      <c r="BF2" s="142"/>
      <c r="BG2" s="142"/>
      <c r="BH2" s="142"/>
      <c r="BI2" s="142"/>
      <c r="BJ2" s="149" t="s">
        <v>28</v>
      </c>
      <c r="BK2" s="150"/>
      <c r="BL2" s="150"/>
      <c r="BM2" s="150"/>
      <c r="BN2" s="150"/>
      <c r="BO2" s="150"/>
      <c r="BP2" s="150"/>
      <c r="BQ2" s="150"/>
      <c r="BR2" s="150"/>
      <c r="BS2" s="150"/>
      <c r="BT2" s="150"/>
      <c r="BU2" s="150"/>
      <c r="BV2" s="150"/>
      <c r="BW2" s="150"/>
      <c r="BX2" s="151"/>
      <c r="BY2" s="141" t="s">
        <v>32</v>
      </c>
      <c r="BZ2" s="142"/>
      <c r="CA2" s="142"/>
      <c r="CB2" s="142"/>
      <c r="CC2" s="142"/>
      <c r="CD2" s="142"/>
      <c r="CE2" s="142"/>
      <c r="CF2" s="142"/>
      <c r="CG2" s="142"/>
      <c r="CH2" s="142"/>
      <c r="CI2" s="142"/>
      <c r="CJ2" s="142"/>
      <c r="CK2" s="142"/>
      <c r="CL2" s="142"/>
      <c r="CM2" s="143"/>
      <c r="CN2" s="141" t="s">
        <v>2</v>
      </c>
      <c r="CO2" s="142"/>
      <c r="CP2" s="142"/>
      <c r="CQ2" s="142"/>
      <c r="CR2" s="142"/>
      <c r="CS2" s="142"/>
      <c r="CT2" s="142"/>
      <c r="CU2" s="142"/>
      <c r="CV2" s="142"/>
      <c r="CW2" s="142"/>
      <c r="CX2" s="142"/>
      <c r="CY2" s="142"/>
      <c r="CZ2" s="142"/>
      <c r="DA2" s="142"/>
      <c r="DB2" s="143"/>
      <c r="DC2" s="141" t="s">
        <v>38</v>
      </c>
      <c r="DD2" s="142"/>
      <c r="DE2" s="142"/>
      <c r="DF2" s="142"/>
      <c r="DG2" s="142"/>
      <c r="DH2" s="142"/>
      <c r="DI2" s="142"/>
      <c r="DJ2" s="142"/>
      <c r="DK2" s="142"/>
      <c r="DL2" s="142"/>
      <c r="DM2" s="142"/>
      <c r="DN2" s="142"/>
      <c r="DO2" s="142"/>
      <c r="DP2" s="142"/>
      <c r="DQ2" s="143"/>
      <c r="DR2" s="141" t="s">
        <v>39</v>
      </c>
      <c r="DS2" s="142"/>
      <c r="DT2" s="142"/>
      <c r="DU2" s="142"/>
      <c r="DV2" s="142"/>
      <c r="DW2" s="142"/>
      <c r="DX2" s="142"/>
      <c r="DY2" s="142"/>
      <c r="DZ2" s="142"/>
      <c r="EA2" s="142"/>
      <c r="EB2" s="142"/>
      <c r="EC2" s="142"/>
      <c r="ED2" s="142"/>
      <c r="EE2" s="142"/>
      <c r="EF2" s="143"/>
      <c r="EG2" s="141" t="s">
        <v>40</v>
      </c>
      <c r="EH2" s="142"/>
      <c r="EI2" s="142"/>
      <c r="EJ2" s="142"/>
      <c r="EK2" s="142"/>
      <c r="EL2" s="142"/>
      <c r="EM2" s="142"/>
      <c r="EN2" s="142"/>
      <c r="EO2" s="142"/>
      <c r="EP2" s="142"/>
      <c r="EQ2" s="142"/>
      <c r="ER2" s="142"/>
      <c r="ES2" s="142"/>
      <c r="ET2" s="142"/>
      <c r="EU2" s="143"/>
      <c r="EV2" s="141" t="s">
        <v>41</v>
      </c>
      <c r="EW2" s="142"/>
      <c r="EX2" s="142"/>
      <c r="EY2" s="142"/>
      <c r="EZ2" s="142"/>
      <c r="FA2" s="142"/>
      <c r="FB2" s="142"/>
      <c r="FC2" s="142"/>
      <c r="FD2" s="142"/>
      <c r="FE2" s="142"/>
      <c r="FF2" s="142"/>
      <c r="FG2" s="142"/>
      <c r="FH2" s="142"/>
      <c r="FI2" s="142"/>
      <c r="FJ2" s="143"/>
      <c r="FK2" s="141" t="s">
        <v>42</v>
      </c>
      <c r="FL2" s="142"/>
      <c r="FM2" s="142"/>
      <c r="FN2" s="142"/>
      <c r="FO2" s="142"/>
      <c r="FP2" s="142"/>
      <c r="FQ2" s="142"/>
      <c r="FR2" s="142"/>
      <c r="FS2" s="142"/>
      <c r="FT2" s="142"/>
      <c r="FU2" s="142"/>
      <c r="FV2" s="142"/>
      <c r="FW2" s="142"/>
      <c r="FX2" s="142"/>
      <c r="FY2" s="143"/>
      <c r="FZ2" s="141" t="s">
        <v>43</v>
      </c>
      <c r="GA2" s="142"/>
      <c r="GB2" s="142"/>
      <c r="GC2" s="142"/>
      <c r="GD2" s="142"/>
      <c r="GE2" s="142"/>
      <c r="GF2" s="142"/>
      <c r="GG2" s="142"/>
      <c r="GH2" s="142"/>
      <c r="GI2" s="142"/>
      <c r="GJ2" s="142"/>
      <c r="GK2" s="142"/>
      <c r="GL2" s="142"/>
      <c r="GM2" s="142"/>
      <c r="GN2" s="143"/>
      <c r="GO2" s="141" t="s">
        <v>44</v>
      </c>
      <c r="GP2" s="142"/>
      <c r="GQ2" s="142"/>
      <c r="GR2" s="142"/>
      <c r="GS2" s="142"/>
      <c r="GT2" s="142"/>
      <c r="GU2" s="142"/>
      <c r="GV2" s="142"/>
      <c r="GW2" s="142"/>
      <c r="GX2" s="142"/>
      <c r="GY2" s="142"/>
      <c r="GZ2" s="142"/>
      <c r="HA2" s="142"/>
      <c r="HB2" s="142"/>
      <c r="HC2" s="143"/>
    </row>
    <row r="3" spans="1:211" ht="15" customHeight="1" thickBot="1" x14ac:dyDescent="0.35">
      <c r="A3" s="117"/>
      <c r="B3" s="138" t="s">
        <v>65</v>
      </c>
      <c r="C3" s="139"/>
      <c r="D3" s="139"/>
      <c r="E3" s="139"/>
      <c r="F3" s="140"/>
      <c r="G3" s="138" t="s">
        <v>66</v>
      </c>
      <c r="H3" s="139"/>
      <c r="I3" s="139"/>
      <c r="J3" s="139"/>
      <c r="K3" s="140"/>
      <c r="L3" s="138" t="s">
        <v>67</v>
      </c>
      <c r="M3" s="139"/>
      <c r="N3" s="139"/>
      <c r="O3" s="139"/>
      <c r="P3" s="140"/>
      <c r="Q3" s="138" t="s">
        <v>65</v>
      </c>
      <c r="R3" s="139"/>
      <c r="S3" s="139"/>
      <c r="T3" s="139"/>
      <c r="U3" s="140"/>
      <c r="V3" s="138" t="s">
        <v>66</v>
      </c>
      <c r="W3" s="139"/>
      <c r="X3" s="139"/>
      <c r="Y3" s="139"/>
      <c r="Z3" s="140"/>
      <c r="AA3" s="138" t="s">
        <v>67</v>
      </c>
      <c r="AB3" s="139"/>
      <c r="AC3" s="139"/>
      <c r="AD3" s="139"/>
      <c r="AE3" s="140"/>
      <c r="AF3" s="138" t="s">
        <v>65</v>
      </c>
      <c r="AG3" s="139"/>
      <c r="AH3" s="139"/>
      <c r="AI3" s="139"/>
      <c r="AJ3" s="140"/>
      <c r="AK3" s="138" t="s">
        <v>66</v>
      </c>
      <c r="AL3" s="139"/>
      <c r="AM3" s="139"/>
      <c r="AN3" s="139"/>
      <c r="AO3" s="140"/>
      <c r="AP3" s="138" t="s">
        <v>67</v>
      </c>
      <c r="AQ3" s="139"/>
      <c r="AR3" s="139"/>
      <c r="AS3" s="139"/>
      <c r="AT3" s="140"/>
      <c r="AU3" s="138" t="s">
        <v>65</v>
      </c>
      <c r="AV3" s="139"/>
      <c r="AW3" s="139"/>
      <c r="AX3" s="139"/>
      <c r="AY3" s="140"/>
      <c r="AZ3" s="138" t="s">
        <v>66</v>
      </c>
      <c r="BA3" s="139"/>
      <c r="BB3" s="139"/>
      <c r="BC3" s="139"/>
      <c r="BD3" s="140"/>
      <c r="BE3" s="138" t="s">
        <v>67</v>
      </c>
      <c r="BF3" s="139"/>
      <c r="BG3" s="139"/>
      <c r="BH3" s="139"/>
      <c r="BI3" s="139"/>
      <c r="BJ3" s="138" t="s">
        <v>65</v>
      </c>
      <c r="BK3" s="139"/>
      <c r="BL3" s="139"/>
      <c r="BM3" s="139"/>
      <c r="BN3" s="140"/>
      <c r="BO3" s="138" t="s">
        <v>66</v>
      </c>
      <c r="BP3" s="139"/>
      <c r="BQ3" s="139"/>
      <c r="BR3" s="139"/>
      <c r="BS3" s="140"/>
      <c r="BT3" s="138" t="s">
        <v>67</v>
      </c>
      <c r="BU3" s="139"/>
      <c r="BV3" s="139"/>
      <c r="BW3" s="139"/>
      <c r="BX3" s="140"/>
      <c r="BY3" s="138" t="s">
        <v>65</v>
      </c>
      <c r="BZ3" s="139"/>
      <c r="CA3" s="139"/>
      <c r="CB3" s="139"/>
      <c r="CC3" s="140"/>
      <c r="CD3" s="138" t="s">
        <v>66</v>
      </c>
      <c r="CE3" s="139"/>
      <c r="CF3" s="139"/>
      <c r="CG3" s="139"/>
      <c r="CH3" s="140"/>
      <c r="CI3" s="138" t="s">
        <v>67</v>
      </c>
      <c r="CJ3" s="139"/>
      <c r="CK3" s="139"/>
      <c r="CL3" s="139"/>
      <c r="CM3" s="140"/>
      <c r="CN3" s="138" t="s">
        <v>65</v>
      </c>
      <c r="CO3" s="139"/>
      <c r="CP3" s="139"/>
      <c r="CQ3" s="139"/>
      <c r="CR3" s="140"/>
      <c r="CS3" s="138" t="s">
        <v>66</v>
      </c>
      <c r="CT3" s="139"/>
      <c r="CU3" s="139"/>
      <c r="CV3" s="139"/>
      <c r="CW3" s="140"/>
      <c r="CX3" s="138" t="s">
        <v>67</v>
      </c>
      <c r="CY3" s="139"/>
      <c r="CZ3" s="139"/>
      <c r="DA3" s="139"/>
      <c r="DB3" s="140"/>
      <c r="DC3" s="138" t="s">
        <v>65</v>
      </c>
      <c r="DD3" s="139"/>
      <c r="DE3" s="139"/>
      <c r="DF3" s="139"/>
      <c r="DG3" s="140"/>
      <c r="DH3" s="138" t="s">
        <v>66</v>
      </c>
      <c r="DI3" s="139"/>
      <c r="DJ3" s="139"/>
      <c r="DK3" s="139"/>
      <c r="DL3" s="140"/>
      <c r="DM3" s="138" t="s">
        <v>67</v>
      </c>
      <c r="DN3" s="139"/>
      <c r="DO3" s="139"/>
      <c r="DP3" s="139"/>
      <c r="DQ3" s="140"/>
      <c r="DR3" s="138" t="s">
        <v>65</v>
      </c>
      <c r="DS3" s="139"/>
      <c r="DT3" s="139"/>
      <c r="DU3" s="139"/>
      <c r="DV3" s="140"/>
      <c r="DW3" s="138" t="s">
        <v>66</v>
      </c>
      <c r="DX3" s="139"/>
      <c r="DY3" s="139"/>
      <c r="DZ3" s="139"/>
      <c r="EA3" s="140"/>
      <c r="EB3" s="138" t="s">
        <v>67</v>
      </c>
      <c r="EC3" s="139"/>
      <c r="ED3" s="139"/>
      <c r="EE3" s="139"/>
      <c r="EF3" s="140"/>
      <c r="EG3" s="138" t="s">
        <v>65</v>
      </c>
      <c r="EH3" s="139"/>
      <c r="EI3" s="139"/>
      <c r="EJ3" s="139"/>
      <c r="EK3" s="140"/>
      <c r="EL3" s="138" t="s">
        <v>66</v>
      </c>
      <c r="EM3" s="139"/>
      <c r="EN3" s="139"/>
      <c r="EO3" s="139"/>
      <c r="EP3" s="140"/>
      <c r="EQ3" s="138" t="s">
        <v>67</v>
      </c>
      <c r="ER3" s="139"/>
      <c r="ES3" s="139"/>
      <c r="ET3" s="139"/>
      <c r="EU3" s="140"/>
      <c r="EV3" s="138" t="s">
        <v>65</v>
      </c>
      <c r="EW3" s="139"/>
      <c r="EX3" s="139"/>
      <c r="EY3" s="139"/>
      <c r="EZ3" s="140"/>
      <c r="FA3" s="138" t="s">
        <v>66</v>
      </c>
      <c r="FB3" s="139"/>
      <c r="FC3" s="139"/>
      <c r="FD3" s="139"/>
      <c r="FE3" s="140"/>
      <c r="FF3" s="138" t="s">
        <v>67</v>
      </c>
      <c r="FG3" s="139"/>
      <c r="FH3" s="139"/>
      <c r="FI3" s="139"/>
      <c r="FJ3" s="140"/>
      <c r="FK3" s="138" t="s">
        <v>65</v>
      </c>
      <c r="FL3" s="139"/>
      <c r="FM3" s="139"/>
      <c r="FN3" s="139"/>
      <c r="FO3" s="140"/>
      <c r="FP3" s="138" t="s">
        <v>66</v>
      </c>
      <c r="FQ3" s="139"/>
      <c r="FR3" s="139"/>
      <c r="FS3" s="139"/>
      <c r="FT3" s="140"/>
      <c r="FU3" s="138" t="s">
        <v>67</v>
      </c>
      <c r="FV3" s="139"/>
      <c r="FW3" s="139"/>
      <c r="FX3" s="139"/>
      <c r="FY3" s="140"/>
      <c r="FZ3" s="138" t="s">
        <v>65</v>
      </c>
      <c r="GA3" s="139"/>
      <c r="GB3" s="139"/>
      <c r="GC3" s="139"/>
      <c r="GD3" s="140"/>
      <c r="GE3" s="138" t="s">
        <v>66</v>
      </c>
      <c r="GF3" s="139"/>
      <c r="GG3" s="139"/>
      <c r="GH3" s="139"/>
      <c r="GI3" s="140"/>
      <c r="GJ3" s="138" t="s">
        <v>67</v>
      </c>
      <c r="GK3" s="139"/>
      <c r="GL3" s="139"/>
      <c r="GM3" s="139"/>
      <c r="GN3" s="140"/>
      <c r="GO3" s="138" t="s">
        <v>65</v>
      </c>
      <c r="GP3" s="139"/>
      <c r="GQ3" s="139"/>
      <c r="GR3" s="139"/>
      <c r="GS3" s="140"/>
      <c r="GT3" s="138" t="s">
        <v>66</v>
      </c>
      <c r="GU3" s="139"/>
      <c r="GV3" s="139"/>
      <c r="GW3" s="139"/>
      <c r="GX3" s="140"/>
      <c r="GY3" s="138" t="s">
        <v>67</v>
      </c>
      <c r="GZ3" s="139"/>
      <c r="HA3" s="139"/>
      <c r="HB3" s="139"/>
      <c r="HC3" s="140"/>
    </row>
    <row r="4" spans="1:211" ht="15" customHeight="1" thickBot="1" x14ac:dyDescent="0.35">
      <c r="A4" s="118" t="s">
        <v>59</v>
      </c>
      <c r="B4" s="93" t="s">
        <v>60</v>
      </c>
      <c r="C4" s="94" t="s">
        <v>61</v>
      </c>
      <c r="D4" s="94" t="s">
        <v>62</v>
      </c>
      <c r="E4" s="94" t="s">
        <v>63</v>
      </c>
      <c r="F4" s="95" t="s">
        <v>64</v>
      </c>
      <c r="G4" s="93" t="s">
        <v>60</v>
      </c>
      <c r="H4" s="94" t="s">
        <v>61</v>
      </c>
      <c r="I4" s="94" t="s">
        <v>62</v>
      </c>
      <c r="J4" s="94" t="s">
        <v>63</v>
      </c>
      <c r="K4" s="96" t="s">
        <v>64</v>
      </c>
      <c r="L4" s="93" t="s">
        <v>60</v>
      </c>
      <c r="M4" s="94" t="s">
        <v>61</v>
      </c>
      <c r="N4" s="94" t="s">
        <v>62</v>
      </c>
      <c r="O4" s="94" t="s">
        <v>63</v>
      </c>
      <c r="P4" s="96" t="s">
        <v>64</v>
      </c>
      <c r="Q4" s="97" t="s">
        <v>60</v>
      </c>
      <c r="R4" s="98" t="s">
        <v>61</v>
      </c>
      <c r="S4" s="98" t="s">
        <v>62</v>
      </c>
      <c r="T4" s="98" t="s">
        <v>63</v>
      </c>
      <c r="U4" s="99" t="s">
        <v>64</v>
      </c>
      <c r="V4" s="97" t="s">
        <v>60</v>
      </c>
      <c r="W4" s="98" t="s">
        <v>61</v>
      </c>
      <c r="X4" s="98" t="s">
        <v>62</v>
      </c>
      <c r="Y4" s="98" t="s">
        <v>63</v>
      </c>
      <c r="Z4" s="99" t="s">
        <v>64</v>
      </c>
      <c r="AA4" s="100" t="s">
        <v>60</v>
      </c>
      <c r="AB4" s="98" t="s">
        <v>61</v>
      </c>
      <c r="AC4" s="98" t="s">
        <v>62</v>
      </c>
      <c r="AD4" s="98" t="s">
        <v>63</v>
      </c>
      <c r="AE4" s="99" t="s">
        <v>64</v>
      </c>
      <c r="AF4" s="97" t="s">
        <v>60</v>
      </c>
      <c r="AG4" s="98" t="s">
        <v>61</v>
      </c>
      <c r="AH4" s="98" t="s">
        <v>62</v>
      </c>
      <c r="AI4" s="98" t="s">
        <v>63</v>
      </c>
      <c r="AJ4" s="98" t="s">
        <v>64</v>
      </c>
      <c r="AK4" s="98" t="s">
        <v>60</v>
      </c>
      <c r="AL4" s="98" t="s">
        <v>61</v>
      </c>
      <c r="AM4" s="98" t="s">
        <v>62</v>
      </c>
      <c r="AN4" s="98" t="s">
        <v>63</v>
      </c>
      <c r="AO4" s="98" t="s">
        <v>64</v>
      </c>
      <c r="AP4" s="98" t="s">
        <v>60</v>
      </c>
      <c r="AQ4" s="98" t="s">
        <v>61</v>
      </c>
      <c r="AR4" s="98" t="s">
        <v>62</v>
      </c>
      <c r="AS4" s="98" t="s">
        <v>63</v>
      </c>
      <c r="AT4" s="99" t="s">
        <v>64</v>
      </c>
      <c r="AU4" s="97" t="s">
        <v>60</v>
      </c>
      <c r="AV4" s="98" t="s">
        <v>61</v>
      </c>
      <c r="AW4" s="98" t="s">
        <v>62</v>
      </c>
      <c r="AX4" s="98" t="s">
        <v>63</v>
      </c>
      <c r="AY4" s="98" t="s">
        <v>64</v>
      </c>
      <c r="AZ4" s="98" t="s">
        <v>60</v>
      </c>
      <c r="BA4" s="98" t="s">
        <v>61</v>
      </c>
      <c r="BB4" s="98" t="s">
        <v>62</v>
      </c>
      <c r="BC4" s="98" t="s">
        <v>63</v>
      </c>
      <c r="BD4" s="98" t="s">
        <v>64</v>
      </c>
      <c r="BE4" s="98" t="s">
        <v>60</v>
      </c>
      <c r="BF4" s="98" t="s">
        <v>61</v>
      </c>
      <c r="BG4" s="98" t="s">
        <v>62</v>
      </c>
      <c r="BH4" s="98" t="s">
        <v>63</v>
      </c>
      <c r="BI4" s="101" t="s">
        <v>64</v>
      </c>
      <c r="BJ4" s="93" t="s">
        <v>60</v>
      </c>
      <c r="BK4" s="94" t="s">
        <v>61</v>
      </c>
      <c r="BL4" s="94" t="s">
        <v>62</v>
      </c>
      <c r="BM4" s="94" t="s">
        <v>63</v>
      </c>
      <c r="BN4" s="94" t="s">
        <v>64</v>
      </c>
      <c r="BO4" s="94" t="s">
        <v>60</v>
      </c>
      <c r="BP4" s="94" t="s">
        <v>61</v>
      </c>
      <c r="BQ4" s="94" t="s">
        <v>62</v>
      </c>
      <c r="BR4" s="94" t="s">
        <v>63</v>
      </c>
      <c r="BS4" s="94" t="s">
        <v>64</v>
      </c>
      <c r="BT4" s="94" t="s">
        <v>60</v>
      </c>
      <c r="BU4" s="94" t="s">
        <v>61</v>
      </c>
      <c r="BV4" s="94" t="s">
        <v>62</v>
      </c>
      <c r="BW4" s="94" t="s">
        <v>63</v>
      </c>
      <c r="BX4" s="96" t="s">
        <v>64</v>
      </c>
      <c r="BY4" s="97" t="s">
        <v>60</v>
      </c>
      <c r="BZ4" s="98" t="s">
        <v>61</v>
      </c>
      <c r="CA4" s="98" t="s">
        <v>62</v>
      </c>
      <c r="CB4" s="98" t="s">
        <v>63</v>
      </c>
      <c r="CC4" s="98" t="s">
        <v>64</v>
      </c>
      <c r="CD4" s="98" t="s">
        <v>60</v>
      </c>
      <c r="CE4" s="98" t="s">
        <v>61</v>
      </c>
      <c r="CF4" s="98" t="s">
        <v>62</v>
      </c>
      <c r="CG4" s="98" t="s">
        <v>63</v>
      </c>
      <c r="CH4" s="98" t="s">
        <v>64</v>
      </c>
      <c r="CI4" s="98" t="s">
        <v>60</v>
      </c>
      <c r="CJ4" s="98" t="s">
        <v>61</v>
      </c>
      <c r="CK4" s="98" t="s">
        <v>62</v>
      </c>
      <c r="CL4" s="98" t="s">
        <v>63</v>
      </c>
      <c r="CM4" s="99" t="s">
        <v>64</v>
      </c>
      <c r="CN4" s="97" t="s">
        <v>60</v>
      </c>
      <c r="CO4" s="98" t="s">
        <v>61</v>
      </c>
      <c r="CP4" s="98" t="s">
        <v>62</v>
      </c>
      <c r="CQ4" s="98" t="s">
        <v>63</v>
      </c>
      <c r="CR4" s="98" t="s">
        <v>64</v>
      </c>
      <c r="CS4" s="98" t="s">
        <v>60</v>
      </c>
      <c r="CT4" s="98" t="s">
        <v>61</v>
      </c>
      <c r="CU4" s="98" t="s">
        <v>62</v>
      </c>
      <c r="CV4" s="98" t="s">
        <v>63</v>
      </c>
      <c r="CW4" s="98" t="s">
        <v>64</v>
      </c>
      <c r="CX4" s="98" t="s">
        <v>60</v>
      </c>
      <c r="CY4" s="98" t="s">
        <v>61</v>
      </c>
      <c r="CZ4" s="98" t="s">
        <v>62</v>
      </c>
      <c r="DA4" s="98" t="s">
        <v>63</v>
      </c>
      <c r="DB4" s="99" t="s">
        <v>64</v>
      </c>
      <c r="DC4" s="97" t="s">
        <v>60</v>
      </c>
      <c r="DD4" s="98" t="s">
        <v>61</v>
      </c>
      <c r="DE4" s="98" t="s">
        <v>62</v>
      </c>
      <c r="DF4" s="98" t="s">
        <v>63</v>
      </c>
      <c r="DG4" s="98" t="s">
        <v>64</v>
      </c>
      <c r="DH4" s="98" t="s">
        <v>60</v>
      </c>
      <c r="DI4" s="98" t="s">
        <v>61</v>
      </c>
      <c r="DJ4" s="98" t="s">
        <v>62</v>
      </c>
      <c r="DK4" s="98" t="s">
        <v>63</v>
      </c>
      <c r="DL4" s="98" t="s">
        <v>64</v>
      </c>
      <c r="DM4" s="98" t="s">
        <v>60</v>
      </c>
      <c r="DN4" s="98" t="s">
        <v>61</v>
      </c>
      <c r="DO4" s="98" t="s">
        <v>62</v>
      </c>
      <c r="DP4" s="98" t="s">
        <v>63</v>
      </c>
      <c r="DQ4" s="99" t="s">
        <v>64</v>
      </c>
      <c r="DR4" s="97" t="s">
        <v>60</v>
      </c>
      <c r="DS4" s="98" t="s">
        <v>61</v>
      </c>
      <c r="DT4" s="98" t="s">
        <v>62</v>
      </c>
      <c r="DU4" s="98" t="s">
        <v>63</v>
      </c>
      <c r="DV4" s="98" t="s">
        <v>64</v>
      </c>
      <c r="DW4" s="98" t="s">
        <v>60</v>
      </c>
      <c r="DX4" s="98" t="s">
        <v>61</v>
      </c>
      <c r="DY4" s="98" t="s">
        <v>62</v>
      </c>
      <c r="DZ4" s="98" t="s">
        <v>63</v>
      </c>
      <c r="EA4" s="98" t="s">
        <v>64</v>
      </c>
      <c r="EB4" s="98" t="s">
        <v>60</v>
      </c>
      <c r="EC4" s="98" t="s">
        <v>61</v>
      </c>
      <c r="ED4" s="98" t="s">
        <v>62</v>
      </c>
      <c r="EE4" s="98" t="s">
        <v>63</v>
      </c>
      <c r="EF4" s="99" t="s">
        <v>64</v>
      </c>
      <c r="EG4" s="97" t="s">
        <v>60</v>
      </c>
      <c r="EH4" s="98" t="s">
        <v>61</v>
      </c>
      <c r="EI4" s="98" t="s">
        <v>62</v>
      </c>
      <c r="EJ4" s="98" t="s">
        <v>63</v>
      </c>
      <c r="EK4" s="98" t="s">
        <v>64</v>
      </c>
      <c r="EL4" s="98" t="s">
        <v>60</v>
      </c>
      <c r="EM4" s="98" t="s">
        <v>61</v>
      </c>
      <c r="EN4" s="98" t="s">
        <v>62</v>
      </c>
      <c r="EO4" s="98" t="s">
        <v>63</v>
      </c>
      <c r="EP4" s="98" t="s">
        <v>64</v>
      </c>
      <c r="EQ4" s="98" t="s">
        <v>60</v>
      </c>
      <c r="ER4" s="98" t="s">
        <v>61</v>
      </c>
      <c r="ES4" s="98" t="s">
        <v>62</v>
      </c>
      <c r="ET4" s="98" t="s">
        <v>63</v>
      </c>
      <c r="EU4" s="99" t="s">
        <v>64</v>
      </c>
      <c r="EV4" s="97" t="s">
        <v>60</v>
      </c>
      <c r="EW4" s="98" t="s">
        <v>61</v>
      </c>
      <c r="EX4" s="98" t="s">
        <v>62</v>
      </c>
      <c r="EY4" s="98" t="s">
        <v>63</v>
      </c>
      <c r="EZ4" s="98" t="s">
        <v>64</v>
      </c>
      <c r="FA4" s="98" t="s">
        <v>60</v>
      </c>
      <c r="FB4" s="98" t="s">
        <v>61</v>
      </c>
      <c r="FC4" s="98" t="s">
        <v>62</v>
      </c>
      <c r="FD4" s="98" t="s">
        <v>63</v>
      </c>
      <c r="FE4" s="98" t="s">
        <v>64</v>
      </c>
      <c r="FF4" s="98" t="s">
        <v>60</v>
      </c>
      <c r="FG4" s="98" t="s">
        <v>61</v>
      </c>
      <c r="FH4" s="98" t="s">
        <v>62</v>
      </c>
      <c r="FI4" s="98" t="s">
        <v>63</v>
      </c>
      <c r="FJ4" s="99" t="s">
        <v>64</v>
      </c>
      <c r="FK4" s="97" t="s">
        <v>60</v>
      </c>
      <c r="FL4" s="98" t="s">
        <v>61</v>
      </c>
      <c r="FM4" s="98" t="s">
        <v>62</v>
      </c>
      <c r="FN4" s="98" t="s">
        <v>63</v>
      </c>
      <c r="FO4" s="98" t="s">
        <v>64</v>
      </c>
      <c r="FP4" s="98" t="s">
        <v>60</v>
      </c>
      <c r="FQ4" s="98" t="s">
        <v>61</v>
      </c>
      <c r="FR4" s="98" t="s">
        <v>62</v>
      </c>
      <c r="FS4" s="98" t="s">
        <v>63</v>
      </c>
      <c r="FT4" s="98" t="s">
        <v>64</v>
      </c>
      <c r="FU4" s="98" t="s">
        <v>60</v>
      </c>
      <c r="FV4" s="98" t="s">
        <v>61</v>
      </c>
      <c r="FW4" s="98" t="s">
        <v>62</v>
      </c>
      <c r="FX4" s="98" t="s">
        <v>63</v>
      </c>
      <c r="FY4" s="99" t="s">
        <v>64</v>
      </c>
      <c r="FZ4" s="97" t="s">
        <v>60</v>
      </c>
      <c r="GA4" s="98" t="s">
        <v>61</v>
      </c>
      <c r="GB4" s="98" t="s">
        <v>62</v>
      </c>
      <c r="GC4" s="98" t="s">
        <v>63</v>
      </c>
      <c r="GD4" s="98" t="s">
        <v>64</v>
      </c>
      <c r="GE4" s="98" t="s">
        <v>60</v>
      </c>
      <c r="GF4" s="98" t="s">
        <v>61</v>
      </c>
      <c r="GG4" s="98" t="s">
        <v>62</v>
      </c>
      <c r="GH4" s="98" t="s">
        <v>63</v>
      </c>
      <c r="GI4" s="98" t="s">
        <v>64</v>
      </c>
      <c r="GJ4" s="98" t="s">
        <v>60</v>
      </c>
      <c r="GK4" s="98" t="s">
        <v>61</v>
      </c>
      <c r="GL4" s="98" t="s">
        <v>62</v>
      </c>
      <c r="GM4" s="98" t="s">
        <v>63</v>
      </c>
      <c r="GN4" s="99" t="s">
        <v>64</v>
      </c>
      <c r="GO4" s="97" t="s">
        <v>60</v>
      </c>
      <c r="GP4" s="98" t="s">
        <v>61</v>
      </c>
      <c r="GQ4" s="98" t="s">
        <v>62</v>
      </c>
      <c r="GR4" s="98" t="s">
        <v>63</v>
      </c>
      <c r="GS4" s="98" t="s">
        <v>64</v>
      </c>
      <c r="GT4" s="98" t="s">
        <v>60</v>
      </c>
      <c r="GU4" s="98" t="s">
        <v>61</v>
      </c>
      <c r="GV4" s="98" t="s">
        <v>62</v>
      </c>
      <c r="GW4" s="98" t="s">
        <v>63</v>
      </c>
      <c r="GX4" s="98" t="s">
        <v>64</v>
      </c>
      <c r="GY4" s="98" t="s">
        <v>60</v>
      </c>
      <c r="GZ4" s="98" t="s">
        <v>61</v>
      </c>
      <c r="HA4" s="98" t="s">
        <v>62</v>
      </c>
      <c r="HB4" s="98" t="s">
        <v>63</v>
      </c>
      <c r="HC4" s="99" t="s">
        <v>64</v>
      </c>
    </row>
    <row r="5" spans="1:211" ht="15" customHeight="1" x14ac:dyDescent="0.3">
      <c r="A5" s="119" t="s">
        <v>5</v>
      </c>
      <c r="B5" s="11">
        <v>2</v>
      </c>
      <c r="C5" s="12">
        <v>4</v>
      </c>
      <c r="D5" s="12">
        <v>2</v>
      </c>
      <c r="E5" s="12">
        <v>4</v>
      </c>
      <c r="F5" s="89">
        <f>SUM(B5:E5)</f>
        <v>12</v>
      </c>
      <c r="G5" s="11">
        <v>2</v>
      </c>
      <c r="H5" s="12">
        <v>5</v>
      </c>
      <c r="I5" s="12">
        <v>2</v>
      </c>
      <c r="J5" s="12">
        <v>5</v>
      </c>
      <c r="K5" s="89">
        <f>SUM(G5:J5)</f>
        <v>14</v>
      </c>
      <c r="L5" s="11">
        <v>3</v>
      </c>
      <c r="M5" s="12">
        <v>2</v>
      </c>
      <c r="N5" s="12">
        <v>1</v>
      </c>
      <c r="O5" s="12">
        <v>4</v>
      </c>
      <c r="P5" s="89">
        <f>SUM(L5:O5)</f>
        <v>10</v>
      </c>
      <c r="Q5" s="11">
        <v>2</v>
      </c>
      <c r="R5" s="12">
        <v>3</v>
      </c>
      <c r="S5" s="12">
        <v>1</v>
      </c>
      <c r="T5" s="12">
        <v>3</v>
      </c>
      <c r="U5" s="89">
        <f>SUM(Q5:T5)</f>
        <v>9</v>
      </c>
      <c r="V5" s="11">
        <v>2</v>
      </c>
      <c r="W5" s="12">
        <v>2</v>
      </c>
      <c r="X5" s="12">
        <v>1</v>
      </c>
      <c r="Y5" s="12">
        <v>3</v>
      </c>
      <c r="Z5" s="89">
        <f>SUM(V5:Y5)</f>
        <v>8</v>
      </c>
      <c r="AA5" s="30">
        <v>2</v>
      </c>
      <c r="AB5" s="12">
        <v>2</v>
      </c>
      <c r="AC5" s="12">
        <v>1</v>
      </c>
      <c r="AD5" s="12">
        <v>2</v>
      </c>
      <c r="AE5" s="89">
        <f>SUM(AA5:AD5)</f>
        <v>7</v>
      </c>
      <c r="AF5" s="11">
        <v>4</v>
      </c>
      <c r="AG5" s="12">
        <v>3</v>
      </c>
      <c r="AH5" s="12">
        <v>2</v>
      </c>
      <c r="AI5" s="12">
        <v>1</v>
      </c>
      <c r="AJ5" s="89">
        <f>SUM(AF5:AI5)</f>
        <v>10</v>
      </c>
      <c r="AK5" s="12">
        <v>4</v>
      </c>
      <c r="AL5" s="12">
        <v>4</v>
      </c>
      <c r="AM5" s="12">
        <v>4</v>
      </c>
      <c r="AN5" s="12">
        <v>4</v>
      </c>
      <c r="AO5" s="89">
        <f>SUM(AK5:AN5)</f>
        <v>16</v>
      </c>
      <c r="AP5" s="12">
        <v>2</v>
      </c>
      <c r="AQ5" s="12">
        <v>2</v>
      </c>
      <c r="AR5" s="12">
        <v>2</v>
      </c>
      <c r="AS5" s="12">
        <v>2</v>
      </c>
      <c r="AT5" s="89">
        <f>SUM(AP5:AS5)</f>
        <v>8</v>
      </c>
      <c r="AU5" s="11">
        <v>4</v>
      </c>
      <c r="AV5" s="12">
        <v>3</v>
      </c>
      <c r="AW5" s="12">
        <v>2</v>
      </c>
      <c r="AX5" s="12">
        <v>4</v>
      </c>
      <c r="AY5" s="89">
        <f>SUM(AU5:AX5)</f>
        <v>13</v>
      </c>
      <c r="AZ5" s="12">
        <v>2</v>
      </c>
      <c r="BA5" s="12">
        <v>3</v>
      </c>
      <c r="BB5" s="12">
        <v>2</v>
      </c>
      <c r="BC5" s="12">
        <v>2</v>
      </c>
      <c r="BD5" s="89">
        <f>SUM(AZ5:BC5)</f>
        <v>9</v>
      </c>
      <c r="BE5" s="12">
        <v>1</v>
      </c>
      <c r="BF5" s="12">
        <v>2</v>
      </c>
      <c r="BG5" s="12">
        <v>1</v>
      </c>
      <c r="BH5" s="12">
        <v>2</v>
      </c>
      <c r="BI5" s="89">
        <f t="shared" ref="BI5:BI27" si="0">SUM(BE5:BH5)</f>
        <v>6</v>
      </c>
      <c r="BJ5" s="30">
        <v>4</v>
      </c>
      <c r="BK5" s="12">
        <v>3</v>
      </c>
      <c r="BL5" s="12">
        <v>2</v>
      </c>
      <c r="BM5" s="12">
        <v>1</v>
      </c>
      <c r="BN5" s="89">
        <f t="shared" ref="BN5" si="1">SUM(BJ5:BM5)</f>
        <v>10</v>
      </c>
      <c r="BO5" s="12">
        <v>3</v>
      </c>
      <c r="BP5" s="12">
        <v>4</v>
      </c>
      <c r="BQ5" s="12">
        <v>4</v>
      </c>
      <c r="BR5" s="12">
        <v>2</v>
      </c>
      <c r="BS5" s="89">
        <f t="shared" ref="BS5:BS6" si="2">SUM(BO5:BR5)</f>
        <v>13</v>
      </c>
      <c r="BT5" s="12">
        <v>1</v>
      </c>
      <c r="BU5" s="12">
        <v>2</v>
      </c>
      <c r="BV5" s="12">
        <v>2</v>
      </c>
      <c r="BW5" s="12">
        <v>2</v>
      </c>
      <c r="BX5" s="89">
        <f t="shared" ref="BX5" si="3">SUM(BT5:BW5)</f>
        <v>7</v>
      </c>
      <c r="BY5" s="11">
        <v>4</v>
      </c>
      <c r="BZ5" s="12">
        <v>2</v>
      </c>
      <c r="CA5" s="12">
        <v>2</v>
      </c>
      <c r="CB5" s="12">
        <v>5</v>
      </c>
      <c r="CC5" s="89">
        <f t="shared" ref="CC5:CC27" si="4">SUM(BY5:CB5)</f>
        <v>13</v>
      </c>
      <c r="CD5" s="12">
        <v>5</v>
      </c>
      <c r="CE5" s="12">
        <v>3</v>
      </c>
      <c r="CF5" s="12">
        <v>2</v>
      </c>
      <c r="CG5" s="12">
        <v>2</v>
      </c>
      <c r="CH5" s="89">
        <f t="shared" ref="CH5:CH27" si="5">SUM(CD5:CG5)</f>
        <v>12</v>
      </c>
      <c r="CI5" s="12">
        <v>4</v>
      </c>
      <c r="CJ5" s="12">
        <v>2</v>
      </c>
      <c r="CK5" s="12">
        <v>5</v>
      </c>
      <c r="CL5" s="12">
        <v>5</v>
      </c>
      <c r="CM5" s="89">
        <f t="shared" ref="CM5:CM27" si="6">SUM(CI5:CL5)</f>
        <v>16</v>
      </c>
      <c r="CN5" s="11">
        <v>5</v>
      </c>
      <c r="CO5" s="12">
        <v>3</v>
      </c>
      <c r="CP5" s="12">
        <v>4</v>
      </c>
      <c r="CQ5" s="12">
        <v>5</v>
      </c>
      <c r="CR5" s="89">
        <f t="shared" ref="CR5:CR27" si="7">SUM(CN5:CQ5)</f>
        <v>17</v>
      </c>
      <c r="CS5" s="12">
        <v>4</v>
      </c>
      <c r="CT5" s="12">
        <v>3</v>
      </c>
      <c r="CU5" s="12">
        <v>3</v>
      </c>
      <c r="CV5" s="12">
        <v>4</v>
      </c>
      <c r="CW5" s="89">
        <f t="shared" ref="CW5:CW27" si="8">SUM(CS5:CV5)</f>
        <v>14</v>
      </c>
      <c r="CX5" s="12">
        <v>1</v>
      </c>
      <c r="CY5" s="12">
        <v>3</v>
      </c>
      <c r="CZ5" s="12">
        <v>3</v>
      </c>
      <c r="DA5" s="12">
        <v>4</v>
      </c>
      <c r="DB5" s="89">
        <f t="shared" ref="DB5:DB27" si="9">SUM(CX5:DA5)</f>
        <v>11</v>
      </c>
      <c r="DC5" s="11">
        <v>2</v>
      </c>
      <c r="DD5" s="12">
        <v>2</v>
      </c>
      <c r="DE5" s="12">
        <v>4</v>
      </c>
      <c r="DF5" s="12">
        <v>4</v>
      </c>
      <c r="DG5" s="89">
        <f t="shared" ref="DG5:DG27" si="10">SUM(DC5:DF5)</f>
        <v>12</v>
      </c>
      <c r="DH5" s="12">
        <v>3</v>
      </c>
      <c r="DI5" s="12">
        <v>1</v>
      </c>
      <c r="DJ5" s="12">
        <v>4</v>
      </c>
      <c r="DK5" s="12">
        <v>5</v>
      </c>
      <c r="DL5" s="89">
        <f t="shared" ref="DL5:DL27" si="11">SUM(DH5:DK5)</f>
        <v>13</v>
      </c>
      <c r="DM5" s="12">
        <v>1</v>
      </c>
      <c r="DN5" s="12">
        <v>2</v>
      </c>
      <c r="DO5" s="12">
        <v>1</v>
      </c>
      <c r="DP5" s="12">
        <v>4</v>
      </c>
      <c r="DQ5" s="89">
        <f t="shared" ref="DQ5:DQ27" si="12">SUM(DM5:DP5)</f>
        <v>8</v>
      </c>
      <c r="DR5" s="11">
        <v>1</v>
      </c>
      <c r="DS5" s="11">
        <v>1</v>
      </c>
      <c r="DT5" s="12">
        <v>4</v>
      </c>
      <c r="DU5" s="12">
        <v>2</v>
      </c>
      <c r="DV5" s="89">
        <f t="shared" ref="DV5:DV27" si="13">SUM(DR5:DU5)</f>
        <v>8</v>
      </c>
      <c r="DW5" s="12">
        <v>2</v>
      </c>
      <c r="DX5" s="12">
        <v>1</v>
      </c>
      <c r="DY5" s="12">
        <v>1</v>
      </c>
      <c r="DZ5" s="12">
        <v>3</v>
      </c>
      <c r="EA5" s="89">
        <f t="shared" ref="EA5:EA27" si="14">SUM(DW5:DZ5)</f>
        <v>7</v>
      </c>
      <c r="EB5" s="12">
        <v>2</v>
      </c>
      <c r="EC5" s="12">
        <v>2</v>
      </c>
      <c r="ED5" s="12">
        <v>1</v>
      </c>
      <c r="EE5" s="12">
        <v>3</v>
      </c>
      <c r="EF5" s="89">
        <f t="shared" ref="EF5:EF27" si="15">SUM(EB5:EE5)</f>
        <v>8</v>
      </c>
      <c r="EG5" s="11">
        <v>2</v>
      </c>
      <c r="EH5" s="12">
        <v>3</v>
      </c>
      <c r="EI5" s="12">
        <v>1</v>
      </c>
      <c r="EJ5" s="12">
        <v>3</v>
      </c>
      <c r="EK5" s="89">
        <f t="shared" ref="EK5:EK27" si="16">SUM(EG5:EJ5)</f>
        <v>9</v>
      </c>
      <c r="EL5" s="12">
        <v>1</v>
      </c>
      <c r="EM5" s="12">
        <v>1</v>
      </c>
      <c r="EN5" s="12">
        <v>3</v>
      </c>
      <c r="EO5" s="12">
        <v>3</v>
      </c>
      <c r="EP5" s="89">
        <f t="shared" ref="EP5:EP27" si="17">SUM(EL5:EO5)</f>
        <v>8</v>
      </c>
      <c r="EQ5" s="12">
        <v>1</v>
      </c>
      <c r="ER5" s="12">
        <v>4</v>
      </c>
      <c r="ES5" s="12">
        <v>1</v>
      </c>
      <c r="ET5" s="12">
        <v>4</v>
      </c>
      <c r="EU5" s="89">
        <f t="shared" ref="EU5:EU27" si="18">SUM(EQ5:ET5)</f>
        <v>10</v>
      </c>
      <c r="EV5" s="11">
        <v>4</v>
      </c>
      <c r="EW5" s="12">
        <v>2</v>
      </c>
      <c r="EX5" s="12">
        <v>3</v>
      </c>
      <c r="EY5" s="12">
        <v>2</v>
      </c>
      <c r="EZ5" s="89">
        <f t="shared" ref="EZ5:EZ27" si="19">SUM(EV5:EY5)</f>
        <v>11</v>
      </c>
      <c r="FA5" s="12">
        <v>1</v>
      </c>
      <c r="FB5" s="12">
        <v>4</v>
      </c>
      <c r="FC5" s="12">
        <v>2</v>
      </c>
      <c r="FD5" s="12">
        <v>4</v>
      </c>
      <c r="FE5" s="89">
        <f t="shared" ref="FE5:FE27" si="20">SUM(FA5:FD5)</f>
        <v>11</v>
      </c>
      <c r="FF5" s="12">
        <v>4</v>
      </c>
      <c r="FG5" s="12">
        <v>2</v>
      </c>
      <c r="FH5" s="12">
        <v>1</v>
      </c>
      <c r="FI5" s="12">
        <v>3</v>
      </c>
      <c r="FJ5" s="89">
        <f t="shared" ref="FJ5:FJ27" si="21">SUM(FF5:FI5)</f>
        <v>10</v>
      </c>
      <c r="FK5" s="11">
        <v>2</v>
      </c>
      <c r="FL5" s="12">
        <v>1</v>
      </c>
      <c r="FM5" s="12">
        <v>1</v>
      </c>
      <c r="FN5" s="12">
        <v>2</v>
      </c>
      <c r="FO5" s="89">
        <f t="shared" ref="FO5:FO27" si="22">SUM(FK5:FN5)</f>
        <v>6</v>
      </c>
      <c r="FP5" s="12">
        <v>2</v>
      </c>
      <c r="FQ5" s="12">
        <v>1</v>
      </c>
      <c r="FR5" s="12">
        <v>3</v>
      </c>
      <c r="FS5" s="12">
        <v>3</v>
      </c>
      <c r="FT5" s="89">
        <f t="shared" ref="FT5:FT27" si="23">SUM(FP5:FS5)</f>
        <v>9</v>
      </c>
      <c r="FU5" s="12">
        <v>4</v>
      </c>
      <c r="FV5" s="12">
        <v>3</v>
      </c>
      <c r="FW5" s="12">
        <v>4</v>
      </c>
      <c r="FX5" s="12">
        <v>1</v>
      </c>
      <c r="FY5" s="89">
        <f t="shared" ref="FY5:FY27" si="24">SUM(FU5:FX5)</f>
        <v>12</v>
      </c>
      <c r="FZ5" s="11">
        <v>2</v>
      </c>
      <c r="GA5" s="12">
        <v>2</v>
      </c>
      <c r="GB5" s="12">
        <v>4</v>
      </c>
      <c r="GC5" s="12">
        <v>4</v>
      </c>
      <c r="GD5" s="89">
        <f t="shared" ref="GD5:GD27" si="25">SUM(FZ5:GC5)</f>
        <v>12</v>
      </c>
      <c r="GE5" s="12">
        <v>3</v>
      </c>
      <c r="GF5" s="12">
        <v>3</v>
      </c>
      <c r="GG5" s="12">
        <v>3</v>
      </c>
      <c r="GH5" s="12">
        <v>3</v>
      </c>
      <c r="GI5" s="89">
        <f t="shared" ref="GI5:GI27" si="26">SUM(GE5:GH5)</f>
        <v>12</v>
      </c>
      <c r="GJ5" s="12">
        <v>4</v>
      </c>
      <c r="GK5" s="12">
        <v>3</v>
      </c>
      <c r="GL5" s="12">
        <v>4</v>
      </c>
      <c r="GM5" s="12">
        <v>1</v>
      </c>
      <c r="GN5" s="89">
        <f t="shared" ref="GN5:GN27" si="27">SUM(GJ5:GM5)</f>
        <v>12</v>
      </c>
      <c r="GO5" s="11">
        <v>1</v>
      </c>
      <c r="GP5" s="12">
        <v>3</v>
      </c>
      <c r="GQ5" s="12">
        <v>2</v>
      </c>
      <c r="GR5" s="12">
        <v>3</v>
      </c>
      <c r="GS5" s="89">
        <f t="shared" ref="GS5:GS27" si="28">SUM(GO5:GR5)</f>
        <v>9</v>
      </c>
      <c r="GT5" s="12">
        <v>4</v>
      </c>
      <c r="GU5" s="12">
        <v>1</v>
      </c>
      <c r="GV5" s="12">
        <v>2</v>
      </c>
      <c r="GW5" s="12">
        <v>5</v>
      </c>
      <c r="GX5" s="89">
        <f t="shared" ref="GX5:GX27" si="29">SUM(GT5:GW5)</f>
        <v>12</v>
      </c>
      <c r="GY5" s="12">
        <v>5</v>
      </c>
      <c r="GZ5" s="12">
        <v>5</v>
      </c>
      <c r="HA5" s="12">
        <v>4</v>
      </c>
      <c r="HB5" s="12">
        <v>2</v>
      </c>
      <c r="HC5" s="89">
        <f t="shared" ref="HC5:HC27" si="30">SUM(GY5:HB5)</f>
        <v>16</v>
      </c>
    </row>
    <row r="6" spans="1:211" ht="15" customHeight="1" x14ac:dyDescent="0.3">
      <c r="A6" s="119" t="s">
        <v>6</v>
      </c>
      <c r="B6" s="6">
        <v>3</v>
      </c>
      <c r="C6" s="4">
        <v>1</v>
      </c>
      <c r="D6" s="4">
        <v>3</v>
      </c>
      <c r="E6" s="4">
        <v>1</v>
      </c>
      <c r="F6" s="89">
        <f t="shared" ref="F6:F27" si="31">SUM(B6:E6)</f>
        <v>8</v>
      </c>
      <c r="G6" s="6">
        <v>2</v>
      </c>
      <c r="H6" s="4">
        <v>2</v>
      </c>
      <c r="I6" s="4">
        <v>1</v>
      </c>
      <c r="J6" s="4">
        <v>2</v>
      </c>
      <c r="K6" s="89">
        <f>SUM(G6:J6)</f>
        <v>7</v>
      </c>
      <c r="L6" s="6">
        <v>1</v>
      </c>
      <c r="M6" s="4">
        <v>2</v>
      </c>
      <c r="N6" s="4">
        <v>1</v>
      </c>
      <c r="O6" s="4">
        <v>2</v>
      </c>
      <c r="P6" s="89">
        <f>SUM(L6:O6)</f>
        <v>6</v>
      </c>
      <c r="Q6" s="11">
        <v>1</v>
      </c>
      <c r="R6" s="4">
        <v>2</v>
      </c>
      <c r="S6" s="4">
        <v>2</v>
      </c>
      <c r="T6" s="4">
        <v>2</v>
      </c>
      <c r="U6" s="89">
        <f t="shared" ref="U6:U27" si="32">SUM(Q6:T6)</f>
        <v>7</v>
      </c>
      <c r="V6" s="6">
        <v>2</v>
      </c>
      <c r="W6" s="4">
        <v>2</v>
      </c>
      <c r="X6" s="4">
        <v>1</v>
      </c>
      <c r="Y6" s="4">
        <v>2</v>
      </c>
      <c r="Z6" s="89">
        <f t="shared" ref="Z6:Z27" si="33">SUM(V6:Y6)</f>
        <v>7</v>
      </c>
      <c r="AA6" s="3">
        <v>1</v>
      </c>
      <c r="AB6" s="4">
        <v>3</v>
      </c>
      <c r="AC6" s="4">
        <v>1</v>
      </c>
      <c r="AD6" s="4">
        <v>3</v>
      </c>
      <c r="AE6" s="89">
        <f t="shared" ref="AE6:AE27" si="34">SUM(AA6:AD6)</f>
        <v>8</v>
      </c>
      <c r="AF6" s="6">
        <v>3</v>
      </c>
      <c r="AG6" s="4">
        <v>3</v>
      </c>
      <c r="AH6" s="4">
        <v>2</v>
      </c>
      <c r="AI6" s="4">
        <v>4</v>
      </c>
      <c r="AJ6" s="89">
        <f t="shared" ref="AJ6:AJ27" si="35">SUM(AF6:AI6)</f>
        <v>12</v>
      </c>
      <c r="AK6" s="4">
        <v>1</v>
      </c>
      <c r="AL6" s="4">
        <v>2</v>
      </c>
      <c r="AM6" s="4">
        <v>2</v>
      </c>
      <c r="AN6" s="4">
        <v>2</v>
      </c>
      <c r="AO6" s="89">
        <f t="shared" ref="AO6:AO27" si="36">SUM(AK6:AN6)</f>
        <v>7</v>
      </c>
      <c r="AP6" s="4">
        <v>1</v>
      </c>
      <c r="AQ6" s="4">
        <v>2</v>
      </c>
      <c r="AR6" s="4">
        <v>1</v>
      </c>
      <c r="AS6" s="4">
        <v>2</v>
      </c>
      <c r="AT6" s="89">
        <f t="shared" ref="AT6:AT27" si="37">SUM(AP6:AS6)</f>
        <v>6</v>
      </c>
      <c r="AU6" s="6">
        <v>1</v>
      </c>
      <c r="AV6" s="4">
        <v>2</v>
      </c>
      <c r="AW6" s="4">
        <v>1</v>
      </c>
      <c r="AX6" s="4">
        <v>1</v>
      </c>
      <c r="AY6" s="89">
        <f t="shared" ref="AY6:AY27" si="38">SUM(AU6:AX6)</f>
        <v>5</v>
      </c>
      <c r="AZ6" s="4">
        <v>1</v>
      </c>
      <c r="BA6" s="4">
        <v>2</v>
      </c>
      <c r="BB6" s="4">
        <v>1</v>
      </c>
      <c r="BC6" s="4">
        <v>2</v>
      </c>
      <c r="BD6" s="89">
        <f t="shared" ref="BD6:BD27" si="39">SUM(AZ6:BC6)</f>
        <v>6</v>
      </c>
      <c r="BE6" s="4">
        <v>1</v>
      </c>
      <c r="BF6" s="4">
        <v>2</v>
      </c>
      <c r="BG6" s="4">
        <v>1</v>
      </c>
      <c r="BH6" s="4">
        <v>2</v>
      </c>
      <c r="BI6" s="89">
        <f t="shared" si="0"/>
        <v>6</v>
      </c>
      <c r="BJ6" s="3">
        <v>1</v>
      </c>
      <c r="BK6" s="4">
        <v>3</v>
      </c>
      <c r="BL6" s="4">
        <v>1</v>
      </c>
      <c r="BM6" s="4">
        <v>2</v>
      </c>
      <c r="BN6" s="90">
        <f>SUM(BJ6,BK6,BL6,BM6)</f>
        <v>7</v>
      </c>
      <c r="BO6" s="4">
        <v>1</v>
      </c>
      <c r="BP6" s="4">
        <v>2</v>
      </c>
      <c r="BQ6" s="4">
        <v>1</v>
      </c>
      <c r="BR6" s="4">
        <v>2</v>
      </c>
      <c r="BS6" s="89">
        <f t="shared" si="2"/>
        <v>6</v>
      </c>
      <c r="BT6" s="4">
        <v>3</v>
      </c>
      <c r="BU6" s="4">
        <v>3</v>
      </c>
      <c r="BV6" s="4">
        <v>2</v>
      </c>
      <c r="BW6" s="4">
        <v>3</v>
      </c>
      <c r="BX6" s="90">
        <f>SUM(BT6,BU6,BV6,BW6)</f>
        <v>11</v>
      </c>
      <c r="BY6" s="11">
        <v>2</v>
      </c>
      <c r="BZ6" s="4">
        <v>1</v>
      </c>
      <c r="CA6" s="4">
        <v>4</v>
      </c>
      <c r="CB6" s="4">
        <v>2</v>
      </c>
      <c r="CC6" s="89">
        <f t="shared" si="4"/>
        <v>9</v>
      </c>
      <c r="CD6" s="4">
        <v>1</v>
      </c>
      <c r="CE6" s="4">
        <v>1</v>
      </c>
      <c r="CF6" s="4">
        <v>1</v>
      </c>
      <c r="CG6" s="4">
        <v>5</v>
      </c>
      <c r="CH6" s="89">
        <f t="shared" si="5"/>
        <v>8</v>
      </c>
      <c r="CI6" s="4">
        <v>2</v>
      </c>
      <c r="CJ6" s="4">
        <v>3</v>
      </c>
      <c r="CK6" s="4">
        <v>2</v>
      </c>
      <c r="CL6" s="4">
        <v>2</v>
      </c>
      <c r="CM6" s="89">
        <f t="shared" si="6"/>
        <v>9</v>
      </c>
      <c r="CN6" s="6">
        <v>2</v>
      </c>
      <c r="CO6" s="4">
        <v>1</v>
      </c>
      <c r="CP6" s="4">
        <v>4</v>
      </c>
      <c r="CQ6" s="4">
        <v>2</v>
      </c>
      <c r="CR6" s="89">
        <f t="shared" si="7"/>
        <v>9</v>
      </c>
      <c r="CS6" s="4">
        <v>4</v>
      </c>
      <c r="CT6" s="4">
        <v>4</v>
      </c>
      <c r="CU6" s="4">
        <v>2</v>
      </c>
      <c r="CV6" s="4">
        <v>2</v>
      </c>
      <c r="CW6" s="89">
        <f t="shared" si="8"/>
        <v>12</v>
      </c>
      <c r="CX6" s="4">
        <v>2</v>
      </c>
      <c r="CY6" s="4">
        <v>3</v>
      </c>
      <c r="CZ6" s="4">
        <v>1</v>
      </c>
      <c r="DA6" s="4">
        <v>3</v>
      </c>
      <c r="DB6" s="89">
        <f t="shared" si="9"/>
        <v>9</v>
      </c>
      <c r="DC6" s="6">
        <v>2</v>
      </c>
      <c r="DD6" s="4">
        <v>2</v>
      </c>
      <c r="DE6" s="4">
        <v>4</v>
      </c>
      <c r="DF6" s="4">
        <v>4</v>
      </c>
      <c r="DG6" s="89">
        <f t="shared" si="10"/>
        <v>12</v>
      </c>
      <c r="DH6" s="4">
        <v>1</v>
      </c>
      <c r="DI6" s="4">
        <v>5</v>
      </c>
      <c r="DJ6" s="4">
        <v>1</v>
      </c>
      <c r="DK6" s="4">
        <v>4</v>
      </c>
      <c r="DL6" s="89">
        <f t="shared" si="11"/>
        <v>11</v>
      </c>
      <c r="DM6" s="4">
        <v>2</v>
      </c>
      <c r="DN6" s="4">
        <v>1</v>
      </c>
      <c r="DO6" s="4">
        <v>1</v>
      </c>
      <c r="DP6" s="4">
        <v>2</v>
      </c>
      <c r="DQ6" s="89">
        <f t="shared" si="12"/>
        <v>6</v>
      </c>
      <c r="DR6" s="6">
        <v>1</v>
      </c>
      <c r="DS6" s="6">
        <v>1</v>
      </c>
      <c r="DT6" s="4">
        <v>5</v>
      </c>
      <c r="DU6" s="4">
        <v>5</v>
      </c>
      <c r="DV6" s="89">
        <f t="shared" si="13"/>
        <v>12</v>
      </c>
      <c r="DW6" s="12">
        <v>4</v>
      </c>
      <c r="DX6" s="4">
        <v>4</v>
      </c>
      <c r="DY6" s="4">
        <v>2</v>
      </c>
      <c r="DZ6" s="4">
        <v>4</v>
      </c>
      <c r="EA6" s="89">
        <f t="shared" si="14"/>
        <v>14</v>
      </c>
      <c r="EB6" s="4">
        <v>2</v>
      </c>
      <c r="EC6" s="4">
        <v>4</v>
      </c>
      <c r="ED6" s="4">
        <v>2</v>
      </c>
      <c r="EE6" s="4">
        <v>4</v>
      </c>
      <c r="EF6" s="89">
        <f t="shared" si="15"/>
        <v>12</v>
      </c>
      <c r="EG6" s="6">
        <v>4</v>
      </c>
      <c r="EH6" s="4">
        <v>2</v>
      </c>
      <c r="EI6" s="4">
        <v>3</v>
      </c>
      <c r="EJ6" s="4">
        <v>4</v>
      </c>
      <c r="EK6" s="89">
        <f t="shared" si="16"/>
        <v>13</v>
      </c>
      <c r="EL6" s="4">
        <v>2</v>
      </c>
      <c r="EM6" s="4">
        <v>3</v>
      </c>
      <c r="EN6" s="4">
        <v>3</v>
      </c>
      <c r="EO6" s="4">
        <v>3</v>
      </c>
      <c r="EP6" s="89">
        <f t="shared" si="17"/>
        <v>11</v>
      </c>
      <c r="EQ6" s="4">
        <v>1</v>
      </c>
      <c r="ER6" s="4">
        <v>2</v>
      </c>
      <c r="ES6" s="4">
        <v>2</v>
      </c>
      <c r="ET6" s="4">
        <v>1</v>
      </c>
      <c r="EU6" s="89">
        <f t="shared" si="18"/>
        <v>6</v>
      </c>
      <c r="EV6" s="6">
        <v>2</v>
      </c>
      <c r="EW6" s="4">
        <v>1</v>
      </c>
      <c r="EX6" s="4">
        <v>4</v>
      </c>
      <c r="EY6" s="4">
        <v>4</v>
      </c>
      <c r="EZ6" s="89">
        <f t="shared" si="19"/>
        <v>11</v>
      </c>
      <c r="FA6" s="4">
        <v>1</v>
      </c>
      <c r="FB6" s="4">
        <v>1</v>
      </c>
      <c r="FC6" s="4">
        <v>2</v>
      </c>
      <c r="FD6" s="4">
        <v>1</v>
      </c>
      <c r="FE6" s="89">
        <f t="shared" si="20"/>
        <v>5</v>
      </c>
      <c r="FF6" s="4">
        <v>3</v>
      </c>
      <c r="FG6" s="4">
        <v>3</v>
      </c>
      <c r="FH6" s="4">
        <v>4</v>
      </c>
      <c r="FI6" s="4">
        <v>3</v>
      </c>
      <c r="FJ6" s="89">
        <f t="shared" si="21"/>
        <v>13</v>
      </c>
      <c r="FK6" s="6">
        <v>1</v>
      </c>
      <c r="FL6" s="4">
        <v>4</v>
      </c>
      <c r="FM6" s="4">
        <v>4</v>
      </c>
      <c r="FN6" s="4">
        <v>2</v>
      </c>
      <c r="FO6" s="89">
        <f t="shared" si="22"/>
        <v>11</v>
      </c>
      <c r="FP6" s="4">
        <v>3</v>
      </c>
      <c r="FQ6" s="4">
        <v>3</v>
      </c>
      <c r="FR6" s="4">
        <v>1</v>
      </c>
      <c r="FS6" s="4">
        <v>2</v>
      </c>
      <c r="FT6" s="89">
        <f t="shared" si="23"/>
        <v>9</v>
      </c>
      <c r="FU6" s="4">
        <v>2</v>
      </c>
      <c r="FV6" s="4">
        <v>1</v>
      </c>
      <c r="FW6" s="4">
        <v>1</v>
      </c>
      <c r="FX6" s="4">
        <v>1</v>
      </c>
      <c r="FY6" s="89">
        <f t="shared" si="24"/>
        <v>5</v>
      </c>
      <c r="FZ6" s="11">
        <v>3</v>
      </c>
      <c r="GA6" s="4">
        <v>1</v>
      </c>
      <c r="GB6" s="4">
        <v>5</v>
      </c>
      <c r="GC6" s="4">
        <v>2</v>
      </c>
      <c r="GD6" s="89">
        <f t="shared" si="25"/>
        <v>11</v>
      </c>
      <c r="GE6" s="4">
        <v>3</v>
      </c>
      <c r="GF6" s="4">
        <v>1</v>
      </c>
      <c r="GG6" s="4">
        <v>2</v>
      </c>
      <c r="GH6" s="4">
        <v>1</v>
      </c>
      <c r="GI6" s="89">
        <f t="shared" si="26"/>
        <v>7</v>
      </c>
      <c r="GJ6" s="4">
        <v>1</v>
      </c>
      <c r="GK6" s="4">
        <v>5</v>
      </c>
      <c r="GL6" s="4">
        <v>1</v>
      </c>
      <c r="GM6" s="4">
        <v>3</v>
      </c>
      <c r="GN6" s="89">
        <f t="shared" si="27"/>
        <v>10</v>
      </c>
      <c r="GO6" s="6">
        <v>3</v>
      </c>
      <c r="GP6" s="4">
        <v>3</v>
      </c>
      <c r="GQ6" s="4">
        <v>4</v>
      </c>
      <c r="GR6" s="4">
        <v>5</v>
      </c>
      <c r="GS6" s="89">
        <f t="shared" si="28"/>
        <v>15</v>
      </c>
      <c r="GT6" s="4">
        <v>3</v>
      </c>
      <c r="GU6" s="4">
        <v>4</v>
      </c>
      <c r="GV6" s="4">
        <v>4</v>
      </c>
      <c r="GW6" s="4">
        <v>4</v>
      </c>
      <c r="GX6" s="89">
        <f t="shared" si="29"/>
        <v>15</v>
      </c>
      <c r="GY6" s="4">
        <v>2</v>
      </c>
      <c r="GZ6" s="4">
        <v>4</v>
      </c>
      <c r="HA6" s="4">
        <v>3</v>
      </c>
      <c r="HB6" s="4">
        <v>2</v>
      </c>
      <c r="HC6" s="89">
        <f t="shared" si="30"/>
        <v>11</v>
      </c>
    </row>
    <row r="7" spans="1:211" ht="15" customHeight="1" x14ac:dyDescent="0.3">
      <c r="A7" s="119" t="s">
        <v>7</v>
      </c>
      <c r="B7" s="6">
        <v>2</v>
      </c>
      <c r="C7" s="4">
        <v>2</v>
      </c>
      <c r="D7" s="4">
        <v>1</v>
      </c>
      <c r="E7" s="4">
        <v>2</v>
      </c>
      <c r="F7" s="89">
        <f t="shared" si="31"/>
        <v>7</v>
      </c>
      <c r="G7" s="6">
        <v>2</v>
      </c>
      <c r="H7" s="4">
        <v>1</v>
      </c>
      <c r="I7" s="4">
        <v>1</v>
      </c>
      <c r="J7" s="4">
        <v>2</v>
      </c>
      <c r="K7" s="89">
        <f t="shared" ref="K7:K27" si="40">SUM(G7:J7)</f>
        <v>6</v>
      </c>
      <c r="L7" s="6">
        <v>2</v>
      </c>
      <c r="M7" s="4">
        <v>1</v>
      </c>
      <c r="N7" s="4">
        <v>1</v>
      </c>
      <c r="O7" s="4">
        <v>2</v>
      </c>
      <c r="P7" s="89">
        <f>SUM(L7:O7)</f>
        <v>6</v>
      </c>
      <c r="Q7" s="11">
        <v>2</v>
      </c>
      <c r="R7" s="4">
        <v>2</v>
      </c>
      <c r="S7" s="4">
        <v>1</v>
      </c>
      <c r="T7" s="4">
        <v>1</v>
      </c>
      <c r="U7" s="89">
        <f t="shared" si="32"/>
        <v>6</v>
      </c>
      <c r="V7" s="6">
        <v>2</v>
      </c>
      <c r="W7" s="4">
        <v>2</v>
      </c>
      <c r="X7" s="4">
        <v>1</v>
      </c>
      <c r="Y7" s="4">
        <v>2</v>
      </c>
      <c r="Z7" s="89">
        <f t="shared" si="33"/>
        <v>7</v>
      </c>
      <c r="AA7" s="3">
        <v>1</v>
      </c>
      <c r="AB7" s="4">
        <v>2</v>
      </c>
      <c r="AC7" s="4">
        <v>1</v>
      </c>
      <c r="AD7" s="4">
        <v>1</v>
      </c>
      <c r="AE7" s="89">
        <f t="shared" si="34"/>
        <v>5</v>
      </c>
      <c r="AF7" s="6">
        <v>4</v>
      </c>
      <c r="AG7" s="4">
        <v>1</v>
      </c>
      <c r="AH7" s="4">
        <v>1</v>
      </c>
      <c r="AI7" s="4">
        <v>2</v>
      </c>
      <c r="AJ7" s="89">
        <f t="shared" si="35"/>
        <v>8</v>
      </c>
      <c r="AK7" s="4">
        <v>7</v>
      </c>
      <c r="AL7" s="4">
        <v>1</v>
      </c>
      <c r="AM7" s="4">
        <v>1</v>
      </c>
      <c r="AN7" s="4">
        <v>1</v>
      </c>
      <c r="AO7" s="89">
        <f t="shared" si="36"/>
        <v>10</v>
      </c>
      <c r="AP7" s="4">
        <v>4</v>
      </c>
      <c r="AQ7" s="4">
        <v>2</v>
      </c>
      <c r="AR7" s="4">
        <v>3</v>
      </c>
      <c r="AS7" s="4">
        <v>4</v>
      </c>
      <c r="AT7" s="89">
        <f t="shared" si="37"/>
        <v>13</v>
      </c>
      <c r="AU7" s="6">
        <v>2</v>
      </c>
      <c r="AV7" s="4">
        <v>3</v>
      </c>
      <c r="AW7" s="4">
        <v>1</v>
      </c>
      <c r="AX7" s="4">
        <v>1</v>
      </c>
      <c r="AY7" s="89">
        <f t="shared" si="38"/>
        <v>7</v>
      </c>
      <c r="AZ7" s="4">
        <v>2</v>
      </c>
      <c r="BA7" s="4">
        <v>2</v>
      </c>
      <c r="BB7" s="4">
        <v>1</v>
      </c>
      <c r="BC7" s="4">
        <v>1</v>
      </c>
      <c r="BD7" s="89">
        <f t="shared" si="39"/>
        <v>6</v>
      </c>
      <c r="BE7" s="4">
        <v>2</v>
      </c>
      <c r="BF7" s="4">
        <v>2</v>
      </c>
      <c r="BG7" s="4">
        <v>1</v>
      </c>
      <c r="BH7" s="4">
        <v>1</v>
      </c>
      <c r="BI7" s="89">
        <f t="shared" si="0"/>
        <v>6</v>
      </c>
      <c r="BJ7" s="3">
        <v>2</v>
      </c>
      <c r="BK7" s="4">
        <v>1</v>
      </c>
      <c r="BL7" s="4">
        <v>1</v>
      </c>
      <c r="BM7" s="4">
        <v>1</v>
      </c>
      <c r="BN7" s="90">
        <f t="shared" ref="BN7:BN27" si="41">SUM(BJ7,BK7,BL7,BM7)</f>
        <v>5</v>
      </c>
      <c r="BO7" s="4">
        <v>1</v>
      </c>
      <c r="BP7" s="4">
        <v>1</v>
      </c>
      <c r="BQ7" s="4">
        <v>1</v>
      </c>
      <c r="BR7" s="4">
        <v>1</v>
      </c>
      <c r="BS7" s="90">
        <f t="shared" ref="BS7:BS27" si="42">SUM(BO7,BP7,BQ7,BR7)</f>
        <v>4</v>
      </c>
      <c r="BT7" s="4">
        <v>1</v>
      </c>
      <c r="BU7" s="4">
        <v>1</v>
      </c>
      <c r="BV7" s="4">
        <v>2</v>
      </c>
      <c r="BW7" s="4">
        <v>1</v>
      </c>
      <c r="BX7" s="90">
        <f>SUM(BT7,BU7,BV7,BW7)</f>
        <v>5</v>
      </c>
      <c r="BY7" s="11">
        <v>2</v>
      </c>
      <c r="BZ7" s="4">
        <v>5</v>
      </c>
      <c r="CA7" s="4">
        <v>3</v>
      </c>
      <c r="CB7" s="4">
        <v>2</v>
      </c>
      <c r="CC7" s="89">
        <f t="shared" si="4"/>
        <v>12</v>
      </c>
      <c r="CD7" s="4">
        <v>3</v>
      </c>
      <c r="CE7" s="4">
        <v>2</v>
      </c>
      <c r="CF7" s="4">
        <v>5</v>
      </c>
      <c r="CG7" s="4">
        <v>3</v>
      </c>
      <c r="CH7" s="89">
        <f t="shared" si="5"/>
        <v>13</v>
      </c>
      <c r="CI7" s="4">
        <v>2</v>
      </c>
      <c r="CJ7" s="4">
        <v>1</v>
      </c>
      <c r="CK7" s="4">
        <v>4</v>
      </c>
      <c r="CL7" s="4">
        <v>3</v>
      </c>
      <c r="CM7" s="89">
        <f t="shared" si="6"/>
        <v>10</v>
      </c>
      <c r="CN7" s="6">
        <v>5</v>
      </c>
      <c r="CO7" s="4">
        <v>3</v>
      </c>
      <c r="CP7" s="4">
        <v>1</v>
      </c>
      <c r="CQ7" s="4">
        <v>2</v>
      </c>
      <c r="CR7" s="89">
        <f t="shared" si="7"/>
        <v>11</v>
      </c>
      <c r="CS7" s="4">
        <v>5</v>
      </c>
      <c r="CT7" s="4">
        <v>1</v>
      </c>
      <c r="CU7" s="4">
        <v>3</v>
      </c>
      <c r="CV7" s="4">
        <v>4</v>
      </c>
      <c r="CW7" s="89">
        <f t="shared" si="8"/>
        <v>13</v>
      </c>
      <c r="CX7" s="4">
        <v>4</v>
      </c>
      <c r="CY7" s="4">
        <v>2</v>
      </c>
      <c r="CZ7" s="4">
        <v>4</v>
      </c>
      <c r="DA7" s="4">
        <v>5</v>
      </c>
      <c r="DB7" s="89">
        <f t="shared" si="9"/>
        <v>15</v>
      </c>
      <c r="DC7" s="6">
        <v>3</v>
      </c>
      <c r="DD7" s="4">
        <v>5</v>
      </c>
      <c r="DE7" s="4">
        <v>3</v>
      </c>
      <c r="DF7" s="4">
        <v>5</v>
      </c>
      <c r="DG7" s="89">
        <f t="shared" si="10"/>
        <v>16</v>
      </c>
      <c r="DH7" s="4">
        <v>4</v>
      </c>
      <c r="DI7" s="4">
        <v>2</v>
      </c>
      <c r="DJ7" s="4">
        <v>5</v>
      </c>
      <c r="DK7" s="4">
        <v>2</v>
      </c>
      <c r="DL7" s="89">
        <f t="shared" si="11"/>
        <v>13</v>
      </c>
      <c r="DM7" s="4">
        <v>4</v>
      </c>
      <c r="DN7" s="4">
        <v>5</v>
      </c>
      <c r="DO7" s="4">
        <v>3</v>
      </c>
      <c r="DP7" s="4">
        <v>2</v>
      </c>
      <c r="DQ7" s="89">
        <f t="shared" si="12"/>
        <v>14</v>
      </c>
      <c r="DR7" s="6">
        <v>3</v>
      </c>
      <c r="DS7" s="6">
        <v>2</v>
      </c>
      <c r="DT7" s="4">
        <v>3</v>
      </c>
      <c r="DU7" s="4">
        <v>3</v>
      </c>
      <c r="DV7" s="89">
        <f t="shared" si="13"/>
        <v>11</v>
      </c>
      <c r="DW7" s="12">
        <v>2</v>
      </c>
      <c r="DX7" s="4">
        <v>1</v>
      </c>
      <c r="DY7" s="4">
        <v>4</v>
      </c>
      <c r="DZ7" s="4">
        <v>1</v>
      </c>
      <c r="EA7" s="89">
        <f t="shared" si="14"/>
        <v>8</v>
      </c>
      <c r="EB7" s="4">
        <v>3</v>
      </c>
      <c r="EC7" s="4">
        <v>3</v>
      </c>
      <c r="ED7" s="4">
        <v>1</v>
      </c>
      <c r="EE7" s="4">
        <v>4</v>
      </c>
      <c r="EF7" s="89">
        <f t="shared" si="15"/>
        <v>11</v>
      </c>
      <c r="EG7" s="6">
        <v>4</v>
      </c>
      <c r="EH7" s="4">
        <v>4</v>
      </c>
      <c r="EI7" s="4">
        <v>4</v>
      </c>
      <c r="EJ7" s="4">
        <v>3</v>
      </c>
      <c r="EK7" s="89">
        <f t="shared" si="16"/>
        <v>15</v>
      </c>
      <c r="EL7" s="4">
        <v>3</v>
      </c>
      <c r="EM7" s="4">
        <v>2</v>
      </c>
      <c r="EN7" s="4">
        <v>2</v>
      </c>
      <c r="EO7" s="4">
        <v>1</v>
      </c>
      <c r="EP7" s="89">
        <f t="shared" si="17"/>
        <v>8</v>
      </c>
      <c r="EQ7" s="4">
        <v>1</v>
      </c>
      <c r="ER7" s="4">
        <v>2</v>
      </c>
      <c r="ES7" s="4">
        <v>4</v>
      </c>
      <c r="ET7" s="4">
        <v>4</v>
      </c>
      <c r="EU7" s="89">
        <f t="shared" si="18"/>
        <v>11</v>
      </c>
      <c r="EV7" s="6">
        <v>3</v>
      </c>
      <c r="EW7" s="4">
        <v>2</v>
      </c>
      <c r="EX7" s="4">
        <v>2</v>
      </c>
      <c r="EY7" s="4">
        <v>3</v>
      </c>
      <c r="EZ7" s="89">
        <f t="shared" si="19"/>
        <v>10</v>
      </c>
      <c r="FA7" s="4">
        <v>3</v>
      </c>
      <c r="FB7" s="4">
        <v>3</v>
      </c>
      <c r="FC7" s="4">
        <v>3</v>
      </c>
      <c r="FD7" s="4">
        <v>4</v>
      </c>
      <c r="FE7" s="89">
        <f t="shared" si="20"/>
        <v>13</v>
      </c>
      <c r="FF7" s="4">
        <v>2</v>
      </c>
      <c r="FG7" s="4">
        <v>4</v>
      </c>
      <c r="FH7" s="4">
        <v>3</v>
      </c>
      <c r="FI7" s="4">
        <v>3</v>
      </c>
      <c r="FJ7" s="89">
        <f t="shared" si="21"/>
        <v>12</v>
      </c>
      <c r="FK7" s="6">
        <v>2</v>
      </c>
      <c r="FL7" s="4">
        <v>3</v>
      </c>
      <c r="FM7" s="4">
        <v>4</v>
      </c>
      <c r="FN7" s="4">
        <v>2</v>
      </c>
      <c r="FO7" s="89">
        <f t="shared" si="22"/>
        <v>11</v>
      </c>
      <c r="FP7" s="12">
        <v>2</v>
      </c>
      <c r="FQ7" s="4">
        <v>2</v>
      </c>
      <c r="FR7" s="4">
        <v>3</v>
      </c>
      <c r="FS7" s="4">
        <v>2</v>
      </c>
      <c r="FT7" s="89">
        <f t="shared" si="23"/>
        <v>9</v>
      </c>
      <c r="FU7" s="4">
        <v>2</v>
      </c>
      <c r="FV7" s="4">
        <v>1</v>
      </c>
      <c r="FW7" s="4">
        <v>2</v>
      </c>
      <c r="FX7" s="4">
        <v>2</v>
      </c>
      <c r="FY7" s="89">
        <f t="shared" si="24"/>
        <v>7</v>
      </c>
      <c r="FZ7" s="11">
        <v>1</v>
      </c>
      <c r="GA7" s="4">
        <v>4</v>
      </c>
      <c r="GB7" s="4">
        <v>5</v>
      </c>
      <c r="GC7" s="4">
        <v>4</v>
      </c>
      <c r="GD7" s="89">
        <f t="shared" si="25"/>
        <v>14</v>
      </c>
      <c r="GE7" s="4">
        <v>5</v>
      </c>
      <c r="GF7" s="4">
        <v>4</v>
      </c>
      <c r="GG7" s="4">
        <v>2</v>
      </c>
      <c r="GH7" s="4">
        <v>4</v>
      </c>
      <c r="GI7" s="89">
        <f t="shared" si="26"/>
        <v>15</v>
      </c>
      <c r="GJ7" s="4">
        <v>3</v>
      </c>
      <c r="GK7" s="4">
        <v>3</v>
      </c>
      <c r="GL7" s="4">
        <v>2</v>
      </c>
      <c r="GM7" s="4">
        <v>1</v>
      </c>
      <c r="GN7" s="89">
        <f t="shared" si="27"/>
        <v>9</v>
      </c>
      <c r="GO7" s="6">
        <v>3</v>
      </c>
      <c r="GP7" s="4">
        <v>5</v>
      </c>
      <c r="GQ7" s="4">
        <v>1</v>
      </c>
      <c r="GR7" s="4">
        <v>1</v>
      </c>
      <c r="GS7" s="89">
        <f t="shared" si="28"/>
        <v>10</v>
      </c>
      <c r="GT7" s="4">
        <v>2</v>
      </c>
      <c r="GU7" s="4">
        <v>4</v>
      </c>
      <c r="GV7" s="4">
        <v>3</v>
      </c>
      <c r="GW7" s="4">
        <v>1</v>
      </c>
      <c r="GX7" s="89">
        <f t="shared" si="29"/>
        <v>10</v>
      </c>
      <c r="GY7" s="4">
        <v>5</v>
      </c>
      <c r="GZ7" s="4">
        <v>3</v>
      </c>
      <c r="HA7" s="4">
        <v>1</v>
      </c>
      <c r="HB7" s="4">
        <v>4</v>
      </c>
      <c r="HC7" s="89">
        <f t="shared" si="30"/>
        <v>13</v>
      </c>
    </row>
    <row r="8" spans="1:211" ht="15" customHeight="1" x14ac:dyDescent="0.3">
      <c r="A8" s="119" t="s">
        <v>8</v>
      </c>
      <c r="B8" s="6">
        <v>4</v>
      </c>
      <c r="C8" s="4">
        <v>3</v>
      </c>
      <c r="D8" s="4">
        <v>5</v>
      </c>
      <c r="E8" s="4">
        <v>2</v>
      </c>
      <c r="F8" s="89">
        <f t="shared" si="31"/>
        <v>14</v>
      </c>
      <c r="G8" s="6">
        <v>1</v>
      </c>
      <c r="H8" s="4">
        <v>1</v>
      </c>
      <c r="I8" s="4">
        <v>1</v>
      </c>
      <c r="J8" s="4">
        <v>1</v>
      </c>
      <c r="K8" s="89">
        <f t="shared" si="40"/>
        <v>4</v>
      </c>
      <c r="L8" s="6">
        <v>1</v>
      </c>
      <c r="M8" s="4">
        <v>2</v>
      </c>
      <c r="N8" s="4">
        <v>1</v>
      </c>
      <c r="O8" s="4">
        <v>2</v>
      </c>
      <c r="P8" s="89">
        <f t="shared" ref="P8:P27" si="43">SUM(L8:O8)</f>
        <v>6</v>
      </c>
      <c r="Q8" s="11">
        <v>3</v>
      </c>
      <c r="R8" s="4">
        <v>2</v>
      </c>
      <c r="S8" s="4">
        <v>2</v>
      </c>
      <c r="T8" s="4">
        <v>1</v>
      </c>
      <c r="U8" s="89">
        <f t="shared" si="32"/>
        <v>8</v>
      </c>
      <c r="V8" s="6">
        <v>1</v>
      </c>
      <c r="W8" s="4">
        <v>2</v>
      </c>
      <c r="X8" s="4">
        <v>1</v>
      </c>
      <c r="Y8" s="4">
        <v>2</v>
      </c>
      <c r="Z8" s="89">
        <f t="shared" si="33"/>
        <v>6</v>
      </c>
      <c r="AA8" s="3">
        <v>3</v>
      </c>
      <c r="AB8" s="4">
        <v>4</v>
      </c>
      <c r="AC8" s="4">
        <v>1</v>
      </c>
      <c r="AD8" s="4">
        <v>3</v>
      </c>
      <c r="AE8" s="89">
        <f t="shared" si="34"/>
        <v>11</v>
      </c>
      <c r="AF8" s="6">
        <v>1</v>
      </c>
      <c r="AG8" s="4">
        <v>3</v>
      </c>
      <c r="AH8" s="4">
        <v>1</v>
      </c>
      <c r="AI8" s="4">
        <v>2</v>
      </c>
      <c r="AJ8" s="89">
        <f t="shared" si="35"/>
        <v>7</v>
      </c>
      <c r="AK8" s="4">
        <v>1</v>
      </c>
      <c r="AL8" s="4">
        <v>1</v>
      </c>
      <c r="AM8" s="4">
        <v>2</v>
      </c>
      <c r="AN8" s="4">
        <v>4</v>
      </c>
      <c r="AO8" s="89">
        <f t="shared" si="36"/>
        <v>8</v>
      </c>
      <c r="AP8" s="4">
        <v>3</v>
      </c>
      <c r="AQ8" s="4">
        <v>1</v>
      </c>
      <c r="AR8" s="4">
        <v>3</v>
      </c>
      <c r="AS8" s="4">
        <v>4</v>
      </c>
      <c r="AT8" s="89">
        <f t="shared" si="37"/>
        <v>11</v>
      </c>
      <c r="AU8" s="6">
        <v>2</v>
      </c>
      <c r="AV8" s="4">
        <v>5</v>
      </c>
      <c r="AW8" s="4">
        <v>2</v>
      </c>
      <c r="AX8" s="4">
        <v>2</v>
      </c>
      <c r="AY8" s="89">
        <f t="shared" si="38"/>
        <v>11</v>
      </c>
      <c r="AZ8" s="4">
        <v>1</v>
      </c>
      <c r="BA8" s="4">
        <v>2</v>
      </c>
      <c r="BB8" s="4">
        <v>2</v>
      </c>
      <c r="BC8" s="4">
        <v>2</v>
      </c>
      <c r="BD8" s="89">
        <f t="shared" si="39"/>
        <v>7</v>
      </c>
      <c r="BE8" s="4">
        <v>1</v>
      </c>
      <c r="BF8" s="4">
        <v>1</v>
      </c>
      <c r="BG8" s="4">
        <v>2</v>
      </c>
      <c r="BH8" s="4">
        <v>1</v>
      </c>
      <c r="BI8" s="89">
        <f t="shared" si="0"/>
        <v>5</v>
      </c>
      <c r="BJ8" s="3">
        <v>3</v>
      </c>
      <c r="BK8" s="4">
        <v>1</v>
      </c>
      <c r="BL8" s="4">
        <v>2</v>
      </c>
      <c r="BM8" s="4">
        <v>1</v>
      </c>
      <c r="BN8" s="90">
        <f t="shared" si="41"/>
        <v>7</v>
      </c>
      <c r="BO8" s="4">
        <v>3</v>
      </c>
      <c r="BP8" s="4">
        <v>1</v>
      </c>
      <c r="BQ8" s="4">
        <v>4</v>
      </c>
      <c r="BR8" s="4">
        <v>1</v>
      </c>
      <c r="BS8" s="90">
        <f t="shared" si="42"/>
        <v>9</v>
      </c>
      <c r="BT8" s="4">
        <v>4</v>
      </c>
      <c r="BU8" s="4">
        <v>1</v>
      </c>
      <c r="BV8" s="4">
        <v>1</v>
      </c>
      <c r="BW8" s="4">
        <v>1</v>
      </c>
      <c r="BX8" s="90">
        <f>SUM(BT8,BU8,BV8,BW8)</f>
        <v>7</v>
      </c>
      <c r="BY8" s="11">
        <v>4</v>
      </c>
      <c r="BZ8" s="4">
        <v>1</v>
      </c>
      <c r="CA8" s="4">
        <v>3</v>
      </c>
      <c r="CB8" s="4">
        <v>4</v>
      </c>
      <c r="CC8" s="89">
        <f t="shared" si="4"/>
        <v>12</v>
      </c>
      <c r="CD8" s="4">
        <v>1</v>
      </c>
      <c r="CE8" s="4">
        <v>3</v>
      </c>
      <c r="CF8" s="4">
        <v>2</v>
      </c>
      <c r="CG8" s="4">
        <v>1</v>
      </c>
      <c r="CH8" s="89">
        <f t="shared" si="5"/>
        <v>7</v>
      </c>
      <c r="CI8" s="4">
        <v>3</v>
      </c>
      <c r="CJ8" s="4">
        <v>4</v>
      </c>
      <c r="CK8" s="4">
        <v>2</v>
      </c>
      <c r="CL8" s="4">
        <v>2</v>
      </c>
      <c r="CM8" s="89">
        <f t="shared" si="6"/>
        <v>11</v>
      </c>
      <c r="CN8" s="6">
        <v>3</v>
      </c>
      <c r="CO8" s="4">
        <v>2</v>
      </c>
      <c r="CP8" s="4">
        <v>1</v>
      </c>
      <c r="CQ8" s="4">
        <v>4</v>
      </c>
      <c r="CR8" s="89">
        <f t="shared" si="7"/>
        <v>10</v>
      </c>
      <c r="CS8" s="4">
        <v>1</v>
      </c>
      <c r="CT8" s="4">
        <v>2</v>
      </c>
      <c r="CU8" s="4">
        <v>4</v>
      </c>
      <c r="CV8" s="4">
        <v>3</v>
      </c>
      <c r="CW8" s="89">
        <f t="shared" si="8"/>
        <v>10</v>
      </c>
      <c r="CX8" s="4">
        <v>4</v>
      </c>
      <c r="CY8" s="4">
        <v>3</v>
      </c>
      <c r="CZ8" s="4">
        <v>4</v>
      </c>
      <c r="DA8" s="4">
        <v>2</v>
      </c>
      <c r="DB8" s="89">
        <f t="shared" si="9"/>
        <v>13</v>
      </c>
      <c r="DC8" s="6">
        <v>1</v>
      </c>
      <c r="DD8" s="4">
        <v>4</v>
      </c>
      <c r="DE8" s="4">
        <v>3</v>
      </c>
      <c r="DF8" s="4">
        <v>4</v>
      </c>
      <c r="DG8" s="89">
        <f t="shared" si="10"/>
        <v>12</v>
      </c>
      <c r="DH8" s="4">
        <v>2</v>
      </c>
      <c r="DI8" s="4">
        <v>2</v>
      </c>
      <c r="DJ8" s="4">
        <v>1</v>
      </c>
      <c r="DK8" s="4">
        <v>2</v>
      </c>
      <c r="DL8" s="89">
        <f t="shared" si="11"/>
        <v>7</v>
      </c>
      <c r="DM8" s="4">
        <v>4</v>
      </c>
      <c r="DN8" s="4">
        <v>4</v>
      </c>
      <c r="DO8" s="4">
        <v>2</v>
      </c>
      <c r="DP8" s="4">
        <v>3</v>
      </c>
      <c r="DQ8" s="89">
        <f t="shared" si="12"/>
        <v>13</v>
      </c>
      <c r="DR8" s="6">
        <v>5</v>
      </c>
      <c r="DS8" s="6">
        <v>1</v>
      </c>
      <c r="DT8" s="4">
        <v>1</v>
      </c>
      <c r="DU8" s="4">
        <v>3</v>
      </c>
      <c r="DV8" s="89">
        <f t="shared" si="13"/>
        <v>10</v>
      </c>
      <c r="DW8" s="12">
        <v>3</v>
      </c>
      <c r="DX8" s="4">
        <v>4</v>
      </c>
      <c r="DY8" s="4">
        <v>3</v>
      </c>
      <c r="DZ8" s="4">
        <v>4</v>
      </c>
      <c r="EA8" s="89">
        <f t="shared" si="14"/>
        <v>14</v>
      </c>
      <c r="EB8" s="4">
        <v>3</v>
      </c>
      <c r="EC8" s="4">
        <v>4</v>
      </c>
      <c r="ED8" s="4">
        <v>4</v>
      </c>
      <c r="EE8" s="4">
        <v>2</v>
      </c>
      <c r="EF8" s="89">
        <f t="shared" si="15"/>
        <v>13</v>
      </c>
      <c r="EG8" s="6">
        <v>2</v>
      </c>
      <c r="EH8" s="4">
        <v>4</v>
      </c>
      <c r="EI8" s="4">
        <v>2</v>
      </c>
      <c r="EJ8" s="4">
        <v>4</v>
      </c>
      <c r="EK8" s="89">
        <f t="shared" si="16"/>
        <v>12</v>
      </c>
      <c r="EL8" s="4">
        <v>2</v>
      </c>
      <c r="EM8" s="4">
        <v>1</v>
      </c>
      <c r="EN8" s="4">
        <v>1</v>
      </c>
      <c r="EO8" s="4">
        <v>1</v>
      </c>
      <c r="EP8" s="89">
        <f t="shared" si="17"/>
        <v>5</v>
      </c>
      <c r="EQ8" s="4">
        <v>2</v>
      </c>
      <c r="ER8" s="4">
        <v>4</v>
      </c>
      <c r="ES8" s="4">
        <v>1</v>
      </c>
      <c r="ET8" s="4">
        <v>3</v>
      </c>
      <c r="EU8" s="89">
        <f t="shared" si="18"/>
        <v>10</v>
      </c>
      <c r="EV8" s="6">
        <v>2</v>
      </c>
      <c r="EW8" s="4">
        <v>3</v>
      </c>
      <c r="EX8" s="4">
        <v>4</v>
      </c>
      <c r="EY8" s="4">
        <v>1</v>
      </c>
      <c r="EZ8" s="89">
        <f t="shared" si="19"/>
        <v>10</v>
      </c>
      <c r="FA8" s="4">
        <v>2</v>
      </c>
      <c r="FB8" s="4">
        <v>3</v>
      </c>
      <c r="FC8" s="4">
        <v>2</v>
      </c>
      <c r="FD8" s="4">
        <v>3</v>
      </c>
      <c r="FE8" s="89">
        <f t="shared" si="20"/>
        <v>10</v>
      </c>
      <c r="FF8" s="4">
        <v>1</v>
      </c>
      <c r="FG8" s="4">
        <v>1</v>
      </c>
      <c r="FH8" s="4">
        <v>2</v>
      </c>
      <c r="FI8" s="4">
        <v>3</v>
      </c>
      <c r="FJ8" s="89">
        <f t="shared" si="21"/>
        <v>7</v>
      </c>
      <c r="FK8" s="6">
        <v>1</v>
      </c>
      <c r="FL8" s="4">
        <v>3</v>
      </c>
      <c r="FM8" s="4">
        <v>3</v>
      </c>
      <c r="FN8" s="4">
        <v>2</v>
      </c>
      <c r="FO8" s="89">
        <f t="shared" si="22"/>
        <v>9</v>
      </c>
      <c r="FP8" s="4">
        <v>2</v>
      </c>
      <c r="FQ8" s="4">
        <v>4</v>
      </c>
      <c r="FR8" s="4">
        <v>1</v>
      </c>
      <c r="FS8" s="4">
        <v>1</v>
      </c>
      <c r="FT8" s="89">
        <f t="shared" si="23"/>
        <v>8</v>
      </c>
      <c r="FU8" s="4">
        <v>2</v>
      </c>
      <c r="FV8" s="4">
        <v>1</v>
      </c>
      <c r="FW8" s="4">
        <v>1</v>
      </c>
      <c r="FX8" s="4">
        <v>2</v>
      </c>
      <c r="FY8" s="89">
        <f t="shared" si="24"/>
        <v>6</v>
      </c>
      <c r="FZ8" s="11">
        <v>3</v>
      </c>
      <c r="GA8" s="4">
        <v>1</v>
      </c>
      <c r="GB8" s="4">
        <v>3</v>
      </c>
      <c r="GC8" s="4">
        <v>4</v>
      </c>
      <c r="GD8" s="89">
        <f t="shared" si="25"/>
        <v>11</v>
      </c>
      <c r="GE8" s="4">
        <v>3</v>
      </c>
      <c r="GF8" s="4">
        <v>5</v>
      </c>
      <c r="GG8" s="4">
        <v>1</v>
      </c>
      <c r="GH8" s="4">
        <v>2</v>
      </c>
      <c r="GI8" s="89">
        <f t="shared" si="26"/>
        <v>11</v>
      </c>
      <c r="GJ8" s="4">
        <v>4</v>
      </c>
      <c r="GK8" s="4">
        <v>1</v>
      </c>
      <c r="GL8" s="4">
        <v>5</v>
      </c>
      <c r="GM8" s="4">
        <v>1</v>
      </c>
      <c r="GN8" s="89">
        <f t="shared" si="27"/>
        <v>11</v>
      </c>
      <c r="GO8" s="6">
        <v>4</v>
      </c>
      <c r="GP8" s="4">
        <v>3</v>
      </c>
      <c r="GQ8" s="4">
        <v>4</v>
      </c>
      <c r="GR8" s="4">
        <v>2</v>
      </c>
      <c r="GS8" s="89">
        <f t="shared" si="28"/>
        <v>13</v>
      </c>
      <c r="GT8" s="4">
        <v>5</v>
      </c>
      <c r="GU8" s="4">
        <v>2</v>
      </c>
      <c r="GV8" s="4">
        <v>1</v>
      </c>
      <c r="GW8" s="4">
        <v>4</v>
      </c>
      <c r="GX8" s="89">
        <f t="shared" si="29"/>
        <v>12</v>
      </c>
      <c r="GY8" s="4">
        <v>1</v>
      </c>
      <c r="GZ8" s="4">
        <v>4</v>
      </c>
      <c r="HA8" s="4">
        <v>3</v>
      </c>
      <c r="HB8" s="4">
        <v>4</v>
      </c>
      <c r="HC8" s="89">
        <f t="shared" si="30"/>
        <v>12</v>
      </c>
    </row>
    <row r="9" spans="1:211" ht="15" customHeight="1" x14ac:dyDescent="0.3">
      <c r="A9" s="119" t="s">
        <v>9</v>
      </c>
      <c r="B9" s="6">
        <v>1</v>
      </c>
      <c r="C9" s="4">
        <v>2</v>
      </c>
      <c r="D9" s="4">
        <v>3</v>
      </c>
      <c r="E9" s="4">
        <v>2</v>
      </c>
      <c r="F9" s="89">
        <f t="shared" si="31"/>
        <v>8</v>
      </c>
      <c r="G9" s="6">
        <v>2</v>
      </c>
      <c r="H9" s="4">
        <v>2</v>
      </c>
      <c r="I9" s="4">
        <v>3</v>
      </c>
      <c r="J9" s="4">
        <v>2</v>
      </c>
      <c r="K9" s="89">
        <f t="shared" si="40"/>
        <v>9</v>
      </c>
      <c r="L9" s="6">
        <v>2</v>
      </c>
      <c r="M9" s="4">
        <v>2</v>
      </c>
      <c r="N9" s="4">
        <v>3</v>
      </c>
      <c r="O9" s="4">
        <v>2</v>
      </c>
      <c r="P9" s="89">
        <f t="shared" si="43"/>
        <v>9</v>
      </c>
      <c r="Q9" s="11">
        <v>3</v>
      </c>
      <c r="R9" s="4">
        <v>2</v>
      </c>
      <c r="S9" s="4">
        <v>3</v>
      </c>
      <c r="T9" s="4">
        <v>2</v>
      </c>
      <c r="U9" s="89">
        <f t="shared" si="32"/>
        <v>10</v>
      </c>
      <c r="V9" s="6">
        <v>2</v>
      </c>
      <c r="W9" s="4">
        <v>2</v>
      </c>
      <c r="X9" s="4">
        <v>2</v>
      </c>
      <c r="Y9" s="4">
        <v>1</v>
      </c>
      <c r="Z9" s="89">
        <f t="shared" si="33"/>
        <v>7</v>
      </c>
      <c r="AA9" s="3">
        <v>2</v>
      </c>
      <c r="AB9" s="4">
        <v>3</v>
      </c>
      <c r="AC9" s="4">
        <v>1</v>
      </c>
      <c r="AD9" s="4">
        <v>2</v>
      </c>
      <c r="AE9" s="89">
        <f t="shared" si="34"/>
        <v>8</v>
      </c>
      <c r="AF9" s="6">
        <v>2</v>
      </c>
      <c r="AG9" s="4">
        <v>2</v>
      </c>
      <c r="AH9" s="4">
        <v>1</v>
      </c>
      <c r="AI9" s="4">
        <v>2</v>
      </c>
      <c r="AJ9" s="89">
        <f t="shared" si="35"/>
        <v>7</v>
      </c>
      <c r="AK9" s="4">
        <v>1</v>
      </c>
      <c r="AL9" s="4">
        <v>2</v>
      </c>
      <c r="AM9" s="4">
        <v>3</v>
      </c>
      <c r="AN9" s="4">
        <v>1</v>
      </c>
      <c r="AO9" s="89">
        <f t="shared" si="36"/>
        <v>7</v>
      </c>
      <c r="AP9" s="4">
        <v>1</v>
      </c>
      <c r="AQ9" s="4">
        <v>2</v>
      </c>
      <c r="AR9" s="4">
        <v>1</v>
      </c>
      <c r="AS9" s="4">
        <v>3</v>
      </c>
      <c r="AT9" s="89">
        <f t="shared" si="37"/>
        <v>7</v>
      </c>
      <c r="AU9" s="6">
        <v>3</v>
      </c>
      <c r="AV9" s="4">
        <v>3</v>
      </c>
      <c r="AW9" s="4">
        <v>1</v>
      </c>
      <c r="AX9" s="4">
        <v>2</v>
      </c>
      <c r="AY9" s="89">
        <f t="shared" si="38"/>
        <v>9</v>
      </c>
      <c r="AZ9" s="4">
        <v>4</v>
      </c>
      <c r="BA9" s="4">
        <v>2</v>
      </c>
      <c r="BB9" s="4">
        <v>2</v>
      </c>
      <c r="BC9" s="4">
        <v>2</v>
      </c>
      <c r="BD9" s="89">
        <f t="shared" si="39"/>
        <v>10</v>
      </c>
      <c r="BE9" s="4">
        <v>3</v>
      </c>
      <c r="BF9" s="4">
        <v>2</v>
      </c>
      <c r="BG9" s="4">
        <v>2</v>
      </c>
      <c r="BH9" s="4">
        <v>2</v>
      </c>
      <c r="BI9" s="89">
        <f t="shared" si="0"/>
        <v>9</v>
      </c>
      <c r="BJ9" s="3">
        <v>2</v>
      </c>
      <c r="BK9" s="4">
        <v>3</v>
      </c>
      <c r="BL9" s="4">
        <v>1</v>
      </c>
      <c r="BM9" s="4">
        <v>2</v>
      </c>
      <c r="BN9" s="90">
        <f t="shared" si="41"/>
        <v>8</v>
      </c>
      <c r="BO9" s="4">
        <v>2</v>
      </c>
      <c r="BP9" s="4">
        <v>2</v>
      </c>
      <c r="BQ9" s="4">
        <v>1</v>
      </c>
      <c r="BR9" s="4">
        <v>2</v>
      </c>
      <c r="BS9" s="90">
        <f t="shared" si="42"/>
        <v>7</v>
      </c>
      <c r="BT9" s="4">
        <v>2</v>
      </c>
      <c r="BU9" s="4">
        <v>2</v>
      </c>
      <c r="BV9" s="4">
        <v>2</v>
      </c>
      <c r="BW9" s="4">
        <v>2</v>
      </c>
      <c r="BX9" s="90">
        <f t="shared" ref="BX9:BX27" si="44">SUM(BT9,BU9,BV9,BW9)</f>
        <v>8</v>
      </c>
      <c r="BY9" s="11">
        <v>1</v>
      </c>
      <c r="BZ9" s="4">
        <v>5</v>
      </c>
      <c r="CA9" s="4">
        <v>5</v>
      </c>
      <c r="CB9" s="4">
        <v>1</v>
      </c>
      <c r="CC9" s="89">
        <f t="shared" si="4"/>
        <v>12</v>
      </c>
      <c r="CD9" s="4">
        <v>1</v>
      </c>
      <c r="CE9" s="4">
        <v>2</v>
      </c>
      <c r="CF9" s="4">
        <v>2</v>
      </c>
      <c r="CG9" s="4">
        <v>4</v>
      </c>
      <c r="CH9" s="89">
        <f t="shared" si="5"/>
        <v>9</v>
      </c>
      <c r="CI9" s="4">
        <v>1</v>
      </c>
      <c r="CJ9" s="4">
        <v>4</v>
      </c>
      <c r="CK9" s="4">
        <v>1</v>
      </c>
      <c r="CL9" s="4">
        <v>1</v>
      </c>
      <c r="CM9" s="89">
        <f t="shared" si="6"/>
        <v>7</v>
      </c>
      <c r="CN9" s="6">
        <v>5</v>
      </c>
      <c r="CO9" s="4">
        <v>2</v>
      </c>
      <c r="CP9" s="4">
        <v>4</v>
      </c>
      <c r="CQ9" s="4">
        <v>5</v>
      </c>
      <c r="CR9" s="89">
        <f t="shared" si="7"/>
        <v>16</v>
      </c>
      <c r="CS9" s="4">
        <v>5</v>
      </c>
      <c r="CT9" s="4">
        <v>3</v>
      </c>
      <c r="CU9" s="4">
        <v>3</v>
      </c>
      <c r="CV9" s="4">
        <v>2</v>
      </c>
      <c r="CW9" s="89">
        <f t="shared" si="8"/>
        <v>13</v>
      </c>
      <c r="CX9" s="4">
        <v>1</v>
      </c>
      <c r="CY9" s="4">
        <v>3</v>
      </c>
      <c r="CZ9" s="4">
        <v>5</v>
      </c>
      <c r="DA9" s="4">
        <v>2</v>
      </c>
      <c r="DB9" s="89">
        <f t="shared" si="9"/>
        <v>11</v>
      </c>
      <c r="DC9" s="6">
        <v>2</v>
      </c>
      <c r="DD9" s="4">
        <v>4</v>
      </c>
      <c r="DE9" s="4">
        <v>1</v>
      </c>
      <c r="DF9" s="4">
        <v>1</v>
      </c>
      <c r="DG9" s="89">
        <f t="shared" si="10"/>
        <v>8</v>
      </c>
      <c r="DH9" s="4">
        <v>5</v>
      </c>
      <c r="DI9" s="4">
        <v>5</v>
      </c>
      <c r="DJ9" s="4">
        <v>2</v>
      </c>
      <c r="DK9" s="4">
        <v>5</v>
      </c>
      <c r="DL9" s="89">
        <f t="shared" si="11"/>
        <v>17</v>
      </c>
      <c r="DM9" s="4">
        <v>2</v>
      </c>
      <c r="DN9" s="4">
        <v>2</v>
      </c>
      <c r="DO9" s="4">
        <v>1</v>
      </c>
      <c r="DP9" s="4">
        <v>3</v>
      </c>
      <c r="DQ9" s="89">
        <f t="shared" si="12"/>
        <v>8</v>
      </c>
      <c r="DR9" s="6">
        <v>5</v>
      </c>
      <c r="DS9" s="6">
        <v>4</v>
      </c>
      <c r="DT9" s="4">
        <v>1</v>
      </c>
      <c r="DU9" s="4">
        <v>4</v>
      </c>
      <c r="DV9" s="89">
        <f t="shared" si="13"/>
        <v>14</v>
      </c>
      <c r="DW9" s="12">
        <v>1</v>
      </c>
      <c r="DX9" s="4">
        <v>1</v>
      </c>
      <c r="DY9" s="4">
        <v>3</v>
      </c>
      <c r="DZ9" s="4">
        <v>2</v>
      </c>
      <c r="EA9" s="89">
        <f t="shared" si="14"/>
        <v>7</v>
      </c>
      <c r="EB9" s="4">
        <v>2</v>
      </c>
      <c r="EC9" s="4">
        <v>4</v>
      </c>
      <c r="ED9" s="4">
        <v>2</v>
      </c>
      <c r="EE9" s="4">
        <v>3</v>
      </c>
      <c r="EF9" s="89">
        <f t="shared" si="15"/>
        <v>11</v>
      </c>
      <c r="EG9" s="6">
        <v>4</v>
      </c>
      <c r="EH9" s="4">
        <v>4</v>
      </c>
      <c r="EI9" s="4">
        <v>2</v>
      </c>
      <c r="EJ9" s="4">
        <v>4</v>
      </c>
      <c r="EK9" s="89">
        <f t="shared" si="16"/>
        <v>14</v>
      </c>
      <c r="EL9" s="4">
        <v>3</v>
      </c>
      <c r="EM9" s="4">
        <v>1</v>
      </c>
      <c r="EN9" s="4">
        <v>1</v>
      </c>
      <c r="EO9" s="4">
        <v>3</v>
      </c>
      <c r="EP9" s="89">
        <f t="shared" si="17"/>
        <v>8</v>
      </c>
      <c r="EQ9" s="4">
        <v>4</v>
      </c>
      <c r="ER9" s="4">
        <v>2</v>
      </c>
      <c r="ES9" s="4">
        <v>3</v>
      </c>
      <c r="ET9" s="4">
        <v>3</v>
      </c>
      <c r="EU9" s="89">
        <f t="shared" si="18"/>
        <v>12</v>
      </c>
      <c r="EV9" s="6">
        <v>1</v>
      </c>
      <c r="EW9" s="4">
        <v>4</v>
      </c>
      <c r="EX9" s="4">
        <v>3</v>
      </c>
      <c r="EY9" s="4">
        <v>1</v>
      </c>
      <c r="EZ9" s="89">
        <f t="shared" si="19"/>
        <v>9</v>
      </c>
      <c r="FA9" s="4">
        <v>1</v>
      </c>
      <c r="FB9" s="4">
        <v>3</v>
      </c>
      <c r="FC9" s="4">
        <v>1</v>
      </c>
      <c r="FD9" s="4">
        <v>4</v>
      </c>
      <c r="FE9" s="89">
        <f t="shared" si="20"/>
        <v>9</v>
      </c>
      <c r="FF9" s="4">
        <v>1</v>
      </c>
      <c r="FG9" s="4">
        <v>2</v>
      </c>
      <c r="FH9" s="4">
        <v>1</v>
      </c>
      <c r="FI9" s="4">
        <v>3</v>
      </c>
      <c r="FJ9" s="89">
        <f t="shared" si="21"/>
        <v>7</v>
      </c>
      <c r="FK9" s="6">
        <v>1</v>
      </c>
      <c r="FL9" s="4">
        <v>4</v>
      </c>
      <c r="FM9" s="4">
        <v>2</v>
      </c>
      <c r="FN9" s="4">
        <v>3</v>
      </c>
      <c r="FO9" s="89">
        <f t="shared" si="22"/>
        <v>10</v>
      </c>
      <c r="FP9" s="12">
        <v>1</v>
      </c>
      <c r="FQ9" s="4">
        <v>1</v>
      </c>
      <c r="FR9" s="4">
        <v>4</v>
      </c>
      <c r="FS9" s="4">
        <v>4</v>
      </c>
      <c r="FT9" s="89">
        <f t="shared" si="23"/>
        <v>10</v>
      </c>
      <c r="FU9" s="4">
        <v>4</v>
      </c>
      <c r="FV9" s="4">
        <v>2</v>
      </c>
      <c r="FW9" s="4">
        <v>4</v>
      </c>
      <c r="FX9" s="4">
        <v>3</v>
      </c>
      <c r="FY9" s="89">
        <f t="shared" si="24"/>
        <v>13</v>
      </c>
      <c r="FZ9" s="11">
        <v>5</v>
      </c>
      <c r="GA9" s="4">
        <v>5</v>
      </c>
      <c r="GB9" s="4">
        <v>4</v>
      </c>
      <c r="GC9" s="4">
        <v>4</v>
      </c>
      <c r="GD9" s="89">
        <f t="shared" si="25"/>
        <v>18</v>
      </c>
      <c r="GE9" s="4">
        <v>5</v>
      </c>
      <c r="GF9" s="4">
        <v>2</v>
      </c>
      <c r="GG9" s="4">
        <v>3</v>
      </c>
      <c r="GH9" s="4">
        <v>1</v>
      </c>
      <c r="GI9" s="89">
        <f t="shared" si="26"/>
        <v>11</v>
      </c>
      <c r="GJ9" s="4">
        <v>4</v>
      </c>
      <c r="GK9" s="4">
        <v>3</v>
      </c>
      <c r="GL9" s="4">
        <v>3</v>
      </c>
      <c r="GM9" s="4">
        <v>3</v>
      </c>
      <c r="GN9" s="89">
        <f t="shared" si="27"/>
        <v>13</v>
      </c>
      <c r="GO9" s="6">
        <v>5</v>
      </c>
      <c r="GP9" s="4">
        <v>1</v>
      </c>
      <c r="GQ9" s="4">
        <v>5</v>
      </c>
      <c r="GR9" s="4">
        <v>1</v>
      </c>
      <c r="GS9" s="89">
        <f t="shared" si="28"/>
        <v>12</v>
      </c>
      <c r="GT9" s="4">
        <v>2</v>
      </c>
      <c r="GU9" s="4">
        <v>3</v>
      </c>
      <c r="GV9" s="4">
        <v>2</v>
      </c>
      <c r="GW9" s="4">
        <v>3</v>
      </c>
      <c r="GX9" s="89">
        <f t="shared" si="29"/>
        <v>10</v>
      </c>
      <c r="GY9" s="4">
        <v>3</v>
      </c>
      <c r="GZ9" s="4">
        <v>2</v>
      </c>
      <c r="HA9" s="4">
        <v>1</v>
      </c>
      <c r="HB9" s="4">
        <v>4</v>
      </c>
      <c r="HC9" s="89">
        <f t="shared" si="30"/>
        <v>10</v>
      </c>
    </row>
    <row r="10" spans="1:211" ht="15" customHeight="1" x14ac:dyDescent="0.3">
      <c r="A10" s="119" t="s">
        <v>10</v>
      </c>
      <c r="B10" s="6">
        <v>2</v>
      </c>
      <c r="C10" s="4">
        <v>1</v>
      </c>
      <c r="D10" s="4">
        <v>1</v>
      </c>
      <c r="E10" s="4">
        <v>1</v>
      </c>
      <c r="F10" s="89">
        <f t="shared" si="31"/>
        <v>5</v>
      </c>
      <c r="G10" s="6">
        <v>1</v>
      </c>
      <c r="H10" s="4">
        <v>3</v>
      </c>
      <c r="I10" s="4">
        <v>3</v>
      </c>
      <c r="J10" s="4">
        <v>3</v>
      </c>
      <c r="K10" s="89">
        <f t="shared" si="40"/>
        <v>10</v>
      </c>
      <c r="L10" s="6">
        <v>3</v>
      </c>
      <c r="M10" s="4">
        <v>3</v>
      </c>
      <c r="N10" s="4">
        <v>1</v>
      </c>
      <c r="O10" s="4">
        <v>3</v>
      </c>
      <c r="P10" s="89">
        <f t="shared" si="43"/>
        <v>10</v>
      </c>
      <c r="Q10" s="11">
        <v>3</v>
      </c>
      <c r="R10" s="4">
        <v>4</v>
      </c>
      <c r="S10" s="4">
        <v>3</v>
      </c>
      <c r="T10" s="4">
        <v>3</v>
      </c>
      <c r="U10" s="89">
        <f t="shared" si="32"/>
        <v>13</v>
      </c>
      <c r="V10" s="6">
        <v>2</v>
      </c>
      <c r="W10" s="4">
        <v>2</v>
      </c>
      <c r="X10" s="4">
        <v>2</v>
      </c>
      <c r="Y10" s="4">
        <v>2</v>
      </c>
      <c r="Z10" s="89">
        <f t="shared" si="33"/>
        <v>8</v>
      </c>
      <c r="AA10" s="3">
        <v>1</v>
      </c>
      <c r="AB10" s="4">
        <v>1</v>
      </c>
      <c r="AC10" s="4">
        <v>3</v>
      </c>
      <c r="AD10" s="4">
        <v>1</v>
      </c>
      <c r="AE10" s="89">
        <f t="shared" si="34"/>
        <v>6</v>
      </c>
      <c r="AF10" s="6">
        <v>1</v>
      </c>
      <c r="AG10" s="4">
        <v>2</v>
      </c>
      <c r="AH10" s="4">
        <v>1</v>
      </c>
      <c r="AI10" s="4">
        <v>2</v>
      </c>
      <c r="AJ10" s="89">
        <f t="shared" si="35"/>
        <v>6</v>
      </c>
      <c r="AK10" s="4">
        <v>2</v>
      </c>
      <c r="AL10" s="4">
        <v>1</v>
      </c>
      <c r="AM10" s="4">
        <v>3</v>
      </c>
      <c r="AN10" s="4">
        <v>2</v>
      </c>
      <c r="AO10" s="89">
        <f t="shared" si="36"/>
        <v>8</v>
      </c>
      <c r="AP10" s="4">
        <v>2</v>
      </c>
      <c r="AQ10" s="4">
        <v>1</v>
      </c>
      <c r="AR10" s="4">
        <v>5</v>
      </c>
      <c r="AS10" s="4">
        <v>2</v>
      </c>
      <c r="AT10" s="89">
        <f t="shared" si="37"/>
        <v>10</v>
      </c>
      <c r="AU10" s="6">
        <v>1</v>
      </c>
      <c r="AV10" s="4">
        <v>1</v>
      </c>
      <c r="AW10" s="4">
        <v>2</v>
      </c>
      <c r="AX10" s="4">
        <v>1</v>
      </c>
      <c r="AY10" s="89">
        <f t="shared" si="38"/>
        <v>5</v>
      </c>
      <c r="AZ10" s="4">
        <v>1</v>
      </c>
      <c r="BA10" s="4">
        <v>1</v>
      </c>
      <c r="BB10" s="4">
        <v>4</v>
      </c>
      <c r="BC10" s="4">
        <v>1</v>
      </c>
      <c r="BD10" s="89">
        <f t="shared" si="39"/>
        <v>7</v>
      </c>
      <c r="BE10" s="4">
        <v>1</v>
      </c>
      <c r="BF10" s="4">
        <v>3</v>
      </c>
      <c r="BG10" s="4">
        <v>4</v>
      </c>
      <c r="BH10" s="4">
        <v>2</v>
      </c>
      <c r="BI10" s="89">
        <f t="shared" si="0"/>
        <v>10</v>
      </c>
      <c r="BJ10" s="3">
        <v>1</v>
      </c>
      <c r="BK10" s="4">
        <v>1</v>
      </c>
      <c r="BL10" s="4">
        <v>1</v>
      </c>
      <c r="BM10" s="4">
        <v>1</v>
      </c>
      <c r="BN10" s="90">
        <f t="shared" si="41"/>
        <v>4</v>
      </c>
      <c r="BO10" s="4">
        <v>2</v>
      </c>
      <c r="BP10" s="4">
        <v>2</v>
      </c>
      <c r="BQ10" s="4">
        <v>1</v>
      </c>
      <c r="BR10" s="4">
        <v>2</v>
      </c>
      <c r="BS10" s="90">
        <f t="shared" si="42"/>
        <v>7</v>
      </c>
      <c r="BT10" s="4">
        <v>2</v>
      </c>
      <c r="BU10" s="4">
        <v>4</v>
      </c>
      <c r="BV10" s="4">
        <v>3</v>
      </c>
      <c r="BW10" s="4">
        <v>3</v>
      </c>
      <c r="BX10" s="90">
        <f t="shared" si="44"/>
        <v>12</v>
      </c>
      <c r="BY10" s="11">
        <v>4</v>
      </c>
      <c r="BZ10" s="4">
        <v>3</v>
      </c>
      <c r="CA10" s="4">
        <v>3</v>
      </c>
      <c r="CB10" s="4">
        <v>5</v>
      </c>
      <c r="CC10" s="89">
        <f t="shared" si="4"/>
        <v>15</v>
      </c>
      <c r="CD10" s="4">
        <v>5</v>
      </c>
      <c r="CE10" s="4">
        <v>1</v>
      </c>
      <c r="CF10" s="4">
        <v>3</v>
      </c>
      <c r="CG10" s="4">
        <v>4</v>
      </c>
      <c r="CH10" s="89">
        <f t="shared" si="5"/>
        <v>13</v>
      </c>
      <c r="CI10" s="4">
        <v>4</v>
      </c>
      <c r="CJ10" s="4">
        <v>5</v>
      </c>
      <c r="CK10" s="4">
        <v>3</v>
      </c>
      <c r="CL10" s="4">
        <v>1</v>
      </c>
      <c r="CM10" s="89">
        <f t="shared" si="6"/>
        <v>13</v>
      </c>
      <c r="CN10" s="6">
        <v>3</v>
      </c>
      <c r="CO10" s="4">
        <v>5</v>
      </c>
      <c r="CP10" s="4">
        <v>3</v>
      </c>
      <c r="CQ10" s="4">
        <v>5</v>
      </c>
      <c r="CR10" s="89">
        <f t="shared" si="7"/>
        <v>16</v>
      </c>
      <c r="CS10" s="4">
        <v>2</v>
      </c>
      <c r="CT10" s="4">
        <v>2</v>
      </c>
      <c r="CU10" s="4">
        <v>2</v>
      </c>
      <c r="CV10" s="4">
        <v>1</v>
      </c>
      <c r="CW10" s="89">
        <f t="shared" si="8"/>
        <v>7</v>
      </c>
      <c r="CX10" s="4">
        <v>1</v>
      </c>
      <c r="CY10" s="4">
        <v>1</v>
      </c>
      <c r="CZ10" s="4">
        <v>1</v>
      </c>
      <c r="DA10" s="4">
        <v>2</v>
      </c>
      <c r="DB10" s="89">
        <f t="shared" si="9"/>
        <v>5</v>
      </c>
      <c r="DC10" s="6">
        <v>3</v>
      </c>
      <c r="DD10" s="4">
        <v>3</v>
      </c>
      <c r="DE10" s="4">
        <v>4</v>
      </c>
      <c r="DF10" s="4">
        <v>1</v>
      </c>
      <c r="DG10" s="89">
        <f t="shared" si="10"/>
        <v>11</v>
      </c>
      <c r="DH10" s="4">
        <v>5</v>
      </c>
      <c r="DI10" s="4">
        <v>3</v>
      </c>
      <c r="DJ10" s="4">
        <v>3</v>
      </c>
      <c r="DK10" s="4">
        <v>3</v>
      </c>
      <c r="DL10" s="89">
        <f t="shared" si="11"/>
        <v>14</v>
      </c>
      <c r="DM10" s="4">
        <v>1</v>
      </c>
      <c r="DN10" s="4">
        <v>3</v>
      </c>
      <c r="DO10" s="4">
        <v>5</v>
      </c>
      <c r="DP10" s="4">
        <v>2</v>
      </c>
      <c r="DQ10" s="89">
        <f t="shared" si="12"/>
        <v>11</v>
      </c>
      <c r="DR10" s="6">
        <v>4</v>
      </c>
      <c r="DS10" s="6">
        <v>3</v>
      </c>
      <c r="DT10" s="4">
        <v>5</v>
      </c>
      <c r="DU10" s="4">
        <v>2</v>
      </c>
      <c r="DV10" s="89">
        <f t="shared" si="13"/>
        <v>14</v>
      </c>
      <c r="DW10" s="12">
        <v>1</v>
      </c>
      <c r="DX10" s="4">
        <v>3</v>
      </c>
      <c r="DY10" s="4">
        <v>2</v>
      </c>
      <c r="DZ10" s="4">
        <v>1</v>
      </c>
      <c r="EA10" s="89">
        <f t="shared" si="14"/>
        <v>7</v>
      </c>
      <c r="EB10" s="4">
        <v>4</v>
      </c>
      <c r="EC10" s="4">
        <v>2</v>
      </c>
      <c r="ED10" s="4">
        <v>1</v>
      </c>
      <c r="EE10" s="4">
        <v>2</v>
      </c>
      <c r="EF10" s="89">
        <f t="shared" si="15"/>
        <v>9</v>
      </c>
      <c r="EG10" s="6">
        <v>3</v>
      </c>
      <c r="EH10" s="4">
        <v>3</v>
      </c>
      <c r="EI10" s="4">
        <v>3</v>
      </c>
      <c r="EJ10" s="4">
        <v>2</v>
      </c>
      <c r="EK10" s="89">
        <f t="shared" si="16"/>
        <v>11</v>
      </c>
      <c r="EL10" s="4">
        <v>2</v>
      </c>
      <c r="EM10" s="4">
        <v>2</v>
      </c>
      <c r="EN10" s="4">
        <v>2</v>
      </c>
      <c r="EO10" s="4">
        <v>3</v>
      </c>
      <c r="EP10" s="89">
        <f t="shared" si="17"/>
        <v>9</v>
      </c>
      <c r="EQ10" s="4">
        <v>4</v>
      </c>
      <c r="ER10" s="4">
        <v>4</v>
      </c>
      <c r="ES10" s="4">
        <v>2</v>
      </c>
      <c r="ET10" s="4">
        <v>4</v>
      </c>
      <c r="EU10" s="89">
        <f t="shared" si="18"/>
        <v>14</v>
      </c>
      <c r="EV10" s="6">
        <v>2</v>
      </c>
      <c r="EW10" s="4">
        <v>4</v>
      </c>
      <c r="EX10" s="4">
        <v>3</v>
      </c>
      <c r="EY10" s="4">
        <v>2</v>
      </c>
      <c r="EZ10" s="89">
        <f t="shared" si="19"/>
        <v>11</v>
      </c>
      <c r="FA10" s="4">
        <v>1</v>
      </c>
      <c r="FB10" s="4">
        <v>2</v>
      </c>
      <c r="FC10" s="4">
        <v>4</v>
      </c>
      <c r="FD10" s="4">
        <v>1</v>
      </c>
      <c r="FE10" s="89">
        <f t="shared" si="20"/>
        <v>8</v>
      </c>
      <c r="FF10" s="4">
        <v>3</v>
      </c>
      <c r="FG10" s="4">
        <v>1</v>
      </c>
      <c r="FH10" s="4">
        <v>3</v>
      </c>
      <c r="FI10" s="4">
        <v>2</v>
      </c>
      <c r="FJ10" s="89">
        <f t="shared" si="21"/>
        <v>9</v>
      </c>
      <c r="FK10" s="6">
        <v>1</v>
      </c>
      <c r="FL10" s="4">
        <v>2</v>
      </c>
      <c r="FM10" s="4">
        <v>3</v>
      </c>
      <c r="FN10" s="4">
        <v>3</v>
      </c>
      <c r="FO10" s="89">
        <f t="shared" si="22"/>
        <v>9</v>
      </c>
      <c r="FP10" s="4">
        <v>1</v>
      </c>
      <c r="FQ10" s="4">
        <v>1</v>
      </c>
      <c r="FR10" s="4">
        <v>4</v>
      </c>
      <c r="FS10" s="4">
        <v>1</v>
      </c>
      <c r="FT10" s="89">
        <f t="shared" si="23"/>
        <v>7</v>
      </c>
      <c r="FU10" s="4">
        <v>2</v>
      </c>
      <c r="FV10" s="4">
        <v>2</v>
      </c>
      <c r="FW10" s="4">
        <v>4</v>
      </c>
      <c r="FX10" s="4">
        <v>2</v>
      </c>
      <c r="FY10" s="89">
        <f t="shared" si="24"/>
        <v>10</v>
      </c>
      <c r="FZ10" s="11">
        <v>2</v>
      </c>
      <c r="GA10" s="4">
        <v>5</v>
      </c>
      <c r="GB10" s="4">
        <v>1</v>
      </c>
      <c r="GC10" s="4">
        <v>3</v>
      </c>
      <c r="GD10" s="89">
        <f t="shared" si="25"/>
        <v>11</v>
      </c>
      <c r="GE10" s="4">
        <v>5</v>
      </c>
      <c r="GF10" s="4">
        <v>4</v>
      </c>
      <c r="GG10" s="4">
        <v>4</v>
      </c>
      <c r="GH10" s="4">
        <v>1</v>
      </c>
      <c r="GI10" s="89">
        <f t="shared" si="26"/>
        <v>14</v>
      </c>
      <c r="GJ10" s="4">
        <v>3</v>
      </c>
      <c r="GK10" s="4">
        <v>1</v>
      </c>
      <c r="GL10" s="4">
        <v>4</v>
      </c>
      <c r="GM10" s="4">
        <v>2</v>
      </c>
      <c r="GN10" s="89">
        <f t="shared" si="27"/>
        <v>10</v>
      </c>
      <c r="GO10" s="6">
        <v>1</v>
      </c>
      <c r="GP10" s="4">
        <v>5</v>
      </c>
      <c r="GQ10" s="4">
        <v>3</v>
      </c>
      <c r="GR10" s="4">
        <v>2</v>
      </c>
      <c r="GS10" s="89">
        <f t="shared" si="28"/>
        <v>11</v>
      </c>
      <c r="GT10" s="4">
        <v>4</v>
      </c>
      <c r="GU10" s="4">
        <v>5</v>
      </c>
      <c r="GV10" s="4">
        <v>4</v>
      </c>
      <c r="GW10" s="4">
        <v>3</v>
      </c>
      <c r="GX10" s="89">
        <f t="shared" si="29"/>
        <v>16</v>
      </c>
      <c r="GY10" s="4">
        <v>1</v>
      </c>
      <c r="GZ10" s="4">
        <v>3</v>
      </c>
      <c r="HA10" s="4">
        <v>5</v>
      </c>
      <c r="HB10" s="4">
        <v>1</v>
      </c>
      <c r="HC10" s="89">
        <f t="shared" si="30"/>
        <v>10</v>
      </c>
    </row>
    <row r="11" spans="1:211" ht="15" customHeight="1" x14ac:dyDescent="0.3">
      <c r="A11" s="119" t="s">
        <v>11</v>
      </c>
      <c r="B11" s="6">
        <v>2</v>
      </c>
      <c r="C11" s="4">
        <v>3</v>
      </c>
      <c r="D11" s="4">
        <v>2</v>
      </c>
      <c r="E11" s="4">
        <v>2</v>
      </c>
      <c r="F11" s="89">
        <f t="shared" si="31"/>
        <v>9</v>
      </c>
      <c r="G11" s="6">
        <v>1</v>
      </c>
      <c r="H11" s="4">
        <v>2</v>
      </c>
      <c r="I11" s="4">
        <v>1</v>
      </c>
      <c r="J11" s="4">
        <v>1</v>
      </c>
      <c r="K11" s="89">
        <f t="shared" si="40"/>
        <v>5</v>
      </c>
      <c r="L11" s="6">
        <v>1</v>
      </c>
      <c r="M11" s="4">
        <v>4</v>
      </c>
      <c r="N11" s="4">
        <v>2</v>
      </c>
      <c r="O11" s="4">
        <v>3</v>
      </c>
      <c r="P11" s="89">
        <f t="shared" si="43"/>
        <v>10</v>
      </c>
      <c r="Q11" s="11">
        <v>1</v>
      </c>
      <c r="R11" s="4">
        <v>2</v>
      </c>
      <c r="S11" s="4">
        <v>2</v>
      </c>
      <c r="T11" s="4">
        <v>1</v>
      </c>
      <c r="U11" s="89">
        <f t="shared" si="32"/>
        <v>6</v>
      </c>
      <c r="V11" s="6">
        <v>3</v>
      </c>
      <c r="W11" s="4">
        <v>3</v>
      </c>
      <c r="X11" s="4">
        <v>1</v>
      </c>
      <c r="Y11" s="4">
        <v>1</v>
      </c>
      <c r="Z11" s="89">
        <f t="shared" si="33"/>
        <v>8</v>
      </c>
      <c r="AA11" s="3">
        <v>4</v>
      </c>
      <c r="AB11" s="4">
        <v>3</v>
      </c>
      <c r="AC11" s="4">
        <v>5</v>
      </c>
      <c r="AD11" s="4">
        <v>2</v>
      </c>
      <c r="AE11" s="89">
        <f t="shared" si="34"/>
        <v>14</v>
      </c>
      <c r="AF11" s="6">
        <v>2</v>
      </c>
      <c r="AG11" s="4">
        <v>1</v>
      </c>
      <c r="AH11" s="4">
        <v>2</v>
      </c>
      <c r="AI11" s="4">
        <v>2</v>
      </c>
      <c r="AJ11" s="89">
        <f t="shared" si="35"/>
        <v>7</v>
      </c>
      <c r="AK11" s="4">
        <v>1</v>
      </c>
      <c r="AL11" s="4">
        <v>3</v>
      </c>
      <c r="AM11" s="4">
        <v>1</v>
      </c>
      <c r="AN11" s="4">
        <v>2</v>
      </c>
      <c r="AO11" s="89">
        <f t="shared" si="36"/>
        <v>7</v>
      </c>
      <c r="AP11" s="4">
        <v>1</v>
      </c>
      <c r="AQ11" s="4">
        <v>2</v>
      </c>
      <c r="AR11" s="4">
        <v>1</v>
      </c>
      <c r="AS11" s="4">
        <v>1</v>
      </c>
      <c r="AT11" s="89">
        <f t="shared" si="37"/>
        <v>5</v>
      </c>
      <c r="AU11" s="6">
        <v>2</v>
      </c>
      <c r="AV11" s="4">
        <v>3</v>
      </c>
      <c r="AW11" s="4">
        <v>3</v>
      </c>
      <c r="AX11" s="4">
        <v>4</v>
      </c>
      <c r="AY11" s="89">
        <f t="shared" si="38"/>
        <v>12</v>
      </c>
      <c r="AZ11" s="4">
        <v>1</v>
      </c>
      <c r="BA11" s="4">
        <v>1</v>
      </c>
      <c r="BB11" s="4">
        <v>1</v>
      </c>
      <c r="BC11" s="4">
        <v>1</v>
      </c>
      <c r="BD11" s="89">
        <f t="shared" si="39"/>
        <v>4</v>
      </c>
      <c r="BE11" s="4">
        <v>1</v>
      </c>
      <c r="BF11" s="4">
        <v>1</v>
      </c>
      <c r="BG11" s="4">
        <v>1</v>
      </c>
      <c r="BH11" s="4">
        <v>1</v>
      </c>
      <c r="BI11" s="89">
        <f t="shared" si="0"/>
        <v>4</v>
      </c>
      <c r="BJ11" s="3">
        <v>1</v>
      </c>
      <c r="BK11" s="4">
        <v>1</v>
      </c>
      <c r="BL11" s="4">
        <v>1</v>
      </c>
      <c r="BM11" s="4">
        <v>1</v>
      </c>
      <c r="BN11" s="90">
        <f t="shared" si="41"/>
        <v>4</v>
      </c>
      <c r="BO11" s="4">
        <v>1</v>
      </c>
      <c r="BP11" s="4">
        <v>2</v>
      </c>
      <c r="BQ11" s="4">
        <v>1</v>
      </c>
      <c r="BR11" s="4">
        <v>1</v>
      </c>
      <c r="BS11" s="90">
        <f t="shared" si="42"/>
        <v>5</v>
      </c>
      <c r="BT11" s="4">
        <v>1</v>
      </c>
      <c r="BU11" s="4">
        <v>2</v>
      </c>
      <c r="BV11" s="4">
        <v>2</v>
      </c>
      <c r="BW11" s="4">
        <v>2</v>
      </c>
      <c r="BX11" s="90">
        <f t="shared" si="44"/>
        <v>7</v>
      </c>
      <c r="BY11" s="11">
        <v>1</v>
      </c>
      <c r="BZ11" s="4">
        <v>4</v>
      </c>
      <c r="CA11" s="4">
        <v>2</v>
      </c>
      <c r="CB11" s="4">
        <v>4</v>
      </c>
      <c r="CC11" s="89">
        <f t="shared" si="4"/>
        <v>11</v>
      </c>
      <c r="CD11" s="4">
        <v>1</v>
      </c>
      <c r="CE11" s="4">
        <v>1</v>
      </c>
      <c r="CF11" s="4">
        <v>3</v>
      </c>
      <c r="CG11" s="4">
        <v>3</v>
      </c>
      <c r="CH11" s="89">
        <f t="shared" si="5"/>
        <v>8</v>
      </c>
      <c r="CI11" s="4">
        <v>5</v>
      </c>
      <c r="CJ11" s="4">
        <v>5</v>
      </c>
      <c r="CK11" s="4">
        <v>2</v>
      </c>
      <c r="CL11" s="4">
        <v>3</v>
      </c>
      <c r="CM11" s="89">
        <f t="shared" si="6"/>
        <v>15</v>
      </c>
      <c r="CN11" s="6">
        <v>4</v>
      </c>
      <c r="CO11" s="4">
        <v>5</v>
      </c>
      <c r="CP11" s="4">
        <v>3</v>
      </c>
      <c r="CQ11" s="4">
        <v>5</v>
      </c>
      <c r="CR11" s="89">
        <f t="shared" si="7"/>
        <v>17</v>
      </c>
      <c r="CS11" s="4">
        <v>5</v>
      </c>
      <c r="CT11" s="4">
        <v>3</v>
      </c>
      <c r="CU11" s="4">
        <v>4</v>
      </c>
      <c r="CV11" s="4">
        <v>1</v>
      </c>
      <c r="CW11" s="89">
        <f t="shared" si="8"/>
        <v>13</v>
      </c>
      <c r="CX11" s="4">
        <v>4</v>
      </c>
      <c r="CY11" s="4">
        <v>4</v>
      </c>
      <c r="CZ11" s="4">
        <v>4</v>
      </c>
      <c r="DA11" s="4">
        <v>3</v>
      </c>
      <c r="DB11" s="89">
        <f t="shared" si="9"/>
        <v>15</v>
      </c>
      <c r="DC11" s="6">
        <v>4</v>
      </c>
      <c r="DD11" s="4">
        <v>1</v>
      </c>
      <c r="DE11" s="4">
        <v>2</v>
      </c>
      <c r="DF11" s="4">
        <v>3</v>
      </c>
      <c r="DG11" s="89">
        <f t="shared" si="10"/>
        <v>10</v>
      </c>
      <c r="DH11" s="4">
        <v>2</v>
      </c>
      <c r="DI11" s="4">
        <v>4</v>
      </c>
      <c r="DJ11" s="4">
        <v>5</v>
      </c>
      <c r="DK11" s="4">
        <v>3</v>
      </c>
      <c r="DL11" s="89">
        <f t="shared" si="11"/>
        <v>14</v>
      </c>
      <c r="DM11" s="4">
        <v>1</v>
      </c>
      <c r="DN11" s="4">
        <v>5</v>
      </c>
      <c r="DO11" s="4">
        <v>2</v>
      </c>
      <c r="DP11" s="4">
        <v>1</v>
      </c>
      <c r="DQ11" s="89">
        <f t="shared" si="12"/>
        <v>9</v>
      </c>
      <c r="DR11" s="6">
        <v>2</v>
      </c>
      <c r="DS11" s="6">
        <v>1</v>
      </c>
      <c r="DT11" s="4">
        <v>4</v>
      </c>
      <c r="DU11" s="4">
        <v>3</v>
      </c>
      <c r="DV11" s="89">
        <f t="shared" si="13"/>
        <v>10</v>
      </c>
      <c r="DW11" s="12">
        <v>3</v>
      </c>
      <c r="DX11" s="4">
        <v>3</v>
      </c>
      <c r="DY11" s="4">
        <v>1</v>
      </c>
      <c r="DZ11" s="4">
        <v>1</v>
      </c>
      <c r="EA11" s="89">
        <f t="shared" si="14"/>
        <v>8</v>
      </c>
      <c r="EB11" s="4">
        <v>4</v>
      </c>
      <c r="EC11" s="4">
        <v>3</v>
      </c>
      <c r="ED11" s="4">
        <v>3</v>
      </c>
      <c r="EE11" s="4">
        <v>2</v>
      </c>
      <c r="EF11" s="89">
        <f t="shared" si="15"/>
        <v>12</v>
      </c>
      <c r="EG11" s="6">
        <v>3</v>
      </c>
      <c r="EH11" s="4">
        <v>1</v>
      </c>
      <c r="EI11" s="4">
        <v>3</v>
      </c>
      <c r="EJ11" s="4">
        <v>2</v>
      </c>
      <c r="EK11" s="89">
        <f t="shared" si="16"/>
        <v>9</v>
      </c>
      <c r="EL11" s="4">
        <v>2</v>
      </c>
      <c r="EM11" s="4">
        <v>4</v>
      </c>
      <c r="EN11" s="4">
        <v>4</v>
      </c>
      <c r="EO11" s="4">
        <v>3</v>
      </c>
      <c r="EP11" s="89">
        <f t="shared" si="17"/>
        <v>13</v>
      </c>
      <c r="EQ11" s="4">
        <v>3</v>
      </c>
      <c r="ER11" s="4">
        <v>2</v>
      </c>
      <c r="ES11" s="4">
        <v>4</v>
      </c>
      <c r="ET11" s="4">
        <v>3</v>
      </c>
      <c r="EU11" s="89">
        <f t="shared" si="18"/>
        <v>12</v>
      </c>
      <c r="EV11" s="6">
        <v>3</v>
      </c>
      <c r="EW11" s="4">
        <v>4</v>
      </c>
      <c r="EX11" s="4">
        <v>4</v>
      </c>
      <c r="EY11" s="4">
        <v>4</v>
      </c>
      <c r="EZ11" s="89">
        <f t="shared" si="19"/>
        <v>15</v>
      </c>
      <c r="FA11" s="4">
        <v>1</v>
      </c>
      <c r="FB11" s="4">
        <v>3</v>
      </c>
      <c r="FC11" s="4">
        <v>4</v>
      </c>
      <c r="FD11" s="4">
        <v>1</v>
      </c>
      <c r="FE11" s="89">
        <f t="shared" si="20"/>
        <v>9</v>
      </c>
      <c r="FF11" s="4">
        <v>2</v>
      </c>
      <c r="FG11" s="4">
        <v>1</v>
      </c>
      <c r="FH11" s="4">
        <v>4</v>
      </c>
      <c r="FI11" s="4">
        <v>4</v>
      </c>
      <c r="FJ11" s="89">
        <f t="shared" si="21"/>
        <v>11</v>
      </c>
      <c r="FK11" s="6">
        <v>3</v>
      </c>
      <c r="FL11" s="4">
        <v>1</v>
      </c>
      <c r="FM11" s="4">
        <v>3</v>
      </c>
      <c r="FN11" s="4">
        <v>1</v>
      </c>
      <c r="FO11" s="89">
        <f t="shared" si="22"/>
        <v>8</v>
      </c>
      <c r="FP11" s="12">
        <v>3</v>
      </c>
      <c r="FQ11" s="4">
        <v>2</v>
      </c>
      <c r="FR11" s="4">
        <v>4</v>
      </c>
      <c r="FS11" s="4">
        <v>1</v>
      </c>
      <c r="FT11" s="89">
        <f t="shared" si="23"/>
        <v>10</v>
      </c>
      <c r="FU11" s="4">
        <v>1</v>
      </c>
      <c r="FV11" s="4">
        <v>1</v>
      </c>
      <c r="FW11" s="4">
        <v>3</v>
      </c>
      <c r="FX11" s="4">
        <v>4</v>
      </c>
      <c r="FY11" s="89">
        <f t="shared" si="24"/>
        <v>9</v>
      </c>
      <c r="FZ11" s="11">
        <v>2</v>
      </c>
      <c r="GA11" s="4">
        <v>4</v>
      </c>
      <c r="GB11" s="4">
        <v>4</v>
      </c>
      <c r="GC11" s="4">
        <v>5</v>
      </c>
      <c r="GD11" s="89">
        <f t="shared" si="25"/>
        <v>15</v>
      </c>
      <c r="GE11" s="4">
        <v>3</v>
      </c>
      <c r="GF11" s="4">
        <v>4</v>
      </c>
      <c r="GG11" s="4">
        <v>3</v>
      </c>
      <c r="GH11" s="4">
        <v>2</v>
      </c>
      <c r="GI11" s="89">
        <f t="shared" si="26"/>
        <v>12</v>
      </c>
      <c r="GJ11" s="4">
        <v>5</v>
      </c>
      <c r="GK11" s="4">
        <v>2</v>
      </c>
      <c r="GL11" s="4">
        <v>4</v>
      </c>
      <c r="GM11" s="4">
        <v>3</v>
      </c>
      <c r="GN11" s="89">
        <f t="shared" si="27"/>
        <v>14</v>
      </c>
      <c r="GO11" s="6">
        <v>1</v>
      </c>
      <c r="GP11" s="4">
        <v>1</v>
      </c>
      <c r="GQ11" s="4">
        <v>3</v>
      </c>
      <c r="GR11" s="4">
        <v>2</v>
      </c>
      <c r="GS11" s="89">
        <f t="shared" si="28"/>
        <v>7</v>
      </c>
      <c r="GT11" s="4">
        <v>5</v>
      </c>
      <c r="GU11" s="4">
        <v>1</v>
      </c>
      <c r="GV11" s="4">
        <v>1</v>
      </c>
      <c r="GW11" s="4">
        <v>4</v>
      </c>
      <c r="GX11" s="89">
        <f t="shared" si="29"/>
        <v>11</v>
      </c>
      <c r="GY11" s="4">
        <v>3</v>
      </c>
      <c r="GZ11" s="4">
        <v>2</v>
      </c>
      <c r="HA11" s="4">
        <v>4</v>
      </c>
      <c r="HB11" s="4">
        <v>5</v>
      </c>
      <c r="HC11" s="89">
        <f t="shared" si="30"/>
        <v>14</v>
      </c>
    </row>
    <row r="12" spans="1:211" ht="15" customHeight="1" x14ac:dyDescent="0.3">
      <c r="A12" s="119" t="s">
        <v>12</v>
      </c>
      <c r="B12" s="6">
        <v>4</v>
      </c>
      <c r="C12" s="4">
        <v>1</v>
      </c>
      <c r="D12" s="4">
        <v>1</v>
      </c>
      <c r="E12" s="4">
        <v>1</v>
      </c>
      <c r="F12" s="89">
        <f t="shared" si="31"/>
        <v>7</v>
      </c>
      <c r="G12" s="6">
        <v>2</v>
      </c>
      <c r="H12" s="4">
        <v>2</v>
      </c>
      <c r="I12" s="4">
        <v>1</v>
      </c>
      <c r="J12" s="4">
        <v>2</v>
      </c>
      <c r="K12" s="89">
        <f t="shared" si="40"/>
        <v>7</v>
      </c>
      <c r="L12" s="6">
        <v>2</v>
      </c>
      <c r="M12" s="4">
        <v>2</v>
      </c>
      <c r="N12" s="4">
        <v>1</v>
      </c>
      <c r="O12" s="4">
        <v>2</v>
      </c>
      <c r="P12" s="89">
        <f t="shared" si="43"/>
        <v>7</v>
      </c>
      <c r="Q12" s="11">
        <v>1</v>
      </c>
      <c r="R12" s="4">
        <v>1</v>
      </c>
      <c r="S12" s="4">
        <v>1</v>
      </c>
      <c r="T12" s="4">
        <v>1</v>
      </c>
      <c r="U12" s="89">
        <f t="shared" si="32"/>
        <v>4</v>
      </c>
      <c r="V12" s="6">
        <v>1</v>
      </c>
      <c r="W12" s="4">
        <v>5</v>
      </c>
      <c r="X12" s="4">
        <v>1</v>
      </c>
      <c r="Y12" s="4">
        <v>4</v>
      </c>
      <c r="Z12" s="89">
        <f t="shared" si="33"/>
        <v>11</v>
      </c>
      <c r="AA12" s="3">
        <v>1</v>
      </c>
      <c r="AB12" s="4">
        <v>2</v>
      </c>
      <c r="AC12" s="4">
        <v>2</v>
      </c>
      <c r="AD12" s="4">
        <v>1</v>
      </c>
      <c r="AE12" s="89">
        <f t="shared" si="34"/>
        <v>6</v>
      </c>
      <c r="AF12" s="6">
        <v>1</v>
      </c>
      <c r="AG12" s="4">
        <v>1</v>
      </c>
      <c r="AH12" s="4">
        <v>1</v>
      </c>
      <c r="AI12" s="4">
        <v>1</v>
      </c>
      <c r="AJ12" s="89">
        <f t="shared" si="35"/>
        <v>4</v>
      </c>
      <c r="AK12" s="4">
        <v>1</v>
      </c>
      <c r="AL12" s="4">
        <v>3</v>
      </c>
      <c r="AM12" s="4">
        <v>2</v>
      </c>
      <c r="AN12" s="4">
        <v>1</v>
      </c>
      <c r="AO12" s="89">
        <f t="shared" si="36"/>
        <v>7</v>
      </c>
      <c r="AP12" s="4">
        <v>1</v>
      </c>
      <c r="AQ12" s="4">
        <v>1</v>
      </c>
      <c r="AR12" s="4">
        <v>1</v>
      </c>
      <c r="AS12" s="4">
        <v>1</v>
      </c>
      <c r="AT12" s="89">
        <f t="shared" si="37"/>
        <v>4</v>
      </c>
      <c r="AU12" s="6">
        <v>1</v>
      </c>
      <c r="AV12" s="4">
        <v>2</v>
      </c>
      <c r="AW12" s="4">
        <v>1</v>
      </c>
      <c r="AX12" s="4">
        <v>1</v>
      </c>
      <c r="AY12" s="89">
        <f t="shared" si="38"/>
        <v>5</v>
      </c>
      <c r="AZ12" s="4">
        <v>1</v>
      </c>
      <c r="BA12" s="4">
        <v>1</v>
      </c>
      <c r="BB12" s="4">
        <v>1</v>
      </c>
      <c r="BC12" s="4">
        <v>1</v>
      </c>
      <c r="BD12" s="89">
        <f t="shared" si="39"/>
        <v>4</v>
      </c>
      <c r="BE12" s="4">
        <v>1</v>
      </c>
      <c r="BF12" s="4">
        <v>1</v>
      </c>
      <c r="BG12" s="4">
        <v>1</v>
      </c>
      <c r="BH12" s="4">
        <v>1</v>
      </c>
      <c r="BI12" s="89">
        <f t="shared" si="0"/>
        <v>4</v>
      </c>
      <c r="BJ12" s="3">
        <v>1</v>
      </c>
      <c r="BK12" s="4">
        <v>1</v>
      </c>
      <c r="BL12" s="4">
        <v>1</v>
      </c>
      <c r="BM12" s="4">
        <v>1</v>
      </c>
      <c r="BN12" s="90">
        <f t="shared" si="41"/>
        <v>4</v>
      </c>
      <c r="BO12" s="4">
        <v>1</v>
      </c>
      <c r="BP12" s="4">
        <v>2</v>
      </c>
      <c r="BQ12" s="4">
        <v>1</v>
      </c>
      <c r="BR12" s="4">
        <v>1</v>
      </c>
      <c r="BS12" s="90">
        <f t="shared" si="42"/>
        <v>5</v>
      </c>
      <c r="BT12" s="4">
        <v>1</v>
      </c>
      <c r="BU12" s="4">
        <v>1</v>
      </c>
      <c r="BV12" s="4">
        <v>1</v>
      </c>
      <c r="BW12" s="4">
        <v>1</v>
      </c>
      <c r="BX12" s="90">
        <f t="shared" si="44"/>
        <v>4</v>
      </c>
      <c r="BY12" s="11">
        <v>4</v>
      </c>
      <c r="BZ12" s="4">
        <v>3</v>
      </c>
      <c r="CA12" s="4">
        <v>4</v>
      </c>
      <c r="CB12" s="4">
        <v>3</v>
      </c>
      <c r="CC12" s="89">
        <f t="shared" si="4"/>
        <v>14</v>
      </c>
      <c r="CD12" s="4">
        <v>5</v>
      </c>
      <c r="CE12" s="4">
        <v>4</v>
      </c>
      <c r="CF12" s="4">
        <v>1</v>
      </c>
      <c r="CG12" s="4">
        <v>1</v>
      </c>
      <c r="CH12" s="89">
        <f t="shared" si="5"/>
        <v>11</v>
      </c>
      <c r="CI12" s="4">
        <v>2</v>
      </c>
      <c r="CJ12" s="4">
        <v>3</v>
      </c>
      <c r="CK12" s="4">
        <v>4</v>
      </c>
      <c r="CL12" s="4">
        <v>2</v>
      </c>
      <c r="CM12" s="89">
        <f t="shared" si="6"/>
        <v>11</v>
      </c>
      <c r="CN12" s="6">
        <v>5</v>
      </c>
      <c r="CO12" s="4">
        <v>4</v>
      </c>
      <c r="CP12" s="4">
        <v>4</v>
      </c>
      <c r="CQ12" s="4">
        <v>1</v>
      </c>
      <c r="CR12" s="89">
        <f t="shared" si="7"/>
        <v>14</v>
      </c>
      <c r="CS12" s="4">
        <v>1</v>
      </c>
      <c r="CT12" s="4">
        <v>1</v>
      </c>
      <c r="CU12" s="4">
        <v>3</v>
      </c>
      <c r="CV12" s="4">
        <v>1</v>
      </c>
      <c r="CW12" s="89">
        <f t="shared" si="8"/>
        <v>6</v>
      </c>
      <c r="CX12" s="4">
        <v>4</v>
      </c>
      <c r="CY12" s="4">
        <v>1</v>
      </c>
      <c r="CZ12" s="4">
        <v>1</v>
      </c>
      <c r="DA12" s="4">
        <v>4</v>
      </c>
      <c r="DB12" s="89">
        <f t="shared" si="9"/>
        <v>10</v>
      </c>
      <c r="DC12" s="6">
        <v>1</v>
      </c>
      <c r="DD12" s="4">
        <v>2</v>
      </c>
      <c r="DE12" s="4">
        <v>2</v>
      </c>
      <c r="DF12" s="4">
        <v>3</v>
      </c>
      <c r="DG12" s="89">
        <f t="shared" si="10"/>
        <v>8</v>
      </c>
      <c r="DH12" s="4">
        <v>5</v>
      </c>
      <c r="DI12" s="4">
        <v>3</v>
      </c>
      <c r="DJ12" s="4">
        <v>3</v>
      </c>
      <c r="DK12" s="4">
        <v>4</v>
      </c>
      <c r="DL12" s="89">
        <f t="shared" si="11"/>
        <v>15</v>
      </c>
      <c r="DM12" s="4">
        <v>1</v>
      </c>
      <c r="DN12" s="4">
        <v>3</v>
      </c>
      <c r="DO12" s="4">
        <v>1</v>
      </c>
      <c r="DP12" s="4">
        <v>2</v>
      </c>
      <c r="DQ12" s="89">
        <f t="shared" si="12"/>
        <v>7</v>
      </c>
      <c r="DR12" s="6">
        <v>5</v>
      </c>
      <c r="DS12" s="6">
        <v>1</v>
      </c>
      <c r="DT12" s="4">
        <v>3</v>
      </c>
      <c r="DU12" s="4">
        <v>5</v>
      </c>
      <c r="DV12" s="89">
        <f t="shared" si="13"/>
        <v>14</v>
      </c>
      <c r="DW12" s="12">
        <v>2</v>
      </c>
      <c r="DX12" s="4">
        <v>4</v>
      </c>
      <c r="DY12" s="4">
        <v>4</v>
      </c>
      <c r="DZ12" s="4">
        <v>1</v>
      </c>
      <c r="EA12" s="89">
        <f t="shared" si="14"/>
        <v>11</v>
      </c>
      <c r="EB12" s="4">
        <v>2</v>
      </c>
      <c r="EC12" s="4">
        <v>4</v>
      </c>
      <c r="ED12" s="4">
        <v>2</v>
      </c>
      <c r="EE12" s="4">
        <v>2</v>
      </c>
      <c r="EF12" s="89">
        <f t="shared" si="15"/>
        <v>10</v>
      </c>
      <c r="EG12" s="6">
        <v>1</v>
      </c>
      <c r="EH12" s="4">
        <v>3</v>
      </c>
      <c r="EI12" s="4">
        <v>1</v>
      </c>
      <c r="EJ12" s="4">
        <v>4</v>
      </c>
      <c r="EK12" s="89">
        <f t="shared" si="16"/>
        <v>9</v>
      </c>
      <c r="EL12" s="4">
        <v>2</v>
      </c>
      <c r="EM12" s="4">
        <v>3</v>
      </c>
      <c r="EN12" s="4">
        <v>2</v>
      </c>
      <c r="EO12" s="4">
        <v>4</v>
      </c>
      <c r="EP12" s="89">
        <f t="shared" si="17"/>
        <v>11</v>
      </c>
      <c r="EQ12" s="4">
        <v>1</v>
      </c>
      <c r="ER12" s="4">
        <v>3</v>
      </c>
      <c r="ES12" s="4">
        <v>3</v>
      </c>
      <c r="ET12" s="4">
        <v>3</v>
      </c>
      <c r="EU12" s="89">
        <f t="shared" si="18"/>
        <v>10</v>
      </c>
      <c r="EV12" s="6">
        <v>1</v>
      </c>
      <c r="EW12" s="4">
        <v>3</v>
      </c>
      <c r="EX12" s="4">
        <v>2</v>
      </c>
      <c r="EY12" s="4">
        <v>4</v>
      </c>
      <c r="EZ12" s="89">
        <f t="shared" si="19"/>
        <v>10</v>
      </c>
      <c r="FA12" s="4">
        <v>3</v>
      </c>
      <c r="FB12" s="4">
        <v>2</v>
      </c>
      <c r="FC12" s="4">
        <v>3</v>
      </c>
      <c r="FD12" s="4">
        <v>4</v>
      </c>
      <c r="FE12" s="89">
        <f t="shared" si="20"/>
        <v>12</v>
      </c>
      <c r="FF12" s="4">
        <v>3</v>
      </c>
      <c r="FG12" s="4">
        <v>1</v>
      </c>
      <c r="FH12" s="4">
        <v>2</v>
      </c>
      <c r="FI12" s="4">
        <v>2</v>
      </c>
      <c r="FJ12" s="89">
        <f t="shared" si="21"/>
        <v>8</v>
      </c>
      <c r="FK12" s="6">
        <v>3</v>
      </c>
      <c r="FL12" s="4">
        <v>3</v>
      </c>
      <c r="FM12" s="4">
        <v>2</v>
      </c>
      <c r="FN12" s="4">
        <v>4</v>
      </c>
      <c r="FO12" s="89">
        <f t="shared" si="22"/>
        <v>12</v>
      </c>
      <c r="FP12" s="4">
        <v>1</v>
      </c>
      <c r="FQ12" s="4">
        <v>2</v>
      </c>
      <c r="FR12" s="4">
        <v>3</v>
      </c>
      <c r="FS12" s="4">
        <v>4</v>
      </c>
      <c r="FT12" s="89">
        <f t="shared" si="23"/>
        <v>10</v>
      </c>
      <c r="FU12" s="4">
        <v>1</v>
      </c>
      <c r="FV12" s="4">
        <v>4</v>
      </c>
      <c r="FW12" s="4">
        <v>3</v>
      </c>
      <c r="FX12" s="4">
        <v>3</v>
      </c>
      <c r="FY12" s="89">
        <f t="shared" si="24"/>
        <v>11</v>
      </c>
      <c r="FZ12" s="11">
        <v>5</v>
      </c>
      <c r="GA12" s="4">
        <v>4</v>
      </c>
      <c r="GB12" s="4">
        <v>3</v>
      </c>
      <c r="GC12" s="4">
        <v>3</v>
      </c>
      <c r="GD12" s="89">
        <f t="shared" si="25"/>
        <v>15</v>
      </c>
      <c r="GE12" s="4">
        <v>3</v>
      </c>
      <c r="GF12" s="4">
        <v>4</v>
      </c>
      <c r="GG12" s="4">
        <v>1</v>
      </c>
      <c r="GH12" s="4">
        <v>2</v>
      </c>
      <c r="GI12" s="89">
        <f t="shared" si="26"/>
        <v>10</v>
      </c>
      <c r="GJ12" s="4">
        <v>2</v>
      </c>
      <c r="GK12" s="4">
        <v>2</v>
      </c>
      <c r="GL12" s="4">
        <v>3</v>
      </c>
      <c r="GM12" s="4">
        <v>3</v>
      </c>
      <c r="GN12" s="89">
        <f t="shared" si="27"/>
        <v>10</v>
      </c>
      <c r="GO12" s="6">
        <v>3</v>
      </c>
      <c r="GP12" s="4">
        <v>2</v>
      </c>
      <c r="GQ12" s="4">
        <v>3</v>
      </c>
      <c r="GR12" s="4">
        <v>1</v>
      </c>
      <c r="GS12" s="89">
        <f t="shared" si="28"/>
        <v>9</v>
      </c>
      <c r="GT12" s="4">
        <v>2</v>
      </c>
      <c r="GU12" s="4">
        <v>1</v>
      </c>
      <c r="GV12" s="4">
        <v>5</v>
      </c>
      <c r="GW12" s="4">
        <v>1</v>
      </c>
      <c r="GX12" s="89">
        <f t="shared" si="29"/>
        <v>9</v>
      </c>
      <c r="GY12" s="4">
        <v>5</v>
      </c>
      <c r="GZ12" s="4">
        <v>1</v>
      </c>
      <c r="HA12" s="4">
        <v>4</v>
      </c>
      <c r="HB12" s="4">
        <v>2</v>
      </c>
      <c r="HC12" s="89">
        <f t="shared" si="30"/>
        <v>12</v>
      </c>
    </row>
    <row r="13" spans="1:211" ht="15" customHeight="1" x14ac:dyDescent="0.3">
      <c r="A13" s="119" t="s">
        <v>13</v>
      </c>
      <c r="B13" s="6">
        <v>1</v>
      </c>
      <c r="C13" s="4">
        <v>1</v>
      </c>
      <c r="D13" s="4">
        <v>3</v>
      </c>
      <c r="E13" s="4">
        <v>2</v>
      </c>
      <c r="F13" s="89">
        <f t="shared" si="31"/>
        <v>7</v>
      </c>
      <c r="G13" s="6">
        <v>2</v>
      </c>
      <c r="H13" s="4">
        <v>1</v>
      </c>
      <c r="I13" s="4">
        <v>2</v>
      </c>
      <c r="J13" s="4">
        <v>2</v>
      </c>
      <c r="K13" s="89">
        <f t="shared" si="40"/>
        <v>7</v>
      </c>
      <c r="L13" s="6">
        <v>2</v>
      </c>
      <c r="M13" s="4">
        <v>2</v>
      </c>
      <c r="N13" s="4">
        <v>2</v>
      </c>
      <c r="O13" s="4">
        <v>3</v>
      </c>
      <c r="P13" s="89">
        <f t="shared" si="43"/>
        <v>9</v>
      </c>
      <c r="Q13" s="11">
        <v>3</v>
      </c>
      <c r="R13" s="4">
        <v>1</v>
      </c>
      <c r="S13" s="4">
        <v>2</v>
      </c>
      <c r="T13" s="4">
        <v>2</v>
      </c>
      <c r="U13" s="89">
        <f t="shared" si="32"/>
        <v>8</v>
      </c>
      <c r="V13" s="6">
        <v>2</v>
      </c>
      <c r="W13" s="4">
        <v>1</v>
      </c>
      <c r="X13" s="4">
        <v>2</v>
      </c>
      <c r="Y13" s="4">
        <v>3</v>
      </c>
      <c r="Z13" s="89">
        <f t="shared" si="33"/>
        <v>8</v>
      </c>
      <c r="AA13" s="3">
        <v>3</v>
      </c>
      <c r="AB13" s="4">
        <v>3</v>
      </c>
      <c r="AC13" s="4">
        <v>2</v>
      </c>
      <c r="AD13" s="4">
        <v>4</v>
      </c>
      <c r="AE13" s="89">
        <f t="shared" si="34"/>
        <v>12</v>
      </c>
      <c r="AF13" s="6">
        <v>1</v>
      </c>
      <c r="AG13" s="4">
        <v>4</v>
      </c>
      <c r="AH13" s="4">
        <v>2</v>
      </c>
      <c r="AI13" s="4">
        <v>3</v>
      </c>
      <c r="AJ13" s="89">
        <f t="shared" si="35"/>
        <v>10</v>
      </c>
      <c r="AK13" s="4">
        <v>4</v>
      </c>
      <c r="AL13" s="4">
        <v>3</v>
      </c>
      <c r="AM13" s="4">
        <v>1</v>
      </c>
      <c r="AN13" s="4">
        <v>3</v>
      </c>
      <c r="AO13" s="89">
        <f t="shared" si="36"/>
        <v>11</v>
      </c>
      <c r="AP13" s="4">
        <v>3</v>
      </c>
      <c r="AQ13" s="4">
        <v>2</v>
      </c>
      <c r="AR13" s="4">
        <v>1</v>
      </c>
      <c r="AS13" s="4">
        <v>1</v>
      </c>
      <c r="AT13" s="89">
        <f t="shared" si="37"/>
        <v>7</v>
      </c>
      <c r="AU13" s="6">
        <v>3</v>
      </c>
      <c r="AV13" s="4">
        <v>1</v>
      </c>
      <c r="AW13" s="4">
        <v>1</v>
      </c>
      <c r="AX13" s="4">
        <v>1</v>
      </c>
      <c r="AY13" s="89">
        <f t="shared" si="38"/>
        <v>6</v>
      </c>
      <c r="AZ13" s="4">
        <v>1</v>
      </c>
      <c r="BA13" s="4">
        <v>3</v>
      </c>
      <c r="BB13" s="4">
        <v>1</v>
      </c>
      <c r="BC13" s="4">
        <v>1</v>
      </c>
      <c r="BD13" s="89">
        <f t="shared" si="39"/>
        <v>6</v>
      </c>
      <c r="BE13" s="4">
        <v>3</v>
      </c>
      <c r="BF13" s="4">
        <v>3</v>
      </c>
      <c r="BG13" s="4">
        <v>2</v>
      </c>
      <c r="BH13" s="4">
        <v>2</v>
      </c>
      <c r="BI13" s="89">
        <f t="shared" si="0"/>
        <v>10</v>
      </c>
      <c r="BJ13" s="3">
        <v>2</v>
      </c>
      <c r="BK13" s="4">
        <v>1</v>
      </c>
      <c r="BL13" s="4">
        <v>1</v>
      </c>
      <c r="BM13" s="4">
        <v>1</v>
      </c>
      <c r="BN13" s="90">
        <f t="shared" si="41"/>
        <v>5</v>
      </c>
      <c r="BO13" s="4">
        <v>2</v>
      </c>
      <c r="BP13" s="4">
        <v>1</v>
      </c>
      <c r="BQ13" s="4">
        <v>1</v>
      </c>
      <c r="BR13" s="4">
        <v>2</v>
      </c>
      <c r="BS13" s="90">
        <f t="shared" si="42"/>
        <v>6</v>
      </c>
      <c r="BT13" s="4">
        <v>1</v>
      </c>
      <c r="BU13" s="4">
        <v>3</v>
      </c>
      <c r="BV13" s="4">
        <v>2</v>
      </c>
      <c r="BW13" s="4">
        <v>2</v>
      </c>
      <c r="BX13" s="90">
        <f t="shared" si="44"/>
        <v>8</v>
      </c>
      <c r="BY13" s="11">
        <v>4</v>
      </c>
      <c r="BZ13" s="4">
        <v>2</v>
      </c>
      <c r="CA13" s="4">
        <v>5</v>
      </c>
      <c r="CB13" s="4">
        <v>2</v>
      </c>
      <c r="CC13" s="89">
        <f t="shared" si="4"/>
        <v>13</v>
      </c>
      <c r="CD13" s="4">
        <v>3</v>
      </c>
      <c r="CE13" s="4">
        <v>2</v>
      </c>
      <c r="CF13" s="4">
        <v>4</v>
      </c>
      <c r="CG13" s="4">
        <v>2</v>
      </c>
      <c r="CH13" s="89">
        <f t="shared" si="5"/>
        <v>11</v>
      </c>
      <c r="CI13" s="4">
        <v>3</v>
      </c>
      <c r="CJ13" s="4">
        <v>2</v>
      </c>
      <c r="CK13" s="4">
        <v>3</v>
      </c>
      <c r="CL13" s="4">
        <v>5</v>
      </c>
      <c r="CM13" s="89">
        <f t="shared" si="6"/>
        <v>13</v>
      </c>
      <c r="CN13" s="6">
        <v>1</v>
      </c>
      <c r="CO13" s="4">
        <v>4</v>
      </c>
      <c r="CP13" s="4">
        <v>3</v>
      </c>
      <c r="CQ13" s="4">
        <v>2</v>
      </c>
      <c r="CR13" s="89">
        <f t="shared" si="7"/>
        <v>10</v>
      </c>
      <c r="CS13" s="4">
        <v>2</v>
      </c>
      <c r="CT13" s="4">
        <v>3</v>
      </c>
      <c r="CU13" s="4">
        <v>2</v>
      </c>
      <c r="CV13" s="4">
        <v>4</v>
      </c>
      <c r="CW13" s="89">
        <f t="shared" si="8"/>
        <v>11</v>
      </c>
      <c r="CX13" s="4">
        <v>3</v>
      </c>
      <c r="CY13" s="4">
        <v>4</v>
      </c>
      <c r="CZ13" s="4">
        <v>1</v>
      </c>
      <c r="DA13" s="4">
        <v>5</v>
      </c>
      <c r="DB13" s="89">
        <f t="shared" si="9"/>
        <v>13</v>
      </c>
      <c r="DC13" s="6">
        <v>2</v>
      </c>
      <c r="DD13" s="4">
        <v>5</v>
      </c>
      <c r="DE13" s="4">
        <v>3</v>
      </c>
      <c r="DF13" s="4">
        <v>4</v>
      </c>
      <c r="DG13" s="89">
        <f t="shared" si="10"/>
        <v>14</v>
      </c>
      <c r="DH13" s="4">
        <v>1</v>
      </c>
      <c r="DI13" s="4">
        <v>1</v>
      </c>
      <c r="DJ13" s="4">
        <v>5</v>
      </c>
      <c r="DK13" s="4">
        <v>3</v>
      </c>
      <c r="DL13" s="89">
        <f t="shared" si="11"/>
        <v>10</v>
      </c>
      <c r="DM13" s="4">
        <v>4</v>
      </c>
      <c r="DN13" s="4">
        <v>4</v>
      </c>
      <c r="DO13" s="4">
        <v>3</v>
      </c>
      <c r="DP13" s="4">
        <v>4</v>
      </c>
      <c r="DQ13" s="89">
        <f t="shared" si="12"/>
        <v>15</v>
      </c>
      <c r="DR13" s="6">
        <v>3</v>
      </c>
      <c r="DS13" s="6">
        <v>1</v>
      </c>
      <c r="DT13" s="4">
        <v>2</v>
      </c>
      <c r="DU13" s="4">
        <v>1</v>
      </c>
      <c r="DV13" s="89">
        <f t="shared" si="13"/>
        <v>7</v>
      </c>
      <c r="DW13" s="12">
        <v>1</v>
      </c>
      <c r="DX13" s="4">
        <v>3</v>
      </c>
      <c r="DY13" s="4">
        <v>3</v>
      </c>
      <c r="DZ13" s="4">
        <v>1</v>
      </c>
      <c r="EA13" s="89">
        <f t="shared" si="14"/>
        <v>8</v>
      </c>
      <c r="EB13" s="4">
        <v>1</v>
      </c>
      <c r="EC13" s="4">
        <v>3</v>
      </c>
      <c r="ED13" s="4">
        <v>1</v>
      </c>
      <c r="EE13" s="4">
        <v>3</v>
      </c>
      <c r="EF13" s="89">
        <f t="shared" si="15"/>
        <v>8</v>
      </c>
      <c r="EG13" s="6">
        <v>2</v>
      </c>
      <c r="EH13" s="4">
        <v>1</v>
      </c>
      <c r="EI13" s="4">
        <v>1</v>
      </c>
      <c r="EJ13" s="4">
        <v>1</v>
      </c>
      <c r="EK13" s="89">
        <f t="shared" si="16"/>
        <v>5</v>
      </c>
      <c r="EL13" s="4">
        <v>2</v>
      </c>
      <c r="EM13" s="4">
        <v>3</v>
      </c>
      <c r="EN13" s="4">
        <v>3</v>
      </c>
      <c r="EO13" s="4">
        <v>1</v>
      </c>
      <c r="EP13" s="89">
        <f t="shared" si="17"/>
        <v>9</v>
      </c>
      <c r="EQ13" s="4">
        <v>4</v>
      </c>
      <c r="ER13" s="4">
        <v>1</v>
      </c>
      <c r="ES13" s="4">
        <v>1</v>
      </c>
      <c r="ET13" s="4">
        <v>3</v>
      </c>
      <c r="EU13" s="89">
        <f t="shared" si="18"/>
        <v>9</v>
      </c>
      <c r="EV13" s="6">
        <v>4</v>
      </c>
      <c r="EW13" s="4">
        <v>1</v>
      </c>
      <c r="EX13" s="4">
        <v>3</v>
      </c>
      <c r="EY13" s="4">
        <v>2</v>
      </c>
      <c r="EZ13" s="89">
        <f t="shared" si="19"/>
        <v>10</v>
      </c>
      <c r="FA13" s="4">
        <v>2</v>
      </c>
      <c r="FB13" s="4">
        <v>4</v>
      </c>
      <c r="FC13" s="4">
        <v>1</v>
      </c>
      <c r="FD13" s="4">
        <v>4</v>
      </c>
      <c r="FE13" s="89">
        <f t="shared" si="20"/>
        <v>11</v>
      </c>
      <c r="FF13" s="4">
        <v>4</v>
      </c>
      <c r="FG13" s="4">
        <v>4</v>
      </c>
      <c r="FH13" s="4">
        <v>2</v>
      </c>
      <c r="FI13" s="4">
        <v>2</v>
      </c>
      <c r="FJ13" s="89">
        <f t="shared" si="21"/>
        <v>12</v>
      </c>
      <c r="FK13" s="6">
        <v>3</v>
      </c>
      <c r="FL13" s="4">
        <v>1</v>
      </c>
      <c r="FM13" s="4">
        <v>3</v>
      </c>
      <c r="FN13" s="4">
        <v>1</v>
      </c>
      <c r="FO13" s="89">
        <f t="shared" si="22"/>
        <v>8</v>
      </c>
      <c r="FP13" s="12">
        <v>3</v>
      </c>
      <c r="FQ13" s="4">
        <v>3</v>
      </c>
      <c r="FR13" s="4">
        <v>2</v>
      </c>
      <c r="FS13" s="4">
        <v>4</v>
      </c>
      <c r="FT13" s="89">
        <f t="shared" si="23"/>
        <v>12</v>
      </c>
      <c r="FU13" s="4">
        <v>2</v>
      </c>
      <c r="FV13" s="4">
        <v>1</v>
      </c>
      <c r="FW13" s="4">
        <v>2</v>
      </c>
      <c r="FX13" s="4">
        <v>2</v>
      </c>
      <c r="FY13" s="89">
        <f t="shared" si="24"/>
        <v>7</v>
      </c>
      <c r="FZ13" s="11">
        <v>2</v>
      </c>
      <c r="GA13" s="4">
        <v>3</v>
      </c>
      <c r="GB13" s="4">
        <v>1</v>
      </c>
      <c r="GC13" s="4">
        <v>1</v>
      </c>
      <c r="GD13" s="89">
        <f t="shared" si="25"/>
        <v>7</v>
      </c>
      <c r="GE13" s="4">
        <v>5</v>
      </c>
      <c r="GF13" s="4">
        <v>4</v>
      </c>
      <c r="GG13" s="4">
        <v>3</v>
      </c>
      <c r="GH13" s="4">
        <v>4</v>
      </c>
      <c r="GI13" s="89">
        <f t="shared" si="26"/>
        <v>16</v>
      </c>
      <c r="GJ13" s="4">
        <v>5</v>
      </c>
      <c r="GK13" s="4">
        <v>1</v>
      </c>
      <c r="GL13" s="4">
        <v>1</v>
      </c>
      <c r="GM13" s="4">
        <v>3</v>
      </c>
      <c r="GN13" s="89">
        <f t="shared" si="27"/>
        <v>10</v>
      </c>
      <c r="GO13" s="6">
        <v>4</v>
      </c>
      <c r="GP13" s="4">
        <v>4</v>
      </c>
      <c r="GQ13" s="4">
        <v>4</v>
      </c>
      <c r="GR13" s="4">
        <v>5</v>
      </c>
      <c r="GS13" s="89">
        <f t="shared" si="28"/>
        <v>17</v>
      </c>
      <c r="GT13" s="4">
        <v>2</v>
      </c>
      <c r="GU13" s="4">
        <v>2</v>
      </c>
      <c r="GV13" s="4">
        <v>4</v>
      </c>
      <c r="GW13" s="4">
        <v>2</v>
      </c>
      <c r="GX13" s="89">
        <f t="shared" si="29"/>
        <v>10</v>
      </c>
      <c r="GY13" s="4">
        <v>5</v>
      </c>
      <c r="GZ13" s="4">
        <v>4</v>
      </c>
      <c r="HA13" s="4">
        <v>1</v>
      </c>
      <c r="HB13" s="4">
        <v>3</v>
      </c>
      <c r="HC13" s="89">
        <f t="shared" si="30"/>
        <v>13</v>
      </c>
    </row>
    <row r="14" spans="1:211" ht="15" customHeight="1" x14ac:dyDescent="0.3">
      <c r="A14" s="119" t="s">
        <v>14</v>
      </c>
      <c r="B14" s="6">
        <v>1</v>
      </c>
      <c r="C14" s="4">
        <v>2</v>
      </c>
      <c r="D14" s="4">
        <v>1</v>
      </c>
      <c r="E14" s="4">
        <v>2</v>
      </c>
      <c r="F14" s="89">
        <f t="shared" si="31"/>
        <v>6</v>
      </c>
      <c r="G14" s="6">
        <v>2</v>
      </c>
      <c r="H14" s="4">
        <v>3</v>
      </c>
      <c r="I14" s="4">
        <v>2</v>
      </c>
      <c r="J14" s="4">
        <v>3</v>
      </c>
      <c r="K14" s="89">
        <f t="shared" si="40"/>
        <v>10</v>
      </c>
      <c r="L14" s="6">
        <v>1</v>
      </c>
      <c r="M14" s="4">
        <v>2</v>
      </c>
      <c r="N14" s="4">
        <v>2</v>
      </c>
      <c r="O14" s="4">
        <v>2</v>
      </c>
      <c r="P14" s="89">
        <f t="shared" si="43"/>
        <v>7</v>
      </c>
      <c r="Q14" s="11">
        <v>1</v>
      </c>
      <c r="R14" s="4">
        <v>3</v>
      </c>
      <c r="S14" s="4">
        <v>1</v>
      </c>
      <c r="T14" s="4">
        <v>3</v>
      </c>
      <c r="U14" s="89">
        <f t="shared" si="32"/>
        <v>8</v>
      </c>
      <c r="V14" s="6">
        <v>1</v>
      </c>
      <c r="W14" s="4">
        <v>2</v>
      </c>
      <c r="X14" s="4">
        <v>2</v>
      </c>
      <c r="Y14" s="4">
        <v>2</v>
      </c>
      <c r="Z14" s="89">
        <f t="shared" si="33"/>
        <v>7</v>
      </c>
      <c r="AA14" s="3">
        <v>1</v>
      </c>
      <c r="AB14" s="4">
        <v>2</v>
      </c>
      <c r="AC14" s="4">
        <v>2</v>
      </c>
      <c r="AD14" s="4">
        <v>2</v>
      </c>
      <c r="AE14" s="89">
        <f t="shared" si="34"/>
        <v>7</v>
      </c>
      <c r="AF14" s="6">
        <v>1</v>
      </c>
      <c r="AG14" s="4">
        <v>3</v>
      </c>
      <c r="AH14" s="4">
        <v>2</v>
      </c>
      <c r="AI14" s="4">
        <v>2</v>
      </c>
      <c r="AJ14" s="89">
        <f t="shared" si="35"/>
        <v>8</v>
      </c>
      <c r="AK14" s="4">
        <v>1</v>
      </c>
      <c r="AL14" s="4">
        <v>3</v>
      </c>
      <c r="AM14" s="4">
        <v>1</v>
      </c>
      <c r="AN14" s="4">
        <v>2</v>
      </c>
      <c r="AO14" s="89">
        <f t="shared" si="36"/>
        <v>7</v>
      </c>
      <c r="AP14" s="4">
        <v>2</v>
      </c>
      <c r="AQ14" s="4">
        <v>2</v>
      </c>
      <c r="AR14" s="4">
        <v>2</v>
      </c>
      <c r="AS14" s="4">
        <v>2</v>
      </c>
      <c r="AT14" s="89">
        <f t="shared" si="37"/>
        <v>8</v>
      </c>
      <c r="AU14" s="6">
        <v>1</v>
      </c>
      <c r="AV14" s="4">
        <v>2</v>
      </c>
      <c r="AW14" s="4">
        <v>2</v>
      </c>
      <c r="AX14" s="4">
        <v>2</v>
      </c>
      <c r="AY14" s="89">
        <f t="shared" si="38"/>
        <v>7</v>
      </c>
      <c r="AZ14" s="4">
        <v>1</v>
      </c>
      <c r="BA14" s="4">
        <v>2</v>
      </c>
      <c r="BB14" s="4">
        <v>1</v>
      </c>
      <c r="BC14" s="4">
        <v>2</v>
      </c>
      <c r="BD14" s="89">
        <f t="shared" si="39"/>
        <v>6</v>
      </c>
      <c r="BE14" s="4">
        <v>1</v>
      </c>
      <c r="BF14" s="4">
        <v>1</v>
      </c>
      <c r="BG14" s="4">
        <v>2</v>
      </c>
      <c r="BH14" s="4">
        <v>2</v>
      </c>
      <c r="BI14" s="89">
        <f t="shared" si="0"/>
        <v>6</v>
      </c>
      <c r="BJ14" s="3">
        <v>1</v>
      </c>
      <c r="BK14" s="4">
        <v>1</v>
      </c>
      <c r="BL14" s="4">
        <v>2</v>
      </c>
      <c r="BM14" s="4">
        <v>1</v>
      </c>
      <c r="BN14" s="90">
        <f t="shared" si="41"/>
        <v>5</v>
      </c>
      <c r="BO14" s="4">
        <v>1</v>
      </c>
      <c r="BP14" s="4">
        <v>1</v>
      </c>
      <c r="BQ14" s="4">
        <v>1</v>
      </c>
      <c r="BR14" s="4">
        <v>1</v>
      </c>
      <c r="BS14" s="90">
        <f t="shared" si="42"/>
        <v>4</v>
      </c>
      <c r="BT14" s="4">
        <v>1</v>
      </c>
      <c r="BU14" s="4">
        <v>2</v>
      </c>
      <c r="BV14" s="4">
        <v>2</v>
      </c>
      <c r="BW14" s="4">
        <v>2</v>
      </c>
      <c r="BX14" s="90">
        <f t="shared" si="44"/>
        <v>7</v>
      </c>
      <c r="BY14" s="11">
        <v>1</v>
      </c>
      <c r="BZ14" s="4">
        <v>3</v>
      </c>
      <c r="CA14" s="4">
        <v>1</v>
      </c>
      <c r="CB14" s="4">
        <v>3</v>
      </c>
      <c r="CC14" s="89">
        <f t="shared" si="4"/>
        <v>8</v>
      </c>
      <c r="CD14" s="4">
        <v>4</v>
      </c>
      <c r="CE14" s="4">
        <v>3</v>
      </c>
      <c r="CF14" s="4">
        <v>2</v>
      </c>
      <c r="CG14" s="4">
        <v>3</v>
      </c>
      <c r="CH14" s="89">
        <f t="shared" si="5"/>
        <v>12</v>
      </c>
      <c r="CI14" s="4">
        <v>5</v>
      </c>
      <c r="CJ14" s="4">
        <v>3</v>
      </c>
      <c r="CK14" s="4">
        <v>2</v>
      </c>
      <c r="CL14" s="4">
        <v>4</v>
      </c>
      <c r="CM14" s="89">
        <f t="shared" si="6"/>
        <v>14</v>
      </c>
      <c r="CN14" s="6">
        <v>4</v>
      </c>
      <c r="CO14" s="4">
        <v>3</v>
      </c>
      <c r="CP14" s="4">
        <v>3</v>
      </c>
      <c r="CQ14" s="4">
        <v>5</v>
      </c>
      <c r="CR14" s="89">
        <f t="shared" si="7"/>
        <v>15</v>
      </c>
      <c r="CS14" s="4">
        <v>4</v>
      </c>
      <c r="CT14" s="4">
        <v>1</v>
      </c>
      <c r="CU14" s="4">
        <v>3</v>
      </c>
      <c r="CV14" s="4">
        <v>3</v>
      </c>
      <c r="CW14" s="89">
        <f t="shared" si="8"/>
        <v>11</v>
      </c>
      <c r="CX14" s="4">
        <v>1</v>
      </c>
      <c r="CY14" s="4">
        <v>3</v>
      </c>
      <c r="CZ14" s="4">
        <v>2</v>
      </c>
      <c r="DA14" s="4">
        <v>1</v>
      </c>
      <c r="DB14" s="89">
        <f t="shared" si="9"/>
        <v>7</v>
      </c>
      <c r="DC14" s="6">
        <v>1</v>
      </c>
      <c r="DD14" s="4">
        <v>4</v>
      </c>
      <c r="DE14" s="4">
        <v>2</v>
      </c>
      <c r="DF14" s="4">
        <v>1</v>
      </c>
      <c r="DG14" s="89">
        <f t="shared" si="10"/>
        <v>8</v>
      </c>
      <c r="DH14" s="4">
        <v>1</v>
      </c>
      <c r="DI14" s="4">
        <v>2</v>
      </c>
      <c r="DJ14" s="4">
        <v>5</v>
      </c>
      <c r="DK14" s="4">
        <v>1</v>
      </c>
      <c r="DL14" s="89">
        <f t="shared" si="11"/>
        <v>9</v>
      </c>
      <c r="DM14" s="4">
        <v>2</v>
      </c>
      <c r="DN14" s="4">
        <v>3</v>
      </c>
      <c r="DO14" s="4">
        <v>1</v>
      </c>
      <c r="DP14" s="4">
        <v>1</v>
      </c>
      <c r="DQ14" s="89">
        <f t="shared" si="12"/>
        <v>7</v>
      </c>
      <c r="DR14" s="6">
        <v>2</v>
      </c>
      <c r="DS14" s="6">
        <v>4</v>
      </c>
      <c r="DT14" s="4">
        <v>4</v>
      </c>
      <c r="DU14" s="4">
        <v>4</v>
      </c>
      <c r="DV14" s="89">
        <f t="shared" si="13"/>
        <v>14</v>
      </c>
      <c r="DW14" s="12">
        <v>4</v>
      </c>
      <c r="DX14" s="4">
        <v>4</v>
      </c>
      <c r="DY14" s="4">
        <v>2</v>
      </c>
      <c r="DZ14" s="4">
        <v>1</v>
      </c>
      <c r="EA14" s="89">
        <f t="shared" si="14"/>
        <v>11</v>
      </c>
      <c r="EB14" s="4">
        <v>2</v>
      </c>
      <c r="EC14" s="4">
        <v>2</v>
      </c>
      <c r="ED14" s="4">
        <v>2</v>
      </c>
      <c r="EE14" s="4">
        <v>4</v>
      </c>
      <c r="EF14" s="89">
        <f t="shared" si="15"/>
        <v>10</v>
      </c>
      <c r="EG14" s="6">
        <v>1</v>
      </c>
      <c r="EH14" s="4">
        <v>2</v>
      </c>
      <c r="EI14" s="4">
        <v>1</v>
      </c>
      <c r="EJ14" s="4">
        <v>2</v>
      </c>
      <c r="EK14" s="89">
        <f t="shared" si="16"/>
        <v>6</v>
      </c>
      <c r="EL14" s="4">
        <v>1</v>
      </c>
      <c r="EM14" s="4">
        <v>1</v>
      </c>
      <c r="EN14" s="4">
        <v>4</v>
      </c>
      <c r="EO14" s="4">
        <v>3</v>
      </c>
      <c r="EP14" s="89">
        <f t="shared" si="17"/>
        <v>9</v>
      </c>
      <c r="EQ14" s="4">
        <v>3</v>
      </c>
      <c r="ER14" s="4">
        <v>3</v>
      </c>
      <c r="ES14" s="4">
        <v>3</v>
      </c>
      <c r="ET14" s="4">
        <v>1</v>
      </c>
      <c r="EU14" s="89">
        <f t="shared" si="18"/>
        <v>10</v>
      </c>
      <c r="EV14" s="6">
        <v>1</v>
      </c>
      <c r="EW14" s="4">
        <v>4</v>
      </c>
      <c r="EX14" s="4">
        <v>3</v>
      </c>
      <c r="EY14" s="4">
        <v>1</v>
      </c>
      <c r="EZ14" s="89">
        <f t="shared" si="19"/>
        <v>9</v>
      </c>
      <c r="FA14" s="4">
        <v>2</v>
      </c>
      <c r="FB14" s="4">
        <v>3</v>
      </c>
      <c r="FC14" s="4">
        <v>3</v>
      </c>
      <c r="FD14" s="4">
        <v>4</v>
      </c>
      <c r="FE14" s="89">
        <f t="shared" si="20"/>
        <v>12</v>
      </c>
      <c r="FF14" s="4">
        <v>1</v>
      </c>
      <c r="FG14" s="4">
        <v>3</v>
      </c>
      <c r="FH14" s="4">
        <v>4</v>
      </c>
      <c r="FI14" s="4">
        <v>1</v>
      </c>
      <c r="FJ14" s="89">
        <f t="shared" si="21"/>
        <v>9</v>
      </c>
      <c r="FK14" s="6">
        <v>2</v>
      </c>
      <c r="FL14" s="4">
        <v>2</v>
      </c>
      <c r="FM14" s="4">
        <v>1</v>
      </c>
      <c r="FN14" s="4">
        <v>2</v>
      </c>
      <c r="FO14" s="89">
        <f t="shared" si="22"/>
        <v>7</v>
      </c>
      <c r="FP14" s="4">
        <v>2</v>
      </c>
      <c r="FQ14" s="4">
        <v>1</v>
      </c>
      <c r="FR14" s="4">
        <v>1</v>
      </c>
      <c r="FS14" s="4">
        <v>4</v>
      </c>
      <c r="FT14" s="89">
        <f t="shared" si="23"/>
        <v>8</v>
      </c>
      <c r="FU14" s="4">
        <v>2</v>
      </c>
      <c r="FV14" s="4">
        <v>1</v>
      </c>
      <c r="FW14" s="4">
        <v>2</v>
      </c>
      <c r="FX14" s="4">
        <v>2</v>
      </c>
      <c r="FY14" s="89">
        <f t="shared" si="24"/>
        <v>7</v>
      </c>
      <c r="FZ14" s="11">
        <v>4</v>
      </c>
      <c r="GA14" s="4">
        <v>5</v>
      </c>
      <c r="GB14" s="4">
        <v>5</v>
      </c>
      <c r="GC14" s="4">
        <v>1</v>
      </c>
      <c r="GD14" s="89">
        <f t="shared" si="25"/>
        <v>15</v>
      </c>
      <c r="GE14" s="4">
        <v>2</v>
      </c>
      <c r="GF14" s="4">
        <v>1</v>
      </c>
      <c r="GG14" s="4">
        <v>3</v>
      </c>
      <c r="GH14" s="4">
        <v>3</v>
      </c>
      <c r="GI14" s="89">
        <f t="shared" si="26"/>
        <v>9</v>
      </c>
      <c r="GJ14" s="4">
        <v>3</v>
      </c>
      <c r="GK14" s="4">
        <v>1</v>
      </c>
      <c r="GL14" s="4">
        <v>3</v>
      </c>
      <c r="GM14" s="4">
        <v>2</v>
      </c>
      <c r="GN14" s="89">
        <f t="shared" si="27"/>
        <v>9</v>
      </c>
      <c r="GO14" s="6">
        <v>2</v>
      </c>
      <c r="GP14" s="4">
        <v>3</v>
      </c>
      <c r="GQ14" s="4">
        <v>3</v>
      </c>
      <c r="GR14" s="4">
        <v>1</v>
      </c>
      <c r="GS14" s="89">
        <f t="shared" si="28"/>
        <v>9</v>
      </c>
      <c r="GT14" s="4">
        <v>3</v>
      </c>
      <c r="GU14" s="4">
        <v>4</v>
      </c>
      <c r="GV14" s="4">
        <v>1</v>
      </c>
      <c r="GW14" s="4">
        <v>3</v>
      </c>
      <c r="GX14" s="89">
        <f t="shared" si="29"/>
        <v>11</v>
      </c>
      <c r="GY14" s="4">
        <v>3</v>
      </c>
      <c r="GZ14" s="4">
        <v>4</v>
      </c>
      <c r="HA14" s="4">
        <v>5</v>
      </c>
      <c r="HB14" s="4">
        <v>1</v>
      </c>
      <c r="HC14" s="89">
        <f t="shared" si="30"/>
        <v>13</v>
      </c>
    </row>
    <row r="15" spans="1:211" ht="15" customHeight="1" x14ac:dyDescent="0.3">
      <c r="A15" s="119" t="s">
        <v>15</v>
      </c>
      <c r="B15" s="6">
        <v>2</v>
      </c>
      <c r="C15" s="4">
        <v>2</v>
      </c>
      <c r="D15" s="4">
        <v>2</v>
      </c>
      <c r="E15" s="4">
        <v>3</v>
      </c>
      <c r="F15" s="89">
        <f t="shared" si="31"/>
        <v>9</v>
      </c>
      <c r="G15" s="6">
        <v>3</v>
      </c>
      <c r="H15" s="4">
        <v>3</v>
      </c>
      <c r="I15" s="4">
        <v>3</v>
      </c>
      <c r="J15" s="4">
        <v>3</v>
      </c>
      <c r="K15" s="89">
        <f t="shared" si="40"/>
        <v>12</v>
      </c>
      <c r="L15" s="6">
        <v>3</v>
      </c>
      <c r="M15" s="4">
        <v>3</v>
      </c>
      <c r="N15" s="4">
        <v>5</v>
      </c>
      <c r="O15" s="4">
        <v>3</v>
      </c>
      <c r="P15" s="89">
        <f t="shared" si="43"/>
        <v>14</v>
      </c>
      <c r="Q15" s="11">
        <v>2</v>
      </c>
      <c r="R15" s="4">
        <v>2</v>
      </c>
      <c r="S15" s="4">
        <v>2</v>
      </c>
      <c r="T15" s="4">
        <v>2</v>
      </c>
      <c r="U15" s="89">
        <f t="shared" si="32"/>
        <v>8</v>
      </c>
      <c r="V15" s="6">
        <v>2</v>
      </c>
      <c r="W15" s="4">
        <v>2</v>
      </c>
      <c r="X15" s="4">
        <v>2</v>
      </c>
      <c r="Y15" s="4">
        <v>2</v>
      </c>
      <c r="Z15" s="89">
        <f t="shared" si="33"/>
        <v>8</v>
      </c>
      <c r="AA15" s="3">
        <v>2</v>
      </c>
      <c r="AB15" s="4">
        <v>3</v>
      </c>
      <c r="AC15" s="4">
        <v>2</v>
      </c>
      <c r="AD15" s="4">
        <v>3</v>
      </c>
      <c r="AE15" s="89">
        <f t="shared" si="34"/>
        <v>10</v>
      </c>
      <c r="AF15" s="6">
        <v>2</v>
      </c>
      <c r="AG15" s="4">
        <v>2</v>
      </c>
      <c r="AH15" s="4">
        <v>2</v>
      </c>
      <c r="AI15" s="4">
        <v>2</v>
      </c>
      <c r="AJ15" s="89">
        <f t="shared" si="35"/>
        <v>8</v>
      </c>
      <c r="AK15" s="4">
        <v>2</v>
      </c>
      <c r="AL15" s="4">
        <v>2</v>
      </c>
      <c r="AM15" s="4">
        <v>2</v>
      </c>
      <c r="AN15" s="4">
        <v>2</v>
      </c>
      <c r="AO15" s="89">
        <f t="shared" si="36"/>
        <v>8</v>
      </c>
      <c r="AP15" s="4">
        <v>2</v>
      </c>
      <c r="AQ15" s="4">
        <v>2</v>
      </c>
      <c r="AR15" s="4">
        <v>2</v>
      </c>
      <c r="AS15" s="4">
        <v>2</v>
      </c>
      <c r="AT15" s="89">
        <f t="shared" si="37"/>
        <v>8</v>
      </c>
      <c r="AU15" s="6">
        <v>2</v>
      </c>
      <c r="AV15" s="4">
        <v>3</v>
      </c>
      <c r="AW15" s="4">
        <v>2</v>
      </c>
      <c r="AX15" s="4">
        <v>2</v>
      </c>
      <c r="AY15" s="89">
        <f t="shared" si="38"/>
        <v>9</v>
      </c>
      <c r="AZ15" s="4">
        <v>3</v>
      </c>
      <c r="BA15" s="4">
        <v>3</v>
      </c>
      <c r="BB15" s="4">
        <v>2</v>
      </c>
      <c r="BC15" s="4">
        <v>2</v>
      </c>
      <c r="BD15" s="89">
        <f t="shared" si="39"/>
        <v>10</v>
      </c>
      <c r="BE15" s="4">
        <v>3</v>
      </c>
      <c r="BF15" s="4">
        <v>3</v>
      </c>
      <c r="BG15" s="4">
        <v>2</v>
      </c>
      <c r="BH15" s="4">
        <v>2</v>
      </c>
      <c r="BI15" s="89">
        <f t="shared" si="0"/>
        <v>10</v>
      </c>
      <c r="BJ15" s="3">
        <v>2</v>
      </c>
      <c r="BK15" s="4">
        <v>4</v>
      </c>
      <c r="BL15" s="4">
        <v>2</v>
      </c>
      <c r="BM15" s="4">
        <v>2</v>
      </c>
      <c r="BN15" s="90">
        <f t="shared" si="41"/>
        <v>10</v>
      </c>
      <c r="BO15" s="4">
        <v>2</v>
      </c>
      <c r="BP15" s="4">
        <v>2</v>
      </c>
      <c r="BQ15" s="4">
        <v>2</v>
      </c>
      <c r="BR15" s="4">
        <v>2</v>
      </c>
      <c r="BS15" s="90">
        <f t="shared" si="42"/>
        <v>8</v>
      </c>
      <c r="BT15" s="4">
        <v>2</v>
      </c>
      <c r="BU15" s="4">
        <v>2</v>
      </c>
      <c r="BV15" s="4">
        <v>2</v>
      </c>
      <c r="BW15" s="4">
        <v>2</v>
      </c>
      <c r="BX15" s="90">
        <f t="shared" si="44"/>
        <v>8</v>
      </c>
      <c r="BY15" s="11">
        <v>4</v>
      </c>
      <c r="BZ15" s="4">
        <v>2</v>
      </c>
      <c r="CA15" s="4">
        <v>4</v>
      </c>
      <c r="CB15" s="4">
        <v>3</v>
      </c>
      <c r="CC15" s="89">
        <f t="shared" si="4"/>
        <v>13</v>
      </c>
      <c r="CD15" s="4">
        <v>3</v>
      </c>
      <c r="CE15" s="4">
        <v>3</v>
      </c>
      <c r="CF15" s="4">
        <v>4</v>
      </c>
      <c r="CG15" s="4">
        <v>3</v>
      </c>
      <c r="CH15" s="89">
        <f t="shared" si="5"/>
        <v>13</v>
      </c>
      <c r="CI15" s="4">
        <v>1</v>
      </c>
      <c r="CJ15" s="4">
        <v>1</v>
      </c>
      <c r="CK15" s="4">
        <v>1</v>
      </c>
      <c r="CL15" s="4">
        <v>2</v>
      </c>
      <c r="CM15" s="89">
        <f t="shared" si="6"/>
        <v>5</v>
      </c>
      <c r="CN15" s="6">
        <v>4</v>
      </c>
      <c r="CO15" s="4">
        <v>1</v>
      </c>
      <c r="CP15" s="4">
        <v>4</v>
      </c>
      <c r="CQ15" s="4">
        <v>3</v>
      </c>
      <c r="CR15" s="89">
        <f t="shared" si="7"/>
        <v>12</v>
      </c>
      <c r="CS15" s="4">
        <v>1</v>
      </c>
      <c r="CT15" s="4">
        <v>5</v>
      </c>
      <c r="CU15" s="4">
        <v>2</v>
      </c>
      <c r="CV15" s="4">
        <v>5</v>
      </c>
      <c r="CW15" s="89">
        <f t="shared" si="8"/>
        <v>13</v>
      </c>
      <c r="CX15" s="4">
        <v>5</v>
      </c>
      <c r="CY15" s="4">
        <v>5</v>
      </c>
      <c r="CZ15" s="4">
        <v>2</v>
      </c>
      <c r="DA15" s="4">
        <v>2</v>
      </c>
      <c r="DB15" s="89">
        <f t="shared" si="9"/>
        <v>14</v>
      </c>
      <c r="DC15" s="6">
        <v>3</v>
      </c>
      <c r="DD15" s="4">
        <v>4</v>
      </c>
      <c r="DE15" s="4">
        <v>4</v>
      </c>
      <c r="DF15" s="4">
        <v>3</v>
      </c>
      <c r="DG15" s="89">
        <f t="shared" si="10"/>
        <v>14</v>
      </c>
      <c r="DH15" s="4">
        <v>5</v>
      </c>
      <c r="DI15" s="4">
        <v>5</v>
      </c>
      <c r="DJ15" s="4">
        <v>5</v>
      </c>
      <c r="DK15" s="4">
        <v>5</v>
      </c>
      <c r="DL15" s="89">
        <f t="shared" si="11"/>
        <v>20</v>
      </c>
      <c r="DM15" s="4">
        <v>4</v>
      </c>
      <c r="DN15" s="4">
        <v>2</v>
      </c>
      <c r="DO15" s="4">
        <v>5</v>
      </c>
      <c r="DP15" s="4">
        <v>4</v>
      </c>
      <c r="DQ15" s="89">
        <f t="shared" si="12"/>
        <v>15</v>
      </c>
      <c r="DR15" s="6">
        <v>2</v>
      </c>
      <c r="DS15" s="6">
        <v>2</v>
      </c>
      <c r="DT15" s="4">
        <v>5</v>
      </c>
      <c r="DU15" s="4">
        <v>1</v>
      </c>
      <c r="DV15" s="89">
        <f t="shared" si="13"/>
        <v>10</v>
      </c>
      <c r="DW15" s="12">
        <v>1</v>
      </c>
      <c r="DX15" s="4">
        <v>1</v>
      </c>
      <c r="DY15" s="4">
        <v>4</v>
      </c>
      <c r="DZ15" s="4">
        <v>2</v>
      </c>
      <c r="EA15" s="89">
        <f t="shared" si="14"/>
        <v>8</v>
      </c>
      <c r="EB15" s="4">
        <v>3</v>
      </c>
      <c r="EC15" s="4">
        <v>3</v>
      </c>
      <c r="ED15" s="4">
        <v>4</v>
      </c>
      <c r="EE15" s="4">
        <v>3</v>
      </c>
      <c r="EF15" s="89">
        <f t="shared" si="15"/>
        <v>13</v>
      </c>
      <c r="EG15" s="6">
        <v>4</v>
      </c>
      <c r="EH15" s="4">
        <v>3</v>
      </c>
      <c r="EI15" s="4">
        <v>4</v>
      </c>
      <c r="EJ15" s="4">
        <v>2</v>
      </c>
      <c r="EK15" s="89">
        <f t="shared" si="16"/>
        <v>13</v>
      </c>
      <c r="EL15" s="4">
        <v>3</v>
      </c>
      <c r="EM15" s="4">
        <v>2</v>
      </c>
      <c r="EN15" s="4">
        <v>4</v>
      </c>
      <c r="EO15" s="4">
        <v>1</v>
      </c>
      <c r="EP15" s="89">
        <f t="shared" si="17"/>
        <v>10</v>
      </c>
      <c r="EQ15" s="4">
        <v>3</v>
      </c>
      <c r="ER15" s="4">
        <v>1</v>
      </c>
      <c r="ES15" s="4">
        <v>4</v>
      </c>
      <c r="ET15" s="4">
        <v>3</v>
      </c>
      <c r="EU15" s="89">
        <f t="shared" si="18"/>
        <v>11</v>
      </c>
      <c r="EV15" s="6">
        <v>1</v>
      </c>
      <c r="EW15" s="4">
        <v>1</v>
      </c>
      <c r="EX15" s="4">
        <v>1</v>
      </c>
      <c r="EY15" s="4">
        <v>3</v>
      </c>
      <c r="EZ15" s="89">
        <f t="shared" si="19"/>
        <v>6</v>
      </c>
      <c r="FA15" s="4">
        <v>1</v>
      </c>
      <c r="FB15" s="4">
        <v>4</v>
      </c>
      <c r="FC15" s="4">
        <v>1</v>
      </c>
      <c r="FD15" s="4">
        <v>4</v>
      </c>
      <c r="FE15" s="89">
        <f t="shared" si="20"/>
        <v>10</v>
      </c>
      <c r="FF15" s="4">
        <v>3</v>
      </c>
      <c r="FG15" s="4">
        <v>2</v>
      </c>
      <c r="FH15" s="4">
        <v>3</v>
      </c>
      <c r="FI15" s="4">
        <v>4</v>
      </c>
      <c r="FJ15" s="89">
        <f t="shared" si="21"/>
        <v>12</v>
      </c>
      <c r="FK15" s="6">
        <v>4</v>
      </c>
      <c r="FL15" s="4">
        <v>1</v>
      </c>
      <c r="FM15" s="4">
        <v>3</v>
      </c>
      <c r="FN15" s="4">
        <v>2</v>
      </c>
      <c r="FO15" s="89">
        <f t="shared" si="22"/>
        <v>10</v>
      </c>
      <c r="FP15" s="12">
        <v>2</v>
      </c>
      <c r="FQ15" s="4">
        <v>2</v>
      </c>
      <c r="FR15" s="4">
        <v>2</v>
      </c>
      <c r="FS15" s="4">
        <v>3</v>
      </c>
      <c r="FT15" s="89">
        <f t="shared" si="23"/>
        <v>9</v>
      </c>
      <c r="FU15" s="4">
        <v>4</v>
      </c>
      <c r="FV15" s="4">
        <v>1</v>
      </c>
      <c r="FW15" s="4">
        <v>3</v>
      </c>
      <c r="FX15" s="4">
        <v>2</v>
      </c>
      <c r="FY15" s="89">
        <f t="shared" si="24"/>
        <v>10</v>
      </c>
      <c r="FZ15" s="11">
        <v>3</v>
      </c>
      <c r="GA15" s="4">
        <v>4</v>
      </c>
      <c r="GB15" s="4">
        <v>1</v>
      </c>
      <c r="GC15" s="4">
        <v>4</v>
      </c>
      <c r="GD15" s="89">
        <f t="shared" si="25"/>
        <v>12</v>
      </c>
      <c r="GE15" s="4">
        <v>5</v>
      </c>
      <c r="GF15" s="4">
        <v>1</v>
      </c>
      <c r="GG15" s="4">
        <v>3</v>
      </c>
      <c r="GH15" s="4">
        <v>4</v>
      </c>
      <c r="GI15" s="89">
        <f t="shared" si="26"/>
        <v>13</v>
      </c>
      <c r="GJ15" s="4">
        <v>4</v>
      </c>
      <c r="GK15" s="4">
        <v>5</v>
      </c>
      <c r="GL15" s="4">
        <v>1</v>
      </c>
      <c r="GM15" s="4">
        <v>3</v>
      </c>
      <c r="GN15" s="89">
        <f t="shared" si="27"/>
        <v>13</v>
      </c>
      <c r="GO15" s="6">
        <v>3</v>
      </c>
      <c r="GP15" s="4">
        <v>4</v>
      </c>
      <c r="GQ15" s="4">
        <v>3</v>
      </c>
      <c r="GR15" s="4">
        <v>5</v>
      </c>
      <c r="GS15" s="89">
        <f t="shared" si="28"/>
        <v>15</v>
      </c>
      <c r="GT15" s="4">
        <v>3</v>
      </c>
      <c r="GU15" s="4">
        <v>5</v>
      </c>
      <c r="GV15" s="4">
        <v>2</v>
      </c>
      <c r="GW15" s="4">
        <v>4</v>
      </c>
      <c r="GX15" s="89">
        <f t="shared" si="29"/>
        <v>14</v>
      </c>
      <c r="GY15" s="4">
        <v>4</v>
      </c>
      <c r="GZ15" s="4">
        <v>1</v>
      </c>
      <c r="HA15" s="4">
        <v>2</v>
      </c>
      <c r="HB15" s="4">
        <v>2</v>
      </c>
      <c r="HC15" s="89">
        <f t="shared" si="30"/>
        <v>9</v>
      </c>
    </row>
    <row r="16" spans="1:211" ht="15" customHeight="1" x14ac:dyDescent="0.3">
      <c r="A16" s="119" t="s">
        <v>16</v>
      </c>
      <c r="B16" s="6">
        <v>3</v>
      </c>
      <c r="C16" s="4">
        <v>4</v>
      </c>
      <c r="D16" s="4">
        <v>2</v>
      </c>
      <c r="E16" s="4">
        <v>5</v>
      </c>
      <c r="F16" s="89">
        <f t="shared" si="31"/>
        <v>14</v>
      </c>
      <c r="G16" s="6">
        <v>1</v>
      </c>
      <c r="H16" s="4">
        <v>5</v>
      </c>
      <c r="I16" s="4">
        <v>3</v>
      </c>
      <c r="J16" s="4">
        <v>4</v>
      </c>
      <c r="K16" s="89">
        <f t="shared" si="40"/>
        <v>13</v>
      </c>
      <c r="L16" s="6">
        <v>2</v>
      </c>
      <c r="M16" s="4">
        <v>6</v>
      </c>
      <c r="N16" s="4">
        <v>2</v>
      </c>
      <c r="O16" s="4">
        <v>6</v>
      </c>
      <c r="P16" s="89">
        <f t="shared" si="43"/>
        <v>16</v>
      </c>
      <c r="Q16" s="11">
        <v>1</v>
      </c>
      <c r="R16" s="4">
        <v>1</v>
      </c>
      <c r="S16" s="4">
        <v>4</v>
      </c>
      <c r="T16" s="4">
        <v>3</v>
      </c>
      <c r="U16" s="89">
        <f t="shared" si="32"/>
        <v>9</v>
      </c>
      <c r="V16" s="6">
        <v>1</v>
      </c>
      <c r="W16" s="4">
        <v>1</v>
      </c>
      <c r="X16" s="4">
        <v>1</v>
      </c>
      <c r="Y16" s="4">
        <v>1</v>
      </c>
      <c r="Z16" s="89">
        <f t="shared" si="33"/>
        <v>4</v>
      </c>
      <c r="AA16" s="3">
        <v>2</v>
      </c>
      <c r="AB16" s="4">
        <v>2</v>
      </c>
      <c r="AC16" s="4">
        <v>2</v>
      </c>
      <c r="AD16" s="4">
        <v>1</v>
      </c>
      <c r="AE16" s="89">
        <f t="shared" si="34"/>
        <v>7</v>
      </c>
      <c r="AF16" s="6">
        <v>1</v>
      </c>
      <c r="AG16" s="4">
        <v>2</v>
      </c>
      <c r="AH16" s="4">
        <v>2</v>
      </c>
      <c r="AI16" s="4">
        <v>3</v>
      </c>
      <c r="AJ16" s="89">
        <f t="shared" si="35"/>
        <v>8</v>
      </c>
      <c r="AK16" s="4">
        <v>2</v>
      </c>
      <c r="AL16" s="4">
        <v>3</v>
      </c>
      <c r="AM16" s="4">
        <v>3</v>
      </c>
      <c r="AN16" s="4">
        <v>2</v>
      </c>
      <c r="AO16" s="89">
        <f t="shared" si="36"/>
        <v>10</v>
      </c>
      <c r="AP16" s="4">
        <v>1</v>
      </c>
      <c r="AQ16" s="4">
        <v>2</v>
      </c>
      <c r="AR16" s="4">
        <v>2</v>
      </c>
      <c r="AS16" s="4">
        <v>2</v>
      </c>
      <c r="AT16" s="89">
        <f t="shared" si="37"/>
        <v>7</v>
      </c>
      <c r="AU16" s="6">
        <v>2</v>
      </c>
      <c r="AV16" s="4">
        <v>4</v>
      </c>
      <c r="AW16" s="4">
        <v>2</v>
      </c>
      <c r="AX16" s="4">
        <v>2</v>
      </c>
      <c r="AY16" s="89">
        <f t="shared" si="38"/>
        <v>10</v>
      </c>
      <c r="AZ16" s="4">
        <v>1</v>
      </c>
      <c r="BA16" s="4">
        <v>1</v>
      </c>
      <c r="BB16" s="4">
        <v>2</v>
      </c>
      <c r="BC16" s="4">
        <v>1</v>
      </c>
      <c r="BD16" s="89">
        <f t="shared" si="39"/>
        <v>5</v>
      </c>
      <c r="BE16" s="4">
        <v>2</v>
      </c>
      <c r="BF16" s="4">
        <v>1</v>
      </c>
      <c r="BG16" s="4">
        <v>1</v>
      </c>
      <c r="BH16" s="4">
        <v>2</v>
      </c>
      <c r="BI16" s="89">
        <f t="shared" si="0"/>
        <v>6</v>
      </c>
      <c r="BJ16" s="3">
        <v>2</v>
      </c>
      <c r="BK16" s="4">
        <v>1</v>
      </c>
      <c r="BL16" s="4">
        <v>1</v>
      </c>
      <c r="BM16" s="4">
        <v>2</v>
      </c>
      <c r="BN16" s="90">
        <f t="shared" si="41"/>
        <v>6</v>
      </c>
      <c r="BO16" s="4">
        <v>1</v>
      </c>
      <c r="BP16" s="4">
        <v>1</v>
      </c>
      <c r="BQ16" s="4">
        <v>1</v>
      </c>
      <c r="BR16" s="4">
        <v>2</v>
      </c>
      <c r="BS16" s="90">
        <f t="shared" si="42"/>
        <v>5</v>
      </c>
      <c r="BT16" s="4">
        <v>1</v>
      </c>
      <c r="BU16" s="4">
        <v>1</v>
      </c>
      <c r="BV16" s="4">
        <v>1</v>
      </c>
      <c r="BW16" s="4">
        <v>2</v>
      </c>
      <c r="BX16" s="90">
        <f t="shared" si="44"/>
        <v>5</v>
      </c>
      <c r="BY16" s="11">
        <v>2</v>
      </c>
      <c r="BZ16" s="4">
        <v>4</v>
      </c>
      <c r="CA16" s="4">
        <v>1</v>
      </c>
      <c r="CB16" s="4">
        <v>4</v>
      </c>
      <c r="CC16" s="89">
        <f t="shared" si="4"/>
        <v>11</v>
      </c>
      <c r="CD16" s="4">
        <v>1</v>
      </c>
      <c r="CE16" s="4">
        <v>2</v>
      </c>
      <c r="CF16" s="4">
        <v>3</v>
      </c>
      <c r="CG16" s="4">
        <v>2</v>
      </c>
      <c r="CH16" s="89">
        <f t="shared" si="5"/>
        <v>8</v>
      </c>
      <c r="CI16" s="4">
        <v>5</v>
      </c>
      <c r="CJ16" s="4">
        <v>2</v>
      </c>
      <c r="CK16" s="4">
        <v>2</v>
      </c>
      <c r="CL16" s="4">
        <v>1</v>
      </c>
      <c r="CM16" s="89">
        <f t="shared" si="6"/>
        <v>10</v>
      </c>
      <c r="CN16" s="6">
        <v>4</v>
      </c>
      <c r="CO16" s="4">
        <v>3</v>
      </c>
      <c r="CP16" s="4">
        <v>1</v>
      </c>
      <c r="CQ16" s="4">
        <v>2</v>
      </c>
      <c r="CR16" s="89">
        <f t="shared" si="7"/>
        <v>10</v>
      </c>
      <c r="CS16" s="4">
        <v>3</v>
      </c>
      <c r="CT16" s="4">
        <v>1</v>
      </c>
      <c r="CU16" s="4">
        <v>4</v>
      </c>
      <c r="CV16" s="4">
        <v>1</v>
      </c>
      <c r="CW16" s="89">
        <f t="shared" si="8"/>
        <v>9</v>
      </c>
      <c r="CX16" s="4">
        <v>5</v>
      </c>
      <c r="CY16" s="4">
        <v>1</v>
      </c>
      <c r="CZ16" s="4">
        <v>5</v>
      </c>
      <c r="DA16" s="4">
        <v>3</v>
      </c>
      <c r="DB16" s="89">
        <f t="shared" si="9"/>
        <v>14</v>
      </c>
      <c r="DC16" s="6">
        <v>3</v>
      </c>
      <c r="DD16" s="4">
        <v>1</v>
      </c>
      <c r="DE16" s="4">
        <v>2</v>
      </c>
      <c r="DF16" s="4">
        <v>5</v>
      </c>
      <c r="DG16" s="89">
        <f t="shared" si="10"/>
        <v>11</v>
      </c>
      <c r="DH16" s="4">
        <v>2</v>
      </c>
      <c r="DI16" s="4">
        <v>3</v>
      </c>
      <c r="DJ16" s="4">
        <v>3</v>
      </c>
      <c r="DK16" s="4">
        <v>4</v>
      </c>
      <c r="DL16" s="89">
        <f t="shared" si="11"/>
        <v>12</v>
      </c>
      <c r="DM16" s="4">
        <v>4</v>
      </c>
      <c r="DN16" s="4">
        <v>1</v>
      </c>
      <c r="DO16" s="4">
        <v>2</v>
      </c>
      <c r="DP16" s="4">
        <v>2</v>
      </c>
      <c r="DQ16" s="89">
        <f t="shared" si="12"/>
        <v>9</v>
      </c>
      <c r="DR16" s="6">
        <v>4</v>
      </c>
      <c r="DS16" s="6">
        <v>4</v>
      </c>
      <c r="DT16" s="4">
        <v>3</v>
      </c>
      <c r="DU16" s="4">
        <v>1</v>
      </c>
      <c r="DV16" s="89">
        <f t="shared" si="13"/>
        <v>12</v>
      </c>
      <c r="DW16" s="12">
        <v>4</v>
      </c>
      <c r="DX16" s="4">
        <v>4</v>
      </c>
      <c r="DY16" s="4">
        <v>4</v>
      </c>
      <c r="DZ16" s="4">
        <v>2</v>
      </c>
      <c r="EA16" s="89">
        <f t="shared" si="14"/>
        <v>14</v>
      </c>
      <c r="EB16" s="4">
        <v>2</v>
      </c>
      <c r="EC16" s="4">
        <v>2</v>
      </c>
      <c r="ED16" s="4">
        <v>1</v>
      </c>
      <c r="EE16" s="4">
        <v>4</v>
      </c>
      <c r="EF16" s="89">
        <f t="shared" si="15"/>
        <v>9</v>
      </c>
      <c r="EG16" s="6">
        <v>4</v>
      </c>
      <c r="EH16" s="4">
        <v>2</v>
      </c>
      <c r="EI16" s="4">
        <v>4</v>
      </c>
      <c r="EJ16" s="4">
        <v>2</v>
      </c>
      <c r="EK16" s="89">
        <f t="shared" si="16"/>
        <v>12</v>
      </c>
      <c r="EL16" s="4">
        <v>4</v>
      </c>
      <c r="EM16" s="4">
        <v>3</v>
      </c>
      <c r="EN16" s="4">
        <v>2</v>
      </c>
      <c r="EO16" s="4">
        <v>2</v>
      </c>
      <c r="EP16" s="89">
        <f t="shared" si="17"/>
        <v>11</v>
      </c>
      <c r="EQ16" s="4">
        <v>3</v>
      </c>
      <c r="ER16" s="4">
        <v>4</v>
      </c>
      <c r="ES16" s="4">
        <v>2</v>
      </c>
      <c r="ET16" s="4">
        <v>2</v>
      </c>
      <c r="EU16" s="89">
        <f t="shared" si="18"/>
        <v>11</v>
      </c>
      <c r="EV16" s="6">
        <v>4</v>
      </c>
      <c r="EW16" s="4">
        <v>1</v>
      </c>
      <c r="EX16" s="4">
        <v>3</v>
      </c>
      <c r="EY16" s="4">
        <v>2</v>
      </c>
      <c r="EZ16" s="89">
        <f t="shared" si="19"/>
        <v>10</v>
      </c>
      <c r="FA16" s="4">
        <v>1</v>
      </c>
      <c r="FB16" s="4">
        <v>2</v>
      </c>
      <c r="FC16" s="4">
        <v>3</v>
      </c>
      <c r="FD16" s="4">
        <v>2</v>
      </c>
      <c r="FE16" s="89">
        <f t="shared" si="20"/>
        <v>8</v>
      </c>
      <c r="FF16" s="4">
        <v>2</v>
      </c>
      <c r="FG16" s="4">
        <v>3</v>
      </c>
      <c r="FH16" s="4">
        <v>3</v>
      </c>
      <c r="FI16" s="4">
        <v>4</v>
      </c>
      <c r="FJ16" s="89">
        <f t="shared" si="21"/>
        <v>12</v>
      </c>
      <c r="FK16" s="6">
        <v>1</v>
      </c>
      <c r="FL16" s="4">
        <v>1</v>
      </c>
      <c r="FM16" s="4">
        <v>4</v>
      </c>
      <c r="FN16" s="4">
        <v>2</v>
      </c>
      <c r="FO16" s="89">
        <f t="shared" si="22"/>
        <v>8</v>
      </c>
      <c r="FP16" s="4">
        <v>3</v>
      </c>
      <c r="FQ16" s="4">
        <v>3</v>
      </c>
      <c r="FR16" s="4">
        <v>1</v>
      </c>
      <c r="FS16" s="4">
        <v>1</v>
      </c>
      <c r="FT16" s="89">
        <f t="shared" si="23"/>
        <v>8</v>
      </c>
      <c r="FU16" s="4">
        <v>4</v>
      </c>
      <c r="FV16" s="4">
        <v>3</v>
      </c>
      <c r="FW16" s="4">
        <v>2</v>
      </c>
      <c r="FX16" s="4">
        <v>4</v>
      </c>
      <c r="FY16" s="89">
        <f t="shared" si="24"/>
        <v>13</v>
      </c>
      <c r="FZ16" s="11">
        <v>3</v>
      </c>
      <c r="GA16" s="4">
        <v>2</v>
      </c>
      <c r="GB16" s="4">
        <v>5</v>
      </c>
      <c r="GC16" s="4">
        <v>2</v>
      </c>
      <c r="GD16" s="89">
        <f t="shared" si="25"/>
        <v>12</v>
      </c>
      <c r="GE16" s="4">
        <v>2</v>
      </c>
      <c r="GF16" s="4">
        <v>4</v>
      </c>
      <c r="GG16" s="4">
        <v>1</v>
      </c>
      <c r="GH16" s="4">
        <v>5</v>
      </c>
      <c r="GI16" s="89">
        <f t="shared" si="26"/>
        <v>12</v>
      </c>
      <c r="GJ16" s="4">
        <v>2</v>
      </c>
      <c r="GK16" s="4">
        <v>3</v>
      </c>
      <c r="GL16" s="4">
        <v>1</v>
      </c>
      <c r="GM16" s="4">
        <v>3</v>
      </c>
      <c r="GN16" s="89">
        <f t="shared" si="27"/>
        <v>9</v>
      </c>
      <c r="GO16" s="6">
        <v>3</v>
      </c>
      <c r="GP16" s="4">
        <v>3</v>
      </c>
      <c r="GQ16" s="4">
        <v>2</v>
      </c>
      <c r="GR16" s="4">
        <v>3</v>
      </c>
      <c r="GS16" s="89">
        <f t="shared" si="28"/>
        <v>11</v>
      </c>
      <c r="GT16" s="4">
        <v>1</v>
      </c>
      <c r="GU16" s="4">
        <v>2</v>
      </c>
      <c r="GV16" s="4">
        <v>2</v>
      </c>
      <c r="GW16" s="4">
        <v>2</v>
      </c>
      <c r="GX16" s="89">
        <f t="shared" si="29"/>
        <v>7</v>
      </c>
      <c r="GY16" s="4">
        <v>5</v>
      </c>
      <c r="GZ16" s="4">
        <v>4</v>
      </c>
      <c r="HA16" s="4">
        <v>4</v>
      </c>
      <c r="HB16" s="4">
        <v>2</v>
      </c>
      <c r="HC16" s="89">
        <f t="shared" si="30"/>
        <v>15</v>
      </c>
    </row>
    <row r="17" spans="1:211" ht="15" customHeight="1" x14ac:dyDescent="0.3">
      <c r="A17" s="119" t="s">
        <v>17</v>
      </c>
      <c r="B17" s="6">
        <v>2</v>
      </c>
      <c r="C17" s="4">
        <v>3</v>
      </c>
      <c r="D17" s="4">
        <v>4</v>
      </c>
      <c r="E17" s="4">
        <v>2</v>
      </c>
      <c r="F17" s="89">
        <f t="shared" si="31"/>
        <v>11</v>
      </c>
      <c r="G17" s="6">
        <v>2</v>
      </c>
      <c r="H17" s="4">
        <v>4</v>
      </c>
      <c r="I17" s="4">
        <v>5</v>
      </c>
      <c r="J17" s="4">
        <v>2</v>
      </c>
      <c r="K17" s="89">
        <f t="shared" si="40"/>
        <v>13</v>
      </c>
      <c r="L17" s="6">
        <v>2</v>
      </c>
      <c r="M17" s="4">
        <v>3</v>
      </c>
      <c r="N17" s="4">
        <v>3</v>
      </c>
      <c r="O17" s="4">
        <v>2</v>
      </c>
      <c r="P17" s="89">
        <f t="shared" si="43"/>
        <v>10</v>
      </c>
      <c r="Q17" s="11">
        <v>2</v>
      </c>
      <c r="R17" s="4">
        <v>2</v>
      </c>
      <c r="S17" s="4">
        <v>3</v>
      </c>
      <c r="T17" s="4">
        <v>2</v>
      </c>
      <c r="U17" s="89">
        <f t="shared" si="32"/>
        <v>9</v>
      </c>
      <c r="V17" s="6">
        <v>3</v>
      </c>
      <c r="W17" s="4">
        <v>3</v>
      </c>
      <c r="X17" s="4">
        <v>3</v>
      </c>
      <c r="Y17" s="4">
        <v>2</v>
      </c>
      <c r="Z17" s="89">
        <f t="shared" si="33"/>
        <v>11</v>
      </c>
      <c r="AA17" s="3">
        <v>2</v>
      </c>
      <c r="AB17" s="4">
        <v>2</v>
      </c>
      <c r="AC17" s="4">
        <v>3</v>
      </c>
      <c r="AD17" s="4">
        <v>2</v>
      </c>
      <c r="AE17" s="89">
        <f t="shared" si="34"/>
        <v>9</v>
      </c>
      <c r="AF17" s="6">
        <v>2</v>
      </c>
      <c r="AG17" s="4">
        <v>2</v>
      </c>
      <c r="AH17" s="4">
        <v>3</v>
      </c>
      <c r="AI17" s="4">
        <v>2</v>
      </c>
      <c r="AJ17" s="89">
        <f t="shared" si="35"/>
        <v>9</v>
      </c>
      <c r="AK17" s="4">
        <v>3</v>
      </c>
      <c r="AL17" s="4">
        <v>3</v>
      </c>
      <c r="AM17" s="4">
        <v>4</v>
      </c>
      <c r="AN17" s="4">
        <v>2</v>
      </c>
      <c r="AO17" s="89">
        <f t="shared" si="36"/>
        <v>12</v>
      </c>
      <c r="AP17" s="4">
        <v>2</v>
      </c>
      <c r="AQ17" s="4">
        <v>2</v>
      </c>
      <c r="AR17" s="4">
        <v>3</v>
      </c>
      <c r="AS17" s="4">
        <v>2</v>
      </c>
      <c r="AT17" s="89">
        <f t="shared" si="37"/>
        <v>9</v>
      </c>
      <c r="AU17" s="6">
        <v>1</v>
      </c>
      <c r="AV17" s="4">
        <v>2</v>
      </c>
      <c r="AW17" s="4">
        <v>3</v>
      </c>
      <c r="AX17" s="4">
        <v>2</v>
      </c>
      <c r="AY17" s="89">
        <f t="shared" si="38"/>
        <v>8</v>
      </c>
      <c r="AZ17" s="4">
        <v>1</v>
      </c>
      <c r="BA17" s="4">
        <v>3</v>
      </c>
      <c r="BB17" s="4">
        <v>4</v>
      </c>
      <c r="BC17" s="4">
        <v>2</v>
      </c>
      <c r="BD17" s="89">
        <f t="shared" si="39"/>
        <v>10</v>
      </c>
      <c r="BE17" s="4">
        <v>1</v>
      </c>
      <c r="BF17" s="4">
        <v>1</v>
      </c>
      <c r="BG17" s="4">
        <v>3</v>
      </c>
      <c r="BH17" s="4">
        <v>1</v>
      </c>
      <c r="BI17" s="89">
        <f t="shared" si="0"/>
        <v>6</v>
      </c>
      <c r="BJ17" s="3">
        <v>1</v>
      </c>
      <c r="BK17" s="4">
        <v>3</v>
      </c>
      <c r="BL17" s="4">
        <v>3</v>
      </c>
      <c r="BM17" s="4">
        <v>2</v>
      </c>
      <c r="BN17" s="90">
        <f t="shared" si="41"/>
        <v>9</v>
      </c>
      <c r="BO17" s="4">
        <v>1</v>
      </c>
      <c r="BP17" s="4">
        <v>2</v>
      </c>
      <c r="BQ17" s="4">
        <v>5</v>
      </c>
      <c r="BR17" s="4">
        <v>1</v>
      </c>
      <c r="BS17" s="90">
        <f t="shared" si="42"/>
        <v>9</v>
      </c>
      <c r="BT17" s="4">
        <v>1</v>
      </c>
      <c r="BU17" s="4">
        <v>2</v>
      </c>
      <c r="BV17" s="4">
        <v>4</v>
      </c>
      <c r="BW17" s="4">
        <v>2</v>
      </c>
      <c r="BX17" s="90">
        <f t="shared" si="44"/>
        <v>9</v>
      </c>
      <c r="BY17" s="11">
        <v>1</v>
      </c>
      <c r="BZ17" s="4">
        <v>3</v>
      </c>
      <c r="CA17" s="4">
        <v>2</v>
      </c>
      <c r="CB17" s="4">
        <v>4</v>
      </c>
      <c r="CC17" s="89">
        <f t="shared" si="4"/>
        <v>10</v>
      </c>
      <c r="CD17" s="4">
        <v>3</v>
      </c>
      <c r="CE17" s="4">
        <v>5</v>
      </c>
      <c r="CF17" s="4">
        <v>1</v>
      </c>
      <c r="CG17" s="4">
        <v>2</v>
      </c>
      <c r="CH17" s="89">
        <f t="shared" si="5"/>
        <v>11</v>
      </c>
      <c r="CI17" s="4">
        <v>1</v>
      </c>
      <c r="CJ17" s="4">
        <v>2</v>
      </c>
      <c r="CK17" s="4">
        <v>1</v>
      </c>
      <c r="CL17" s="4">
        <v>1</v>
      </c>
      <c r="CM17" s="89">
        <f t="shared" si="6"/>
        <v>5</v>
      </c>
      <c r="CN17" s="6">
        <v>2</v>
      </c>
      <c r="CO17" s="4">
        <v>3</v>
      </c>
      <c r="CP17" s="4">
        <v>4</v>
      </c>
      <c r="CQ17" s="4">
        <v>2</v>
      </c>
      <c r="CR17" s="89">
        <f t="shared" si="7"/>
        <v>11</v>
      </c>
      <c r="CS17" s="4">
        <v>1</v>
      </c>
      <c r="CT17" s="4">
        <v>1</v>
      </c>
      <c r="CU17" s="4">
        <v>5</v>
      </c>
      <c r="CV17" s="4">
        <v>1</v>
      </c>
      <c r="CW17" s="89">
        <f t="shared" si="8"/>
        <v>8</v>
      </c>
      <c r="CX17" s="4">
        <v>5</v>
      </c>
      <c r="CY17" s="4">
        <v>3</v>
      </c>
      <c r="CZ17" s="4">
        <v>1</v>
      </c>
      <c r="DA17" s="4">
        <v>4</v>
      </c>
      <c r="DB17" s="89">
        <f t="shared" si="9"/>
        <v>13</v>
      </c>
      <c r="DC17" s="6">
        <v>2</v>
      </c>
      <c r="DD17" s="4">
        <v>2</v>
      </c>
      <c r="DE17" s="4">
        <v>1</v>
      </c>
      <c r="DF17" s="4">
        <v>1</v>
      </c>
      <c r="DG17" s="89">
        <f t="shared" si="10"/>
        <v>6</v>
      </c>
      <c r="DH17" s="4">
        <v>1</v>
      </c>
      <c r="DI17" s="4">
        <v>4</v>
      </c>
      <c r="DJ17" s="4">
        <v>2</v>
      </c>
      <c r="DK17" s="4">
        <v>4</v>
      </c>
      <c r="DL17" s="89">
        <f t="shared" si="11"/>
        <v>11</v>
      </c>
      <c r="DM17" s="4">
        <v>1</v>
      </c>
      <c r="DN17" s="4">
        <v>3</v>
      </c>
      <c r="DO17" s="4">
        <v>2</v>
      </c>
      <c r="DP17" s="4">
        <v>4</v>
      </c>
      <c r="DQ17" s="89">
        <f t="shared" si="12"/>
        <v>10</v>
      </c>
      <c r="DR17" s="6">
        <v>1</v>
      </c>
      <c r="DS17" s="6">
        <v>1</v>
      </c>
      <c r="DT17" s="4">
        <v>4</v>
      </c>
      <c r="DU17" s="4">
        <v>2</v>
      </c>
      <c r="DV17" s="89">
        <f t="shared" si="13"/>
        <v>8</v>
      </c>
      <c r="DW17" s="12">
        <v>1</v>
      </c>
      <c r="DX17" s="4">
        <v>4</v>
      </c>
      <c r="DY17" s="4">
        <v>2</v>
      </c>
      <c r="DZ17" s="4">
        <v>3</v>
      </c>
      <c r="EA17" s="89">
        <f t="shared" si="14"/>
        <v>10</v>
      </c>
      <c r="EB17" s="4">
        <v>2</v>
      </c>
      <c r="EC17" s="4">
        <v>2</v>
      </c>
      <c r="ED17" s="4">
        <v>3</v>
      </c>
      <c r="EE17" s="4">
        <v>2</v>
      </c>
      <c r="EF17" s="89">
        <f t="shared" si="15"/>
        <v>9</v>
      </c>
      <c r="EG17" s="6">
        <v>4</v>
      </c>
      <c r="EH17" s="4">
        <v>2</v>
      </c>
      <c r="EI17" s="4">
        <v>4</v>
      </c>
      <c r="EJ17" s="4">
        <v>4</v>
      </c>
      <c r="EK17" s="89">
        <f t="shared" si="16"/>
        <v>14</v>
      </c>
      <c r="EL17" s="4">
        <v>1</v>
      </c>
      <c r="EM17" s="4">
        <v>2</v>
      </c>
      <c r="EN17" s="4">
        <v>2</v>
      </c>
      <c r="EO17" s="4">
        <v>1</v>
      </c>
      <c r="EP17" s="89">
        <f t="shared" si="17"/>
        <v>6</v>
      </c>
      <c r="EQ17" s="4">
        <v>2</v>
      </c>
      <c r="ER17" s="4">
        <v>2</v>
      </c>
      <c r="ES17" s="4">
        <v>3</v>
      </c>
      <c r="ET17" s="4">
        <v>1</v>
      </c>
      <c r="EU17" s="89">
        <f t="shared" si="18"/>
        <v>8</v>
      </c>
      <c r="EV17" s="6">
        <v>4</v>
      </c>
      <c r="EW17" s="4">
        <v>4</v>
      </c>
      <c r="EX17" s="4">
        <v>3</v>
      </c>
      <c r="EY17" s="4">
        <v>4</v>
      </c>
      <c r="EZ17" s="89">
        <f t="shared" si="19"/>
        <v>15</v>
      </c>
      <c r="FA17" s="4">
        <v>2</v>
      </c>
      <c r="FB17" s="4">
        <v>2</v>
      </c>
      <c r="FC17" s="4">
        <v>3</v>
      </c>
      <c r="FD17" s="4">
        <v>2</v>
      </c>
      <c r="FE17" s="89">
        <f t="shared" si="20"/>
        <v>9</v>
      </c>
      <c r="FF17" s="4">
        <v>2</v>
      </c>
      <c r="FG17" s="4">
        <v>2</v>
      </c>
      <c r="FH17" s="4">
        <v>4</v>
      </c>
      <c r="FI17" s="4">
        <v>2</v>
      </c>
      <c r="FJ17" s="89">
        <f t="shared" si="21"/>
        <v>10</v>
      </c>
      <c r="FK17" s="6">
        <v>4</v>
      </c>
      <c r="FL17" s="4">
        <v>3</v>
      </c>
      <c r="FM17" s="4">
        <v>1</v>
      </c>
      <c r="FN17" s="4">
        <v>1</v>
      </c>
      <c r="FO17" s="89">
        <f t="shared" si="22"/>
        <v>9</v>
      </c>
      <c r="FP17" s="12">
        <v>2</v>
      </c>
      <c r="FQ17" s="4">
        <v>4</v>
      </c>
      <c r="FR17" s="4">
        <v>2</v>
      </c>
      <c r="FS17" s="4">
        <v>2</v>
      </c>
      <c r="FT17" s="89">
        <f t="shared" si="23"/>
        <v>10</v>
      </c>
      <c r="FU17" s="4">
        <v>3</v>
      </c>
      <c r="FV17" s="4">
        <v>4</v>
      </c>
      <c r="FW17" s="4">
        <v>1</v>
      </c>
      <c r="FX17" s="4">
        <v>3</v>
      </c>
      <c r="FY17" s="89">
        <f t="shared" si="24"/>
        <v>11</v>
      </c>
      <c r="FZ17" s="11">
        <v>3</v>
      </c>
      <c r="GA17" s="4">
        <v>1</v>
      </c>
      <c r="GB17" s="4">
        <v>2</v>
      </c>
      <c r="GC17" s="4">
        <v>3</v>
      </c>
      <c r="GD17" s="89">
        <f t="shared" si="25"/>
        <v>9</v>
      </c>
      <c r="GE17" s="4">
        <v>3</v>
      </c>
      <c r="GF17" s="4">
        <v>4</v>
      </c>
      <c r="GG17" s="4">
        <v>4</v>
      </c>
      <c r="GH17" s="4">
        <v>5</v>
      </c>
      <c r="GI17" s="89">
        <f t="shared" si="26"/>
        <v>16</v>
      </c>
      <c r="GJ17" s="4">
        <v>1</v>
      </c>
      <c r="GK17" s="4">
        <v>3</v>
      </c>
      <c r="GL17" s="4">
        <v>3</v>
      </c>
      <c r="GM17" s="4">
        <v>3</v>
      </c>
      <c r="GN17" s="89">
        <f t="shared" si="27"/>
        <v>10</v>
      </c>
      <c r="GO17" s="6">
        <v>3</v>
      </c>
      <c r="GP17" s="4">
        <v>3</v>
      </c>
      <c r="GQ17" s="4">
        <v>1</v>
      </c>
      <c r="GR17" s="4">
        <v>2</v>
      </c>
      <c r="GS17" s="89">
        <f t="shared" si="28"/>
        <v>9</v>
      </c>
      <c r="GT17" s="4">
        <v>2</v>
      </c>
      <c r="GU17" s="4">
        <v>1</v>
      </c>
      <c r="GV17" s="4">
        <v>3</v>
      </c>
      <c r="GW17" s="4">
        <v>4</v>
      </c>
      <c r="GX17" s="89">
        <f t="shared" si="29"/>
        <v>10</v>
      </c>
      <c r="GY17" s="4">
        <v>3</v>
      </c>
      <c r="GZ17" s="4">
        <v>3</v>
      </c>
      <c r="HA17" s="4">
        <v>1</v>
      </c>
      <c r="HB17" s="4">
        <v>3</v>
      </c>
      <c r="HC17" s="89">
        <f t="shared" si="30"/>
        <v>10</v>
      </c>
    </row>
    <row r="18" spans="1:211" ht="15" customHeight="1" x14ac:dyDescent="0.3">
      <c r="A18" s="119" t="s">
        <v>18</v>
      </c>
      <c r="B18" s="6">
        <v>1</v>
      </c>
      <c r="C18" s="4">
        <v>1</v>
      </c>
      <c r="D18" s="4">
        <v>1</v>
      </c>
      <c r="E18" s="4">
        <v>1</v>
      </c>
      <c r="F18" s="89">
        <f t="shared" si="31"/>
        <v>4</v>
      </c>
      <c r="G18" s="6">
        <v>1</v>
      </c>
      <c r="H18" s="4">
        <v>2</v>
      </c>
      <c r="I18" s="4">
        <v>2</v>
      </c>
      <c r="J18" s="4">
        <v>2</v>
      </c>
      <c r="K18" s="89">
        <f t="shared" si="40"/>
        <v>7</v>
      </c>
      <c r="L18" s="6">
        <v>1</v>
      </c>
      <c r="M18" s="4">
        <v>2</v>
      </c>
      <c r="N18" s="4">
        <v>2</v>
      </c>
      <c r="O18" s="4">
        <v>1</v>
      </c>
      <c r="P18" s="89">
        <f t="shared" si="43"/>
        <v>6</v>
      </c>
      <c r="Q18" s="11">
        <v>1</v>
      </c>
      <c r="R18" s="4">
        <v>1</v>
      </c>
      <c r="S18" s="4">
        <v>1</v>
      </c>
      <c r="T18" s="4">
        <v>2</v>
      </c>
      <c r="U18" s="89">
        <f t="shared" si="32"/>
        <v>5</v>
      </c>
      <c r="V18" s="6">
        <v>1</v>
      </c>
      <c r="W18" s="4">
        <v>1</v>
      </c>
      <c r="X18" s="4">
        <v>1</v>
      </c>
      <c r="Y18" s="4">
        <v>2</v>
      </c>
      <c r="Z18" s="89">
        <f t="shared" si="33"/>
        <v>5</v>
      </c>
      <c r="AA18" s="3">
        <v>1</v>
      </c>
      <c r="AB18" s="4">
        <v>1</v>
      </c>
      <c r="AC18" s="4">
        <v>2</v>
      </c>
      <c r="AD18" s="4">
        <v>2</v>
      </c>
      <c r="AE18" s="89">
        <f t="shared" si="34"/>
        <v>6</v>
      </c>
      <c r="AF18" s="6">
        <v>1</v>
      </c>
      <c r="AG18" s="4">
        <v>1</v>
      </c>
      <c r="AH18" s="4">
        <v>1</v>
      </c>
      <c r="AI18" s="4">
        <v>1</v>
      </c>
      <c r="AJ18" s="89">
        <f t="shared" si="35"/>
        <v>4</v>
      </c>
      <c r="AK18" s="4">
        <v>1</v>
      </c>
      <c r="AL18" s="4">
        <v>1</v>
      </c>
      <c r="AM18" s="4">
        <v>1</v>
      </c>
      <c r="AN18" s="4">
        <v>1</v>
      </c>
      <c r="AO18" s="89">
        <f t="shared" si="36"/>
        <v>4</v>
      </c>
      <c r="AP18" s="4">
        <v>1</v>
      </c>
      <c r="AQ18" s="4">
        <v>1</v>
      </c>
      <c r="AR18" s="4">
        <v>1</v>
      </c>
      <c r="AS18" s="4">
        <v>1</v>
      </c>
      <c r="AT18" s="89">
        <f t="shared" si="37"/>
        <v>4</v>
      </c>
      <c r="AU18" s="6">
        <v>1</v>
      </c>
      <c r="AV18" s="4">
        <v>1</v>
      </c>
      <c r="AW18" s="4">
        <v>1</v>
      </c>
      <c r="AX18" s="4">
        <v>1</v>
      </c>
      <c r="AY18" s="89">
        <f t="shared" si="38"/>
        <v>4</v>
      </c>
      <c r="AZ18" s="4">
        <v>2</v>
      </c>
      <c r="BA18" s="4">
        <v>3</v>
      </c>
      <c r="BB18" s="4">
        <v>1</v>
      </c>
      <c r="BC18" s="4">
        <v>1</v>
      </c>
      <c r="BD18" s="89">
        <f t="shared" si="39"/>
        <v>7</v>
      </c>
      <c r="BE18" s="4">
        <v>1</v>
      </c>
      <c r="BF18" s="4">
        <v>1</v>
      </c>
      <c r="BG18" s="4">
        <v>1</v>
      </c>
      <c r="BH18" s="4">
        <v>1</v>
      </c>
      <c r="BI18" s="89">
        <f t="shared" si="0"/>
        <v>4</v>
      </c>
      <c r="BJ18" s="3">
        <v>2</v>
      </c>
      <c r="BK18" s="4">
        <v>2</v>
      </c>
      <c r="BL18" s="4">
        <v>1</v>
      </c>
      <c r="BM18" s="4">
        <v>1</v>
      </c>
      <c r="BN18" s="90">
        <f t="shared" si="41"/>
        <v>6</v>
      </c>
      <c r="BO18" s="4">
        <v>2</v>
      </c>
      <c r="BP18" s="4">
        <v>1</v>
      </c>
      <c r="BQ18" s="4">
        <v>1</v>
      </c>
      <c r="BR18" s="4">
        <v>2</v>
      </c>
      <c r="BS18" s="90">
        <f t="shared" si="42"/>
        <v>6</v>
      </c>
      <c r="BT18" s="4">
        <v>1</v>
      </c>
      <c r="BU18" s="4">
        <v>1</v>
      </c>
      <c r="BV18" s="4">
        <v>1</v>
      </c>
      <c r="BW18" s="4">
        <v>1</v>
      </c>
      <c r="BX18" s="90">
        <f t="shared" si="44"/>
        <v>4</v>
      </c>
      <c r="BY18" s="11">
        <v>3</v>
      </c>
      <c r="BZ18" s="4">
        <v>1</v>
      </c>
      <c r="CA18" s="4">
        <v>2</v>
      </c>
      <c r="CB18" s="4">
        <v>5</v>
      </c>
      <c r="CC18" s="89">
        <f t="shared" si="4"/>
        <v>11</v>
      </c>
      <c r="CD18" s="4">
        <v>5</v>
      </c>
      <c r="CE18" s="4">
        <v>4</v>
      </c>
      <c r="CF18" s="4">
        <v>2</v>
      </c>
      <c r="CG18" s="4">
        <v>4</v>
      </c>
      <c r="CH18" s="89">
        <f t="shared" si="5"/>
        <v>15</v>
      </c>
      <c r="CI18" s="4">
        <v>5</v>
      </c>
      <c r="CJ18" s="4">
        <v>4</v>
      </c>
      <c r="CK18" s="4">
        <v>5</v>
      </c>
      <c r="CL18" s="4">
        <v>2</v>
      </c>
      <c r="CM18" s="89">
        <f t="shared" si="6"/>
        <v>16</v>
      </c>
      <c r="CN18" s="6">
        <v>1</v>
      </c>
      <c r="CO18" s="4">
        <v>3</v>
      </c>
      <c r="CP18" s="4">
        <v>1</v>
      </c>
      <c r="CQ18" s="4">
        <v>4</v>
      </c>
      <c r="CR18" s="89">
        <f t="shared" si="7"/>
        <v>9</v>
      </c>
      <c r="CS18" s="4">
        <v>2</v>
      </c>
      <c r="CT18" s="4">
        <v>2</v>
      </c>
      <c r="CU18" s="4">
        <v>3</v>
      </c>
      <c r="CV18" s="4">
        <v>1</v>
      </c>
      <c r="CW18" s="89">
        <f t="shared" si="8"/>
        <v>8</v>
      </c>
      <c r="CX18" s="4">
        <v>4</v>
      </c>
      <c r="CY18" s="4">
        <v>5</v>
      </c>
      <c r="CZ18" s="4">
        <v>1</v>
      </c>
      <c r="DA18" s="4">
        <v>5</v>
      </c>
      <c r="DB18" s="89">
        <f t="shared" si="9"/>
        <v>15</v>
      </c>
      <c r="DC18" s="6">
        <v>2</v>
      </c>
      <c r="DD18" s="4">
        <v>2</v>
      </c>
      <c r="DE18" s="4">
        <v>4</v>
      </c>
      <c r="DF18" s="4">
        <v>1</v>
      </c>
      <c r="DG18" s="89">
        <f t="shared" si="10"/>
        <v>9</v>
      </c>
      <c r="DH18" s="4">
        <v>4</v>
      </c>
      <c r="DI18" s="4">
        <v>2</v>
      </c>
      <c r="DJ18" s="4">
        <v>4</v>
      </c>
      <c r="DK18" s="4">
        <v>4</v>
      </c>
      <c r="DL18" s="89">
        <f t="shared" si="11"/>
        <v>14</v>
      </c>
      <c r="DM18" s="4">
        <v>4</v>
      </c>
      <c r="DN18" s="4">
        <v>3</v>
      </c>
      <c r="DO18" s="4">
        <v>1</v>
      </c>
      <c r="DP18" s="4">
        <v>4</v>
      </c>
      <c r="DQ18" s="89">
        <f t="shared" si="12"/>
        <v>12</v>
      </c>
      <c r="DR18" s="6">
        <v>3</v>
      </c>
      <c r="DS18" s="6">
        <v>1</v>
      </c>
      <c r="DT18" s="4">
        <v>3</v>
      </c>
      <c r="DU18" s="4">
        <v>5</v>
      </c>
      <c r="DV18" s="89">
        <f t="shared" si="13"/>
        <v>12</v>
      </c>
      <c r="DW18" s="12">
        <v>4</v>
      </c>
      <c r="DX18" s="4">
        <v>2</v>
      </c>
      <c r="DY18" s="4">
        <v>3</v>
      </c>
      <c r="DZ18" s="4">
        <v>1</v>
      </c>
      <c r="EA18" s="89">
        <f t="shared" si="14"/>
        <v>10</v>
      </c>
      <c r="EB18" s="4">
        <v>2</v>
      </c>
      <c r="EC18" s="4">
        <v>2</v>
      </c>
      <c r="ED18" s="4">
        <v>4</v>
      </c>
      <c r="EE18" s="4">
        <v>4</v>
      </c>
      <c r="EF18" s="89">
        <f t="shared" si="15"/>
        <v>12</v>
      </c>
      <c r="EG18" s="6">
        <v>1</v>
      </c>
      <c r="EH18" s="4">
        <v>4</v>
      </c>
      <c r="EI18" s="4">
        <v>2</v>
      </c>
      <c r="EJ18" s="4">
        <v>1</v>
      </c>
      <c r="EK18" s="89">
        <f t="shared" si="16"/>
        <v>8</v>
      </c>
      <c r="EL18" s="4">
        <v>3</v>
      </c>
      <c r="EM18" s="4">
        <v>4</v>
      </c>
      <c r="EN18" s="4">
        <v>2</v>
      </c>
      <c r="EO18" s="4">
        <v>1</v>
      </c>
      <c r="EP18" s="89">
        <f t="shared" si="17"/>
        <v>10</v>
      </c>
      <c r="EQ18" s="4">
        <v>4</v>
      </c>
      <c r="ER18" s="4">
        <v>3</v>
      </c>
      <c r="ES18" s="4">
        <v>1</v>
      </c>
      <c r="ET18" s="4">
        <v>4</v>
      </c>
      <c r="EU18" s="89">
        <f t="shared" si="18"/>
        <v>12</v>
      </c>
      <c r="EV18" s="6">
        <v>3</v>
      </c>
      <c r="EW18" s="4">
        <v>1</v>
      </c>
      <c r="EX18" s="4">
        <v>2</v>
      </c>
      <c r="EY18" s="4">
        <v>2</v>
      </c>
      <c r="EZ18" s="89">
        <f t="shared" si="19"/>
        <v>8</v>
      </c>
      <c r="FA18" s="4">
        <v>4</v>
      </c>
      <c r="FB18" s="4">
        <v>4</v>
      </c>
      <c r="FC18" s="4">
        <v>4</v>
      </c>
      <c r="FD18" s="4">
        <v>3</v>
      </c>
      <c r="FE18" s="89">
        <f t="shared" si="20"/>
        <v>15</v>
      </c>
      <c r="FF18" s="4">
        <v>1</v>
      </c>
      <c r="FG18" s="4">
        <v>3</v>
      </c>
      <c r="FH18" s="4">
        <v>4</v>
      </c>
      <c r="FI18" s="4">
        <v>2</v>
      </c>
      <c r="FJ18" s="89">
        <f t="shared" si="21"/>
        <v>10</v>
      </c>
      <c r="FK18" s="6">
        <v>1</v>
      </c>
      <c r="FL18" s="4">
        <v>3</v>
      </c>
      <c r="FM18" s="4">
        <v>1</v>
      </c>
      <c r="FN18" s="4">
        <v>4</v>
      </c>
      <c r="FO18" s="89">
        <f t="shared" si="22"/>
        <v>9</v>
      </c>
      <c r="FP18" s="4">
        <v>4</v>
      </c>
      <c r="FQ18" s="4">
        <v>2</v>
      </c>
      <c r="FR18" s="4">
        <v>2</v>
      </c>
      <c r="FS18" s="4">
        <v>3</v>
      </c>
      <c r="FT18" s="89">
        <f t="shared" si="23"/>
        <v>11</v>
      </c>
      <c r="FU18" s="4">
        <v>3</v>
      </c>
      <c r="FV18" s="4">
        <v>2</v>
      </c>
      <c r="FW18" s="4">
        <v>3</v>
      </c>
      <c r="FX18" s="4">
        <v>1</v>
      </c>
      <c r="FY18" s="89">
        <f t="shared" si="24"/>
        <v>9</v>
      </c>
      <c r="FZ18" s="11">
        <v>5</v>
      </c>
      <c r="GA18" s="4">
        <v>5</v>
      </c>
      <c r="GB18" s="4">
        <v>5</v>
      </c>
      <c r="GC18" s="4">
        <v>1</v>
      </c>
      <c r="GD18" s="89">
        <f t="shared" si="25"/>
        <v>16</v>
      </c>
      <c r="GE18" s="4">
        <v>3</v>
      </c>
      <c r="GF18" s="4">
        <v>4</v>
      </c>
      <c r="GG18" s="4">
        <v>3</v>
      </c>
      <c r="GH18" s="4">
        <v>4</v>
      </c>
      <c r="GI18" s="89">
        <f t="shared" si="26"/>
        <v>14</v>
      </c>
      <c r="GJ18" s="4">
        <v>2</v>
      </c>
      <c r="GK18" s="4">
        <v>3</v>
      </c>
      <c r="GL18" s="4">
        <v>1</v>
      </c>
      <c r="GM18" s="4">
        <v>3</v>
      </c>
      <c r="GN18" s="89">
        <f t="shared" si="27"/>
        <v>9</v>
      </c>
      <c r="GO18" s="6">
        <v>5</v>
      </c>
      <c r="GP18" s="4">
        <v>2</v>
      </c>
      <c r="GQ18" s="4">
        <v>1</v>
      </c>
      <c r="GR18" s="4">
        <v>3</v>
      </c>
      <c r="GS18" s="89">
        <f t="shared" si="28"/>
        <v>11</v>
      </c>
      <c r="GT18" s="4">
        <v>5</v>
      </c>
      <c r="GU18" s="4">
        <v>4</v>
      </c>
      <c r="GV18" s="4">
        <v>4</v>
      </c>
      <c r="GW18" s="4">
        <v>5</v>
      </c>
      <c r="GX18" s="89">
        <f t="shared" si="29"/>
        <v>18</v>
      </c>
      <c r="GY18" s="4">
        <v>4</v>
      </c>
      <c r="GZ18" s="4">
        <v>5</v>
      </c>
      <c r="HA18" s="4">
        <v>1</v>
      </c>
      <c r="HB18" s="4">
        <v>3</v>
      </c>
      <c r="HC18" s="89">
        <f t="shared" si="30"/>
        <v>13</v>
      </c>
    </row>
    <row r="19" spans="1:211" ht="15" customHeight="1" x14ac:dyDescent="0.3">
      <c r="A19" s="119" t="s">
        <v>19</v>
      </c>
      <c r="B19" s="6">
        <v>5</v>
      </c>
      <c r="C19" s="4">
        <v>3</v>
      </c>
      <c r="D19" s="4">
        <v>2</v>
      </c>
      <c r="E19" s="4">
        <v>5</v>
      </c>
      <c r="F19" s="89">
        <f t="shared" si="31"/>
        <v>15</v>
      </c>
      <c r="G19" s="6">
        <v>4</v>
      </c>
      <c r="H19" s="4">
        <v>3</v>
      </c>
      <c r="I19" s="4">
        <v>2</v>
      </c>
      <c r="J19" s="4">
        <v>3</v>
      </c>
      <c r="K19" s="89">
        <f t="shared" si="40"/>
        <v>12</v>
      </c>
      <c r="L19" s="6">
        <v>3</v>
      </c>
      <c r="M19" s="4">
        <v>2</v>
      </c>
      <c r="N19" s="4">
        <v>1</v>
      </c>
      <c r="O19" s="4">
        <v>3</v>
      </c>
      <c r="P19" s="89">
        <f t="shared" si="43"/>
        <v>9</v>
      </c>
      <c r="Q19" s="11">
        <v>5</v>
      </c>
      <c r="R19" s="4">
        <v>2</v>
      </c>
      <c r="S19" s="4">
        <v>4</v>
      </c>
      <c r="T19" s="4">
        <v>3</v>
      </c>
      <c r="U19" s="89">
        <f t="shared" si="32"/>
        <v>14</v>
      </c>
      <c r="V19" s="6">
        <v>5</v>
      </c>
      <c r="W19" s="4">
        <v>4</v>
      </c>
      <c r="X19" s="4">
        <v>4</v>
      </c>
      <c r="Y19" s="4">
        <v>5</v>
      </c>
      <c r="Z19" s="89">
        <f t="shared" si="33"/>
        <v>18</v>
      </c>
      <c r="AA19" s="3">
        <v>6</v>
      </c>
      <c r="AB19" s="4">
        <v>2</v>
      </c>
      <c r="AC19" s="4">
        <v>2</v>
      </c>
      <c r="AD19" s="4">
        <v>2</v>
      </c>
      <c r="AE19" s="89">
        <f t="shared" si="34"/>
        <v>12</v>
      </c>
      <c r="AF19" s="6">
        <v>3</v>
      </c>
      <c r="AG19" s="4">
        <v>3</v>
      </c>
      <c r="AH19" s="4">
        <v>2</v>
      </c>
      <c r="AI19" s="4">
        <v>2</v>
      </c>
      <c r="AJ19" s="89">
        <f t="shared" si="35"/>
        <v>10</v>
      </c>
      <c r="AK19" s="4">
        <v>5</v>
      </c>
      <c r="AL19" s="4">
        <v>2</v>
      </c>
      <c r="AM19" s="4">
        <v>2</v>
      </c>
      <c r="AN19" s="4">
        <v>2</v>
      </c>
      <c r="AO19" s="89">
        <f t="shared" si="36"/>
        <v>11</v>
      </c>
      <c r="AP19" s="4">
        <v>6</v>
      </c>
      <c r="AQ19" s="4">
        <v>4</v>
      </c>
      <c r="AR19" s="4">
        <v>3</v>
      </c>
      <c r="AS19" s="4">
        <v>3</v>
      </c>
      <c r="AT19" s="89">
        <f t="shared" si="37"/>
        <v>16</v>
      </c>
      <c r="AU19" s="6">
        <v>6</v>
      </c>
      <c r="AV19" s="4">
        <v>2</v>
      </c>
      <c r="AW19" s="4">
        <v>2</v>
      </c>
      <c r="AX19" s="4">
        <v>2</v>
      </c>
      <c r="AY19" s="89">
        <f t="shared" si="38"/>
        <v>12</v>
      </c>
      <c r="AZ19" s="4">
        <v>2</v>
      </c>
      <c r="BA19" s="4">
        <v>3</v>
      </c>
      <c r="BB19" s="4">
        <v>2</v>
      </c>
      <c r="BC19" s="4">
        <v>3</v>
      </c>
      <c r="BD19" s="89">
        <f t="shared" si="39"/>
        <v>10</v>
      </c>
      <c r="BE19" s="4">
        <v>3</v>
      </c>
      <c r="BF19" s="4">
        <v>3</v>
      </c>
      <c r="BG19" s="4">
        <v>2</v>
      </c>
      <c r="BH19" s="4">
        <v>2</v>
      </c>
      <c r="BI19" s="89">
        <f t="shared" si="0"/>
        <v>10</v>
      </c>
      <c r="BJ19" s="3">
        <v>4</v>
      </c>
      <c r="BK19" s="4">
        <v>2</v>
      </c>
      <c r="BL19" s="4">
        <v>2</v>
      </c>
      <c r="BM19" s="4">
        <v>4</v>
      </c>
      <c r="BN19" s="90">
        <f t="shared" si="41"/>
        <v>12</v>
      </c>
      <c r="BO19" s="4">
        <v>3</v>
      </c>
      <c r="BP19" s="4">
        <v>2</v>
      </c>
      <c r="BQ19" s="4">
        <v>2</v>
      </c>
      <c r="BR19" s="4">
        <v>2</v>
      </c>
      <c r="BS19" s="90">
        <f t="shared" si="42"/>
        <v>9</v>
      </c>
      <c r="BT19" s="4">
        <v>4</v>
      </c>
      <c r="BU19" s="4">
        <v>4</v>
      </c>
      <c r="BV19" s="4">
        <v>2</v>
      </c>
      <c r="BW19" s="4">
        <v>3</v>
      </c>
      <c r="BX19" s="90">
        <f t="shared" si="44"/>
        <v>13</v>
      </c>
      <c r="BY19" s="11">
        <v>1</v>
      </c>
      <c r="BZ19" s="4">
        <v>1</v>
      </c>
      <c r="CA19" s="4">
        <v>1</v>
      </c>
      <c r="CB19" s="4">
        <v>3</v>
      </c>
      <c r="CC19" s="89">
        <f t="shared" si="4"/>
        <v>6</v>
      </c>
      <c r="CD19" s="4">
        <v>2</v>
      </c>
      <c r="CE19" s="4">
        <v>1</v>
      </c>
      <c r="CF19" s="4">
        <v>2</v>
      </c>
      <c r="CG19" s="4">
        <v>1</v>
      </c>
      <c r="CH19" s="89">
        <f t="shared" si="5"/>
        <v>6</v>
      </c>
      <c r="CI19" s="4">
        <v>2</v>
      </c>
      <c r="CJ19" s="4">
        <v>5</v>
      </c>
      <c r="CK19" s="4">
        <v>5</v>
      </c>
      <c r="CL19" s="4">
        <v>1</v>
      </c>
      <c r="CM19" s="89">
        <f t="shared" si="6"/>
        <v>13</v>
      </c>
      <c r="CN19" s="6">
        <v>5</v>
      </c>
      <c r="CO19" s="4">
        <v>2</v>
      </c>
      <c r="CP19" s="4">
        <v>5</v>
      </c>
      <c r="CQ19" s="4">
        <v>5</v>
      </c>
      <c r="CR19" s="89">
        <f t="shared" si="7"/>
        <v>17</v>
      </c>
      <c r="CS19" s="4">
        <v>2</v>
      </c>
      <c r="CT19" s="4">
        <v>4</v>
      </c>
      <c r="CU19" s="4">
        <v>2</v>
      </c>
      <c r="CV19" s="4">
        <v>2</v>
      </c>
      <c r="CW19" s="89">
        <f t="shared" si="8"/>
        <v>10</v>
      </c>
      <c r="CX19" s="4">
        <v>2</v>
      </c>
      <c r="CY19" s="4">
        <v>1</v>
      </c>
      <c r="CZ19" s="4">
        <v>5</v>
      </c>
      <c r="DA19" s="4">
        <v>2</v>
      </c>
      <c r="DB19" s="89">
        <f t="shared" si="9"/>
        <v>10</v>
      </c>
      <c r="DC19" s="6">
        <v>4</v>
      </c>
      <c r="DD19" s="4">
        <v>2</v>
      </c>
      <c r="DE19" s="4">
        <v>5</v>
      </c>
      <c r="DF19" s="4">
        <v>2</v>
      </c>
      <c r="DG19" s="89">
        <f t="shared" si="10"/>
        <v>13</v>
      </c>
      <c r="DH19" s="4">
        <v>5</v>
      </c>
      <c r="DI19" s="4">
        <v>3</v>
      </c>
      <c r="DJ19" s="4">
        <v>4</v>
      </c>
      <c r="DK19" s="4">
        <v>4</v>
      </c>
      <c r="DL19" s="89">
        <f t="shared" si="11"/>
        <v>16</v>
      </c>
      <c r="DM19" s="4">
        <v>2</v>
      </c>
      <c r="DN19" s="4">
        <v>1</v>
      </c>
      <c r="DO19" s="4">
        <v>2</v>
      </c>
      <c r="DP19" s="4">
        <v>5</v>
      </c>
      <c r="DQ19" s="89">
        <f t="shared" si="12"/>
        <v>10</v>
      </c>
      <c r="DR19" s="6">
        <v>4</v>
      </c>
      <c r="DS19" s="6">
        <v>3</v>
      </c>
      <c r="DT19" s="4">
        <v>5</v>
      </c>
      <c r="DU19" s="4">
        <v>3</v>
      </c>
      <c r="DV19" s="89">
        <f t="shared" si="13"/>
        <v>15</v>
      </c>
      <c r="DW19" s="12">
        <v>2</v>
      </c>
      <c r="DX19" s="4">
        <v>1</v>
      </c>
      <c r="DY19" s="4">
        <v>4</v>
      </c>
      <c r="DZ19" s="4">
        <v>2</v>
      </c>
      <c r="EA19" s="89">
        <f t="shared" si="14"/>
        <v>9</v>
      </c>
      <c r="EB19" s="4">
        <v>1</v>
      </c>
      <c r="EC19" s="4">
        <v>4</v>
      </c>
      <c r="ED19" s="4">
        <v>1</v>
      </c>
      <c r="EE19" s="4">
        <v>3</v>
      </c>
      <c r="EF19" s="89">
        <f t="shared" si="15"/>
        <v>9</v>
      </c>
      <c r="EG19" s="6">
        <v>1</v>
      </c>
      <c r="EH19" s="4">
        <v>1</v>
      </c>
      <c r="EI19" s="4">
        <v>2</v>
      </c>
      <c r="EJ19" s="4">
        <v>3</v>
      </c>
      <c r="EK19" s="89">
        <f t="shared" si="16"/>
        <v>7</v>
      </c>
      <c r="EL19" s="4">
        <v>1</v>
      </c>
      <c r="EM19" s="4">
        <v>1</v>
      </c>
      <c r="EN19" s="4">
        <v>4</v>
      </c>
      <c r="EO19" s="4">
        <v>1</v>
      </c>
      <c r="EP19" s="89">
        <f t="shared" si="17"/>
        <v>7</v>
      </c>
      <c r="EQ19" s="4">
        <v>2</v>
      </c>
      <c r="ER19" s="4">
        <v>1</v>
      </c>
      <c r="ES19" s="4">
        <v>2</v>
      </c>
      <c r="ET19" s="4">
        <v>4</v>
      </c>
      <c r="EU19" s="89">
        <f t="shared" si="18"/>
        <v>9</v>
      </c>
      <c r="EV19" s="6">
        <v>1</v>
      </c>
      <c r="EW19" s="4">
        <v>2</v>
      </c>
      <c r="EX19" s="4">
        <v>1</v>
      </c>
      <c r="EY19" s="4">
        <v>1</v>
      </c>
      <c r="EZ19" s="89">
        <f t="shared" si="19"/>
        <v>5</v>
      </c>
      <c r="FA19" s="4">
        <v>2</v>
      </c>
      <c r="FB19" s="4">
        <v>3</v>
      </c>
      <c r="FC19" s="4">
        <v>1</v>
      </c>
      <c r="FD19" s="4">
        <v>4</v>
      </c>
      <c r="FE19" s="89">
        <f t="shared" si="20"/>
        <v>10</v>
      </c>
      <c r="FF19" s="4">
        <v>3</v>
      </c>
      <c r="FG19" s="4">
        <v>4</v>
      </c>
      <c r="FH19" s="4">
        <v>4</v>
      </c>
      <c r="FI19" s="4">
        <v>2</v>
      </c>
      <c r="FJ19" s="89">
        <f t="shared" si="21"/>
        <v>13</v>
      </c>
      <c r="FK19" s="6">
        <v>2</v>
      </c>
      <c r="FL19" s="4">
        <v>4</v>
      </c>
      <c r="FM19" s="4">
        <v>4</v>
      </c>
      <c r="FN19" s="4">
        <v>1</v>
      </c>
      <c r="FO19" s="89">
        <f t="shared" si="22"/>
        <v>11</v>
      </c>
      <c r="FP19" s="12">
        <v>3</v>
      </c>
      <c r="FQ19" s="4">
        <v>1</v>
      </c>
      <c r="FR19" s="4">
        <v>2</v>
      </c>
      <c r="FS19" s="4">
        <v>3</v>
      </c>
      <c r="FT19" s="89">
        <f t="shared" si="23"/>
        <v>9</v>
      </c>
      <c r="FU19" s="4">
        <v>2</v>
      </c>
      <c r="FV19" s="4">
        <v>3</v>
      </c>
      <c r="FW19" s="4">
        <v>3</v>
      </c>
      <c r="FX19" s="4">
        <v>3</v>
      </c>
      <c r="FY19" s="89">
        <f t="shared" si="24"/>
        <v>11</v>
      </c>
      <c r="FZ19" s="11">
        <v>4</v>
      </c>
      <c r="GA19" s="4">
        <v>1</v>
      </c>
      <c r="GB19" s="4">
        <v>5</v>
      </c>
      <c r="GC19" s="4">
        <v>1</v>
      </c>
      <c r="GD19" s="89">
        <f t="shared" si="25"/>
        <v>11</v>
      </c>
      <c r="GE19" s="4">
        <v>1</v>
      </c>
      <c r="GF19" s="4">
        <v>4</v>
      </c>
      <c r="GG19" s="4">
        <v>5</v>
      </c>
      <c r="GH19" s="4">
        <v>1</v>
      </c>
      <c r="GI19" s="89">
        <f t="shared" si="26"/>
        <v>11</v>
      </c>
      <c r="GJ19" s="4">
        <v>1</v>
      </c>
      <c r="GK19" s="4">
        <v>1</v>
      </c>
      <c r="GL19" s="4">
        <v>3</v>
      </c>
      <c r="GM19" s="4">
        <v>2</v>
      </c>
      <c r="GN19" s="89">
        <f t="shared" si="27"/>
        <v>7</v>
      </c>
      <c r="GO19" s="6">
        <v>4</v>
      </c>
      <c r="GP19" s="4">
        <v>4</v>
      </c>
      <c r="GQ19" s="4">
        <v>2</v>
      </c>
      <c r="GR19" s="4">
        <v>1</v>
      </c>
      <c r="GS19" s="89">
        <f t="shared" si="28"/>
        <v>11</v>
      </c>
      <c r="GT19" s="4">
        <v>5</v>
      </c>
      <c r="GU19" s="4">
        <v>2</v>
      </c>
      <c r="GV19" s="4">
        <v>1</v>
      </c>
      <c r="GW19" s="4">
        <v>1</v>
      </c>
      <c r="GX19" s="89">
        <f t="shared" si="29"/>
        <v>9</v>
      </c>
      <c r="GY19" s="4">
        <v>4</v>
      </c>
      <c r="GZ19" s="4">
        <v>2</v>
      </c>
      <c r="HA19" s="4">
        <v>4</v>
      </c>
      <c r="HB19" s="4">
        <v>5</v>
      </c>
      <c r="HC19" s="89">
        <f t="shared" si="30"/>
        <v>15</v>
      </c>
    </row>
    <row r="20" spans="1:211" ht="15" customHeight="1" x14ac:dyDescent="0.3">
      <c r="A20" s="119" t="s">
        <v>20</v>
      </c>
      <c r="B20" s="6">
        <v>5</v>
      </c>
      <c r="C20" s="4">
        <v>5</v>
      </c>
      <c r="D20" s="4">
        <v>5</v>
      </c>
      <c r="E20" s="4">
        <v>4</v>
      </c>
      <c r="F20" s="89">
        <f t="shared" si="31"/>
        <v>19</v>
      </c>
      <c r="G20" s="6">
        <v>5</v>
      </c>
      <c r="H20" s="4">
        <v>5</v>
      </c>
      <c r="I20" s="4">
        <v>4</v>
      </c>
      <c r="J20" s="4">
        <v>4</v>
      </c>
      <c r="K20" s="89">
        <f t="shared" si="40"/>
        <v>18</v>
      </c>
      <c r="L20" s="6">
        <v>6</v>
      </c>
      <c r="M20" s="4">
        <v>4</v>
      </c>
      <c r="N20" s="4">
        <v>3</v>
      </c>
      <c r="O20" s="4">
        <v>3</v>
      </c>
      <c r="P20" s="89">
        <f t="shared" si="43"/>
        <v>16</v>
      </c>
      <c r="Q20" s="11">
        <v>4</v>
      </c>
      <c r="R20" s="4">
        <v>3</v>
      </c>
      <c r="S20" s="4">
        <v>4</v>
      </c>
      <c r="T20" s="4">
        <v>3</v>
      </c>
      <c r="U20" s="89">
        <f t="shared" si="32"/>
        <v>14</v>
      </c>
      <c r="V20" s="6">
        <v>6</v>
      </c>
      <c r="W20" s="4">
        <v>3</v>
      </c>
      <c r="X20" s="4">
        <v>3</v>
      </c>
      <c r="Y20" s="4">
        <v>4</v>
      </c>
      <c r="Z20" s="89">
        <f t="shared" si="33"/>
        <v>16</v>
      </c>
      <c r="AA20" s="3">
        <v>3</v>
      </c>
      <c r="AB20" s="4">
        <v>3</v>
      </c>
      <c r="AC20" s="4">
        <v>4</v>
      </c>
      <c r="AD20" s="4">
        <v>3</v>
      </c>
      <c r="AE20" s="89">
        <f t="shared" si="34"/>
        <v>13</v>
      </c>
      <c r="AF20" s="6">
        <v>4</v>
      </c>
      <c r="AG20" s="4">
        <v>2</v>
      </c>
      <c r="AH20" s="4">
        <v>4</v>
      </c>
      <c r="AI20" s="4">
        <v>2</v>
      </c>
      <c r="AJ20" s="89">
        <f t="shared" si="35"/>
        <v>12</v>
      </c>
      <c r="AK20" s="4">
        <v>4</v>
      </c>
      <c r="AL20" s="4">
        <v>3</v>
      </c>
      <c r="AM20" s="4">
        <v>3</v>
      </c>
      <c r="AN20" s="4">
        <v>2</v>
      </c>
      <c r="AO20" s="89">
        <f t="shared" si="36"/>
        <v>12</v>
      </c>
      <c r="AP20" s="4">
        <v>2</v>
      </c>
      <c r="AQ20" s="4">
        <v>3</v>
      </c>
      <c r="AR20" s="4">
        <v>3</v>
      </c>
      <c r="AS20" s="4">
        <v>3</v>
      </c>
      <c r="AT20" s="89">
        <f t="shared" si="37"/>
        <v>11</v>
      </c>
      <c r="AU20" s="6">
        <v>3</v>
      </c>
      <c r="AV20" s="4">
        <v>5</v>
      </c>
      <c r="AW20" s="4">
        <v>3</v>
      </c>
      <c r="AX20" s="4">
        <v>5</v>
      </c>
      <c r="AY20" s="89">
        <f t="shared" si="38"/>
        <v>16</v>
      </c>
      <c r="AZ20" s="4">
        <v>3</v>
      </c>
      <c r="BA20" s="4">
        <v>4</v>
      </c>
      <c r="BB20" s="4">
        <v>3</v>
      </c>
      <c r="BC20" s="4">
        <v>3</v>
      </c>
      <c r="BD20" s="89">
        <f t="shared" si="39"/>
        <v>13</v>
      </c>
      <c r="BE20" s="4">
        <v>2</v>
      </c>
      <c r="BF20" s="4">
        <v>4</v>
      </c>
      <c r="BG20" s="4">
        <v>2</v>
      </c>
      <c r="BH20" s="4">
        <v>5</v>
      </c>
      <c r="BI20" s="89">
        <f t="shared" si="0"/>
        <v>13</v>
      </c>
      <c r="BJ20" s="3">
        <v>3</v>
      </c>
      <c r="BK20" s="4">
        <v>3</v>
      </c>
      <c r="BL20" s="4">
        <v>3</v>
      </c>
      <c r="BM20" s="4">
        <v>3</v>
      </c>
      <c r="BN20" s="90">
        <f t="shared" si="41"/>
        <v>12</v>
      </c>
      <c r="BO20" s="4">
        <v>3</v>
      </c>
      <c r="BP20" s="4">
        <v>4</v>
      </c>
      <c r="BQ20" s="4">
        <v>2</v>
      </c>
      <c r="BR20" s="4">
        <v>4</v>
      </c>
      <c r="BS20" s="90">
        <f t="shared" si="42"/>
        <v>13</v>
      </c>
      <c r="BT20" s="4">
        <v>3</v>
      </c>
      <c r="BU20" s="4">
        <v>4</v>
      </c>
      <c r="BV20" s="4">
        <v>5</v>
      </c>
      <c r="BW20" s="4">
        <v>3</v>
      </c>
      <c r="BX20" s="90">
        <f t="shared" si="44"/>
        <v>15</v>
      </c>
      <c r="BY20" s="11">
        <v>3</v>
      </c>
      <c r="BZ20" s="4">
        <v>4</v>
      </c>
      <c r="CA20" s="4">
        <v>5</v>
      </c>
      <c r="CB20" s="4">
        <v>3</v>
      </c>
      <c r="CC20" s="89">
        <f t="shared" si="4"/>
        <v>15</v>
      </c>
      <c r="CD20" s="4">
        <v>1</v>
      </c>
      <c r="CE20" s="4">
        <v>2</v>
      </c>
      <c r="CF20" s="4">
        <v>2</v>
      </c>
      <c r="CG20" s="4">
        <v>1</v>
      </c>
      <c r="CH20" s="89">
        <f t="shared" si="5"/>
        <v>6</v>
      </c>
      <c r="CI20" s="4">
        <v>4</v>
      </c>
      <c r="CJ20" s="4">
        <v>3</v>
      </c>
      <c r="CK20" s="4">
        <v>1</v>
      </c>
      <c r="CL20" s="4">
        <v>1</v>
      </c>
      <c r="CM20" s="89">
        <f t="shared" si="6"/>
        <v>9</v>
      </c>
      <c r="CN20" s="6">
        <v>2</v>
      </c>
      <c r="CO20" s="4">
        <v>4</v>
      </c>
      <c r="CP20" s="4">
        <v>3</v>
      </c>
      <c r="CQ20" s="4">
        <v>1</v>
      </c>
      <c r="CR20" s="89">
        <f t="shared" si="7"/>
        <v>10</v>
      </c>
      <c r="CS20" s="4">
        <v>1</v>
      </c>
      <c r="CT20" s="4">
        <v>1</v>
      </c>
      <c r="CU20" s="4">
        <v>1</v>
      </c>
      <c r="CV20" s="4">
        <v>4</v>
      </c>
      <c r="CW20" s="89">
        <f t="shared" si="8"/>
        <v>7</v>
      </c>
      <c r="CX20" s="4">
        <v>4</v>
      </c>
      <c r="CY20" s="4">
        <v>4</v>
      </c>
      <c r="CZ20" s="4">
        <v>2</v>
      </c>
      <c r="DA20" s="4">
        <v>1</v>
      </c>
      <c r="DB20" s="89">
        <f t="shared" si="9"/>
        <v>11</v>
      </c>
      <c r="DC20" s="6">
        <v>3</v>
      </c>
      <c r="DD20" s="4">
        <v>2</v>
      </c>
      <c r="DE20" s="4">
        <v>2</v>
      </c>
      <c r="DF20" s="4">
        <v>1</v>
      </c>
      <c r="DG20" s="89">
        <f t="shared" si="10"/>
        <v>8</v>
      </c>
      <c r="DH20" s="4">
        <v>4</v>
      </c>
      <c r="DI20" s="4">
        <v>5</v>
      </c>
      <c r="DJ20" s="4">
        <v>3</v>
      </c>
      <c r="DK20" s="4">
        <v>5</v>
      </c>
      <c r="DL20" s="89">
        <f t="shared" si="11"/>
        <v>17</v>
      </c>
      <c r="DM20" s="4">
        <v>4</v>
      </c>
      <c r="DN20" s="4">
        <v>5</v>
      </c>
      <c r="DO20" s="4">
        <v>1</v>
      </c>
      <c r="DP20" s="4">
        <v>2</v>
      </c>
      <c r="DQ20" s="89">
        <f t="shared" si="12"/>
        <v>12</v>
      </c>
      <c r="DR20" s="6">
        <v>2</v>
      </c>
      <c r="DS20" s="6">
        <v>2</v>
      </c>
      <c r="DT20" s="4">
        <v>3</v>
      </c>
      <c r="DU20" s="4">
        <v>1</v>
      </c>
      <c r="DV20" s="89">
        <f t="shared" si="13"/>
        <v>8</v>
      </c>
      <c r="DW20" s="12">
        <v>3</v>
      </c>
      <c r="DX20" s="4">
        <v>1</v>
      </c>
      <c r="DY20" s="4">
        <v>2</v>
      </c>
      <c r="DZ20" s="4">
        <v>2</v>
      </c>
      <c r="EA20" s="89">
        <f t="shared" si="14"/>
        <v>8</v>
      </c>
      <c r="EB20" s="4">
        <v>2</v>
      </c>
      <c r="EC20" s="4">
        <v>1</v>
      </c>
      <c r="ED20" s="4">
        <v>4</v>
      </c>
      <c r="EE20" s="4">
        <v>1</v>
      </c>
      <c r="EF20" s="89">
        <f t="shared" si="15"/>
        <v>8</v>
      </c>
      <c r="EG20" s="6">
        <v>2</v>
      </c>
      <c r="EH20" s="4">
        <v>2</v>
      </c>
      <c r="EI20" s="4">
        <v>2</v>
      </c>
      <c r="EJ20" s="4">
        <v>2</v>
      </c>
      <c r="EK20" s="89">
        <f t="shared" si="16"/>
        <v>8</v>
      </c>
      <c r="EL20" s="4">
        <v>3</v>
      </c>
      <c r="EM20" s="4">
        <v>1</v>
      </c>
      <c r="EN20" s="4">
        <v>3</v>
      </c>
      <c r="EO20" s="4">
        <v>2</v>
      </c>
      <c r="EP20" s="89">
        <f t="shared" si="17"/>
        <v>9</v>
      </c>
      <c r="EQ20" s="4">
        <v>1</v>
      </c>
      <c r="ER20" s="4">
        <v>4</v>
      </c>
      <c r="ES20" s="4">
        <v>2</v>
      </c>
      <c r="ET20" s="4">
        <v>2</v>
      </c>
      <c r="EU20" s="89">
        <f t="shared" si="18"/>
        <v>9</v>
      </c>
      <c r="EV20" s="6">
        <v>3</v>
      </c>
      <c r="EW20" s="4">
        <v>1</v>
      </c>
      <c r="EX20" s="4">
        <v>4</v>
      </c>
      <c r="EY20" s="4">
        <v>2</v>
      </c>
      <c r="EZ20" s="89">
        <f t="shared" si="19"/>
        <v>10</v>
      </c>
      <c r="FA20" s="4">
        <v>3</v>
      </c>
      <c r="FB20" s="4">
        <v>4</v>
      </c>
      <c r="FC20" s="4">
        <v>4</v>
      </c>
      <c r="FD20" s="4">
        <v>3</v>
      </c>
      <c r="FE20" s="89">
        <f t="shared" si="20"/>
        <v>14</v>
      </c>
      <c r="FF20" s="4">
        <v>3</v>
      </c>
      <c r="FG20" s="4">
        <v>2</v>
      </c>
      <c r="FH20" s="4">
        <v>4</v>
      </c>
      <c r="FI20" s="4">
        <v>2</v>
      </c>
      <c r="FJ20" s="89">
        <f t="shared" si="21"/>
        <v>11</v>
      </c>
      <c r="FK20" s="6">
        <v>2</v>
      </c>
      <c r="FL20" s="4">
        <v>3</v>
      </c>
      <c r="FM20" s="4">
        <v>3</v>
      </c>
      <c r="FN20" s="4">
        <v>4</v>
      </c>
      <c r="FO20" s="89">
        <f t="shared" si="22"/>
        <v>12</v>
      </c>
      <c r="FP20" s="4">
        <v>3</v>
      </c>
      <c r="FQ20" s="4">
        <v>3</v>
      </c>
      <c r="FR20" s="4">
        <v>2</v>
      </c>
      <c r="FS20" s="4">
        <v>2</v>
      </c>
      <c r="FT20" s="89">
        <f t="shared" si="23"/>
        <v>10</v>
      </c>
      <c r="FU20" s="4">
        <v>1</v>
      </c>
      <c r="FV20" s="4">
        <v>2</v>
      </c>
      <c r="FW20" s="4">
        <v>3</v>
      </c>
      <c r="FX20" s="4">
        <v>2</v>
      </c>
      <c r="FY20" s="89">
        <f t="shared" si="24"/>
        <v>8</v>
      </c>
      <c r="FZ20" s="11">
        <v>4</v>
      </c>
      <c r="GA20" s="4">
        <v>5</v>
      </c>
      <c r="GB20" s="4">
        <v>4</v>
      </c>
      <c r="GC20" s="4">
        <v>5</v>
      </c>
      <c r="GD20" s="89">
        <f t="shared" si="25"/>
        <v>18</v>
      </c>
      <c r="GE20" s="4">
        <v>5</v>
      </c>
      <c r="GF20" s="4">
        <v>5</v>
      </c>
      <c r="GG20" s="4">
        <v>4</v>
      </c>
      <c r="GH20" s="4">
        <v>2</v>
      </c>
      <c r="GI20" s="89">
        <f t="shared" si="26"/>
        <v>16</v>
      </c>
      <c r="GJ20" s="4">
        <v>5</v>
      </c>
      <c r="GK20" s="4">
        <v>5</v>
      </c>
      <c r="GL20" s="4">
        <v>4</v>
      </c>
      <c r="GM20" s="4">
        <v>2</v>
      </c>
      <c r="GN20" s="89">
        <f t="shared" si="27"/>
        <v>16</v>
      </c>
      <c r="GO20" s="6">
        <v>3</v>
      </c>
      <c r="GP20" s="4">
        <v>3</v>
      </c>
      <c r="GQ20" s="4">
        <v>3</v>
      </c>
      <c r="GR20" s="4">
        <v>2</v>
      </c>
      <c r="GS20" s="89">
        <f t="shared" si="28"/>
        <v>11</v>
      </c>
      <c r="GT20" s="4">
        <v>1</v>
      </c>
      <c r="GU20" s="4">
        <v>4</v>
      </c>
      <c r="GV20" s="4">
        <v>5</v>
      </c>
      <c r="GW20" s="4">
        <v>2</v>
      </c>
      <c r="GX20" s="89">
        <f t="shared" si="29"/>
        <v>12</v>
      </c>
      <c r="GY20" s="4">
        <v>4</v>
      </c>
      <c r="GZ20" s="4">
        <v>4</v>
      </c>
      <c r="HA20" s="4">
        <v>1</v>
      </c>
      <c r="HB20" s="4">
        <v>4</v>
      </c>
      <c r="HC20" s="89">
        <f t="shared" si="30"/>
        <v>13</v>
      </c>
    </row>
    <row r="21" spans="1:211" ht="15" customHeight="1" x14ac:dyDescent="0.3">
      <c r="A21" s="119" t="s">
        <v>21</v>
      </c>
      <c r="B21" s="6">
        <v>1</v>
      </c>
      <c r="C21" s="4">
        <v>1</v>
      </c>
      <c r="D21" s="4">
        <v>2</v>
      </c>
      <c r="E21" s="4">
        <v>2</v>
      </c>
      <c r="F21" s="89">
        <f t="shared" si="31"/>
        <v>6</v>
      </c>
      <c r="G21" s="6">
        <v>1</v>
      </c>
      <c r="H21" s="4">
        <v>1</v>
      </c>
      <c r="I21" s="4">
        <v>3</v>
      </c>
      <c r="J21" s="4">
        <v>1</v>
      </c>
      <c r="K21" s="89">
        <f t="shared" si="40"/>
        <v>6</v>
      </c>
      <c r="L21" s="6">
        <v>1</v>
      </c>
      <c r="M21" s="4">
        <v>2</v>
      </c>
      <c r="N21" s="4">
        <v>1</v>
      </c>
      <c r="O21" s="4">
        <v>3</v>
      </c>
      <c r="P21" s="89">
        <f t="shared" si="43"/>
        <v>7</v>
      </c>
      <c r="Q21" s="11">
        <v>2</v>
      </c>
      <c r="R21" s="4">
        <v>1</v>
      </c>
      <c r="S21" s="4">
        <v>2</v>
      </c>
      <c r="T21" s="4">
        <v>1</v>
      </c>
      <c r="U21" s="89">
        <f t="shared" si="32"/>
        <v>6</v>
      </c>
      <c r="V21" s="6">
        <v>1</v>
      </c>
      <c r="W21" s="4">
        <v>2</v>
      </c>
      <c r="X21" s="4">
        <v>1</v>
      </c>
      <c r="Y21" s="4">
        <v>1</v>
      </c>
      <c r="Z21" s="89">
        <f t="shared" si="33"/>
        <v>5</v>
      </c>
      <c r="AA21" s="3">
        <v>2</v>
      </c>
      <c r="AB21" s="4">
        <v>2</v>
      </c>
      <c r="AC21" s="4">
        <v>3</v>
      </c>
      <c r="AD21" s="4">
        <v>2</v>
      </c>
      <c r="AE21" s="89">
        <f t="shared" si="34"/>
        <v>9</v>
      </c>
      <c r="AF21" s="6">
        <v>2</v>
      </c>
      <c r="AG21" s="4">
        <v>1</v>
      </c>
      <c r="AH21" s="4">
        <v>2</v>
      </c>
      <c r="AI21" s="4">
        <v>1</v>
      </c>
      <c r="AJ21" s="89">
        <f t="shared" si="35"/>
        <v>6</v>
      </c>
      <c r="AK21" s="4">
        <v>1</v>
      </c>
      <c r="AL21" s="4">
        <v>2</v>
      </c>
      <c r="AM21" s="4">
        <v>1</v>
      </c>
      <c r="AN21" s="4">
        <v>3</v>
      </c>
      <c r="AO21" s="89">
        <f t="shared" si="36"/>
        <v>7</v>
      </c>
      <c r="AP21" s="4">
        <v>1</v>
      </c>
      <c r="AQ21" s="4">
        <v>2</v>
      </c>
      <c r="AR21" s="4">
        <v>1</v>
      </c>
      <c r="AS21" s="4">
        <v>3</v>
      </c>
      <c r="AT21" s="89">
        <f t="shared" si="37"/>
        <v>7</v>
      </c>
      <c r="AU21" s="6">
        <v>1</v>
      </c>
      <c r="AV21" s="4">
        <v>1</v>
      </c>
      <c r="AW21" s="4">
        <v>1</v>
      </c>
      <c r="AX21" s="4">
        <v>1</v>
      </c>
      <c r="AY21" s="89">
        <f t="shared" si="38"/>
        <v>4</v>
      </c>
      <c r="AZ21" s="4">
        <v>2</v>
      </c>
      <c r="BA21" s="4">
        <v>2</v>
      </c>
      <c r="BB21" s="4">
        <v>1</v>
      </c>
      <c r="BC21" s="4">
        <v>2</v>
      </c>
      <c r="BD21" s="89">
        <f t="shared" si="39"/>
        <v>7</v>
      </c>
      <c r="BE21" s="4">
        <v>1</v>
      </c>
      <c r="BF21" s="4">
        <v>2</v>
      </c>
      <c r="BG21" s="4">
        <v>1</v>
      </c>
      <c r="BH21" s="4">
        <v>3</v>
      </c>
      <c r="BI21" s="89">
        <f t="shared" si="0"/>
        <v>7</v>
      </c>
      <c r="BJ21" s="3">
        <v>1</v>
      </c>
      <c r="BK21" s="4">
        <v>1</v>
      </c>
      <c r="BL21" s="4">
        <v>3</v>
      </c>
      <c r="BM21" s="4">
        <v>1</v>
      </c>
      <c r="BN21" s="90">
        <f t="shared" si="41"/>
        <v>6</v>
      </c>
      <c r="BO21" s="4">
        <v>1</v>
      </c>
      <c r="BP21" s="4">
        <v>1</v>
      </c>
      <c r="BQ21" s="4">
        <v>2</v>
      </c>
      <c r="BR21" s="4">
        <v>2</v>
      </c>
      <c r="BS21" s="90">
        <f t="shared" si="42"/>
        <v>6</v>
      </c>
      <c r="BT21" s="4">
        <v>1</v>
      </c>
      <c r="BU21" s="4">
        <v>1</v>
      </c>
      <c r="BV21" s="4">
        <v>2</v>
      </c>
      <c r="BW21" s="4">
        <v>3</v>
      </c>
      <c r="BX21" s="90">
        <f t="shared" si="44"/>
        <v>7</v>
      </c>
      <c r="BY21" s="11">
        <v>4</v>
      </c>
      <c r="BZ21" s="4">
        <v>2</v>
      </c>
      <c r="CA21" s="4">
        <v>3</v>
      </c>
      <c r="CB21" s="4">
        <v>4</v>
      </c>
      <c r="CC21" s="89">
        <f t="shared" si="4"/>
        <v>13</v>
      </c>
      <c r="CD21" s="4">
        <v>4</v>
      </c>
      <c r="CE21" s="4">
        <v>5</v>
      </c>
      <c r="CF21" s="4">
        <v>3</v>
      </c>
      <c r="CG21" s="4">
        <v>1</v>
      </c>
      <c r="CH21" s="89">
        <f t="shared" si="5"/>
        <v>13</v>
      </c>
      <c r="CI21" s="4">
        <v>5</v>
      </c>
      <c r="CJ21" s="4">
        <v>3</v>
      </c>
      <c r="CK21" s="4">
        <v>1</v>
      </c>
      <c r="CL21" s="4">
        <v>2</v>
      </c>
      <c r="CM21" s="89">
        <f t="shared" si="6"/>
        <v>11</v>
      </c>
      <c r="CN21" s="6">
        <v>4</v>
      </c>
      <c r="CO21" s="4">
        <v>5</v>
      </c>
      <c r="CP21" s="4">
        <v>4</v>
      </c>
      <c r="CQ21" s="4">
        <v>1</v>
      </c>
      <c r="CR21" s="89">
        <f t="shared" si="7"/>
        <v>14</v>
      </c>
      <c r="CS21" s="4">
        <v>3</v>
      </c>
      <c r="CT21" s="4">
        <v>5</v>
      </c>
      <c r="CU21" s="4">
        <v>4</v>
      </c>
      <c r="CV21" s="4">
        <v>2</v>
      </c>
      <c r="CW21" s="89">
        <f t="shared" si="8"/>
        <v>14</v>
      </c>
      <c r="CX21" s="4">
        <v>1</v>
      </c>
      <c r="CY21" s="4">
        <v>5</v>
      </c>
      <c r="CZ21" s="4">
        <v>2</v>
      </c>
      <c r="DA21" s="4">
        <v>5</v>
      </c>
      <c r="DB21" s="89">
        <f t="shared" si="9"/>
        <v>13</v>
      </c>
      <c r="DC21" s="6">
        <v>4</v>
      </c>
      <c r="DD21" s="4">
        <v>1</v>
      </c>
      <c r="DE21" s="4">
        <v>4</v>
      </c>
      <c r="DF21" s="4">
        <v>2</v>
      </c>
      <c r="DG21" s="89">
        <f t="shared" si="10"/>
        <v>11</v>
      </c>
      <c r="DH21" s="4">
        <v>3</v>
      </c>
      <c r="DI21" s="4">
        <v>4</v>
      </c>
      <c r="DJ21" s="4">
        <v>2</v>
      </c>
      <c r="DK21" s="4">
        <v>4</v>
      </c>
      <c r="DL21" s="89">
        <f t="shared" si="11"/>
        <v>13</v>
      </c>
      <c r="DM21" s="4">
        <v>3</v>
      </c>
      <c r="DN21" s="4">
        <v>1</v>
      </c>
      <c r="DO21" s="4">
        <v>2</v>
      </c>
      <c r="DP21" s="4">
        <v>4</v>
      </c>
      <c r="DQ21" s="89">
        <f t="shared" si="12"/>
        <v>10</v>
      </c>
      <c r="DR21" s="6">
        <v>3</v>
      </c>
      <c r="DS21" s="6">
        <v>2</v>
      </c>
      <c r="DT21" s="4">
        <v>3</v>
      </c>
      <c r="DU21" s="4">
        <v>2</v>
      </c>
      <c r="DV21" s="89">
        <f t="shared" si="13"/>
        <v>10</v>
      </c>
      <c r="DW21" s="12">
        <v>2</v>
      </c>
      <c r="DX21" s="4">
        <v>3</v>
      </c>
      <c r="DY21" s="4">
        <v>1</v>
      </c>
      <c r="DZ21" s="4">
        <v>4</v>
      </c>
      <c r="EA21" s="89">
        <f t="shared" si="14"/>
        <v>10</v>
      </c>
      <c r="EB21" s="4">
        <v>3</v>
      </c>
      <c r="EC21" s="4">
        <v>4</v>
      </c>
      <c r="ED21" s="4">
        <v>3</v>
      </c>
      <c r="EE21" s="4">
        <v>2</v>
      </c>
      <c r="EF21" s="89">
        <f t="shared" si="15"/>
        <v>12</v>
      </c>
      <c r="EG21" s="6">
        <v>3</v>
      </c>
      <c r="EH21" s="4">
        <v>3</v>
      </c>
      <c r="EI21" s="4">
        <v>4</v>
      </c>
      <c r="EJ21" s="4">
        <v>2</v>
      </c>
      <c r="EK21" s="89">
        <f t="shared" si="16"/>
        <v>12</v>
      </c>
      <c r="EL21" s="4">
        <v>3</v>
      </c>
      <c r="EM21" s="4">
        <v>3</v>
      </c>
      <c r="EN21" s="4">
        <v>3</v>
      </c>
      <c r="EO21" s="4">
        <v>1</v>
      </c>
      <c r="EP21" s="89">
        <f t="shared" si="17"/>
        <v>10</v>
      </c>
      <c r="EQ21" s="4">
        <v>4</v>
      </c>
      <c r="ER21" s="4">
        <v>4</v>
      </c>
      <c r="ES21" s="4">
        <v>4</v>
      </c>
      <c r="ET21" s="4">
        <v>4</v>
      </c>
      <c r="EU21" s="89">
        <f t="shared" si="18"/>
        <v>16</v>
      </c>
      <c r="EV21" s="6">
        <v>2</v>
      </c>
      <c r="EW21" s="4">
        <v>4</v>
      </c>
      <c r="EX21" s="4">
        <v>3</v>
      </c>
      <c r="EY21" s="4">
        <v>1</v>
      </c>
      <c r="EZ21" s="89">
        <f t="shared" si="19"/>
        <v>10</v>
      </c>
      <c r="FA21" s="4">
        <v>3</v>
      </c>
      <c r="FB21" s="4">
        <v>1</v>
      </c>
      <c r="FC21" s="4">
        <v>1</v>
      </c>
      <c r="FD21" s="4">
        <v>2</v>
      </c>
      <c r="FE21" s="89">
        <f t="shared" si="20"/>
        <v>7</v>
      </c>
      <c r="FF21" s="4">
        <v>3</v>
      </c>
      <c r="FG21" s="4">
        <v>2</v>
      </c>
      <c r="FH21" s="4">
        <v>2</v>
      </c>
      <c r="FI21" s="4">
        <v>2</v>
      </c>
      <c r="FJ21" s="89">
        <f t="shared" si="21"/>
        <v>9</v>
      </c>
      <c r="FK21" s="6">
        <v>3</v>
      </c>
      <c r="FL21" s="4">
        <v>3</v>
      </c>
      <c r="FM21" s="4">
        <v>3</v>
      </c>
      <c r="FN21" s="4">
        <v>2</v>
      </c>
      <c r="FO21" s="89">
        <f t="shared" si="22"/>
        <v>11</v>
      </c>
      <c r="FP21" s="12">
        <v>2</v>
      </c>
      <c r="FQ21" s="4">
        <v>1</v>
      </c>
      <c r="FR21" s="4">
        <v>1</v>
      </c>
      <c r="FS21" s="4">
        <v>3</v>
      </c>
      <c r="FT21" s="89">
        <f t="shared" si="23"/>
        <v>7</v>
      </c>
      <c r="FU21" s="4">
        <v>4</v>
      </c>
      <c r="FV21" s="4">
        <v>3</v>
      </c>
      <c r="FW21" s="4">
        <v>2</v>
      </c>
      <c r="FX21" s="4">
        <v>2</v>
      </c>
      <c r="FY21" s="89">
        <f t="shared" si="24"/>
        <v>11</v>
      </c>
      <c r="FZ21" s="11">
        <v>1</v>
      </c>
      <c r="GA21" s="4">
        <v>5</v>
      </c>
      <c r="GB21" s="4">
        <v>1</v>
      </c>
      <c r="GC21" s="4">
        <v>1</v>
      </c>
      <c r="GD21" s="89">
        <f t="shared" si="25"/>
        <v>8</v>
      </c>
      <c r="GE21" s="4">
        <v>4</v>
      </c>
      <c r="GF21" s="4">
        <v>1</v>
      </c>
      <c r="GG21" s="4">
        <v>2</v>
      </c>
      <c r="GH21" s="4">
        <v>5</v>
      </c>
      <c r="GI21" s="89">
        <f t="shared" si="26"/>
        <v>12</v>
      </c>
      <c r="GJ21" s="4">
        <v>4</v>
      </c>
      <c r="GK21" s="4">
        <v>4</v>
      </c>
      <c r="GL21" s="4">
        <v>3</v>
      </c>
      <c r="GM21" s="4">
        <v>5</v>
      </c>
      <c r="GN21" s="89">
        <f t="shared" si="27"/>
        <v>16</v>
      </c>
      <c r="GO21" s="6">
        <v>3</v>
      </c>
      <c r="GP21" s="4">
        <v>3</v>
      </c>
      <c r="GQ21" s="4">
        <v>2</v>
      </c>
      <c r="GR21" s="4">
        <v>5</v>
      </c>
      <c r="GS21" s="89">
        <f t="shared" si="28"/>
        <v>13</v>
      </c>
      <c r="GT21" s="4">
        <v>3</v>
      </c>
      <c r="GU21" s="4">
        <v>3</v>
      </c>
      <c r="GV21" s="4">
        <v>1</v>
      </c>
      <c r="GW21" s="4">
        <v>2</v>
      </c>
      <c r="GX21" s="89">
        <f t="shared" si="29"/>
        <v>9</v>
      </c>
      <c r="GY21" s="4">
        <v>1</v>
      </c>
      <c r="GZ21" s="4">
        <v>2</v>
      </c>
      <c r="HA21" s="4">
        <v>4</v>
      </c>
      <c r="HB21" s="4">
        <v>2</v>
      </c>
      <c r="HC21" s="89">
        <f t="shared" si="30"/>
        <v>9</v>
      </c>
    </row>
    <row r="22" spans="1:211" ht="15" customHeight="1" x14ac:dyDescent="0.3">
      <c r="A22" s="119" t="s">
        <v>22</v>
      </c>
      <c r="B22" s="6">
        <v>2</v>
      </c>
      <c r="C22" s="4">
        <v>2</v>
      </c>
      <c r="D22" s="4">
        <v>3</v>
      </c>
      <c r="E22" s="4">
        <v>2</v>
      </c>
      <c r="F22" s="89">
        <f t="shared" si="31"/>
        <v>9</v>
      </c>
      <c r="G22" s="6">
        <v>1</v>
      </c>
      <c r="H22" s="4">
        <v>2</v>
      </c>
      <c r="I22" s="4">
        <v>1</v>
      </c>
      <c r="J22" s="4">
        <v>1</v>
      </c>
      <c r="K22" s="89">
        <f t="shared" si="40"/>
        <v>5</v>
      </c>
      <c r="L22" s="6">
        <v>2</v>
      </c>
      <c r="M22" s="4">
        <v>3</v>
      </c>
      <c r="N22" s="4">
        <v>2</v>
      </c>
      <c r="O22" s="4">
        <v>2</v>
      </c>
      <c r="P22" s="89">
        <f t="shared" si="43"/>
        <v>9</v>
      </c>
      <c r="Q22" s="11">
        <v>4</v>
      </c>
      <c r="R22" s="4">
        <v>2</v>
      </c>
      <c r="S22" s="4">
        <v>3</v>
      </c>
      <c r="T22" s="4">
        <v>2</v>
      </c>
      <c r="U22" s="89">
        <f t="shared" si="32"/>
        <v>11</v>
      </c>
      <c r="V22" s="6">
        <v>3</v>
      </c>
      <c r="W22" s="4">
        <v>1</v>
      </c>
      <c r="X22" s="4">
        <v>2</v>
      </c>
      <c r="Y22" s="4">
        <v>1</v>
      </c>
      <c r="Z22" s="89">
        <f t="shared" si="33"/>
        <v>7</v>
      </c>
      <c r="AA22" s="3">
        <v>3</v>
      </c>
      <c r="AB22" s="4">
        <v>3</v>
      </c>
      <c r="AC22" s="4">
        <v>2</v>
      </c>
      <c r="AD22" s="4">
        <v>2</v>
      </c>
      <c r="AE22" s="89">
        <f t="shared" si="34"/>
        <v>10</v>
      </c>
      <c r="AF22" s="6">
        <v>3</v>
      </c>
      <c r="AG22" s="4">
        <v>2</v>
      </c>
      <c r="AH22" s="4">
        <v>3</v>
      </c>
      <c r="AI22" s="4">
        <v>1</v>
      </c>
      <c r="AJ22" s="89">
        <f t="shared" si="35"/>
        <v>9</v>
      </c>
      <c r="AK22" s="4">
        <v>3</v>
      </c>
      <c r="AL22" s="4">
        <v>2</v>
      </c>
      <c r="AM22" s="4">
        <v>2</v>
      </c>
      <c r="AN22" s="4">
        <v>1</v>
      </c>
      <c r="AO22" s="89">
        <f t="shared" si="36"/>
        <v>8</v>
      </c>
      <c r="AP22" s="4">
        <v>3</v>
      </c>
      <c r="AQ22" s="4">
        <v>3</v>
      </c>
      <c r="AR22" s="4">
        <v>2</v>
      </c>
      <c r="AS22" s="4">
        <v>2</v>
      </c>
      <c r="AT22" s="89">
        <f t="shared" si="37"/>
        <v>10</v>
      </c>
      <c r="AU22" s="6">
        <v>3</v>
      </c>
      <c r="AV22" s="4">
        <v>3</v>
      </c>
      <c r="AW22" s="4">
        <v>2</v>
      </c>
      <c r="AX22" s="4">
        <v>3</v>
      </c>
      <c r="AY22" s="89">
        <f t="shared" si="38"/>
        <v>11</v>
      </c>
      <c r="AZ22" s="4">
        <v>3</v>
      </c>
      <c r="BA22" s="4">
        <v>2</v>
      </c>
      <c r="BB22" s="4">
        <v>2</v>
      </c>
      <c r="BC22" s="4">
        <v>2</v>
      </c>
      <c r="BD22" s="89">
        <f t="shared" si="39"/>
        <v>9</v>
      </c>
      <c r="BE22" s="4">
        <v>3</v>
      </c>
      <c r="BF22" s="4">
        <v>2</v>
      </c>
      <c r="BG22" s="4">
        <v>2</v>
      </c>
      <c r="BH22" s="4">
        <v>2</v>
      </c>
      <c r="BI22" s="89">
        <f t="shared" si="0"/>
        <v>9</v>
      </c>
      <c r="BJ22" s="3">
        <v>3</v>
      </c>
      <c r="BK22" s="4">
        <v>2</v>
      </c>
      <c r="BL22" s="4">
        <v>1</v>
      </c>
      <c r="BM22" s="4">
        <v>2</v>
      </c>
      <c r="BN22" s="90">
        <f t="shared" si="41"/>
        <v>8</v>
      </c>
      <c r="BO22" s="4">
        <v>3</v>
      </c>
      <c r="BP22" s="4">
        <v>1</v>
      </c>
      <c r="BQ22" s="4">
        <v>2</v>
      </c>
      <c r="BR22" s="4">
        <v>1</v>
      </c>
      <c r="BS22" s="90">
        <f t="shared" si="42"/>
        <v>7</v>
      </c>
      <c r="BT22" s="4">
        <v>3</v>
      </c>
      <c r="BU22" s="4">
        <v>2</v>
      </c>
      <c r="BV22" s="4">
        <v>2</v>
      </c>
      <c r="BW22" s="4">
        <v>1</v>
      </c>
      <c r="BX22" s="90">
        <f t="shared" si="44"/>
        <v>8</v>
      </c>
      <c r="BY22" s="11">
        <v>4</v>
      </c>
      <c r="BZ22" s="4">
        <v>1</v>
      </c>
      <c r="CA22" s="4">
        <v>2</v>
      </c>
      <c r="CB22" s="4">
        <v>2</v>
      </c>
      <c r="CC22" s="89">
        <f t="shared" si="4"/>
        <v>9</v>
      </c>
      <c r="CD22" s="4">
        <v>5</v>
      </c>
      <c r="CE22" s="4">
        <v>5</v>
      </c>
      <c r="CF22" s="4">
        <v>2</v>
      </c>
      <c r="CG22" s="4">
        <v>3</v>
      </c>
      <c r="CH22" s="89">
        <f t="shared" si="5"/>
        <v>15</v>
      </c>
      <c r="CI22" s="4">
        <v>5</v>
      </c>
      <c r="CJ22" s="4">
        <v>5</v>
      </c>
      <c r="CK22" s="4">
        <v>1</v>
      </c>
      <c r="CL22" s="4">
        <v>4</v>
      </c>
      <c r="CM22" s="89">
        <f t="shared" si="6"/>
        <v>15</v>
      </c>
      <c r="CN22" s="6">
        <v>5</v>
      </c>
      <c r="CO22" s="4">
        <v>3</v>
      </c>
      <c r="CP22" s="4">
        <v>2</v>
      </c>
      <c r="CQ22" s="4">
        <v>4</v>
      </c>
      <c r="CR22" s="89">
        <f t="shared" si="7"/>
        <v>14</v>
      </c>
      <c r="CS22" s="4">
        <v>1</v>
      </c>
      <c r="CT22" s="4">
        <v>3</v>
      </c>
      <c r="CU22" s="4">
        <v>3</v>
      </c>
      <c r="CV22" s="4">
        <v>1</v>
      </c>
      <c r="CW22" s="89">
        <f t="shared" si="8"/>
        <v>8</v>
      </c>
      <c r="CX22" s="4">
        <v>4</v>
      </c>
      <c r="CY22" s="4">
        <v>1</v>
      </c>
      <c r="CZ22" s="4">
        <v>2</v>
      </c>
      <c r="DA22" s="4">
        <v>5</v>
      </c>
      <c r="DB22" s="89">
        <f t="shared" si="9"/>
        <v>12</v>
      </c>
      <c r="DC22" s="6">
        <v>5</v>
      </c>
      <c r="DD22" s="4">
        <v>4</v>
      </c>
      <c r="DE22" s="4">
        <v>2</v>
      </c>
      <c r="DF22" s="4">
        <v>1</v>
      </c>
      <c r="DG22" s="89">
        <f t="shared" si="10"/>
        <v>12</v>
      </c>
      <c r="DH22" s="4">
        <v>3</v>
      </c>
      <c r="DI22" s="4">
        <v>4</v>
      </c>
      <c r="DJ22" s="4">
        <v>4</v>
      </c>
      <c r="DK22" s="4">
        <v>2</v>
      </c>
      <c r="DL22" s="89">
        <f t="shared" si="11"/>
        <v>13</v>
      </c>
      <c r="DM22" s="4">
        <v>4</v>
      </c>
      <c r="DN22" s="4">
        <v>4</v>
      </c>
      <c r="DO22" s="4">
        <v>2</v>
      </c>
      <c r="DP22" s="4">
        <v>4</v>
      </c>
      <c r="DQ22" s="89">
        <f t="shared" si="12"/>
        <v>14</v>
      </c>
      <c r="DR22" s="6">
        <v>5</v>
      </c>
      <c r="DS22" s="6">
        <v>2</v>
      </c>
      <c r="DT22" s="4">
        <v>3</v>
      </c>
      <c r="DU22" s="4">
        <v>2</v>
      </c>
      <c r="DV22" s="89">
        <f t="shared" si="13"/>
        <v>12</v>
      </c>
      <c r="DW22" s="12">
        <v>2</v>
      </c>
      <c r="DX22" s="4">
        <v>4</v>
      </c>
      <c r="DY22" s="4">
        <v>3</v>
      </c>
      <c r="DZ22" s="4">
        <v>3</v>
      </c>
      <c r="EA22" s="89">
        <f t="shared" si="14"/>
        <v>12</v>
      </c>
      <c r="EB22" s="4">
        <v>3</v>
      </c>
      <c r="EC22" s="4">
        <v>3</v>
      </c>
      <c r="ED22" s="4">
        <v>4</v>
      </c>
      <c r="EE22" s="4">
        <v>4</v>
      </c>
      <c r="EF22" s="89">
        <f t="shared" si="15"/>
        <v>14</v>
      </c>
      <c r="EG22" s="6">
        <v>2</v>
      </c>
      <c r="EH22" s="4">
        <v>4</v>
      </c>
      <c r="EI22" s="4">
        <v>2</v>
      </c>
      <c r="EJ22" s="4">
        <v>4</v>
      </c>
      <c r="EK22" s="89">
        <f t="shared" si="16"/>
        <v>12</v>
      </c>
      <c r="EL22" s="4">
        <v>4</v>
      </c>
      <c r="EM22" s="4">
        <v>3</v>
      </c>
      <c r="EN22" s="4">
        <v>2</v>
      </c>
      <c r="EO22" s="4">
        <v>4</v>
      </c>
      <c r="EP22" s="89">
        <f t="shared" si="17"/>
        <v>13</v>
      </c>
      <c r="EQ22" s="4">
        <v>4</v>
      </c>
      <c r="ER22" s="4">
        <v>3</v>
      </c>
      <c r="ES22" s="4">
        <v>4</v>
      </c>
      <c r="ET22" s="4">
        <v>1</v>
      </c>
      <c r="EU22" s="89">
        <f t="shared" si="18"/>
        <v>12</v>
      </c>
      <c r="EV22" s="6">
        <v>4</v>
      </c>
      <c r="EW22" s="4">
        <v>4</v>
      </c>
      <c r="EX22" s="4">
        <v>2</v>
      </c>
      <c r="EY22" s="4">
        <v>3</v>
      </c>
      <c r="EZ22" s="89">
        <f t="shared" si="19"/>
        <v>13</v>
      </c>
      <c r="FA22" s="4">
        <v>1</v>
      </c>
      <c r="FB22" s="4">
        <v>1</v>
      </c>
      <c r="FC22" s="4">
        <v>4</v>
      </c>
      <c r="FD22" s="4">
        <v>2</v>
      </c>
      <c r="FE22" s="89">
        <f t="shared" si="20"/>
        <v>8</v>
      </c>
      <c r="FF22" s="4">
        <v>4</v>
      </c>
      <c r="FG22" s="4">
        <v>3</v>
      </c>
      <c r="FH22" s="4">
        <v>1</v>
      </c>
      <c r="FI22" s="4">
        <v>2</v>
      </c>
      <c r="FJ22" s="89">
        <f t="shared" si="21"/>
        <v>10</v>
      </c>
      <c r="FK22" s="6">
        <v>3</v>
      </c>
      <c r="FL22" s="4">
        <v>1</v>
      </c>
      <c r="FM22" s="4">
        <v>4</v>
      </c>
      <c r="FN22" s="4">
        <v>4</v>
      </c>
      <c r="FO22" s="89">
        <f t="shared" si="22"/>
        <v>12</v>
      </c>
      <c r="FP22" s="4">
        <v>1</v>
      </c>
      <c r="FQ22" s="4">
        <v>2</v>
      </c>
      <c r="FR22" s="4">
        <v>1</v>
      </c>
      <c r="FS22" s="4">
        <v>2</v>
      </c>
      <c r="FT22" s="89">
        <f t="shared" si="23"/>
        <v>6</v>
      </c>
      <c r="FU22" s="4">
        <v>2</v>
      </c>
      <c r="FV22" s="4">
        <v>2</v>
      </c>
      <c r="FW22" s="4">
        <v>3</v>
      </c>
      <c r="FX22" s="4">
        <v>2</v>
      </c>
      <c r="FY22" s="89">
        <f t="shared" si="24"/>
        <v>9</v>
      </c>
      <c r="FZ22" s="11">
        <v>4</v>
      </c>
      <c r="GA22" s="4">
        <v>1</v>
      </c>
      <c r="GB22" s="4">
        <v>2</v>
      </c>
      <c r="GC22" s="4">
        <v>3</v>
      </c>
      <c r="GD22" s="89">
        <f t="shared" si="25"/>
        <v>10</v>
      </c>
      <c r="GE22" s="4">
        <v>1</v>
      </c>
      <c r="GF22" s="4">
        <v>2</v>
      </c>
      <c r="GG22" s="4">
        <v>3</v>
      </c>
      <c r="GH22" s="4">
        <v>4</v>
      </c>
      <c r="GI22" s="89">
        <f t="shared" si="26"/>
        <v>10</v>
      </c>
      <c r="GJ22" s="4">
        <v>5</v>
      </c>
      <c r="GK22" s="4">
        <v>4</v>
      </c>
      <c r="GL22" s="4">
        <v>3</v>
      </c>
      <c r="GM22" s="4">
        <v>2</v>
      </c>
      <c r="GN22" s="89">
        <f t="shared" si="27"/>
        <v>14</v>
      </c>
      <c r="GO22" s="6">
        <v>2</v>
      </c>
      <c r="GP22" s="4">
        <v>1</v>
      </c>
      <c r="GQ22" s="4">
        <v>2</v>
      </c>
      <c r="GR22" s="4">
        <v>4</v>
      </c>
      <c r="GS22" s="89">
        <f t="shared" si="28"/>
        <v>9</v>
      </c>
      <c r="GT22" s="4">
        <v>2</v>
      </c>
      <c r="GU22" s="4">
        <v>4</v>
      </c>
      <c r="GV22" s="4">
        <v>5</v>
      </c>
      <c r="GW22" s="4">
        <v>2</v>
      </c>
      <c r="GX22" s="89">
        <f t="shared" si="29"/>
        <v>13</v>
      </c>
      <c r="GY22" s="4">
        <v>2</v>
      </c>
      <c r="GZ22" s="4">
        <v>4</v>
      </c>
      <c r="HA22" s="4">
        <v>5</v>
      </c>
      <c r="HB22" s="4">
        <v>1</v>
      </c>
      <c r="HC22" s="89">
        <f t="shared" si="30"/>
        <v>12</v>
      </c>
    </row>
    <row r="23" spans="1:211" ht="15" customHeight="1" x14ac:dyDescent="0.3">
      <c r="A23" s="119" t="s">
        <v>23</v>
      </c>
      <c r="B23" s="6">
        <v>2</v>
      </c>
      <c r="C23" s="4">
        <v>2</v>
      </c>
      <c r="D23" s="4">
        <v>3</v>
      </c>
      <c r="E23" s="4">
        <v>2</v>
      </c>
      <c r="F23" s="89">
        <f t="shared" si="31"/>
        <v>9</v>
      </c>
      <c r="G23" s="6">
        <v>3</v>
      </c>
      <c r="H23" s="4">
        <v>4</v>
      </c>
      <c r="I23" s="4">
        <v>2</v>
      </c>
      <c r="J23" s="4">
        <v>1</v>
      </c>
      <c r="K23" s="89">
        <f t="shared" si="40"/>
        <v>10</v>
      </c>
      <c r="L23" s="6">
        <v>5</v>
      </c>
      <c r="M23" s="4">
        <v>4</v>
      </c>
      <c r="N23" s="4">
        <v>2</v>
      </c>
      <c r="O23" s="4">
        <v>4</v>
      </c>
      <c r="P23" s="89">
        <f t="shared" si="43"/>
        <v>15</v>
      </c>
      <c r="Q23" s="11">
        <v>2</v>
      </c>
      <c r="R23" s="4">
        <v>3</v>
      </c>
      <c r="S23" s="4">
        <v>2</v>
      </c>
      <c r="T23" s="4">
        <v>4</v>
      </c>
      <c r="U23" s="89">
        <f t="shared" si="32"/>
        <v>11</v>
      </c>
      <c r="V23" s="6">
        <v>2</v>
      </c>
      <c r="W23" s="4">
        <v>3</v>
      </c>
      <c r="X23" s="4">
        <v>1</v>
      </c>
      <c r="Y23" s="4">
        <v>2</v>
      </c>
      <c r="Z23" s="89">
        <f t="shared" si="33"/>
        <v>8</v>
      </c>
      <c r="AA23" s="3">
        <v>4</v>
      </c>
      <c r="AB23" s="4">
        <v>3</v>
      </c>
      <c r="AC23" s="4">
        <v>5</v>
      </c>
      <c r="AD23" s="4">
        <v>2</v>
      </c>
      <c r="AE23" s="89">
        <f t="shared" si="34"/>
        <v>14</v>
      </c>
      <c r="AF23" s="6">
        <v>1</v>
      </c>
      <c r="AG23" s="4">
        <v>2</v>
      </c>
      <c r="AH23" s="4">
        <v>3</v>
      </c>
      <c r="AI23" s="4">
        <v>1</v>
      </c>
      <c r="AJ23" s="89">
        <f t="shared" si="35"/>
        <v>7</v>
      </c>
      <c r="AK23" s="4">
        <v>3</v>
      </c>
      <c r="AL23" s="4">
        <v>1</v>
      </c>
      <c r="AM23" s="4">
        <v>4</v>
      </c>
      <c r="AN23" s="4">
        <v>1</v>
      </c>
      <c r="AO23" s="89">
        <f t="shared" si="36"/>
        <v>9</v>
      </c>
      <c r="AP23" s="4">
        <v>4</v>
      </c>
      <c r="AQ23" s="4">
        <v>2</v>
      </c>
      <c r="AR23" s="4">
        <v>3</v>
      </c>
      <c r="AS23" s="4">
        <v>1</v>
      </c>
      <c r="AT23" s="89">
        <f t="shared" si="37"/>
        <v>10</v>
      </c>
      <c r="AU23" s="6">
        <v>4</v>
      </c>
      <c r="AV23" s="4">
        <v>2</v>
      </c>
      <c r="AW23" s="4">
        <v>1</v>
      </c>
      <c r="AX23" s="4">
        <v>4</v>
      </c>
      <c r="AY23" s="89">
        <f t="shared" si="38"/>
        <v>11</v>
      </c>
      <c r="AZ23" s="4">
        <v>1</v>
      </c>
      <c r="BA23" s="4">
        <v>3</v>
      </c>
      <c r="BB23" s="4">
        <v>4</v>
      </c>
      <c r="BC23" s="4">
        <v>2</v>
      </c>
      <c r="BD23" s="89">
        <f t="shared" si="39"/>
        <v>10</v>
      </c>
      <c r="BE23" s="4">
        <v>3</v>
      </c>
      <c r="BF23" s="4">
        <v>2</v>
      </c>
      <c r="BG23" s="4">
        <v>1</v>
      </c>
      <c r="BH23" s="4">
        <v>2</v>
      </c>
      <c r="BI23" s="89">
        <f t="shared" si="0"/>
        <v>8</v>
      </c>
      <c r="BJ23" s="3">
        <v>2</v>
      </c>
      <c r="BK23" s="4">
        <v>3</v>
      </c>
      <c r="BL23" s="4">
        <v>2</v>
      </c>
      <c r="BM23" s="4">
        <v>3</v>
      </c>
      <c r="BN23" s="90">
        <f t="shared" si="41"/>
        <v>10</v>
      </c>
      <c r="BO23" s="4">
        <v>2</v>
      </c>
      <c r="BP23" s="4">
        <v>2</v>
      </c>
      <c r="BQ23" s="4">
        <v>2</v>
      </c>
      <c r="BR23" s="4">
        <v>5</v>
      </c>
      <c r="BS23" s="90">
        <f t="shared" si="42"/>
        <v>11</v>
      </c>
      <c r="BT23" s="4">
        <v>3</v>
      </c>
      <c r="BU23" s="4">
        <v>2</v>
      </c>
      <c r="BV23" s="4">
        <v>2</v>
      </c>
      <c r="BW23" s="4">
        <v>2</v>
      </c>
      <c r="BX23" s="90">
        <f t="shared" si="44"/>
        <v>9</v>
      </c>
      <c r="BY23" s="11">
        <v>5</v>
      </c>
      <c r="BZ23" s="4">
        <v>2</v>
      </c>
      <c r="CA23" s="4">
        <v>1</v>
      </c>
      <c r="CB23" s="4">
        <v>3</v>
      </c>
      <c r="CC23" s="89">
        <f t="shared" si="4"/>
        <v>11</v>
      </c>
      <c r="CD23" s="4">
        <v>2</v>
      </c>
      <c r="CE23" s="4">
        <v>4</v>
      </c>
      <c r="CF23" s="4">
        <v>1</v>
      </c>
      <c r="CG23" s="4">
        <v>1</v>
      </c>
      <c r="CH23" s="89">
        <f t="shared" si="5"/>
        <v>8</v>
      </c>
      <c r="CI23" s="4">
        <v>5</v>
      </c>
      <c r="CJ23" s="4">
        <v>1</v>
      </c>
      <c r="CK23" s="4">
        <v>1</v>
      </c>
      <c r="CL23" s="4">
        <v>3</v>
      </c>
      <c r="CM23" s="89">
        <f t="shared" si="6"/>
        <v>10</v>
      </c>
      <c r="CN23" s="6">
        <v>4</v>
      </c>
      <c r="CO23" s="4">
        <v>3</v>
      </c>
      <c r="CP23" s="4">
        <v>4</v>
      </c>
      <c r="CQ23" s="4">
        <v>2</v>
      </c>
      <c r="CR23" s="89">
        <f t="shared" si="7"/>
        <v>13</v>
      </c>
      <c r="CS23" s="4">
        <v>1</v>
      </c>
      <c r="CT23" s="4">
        <v>5</v>
      </c>
      <c r="CU23" s="4">
        <v>2</v>
      </c>
      <c r="CV23" s="4">
        <v>5</v>
      </c>
      <c r="CW23" s="89">
        <f t="shared" si="8"/>
        <v>13</v>
      </c>
      <c r="CX23" s="4">
        <v>1</v>
      </c>
      <c r="CY23" s="4">
        <v>3</v>
      </c>
      <c r="CZ23" s="4">
        <v>3</v>
      </c>
      <c r="DA23" s="4">
        <v>3</v>
      </c>
      <c r="DB23" s="89">
        <f t="shared" si="9"/>
        <v>10</v>
      </c>
      <c r="DC23" s="6">
        <v>5</v>
      </c>
      <c r="DD23" s="4">
        <v>3</v>
      </c>
      <c r="DE23" s="4">
        <v>3</v>
      </c>
      <c r="DF23" s="4">
        <v>3</v>
      </c>
      <c r="DG23" s="89">
        <f t="shared" si="10"/>
        <v>14</v>
      </c>
      <c r="DH23" s="4">
        <v>2</v>
      </c>
      <c r="DI23" s="4">
        <v>1</v>
      </c>
      <c r="DJ23" s="4">
        <v>2</v>
      </c>
      <c r="DK23" s="4">
        <v>5</v>
      </c>
      <c r="DL23" s="89">
        <f t="shared" si="11"/>
        <v>10</v>
      </c>
      <c r="DM23" s="4">
        <v>2</v>
      </c>
      <c r="DN23" s="4">
        <v>2</v>
      </c>
      <c r="DO23" s="4">
        <v>5</v>
      </c>
      <c r="DP23" s="4">
        <v>2</v>
      </c>
      <c r="DQ23" s="89">
        <f t="shared" si="12"/>
        <v>11</v>
      </c>
      <c r="DR23" s="6">
        <v>5</v>
      </c>
      <c r="DS23" s="6">
        <v>3</v>
      </c>
      <c r="DT23" s="4">
        <v>4</v>
      </c>
      <c r="DU23" s="4">
        <v>2</v>
      </c>
      <c r="DV23" s="89">
        <f t="shared" si="13"/>
        <v>14</v>
      </c>
      <c r="DW23" s="12">
        <v>1</v>
      </c>
      <c r="DX23" s="4">
        <v>3</v>
      </c>
      <c r="DY23" s="4">
        <v>2</v>
      </c>
      <c r="DZ23" s="4">
        <v>1</v>
      </c>
      <c r="EA23" s="89">
        <f t="shared" si="14"/>
        <v>7</v>
      </c>
      <c r="EB23" s="4">
        <v>1</v>
      </c>
      <c r="EC23" s="4">
        <v>1</v>
      </c>
      <c r="ED23" s="4">
        <v>1</v>
      </c>
      <c r="EE23" s="4">
        <v>1</v>
      </c>
      <c r="EF23" s="89">
        <f t="shared" si="15"/>
        <v>4</v>
      </c>
      <c r="EG23" s="6">
        <v>4</v>
      </c>
      <c r="EH23" s="4">
        <v>4</v>
      </c>
      <c r="EI23" s="4">
        <v>2</v>
      </c>
      <c r="EJ23" s="4">
        <v>3</v>
      </c>
      <c r="EK23" s="89">
        <f t="shared" si="16"/>
        <v>13</v>
      </c>
      <c r="EL23" s="4">
        <v>2</v>
      </c>
      <c r="EM23" s="4">
        <v>3</v>
      </c>
      <c r="EN23" s="4">
        <v>2</v>
      </c>
      <c r="EO23" s="4">
        <v>4</v>
      </c>
      <c r="EP23" s="89">
        <f t="shared" si="17"/>
        <v>11</v>
      </c>
      <c r="EQ23" s="4">
        <v>2</v>
      </c>
      <c r="ER23" s="4">
        <v>2</v>
      </c>
      <c r="ES23" s="4">
        <v>4</v>
      </c>
      <c r="ET23" s="4">
        <v>4</v>
      </c>
      <c r="EU23" s="89">
        <f t="shared" si="18"/>
        <v>12</v>
      </c>
      <c r="EV23" s="6">
        <v>2</v>
      </c>
      <c r="EW23" s="4">
        <v>1</v>
      </c>
      <c r="EX23" s="4">
        <v>2</v>
      </c>
      <c r="EY23" s="4">
        <v>2</v>
      </c>
      <c r="EZ23" s="89">
        <f t="shared" si="19"/>
        <v>7</v>
      </c>
      <c r="FA23" s="4">
        <v>2</v>
      </c>
      <c r="FB23" s="4">
        <v>2</v>
      </c>
      <c r="FC23" s="4">
        <v>3</v>
      </c>
      <c r="FD23" s="4">
        <v>2</v>
      </c>
      <c r="FE23" s="89">
        <f t="shared" si="20"/>
        <v>9</v>
      </c>
      <c r="FF23" s="4">
        <v>1</v>
      </c>
      <c r="FG23" s="4">
        <v>3</v>
      </c>
      <c r="FH23" s="4">
        <v>2</v>
      </c>
      <c r="FI23" s="4">
        <v>4</v>
      </c>
      <c r="FJ23" s="89">
        <f t="shared" si="21"/>
        <v>10</v>
      </c>
      <c r="FK23" s="6">
        <v>4</v>
      </c>
      <c r="FL23" s="4">
        <v>1</v>
      </c>
      <c r="FM23" s="4">
        <v>2</v>
      </c>
      <c r="FN23" s="4">
        <v>1</v>
      </c>
      <c r="FO23" s="89">
        <f t="shared" si="22"/>
        <v>8</v>
      </c>
      <c r="FP23" s="12">
        <v>3</v>
      </c>
      <c r="FQ23" s="4">
        <v>3</v>
      </c>
      <c r="FR23" s="4">
        <v>2</v>
      </c>
      <c r="FS23" s="4">
        <v>1</v>
      </c>
      <c r="FT23" s="89">
        <f t="shared" si="23"/>
        <v>9</v>
      </c>
      <c r="FU23" s="4">
        <v>4</v>
      </c>
      <c r="FV23" s="4">
        <v>4</v>
      </c>
      <c r="FW23" s="4">
        <v>3</v>
      </c>
      <c r="FX23" s="4">
        <v>4</v>
      </c>
      <c r="FY23" s="89">
        <f t="shared" si="24"/>
        <v>15</v>
      </c>
      <c r="FZ23" s="11">
        <v>5</v>
      </c>
      <c r="GA23" s="4">
        <v>5</v>
      </c>
      <c r="GB23" s="4">
        <v>2</v>
      </c>
      <c r="GC23" s="4">
        <v>2</v>
      </c>
      <c r="GD23" s="89">
        <f t="shared" si="25"/>
        <v>14</v>
      </c>
      <c r="GE23" s="4">
        <v>4</v>
      </c>
      <c r="GF23" s="4">
        <v>4</v>
      </c>
      <c r="GG23" s="4">
        <v>4</v>
      </c>
      <c r="GH23" s="4">
        <v>4</v>
      </c>
      <c r="GI23" s="89">
        <f t="shared" si="26"/>
        <v>16</v>
      </c>
      <c r="GJ23" s="4">
        <v>3</v>
      </c>
      <c r="GK23" s="4">
        <v>1</v>
      </c>
      <c r="GL23" s="4">
        <v>3</v>
      </c>
      <c r="GM23" s="4">
        <v>1</v>
      </c>
      <c r="GN23" s="89">
        <f t="shared" si="27"/>
        <v>8</v>
      </c>
      <c r="GO23" s="6">
        <v>3</v>
      </c>
      <c r="GP23" s="4">
        <v>2</v>
      </c>
      <c r="GQ23" s="4">
        <v>5</v>
      </c>
      <c r="GR23" s="4">
        <v>1</v>
      </c>
      <c r="GS23" s="89">
        <f t="shared" si="28"/>
        <v>11</v>
      </c>
      <c r="GT23" s="4">
        <v>2</v>
      </c>
      <c r="GU23" s="4">
        <v>3</v>
      </c>
      <c r="GV23" s="4">
        <v>5</v>
      </c>
      <c r="GW23" s="4">
        <v>3</v>
      </c>
      <c r="GX23" s="89">
        <f t="shared" si="29"/>
        <v>13</v>
      </c>
      <c r="GY23" s="4">
        <v>5</v>
      </c>
      <c r="GZ23" s="4">
        <v>5</v>
      </c>
      <c r="HA23" s="4">
        <v>2</v>
      </c>
      <c r="HB23" s="4">
        <v>1</v>
      </c>
      <c r="HC23" s="89">
        <f t="shared" si="30"/>
        <v>13</v>
      </c>
    </row>
    <row r="24" spans="1:211" ht="15" customHeight="1" x14ac:dyDescent="0.3">
      <c r="A24" s="119" t="s">
        <v>24</v>
      </c>
      <c r="B24" s="6">
        <v>3</v>
      </c>
      <c r="C24" s="4">
        <v>4</v>
      </c>
      <c r="D24" s="4">
        <v>2</v>
      </c>
      <c r="E24" s="4">
        <v>2</v>
      </c>
      <c r="F24" s="89">
        <f t="shared" si="31"/>
        <v>11</v>
      </c>
      <c r="G24" s="6">
        <v>3</v>
      </c>
      <c r="H24" s="4">
        <v>4</v>
      </c>
      <c r="I24" s="4">
        <v>2</v>
      </c>
      <c r="J24" s="4">
        <v>2</v>
      </c>
      <c r="K24" s="89">
        <f t="shared" si="40"/>
        <v>11</v>
      </c>
      <c r="L24" s="6">
        <v>2</v>
      </c>
      <c r="M24" s="4">
        <v>4</v>
      </c>
      <c r="N24" s="4">
        <v>2</v>
      </c>
      <c r="O24" s="4">
        <v>2</v>
      </c>
      <c r="P24" s="89">
        <f t="shared" si="43"/>
        <v>10</v>
      </c>
      <c r="Q24" s="11">
        <v>2</v>
      </c>
      <c r="R24" s="4">
        <v>4</v>
      </c>
      <c r="S24" s="4">
        <v>3</v>
      </c>
      <c r="T24" s="4">
        <v>3</v>
      </c>
      <c r="U24" s="89">
        <f t="shared" si="32"/>
        <v>12</v>
      </c>
      <c r="V24" s="6">
        <v>3</v>
      </c>
      <c r="W24" s="4">
        <v>4</v>
      </c>
      <c r="X24" s="4">
        <v>2</v>
      </c>
      <c r="Y24" s="4">
        <v>2</v>
      </c>
      <c r="Z24" s="89">
        <f t="shared" si="33"/>
        <v>11</v>
      </c>
      <c r="AA24" s="3">
        <v>2</v>
      </c>
      <c r="AB24" s="4">
        <v>4</v>
      </c>
      <c r="AC24" s="4">
        <v>2</v>
      </c>
      <c r="AD24" s="4">
        <v>2</v>
      </c>
      <c r="AE24" s="89">
        <f t="shared" si="34"/>
        <v>10</v>
      </c>
      <c r="AF24" s="6">
        <v>2</v>
      </c>
      <c r="AG24" s="4">
        <v>3</v>
      </c>
      <c r="AH24" s="4">
        <v>3</v>
      </c>
      <c r="AI24" s="4">
        <v>2</v>
      </c>
      <c r="AJ24" s="89">
        <f t="shared" si="35"/>
        <v>10</v>
      </c>
      <c r="AK24" s="4">
        <v>2</v>
      </c>
      <c r="AL24" s="4">
        <v>2</v>
      </c>
      <c r="AM24" s="4">
        <v>2</v>
      </c>
      <c r="AN24" s="4">
        <v>2</v>
      </c>
      <c r="AO24" s="89">
        <f t="shared" si="36"/>
        <v>8</v>
      </c>
      <c r="AP24" s="4">
        <v>2</v>
      </c>
      <c r="AQ24" s="4">
        <v>2</v>
      </c>
      <c r="AR24" s="4">
        <v>3</v>
      </c>
      <c r="AS24" s="4">
        <v>2</v>
      </c>
      <c r="AT24" s="89">
        <f t="shared" si="37"/>
        <v>9</v>
      </c>
      <c r="AU24" s="6">
        <v>2</v>
      </c>
      <c r="AV24" s="4">
        <v>1</v>
      </c>
      <c r="AW24" s="4">
        <v>2</v>
      </c>
      <c r="AX24" s="4">
        <v>1</v>
      </c>
      <c r="AY24" s="89">
        <f t="shared" si="38"/>
        <v>6</v>
      </c>
      <c r="AZ24" s="4">
        <v>2</v>
      </c>
      <c r="BA24" s="4">
        <v>2</v>
      </c>
      <c r="BB24" s="4">
        <v>3</v>
      </c>
      <c r="BC24" s="4">
        <v>2</v>
      </c>
      <c r="BD24" s="89">
        <f t="shared" si="39"/>
        <v>9</v>
      </c>
      <c r="BE24" s="4">
        <v>3</v>
      </c>
      <c r="BF24" s="4">
        <v>1</v>
      </c>
      <c r="BG24" s="4">
        <v>3</v>
      </c>
      <c r="BH24" s="4">
        <v>2</v>
      </c>
      <c r="BI24" s="89">
        <f t="shared" si="0"/>
        <v>9</v>
      </c>
      <c r="BJ24" s="3">
        <v>2</v>
      </c>
      <c r="BK24" s="4">
        <v>2</v>
      </c>
      <c r="BL24" s="4">
        <v>3</v>
      </c>
      <c r="BM24" s="4">
        <v>2</v>
      </c>
      <c r="BN24" s="90">
        <f t="shared" si="41"/>
        <v>9</v>
      </c>
      <c r="BO24" s="4">
        <v>2</v>
      </c>
      <c r="BP24" s="4">
        <v>2</v>
      </c>
      <c r="BQ24" s="4">
        <v>3</v>
      </c>
      <c r="BR24" s="4">
        <v>2</v>
      </c>
      <c r="BS24" s="90">
        <f t="shared" si="42"/>
        <v>9</v>
      </c>
      <c r="BT24" s="4">
        <v>2</v>
      </c>
      <c r="BU24" s="4">
        <v>2</v>
      </c>
      <c r="BV24" s="4">
        <v>1</v>
      </c>
      <c r="BW24" s="4">
        <v>1</v>
      </c>
      <c r="BX24" s="90">
        <f t="shared" si="44"/>
        <v>6</v>
      </c>
      <c r="BY24" s="11">
        <v>1</v>
      </c>
      <c r="BZ24" s="4">
        <v>3</v>
      </c>
      <c r="CA24" s="4">
        <v>1</v>
      </c>
      <c r="CB24" s="4">
        <v>4</v>
      </c>
      <c r="CC24" s="89">
        <f t="shared" si="4"/>
        <v>9</v>
      </c>
      <c r="CD24" s="4">
        <v>4</v>
      </c>
      <c r="CE24" s="4">
        <v>5</v>
      </c>
      <c r="CF24" s="4">
        <v>4</v>
      </c>
      <c r="CG24" s="4">
        <v>3</v>
      </c>
      <c r="CH24" s="89">
        <f t="shared" si="5"/>
        <v>16</v>
      </c>
      <c r="CI24" s="4">
        <v>1</v>
      </c>
      <c r="CJ24" s="4">
        <v>5</v>
      </c>
      <c r="CK24" s="4">
        <v>5</v>
      </c>
      <c r="CL24" s="4">
        <v>2</v>
      </c>
      <c r="CM24" s="89">
        <f t="shared" si="6"/>
        <v>13</v>
      </c>
      <c r="CN24" s="6">
        <v>1</v>
      </c>
      <c r="CO24" s="4">
        <v>3</v>
      </c>
      <c r="CP24" s="4">
        <v>2</v>
      </c>
      <c r="CQ24" s="4">
        <v>2</v>
      </c>
      <c r="CR24" s="89">
        <f t="shared" si="7"/>
        <v>8</v>
      </c>
      <c r="CS24" s="4">
        <v>1</v>
      </c>
      <c r="CT24" s="4">
        <v>4</v>
      </c>
      <c r="CU24" s="4">
        <v>2</v>
      </c>
      <c r="CV24" s="4">
        <v>5</v>
      </c>
      <c r="CW24" s="89">
        <f t="shared" si="8"/>
        <v>12</v>
      </c>
      <c r="CX24" s="4">
        <v>2</v>
      </c>
      <c r="CY24" s="4">
        <v>5</v>
      </c>
      <c r="CZ24" s="4">
        <v>4</v>
      </c>
      <c r="DA24" s="4">
        <v>4</v>
      </c>
      <c r="DB24" s="89">
        <f t="shared" si="9"/>
        <v>15</v>
      </c>
      <c r="DC24" s="6">
        <v>3</v>
      </c>
      <c r="DD24" s="4">
        <v>1</v>
      </c>
      <c r="DE24" s="4">
        <v>1</v>
      </c>
      <c r="DF24" s="4">
        <v>1</v>
      </c>
      <c r="DG24" s="89">
        <f t="shared" si="10"/>
        <v>6</v>
      </c>
      <c r="DH24" s="4">
        <v>2</v>
      </c>
      <c r="DI24" s="4">
        <v>1</v>
      </c>
      <c r="DJ24" s="4">
        <v>3</v>
      </c>
      <c r="DK24" s="4">
        <v>5</v>
      </c>
      <c r="DL24" s="89">
        <f t="shared" si="11"/>
        <v>11</v>
      </c>
      <c r="DM24" s="4">
        <v>2</v>
      </c>
      <c r="DN24" s="4">
        <v>3</v>
      </c>
      <c r="DO24" s="4">
        <v>2</v>
      </c>
      <c r="DP24" s="4">
        <v>5</v>
      </c>
      <c r="DQ24" s="89">
        <f t="shared" si="12"/>
        <v>12</v>
      </c>
      <c r="DR24" s="6">
        <v>1</v>
      </c>
      <c r="DS24" s="6">
        <v>1</v>
      </c>
      <c r="DT24" s="4">
        <v>1</v>
      </c>
      <c r="DU24" s="4">
        <v>1</v>
      </c>
      <c r="DV24" s="89">
        <f t="shared" si="13"/>
        <v>4</v>
      </c>
      <c r="DW24" s="12">
        <v>3</v>
      </c>
      <c r="DX24" s="4">
        <v>2</v>
      </c>
      <c r="DY24" s="4">
        <v>3</v>
      </c>
      <c r="DZ24" s="4">
        <v>4</v>
      </c>
      <c r="EA24" s="89">
        <f t="shared" si="14"/>
        <v>12</v>
      </c>
      <c r="EB24" s="4">
        <v>4</v>
      </c>
      <c r="EC24" s="4">
        <v>1</v>
      </c>
      <c r="ED24" s="4">
        <v>3</v>
      </c>
      <c r="EE24" s="4">
        <v>1</v>
      </c>
      <c r="EF24" s="89">
        <f t="shared" si="15"/>
        <v>9</v>
      </c>
      <c r="EG24" s="6">
        <v>1</v>
      </c>
      <c r="EH24" s="4">
        <v>3</v>
      </c>
      <c r="EI24" s="4">
        <v>1</v>
      </c>
      <c r="EJ24" s="4">
        <v>4</v>
      </c>
      <c r="EK24" s="89">
        <f t="shared" si="16"/>
        <v>9</v>
      </c>
      <c r="EL24" s="4">
        <v>2</v>
      </c>
      <c r="EM24" s="4">
        <v>1</v>
      </c>
      <c r="EN24" s="4">
        <v>4</v>
      </c>
      <c r="EO24" s="4">
        <v>4</v>
      </c>
      <c r="EP24" s="89">
        <f t="shared" si="17"/>
        <v>11</v>
      </c>
      <c r="EQ24" s="4">
        <v>3</v>
      </c>
      <c r="ER24" s="4">
        <v>4</v>
      </c>
      <c r="ES24" s="4">
        <v>2</v>
      </c>
      <c r="ET24" s="4">
        <v>2</v>
      </c>
      <c r="EU24" s="89">
        <f t="shared" si="18"/>
        <v>11</v>
      </c>
      <c r="EV24" s="6">
        <v>2</v>
      </c>
      <c r="EW24" s="4">
        <v>2</v>
      </c>
      <c r="EX24" s="4">
        <v>3</v>
      </c>
      <c r="EY24" s="4">
        <v>1</v>
      </c>
      <c r="EZ24" s="89">
        <f t="shared" si="19"/>
        <v>8</v>
      </c>
      <c r="FA24" s="4">
        <v>2</v>
      </c>
      <c r="FB24" s="4">
        <v>4</v>
      </c>
      <c r="FC24" s="4">
        <v>4</v>
      </c>
      <c r="FD24" s="4">
        <v>1</v>
      </c>
      <c r="FE24" s="89">
        <f t="shared" si="20"/>
        <v>11</v>
      </c>
      <c r="FF24" s="4">
        <v>3</v>
      </c>
      <c r="FG24" s="4">
        <v>1</v>
      </c>
      <c r="FH24" s="4">
        <v>3</v>
      </c>
      <c r="FI24" s="4">
        <v>1</v>
      </c>
      <c r="FJ24" s="89">
        <f t="shared" si="21"/>
        <v>8</v>
      </c>
      <c r="FK24" s="6">
        <v>4</v>
      </c>
      <c r="FL24" s="4">
        <v>2</v>
      </c>
      <c r="FM24" s="4">
        <v>4</v>
      </c>
      <c r="FN24" s="4">
        <v>1</v>
      </c>
      <c r="FO24" s="89">
        <f t="shared" si="22"/>
        <v>11</v>
      </c>
      <c r="FP24" s="4">
        <v>4</v>
      </c>
      <c r="FQ24" s="4">
        <v>4</v>
      </c>
      <c r="FR24" s="4">
        <v>1</v>
      </c>
      <c r="FS24" s="4">
        <v>2</v>
      </c>
      <c r="FT24" s="89">
        <f t="shared" si="23"/>
        <v>11</v>
      </c>
      <c r="FU24" s="4">
        <v>4</v>
      </c>
      <c r="FV24" s="4">
        <v>4</v>
      </c>
      <c r="FW24" s="4">
        <v>3</v>
      </c>
      <c r="FX24" s="4">
        <v>1</v>
      </c>
      <c r="FY24" s="89">
        <f t="shared" si="24"/>
        <v>12</v>
      </c>
      <c r="FZ24" s="11">
        <v>2</v>
      </c>
      <c r="GA24" s="4">
        <v>3</v>
      </c>
      <c r="GB24" s="4">
        <v>2</v>
      </c>
      <c r="GC24" s="4">
        <v>3</v>
      </c>
      <c r="GD24" s="89">
        <f t="shared" si="25"/>
        <v>10</v>
      </c>
      <c r="GE24" s="4">
        <v>3</v>
      </c>
      <c r="GF24" s="4">
        <v>3</v>
      </c>
      <c r="GG24" s="4">
        <v>1</v>
      </c>
      <c r="GH24" s="4">
        <v>3</v>
      </c>
      <c r="GI24" s="89">
        <f t="shared" si="26"/>
        <v>10</v>
      </c>
      <c r="GJ24" s="4">
        <v>5</v>
      </c>
      <c r="GK24" s="4">
        <v>3</v>
      </c>
      <c r="GL24" s="4">
        <v>3</v>
      </c>
      <c r="GM24" s="4">
        <v>3</v>
      </c>
      <c r="GN24" s="89">
        <f t="shared" si="27"/>
        <v>14</v>
      </c>
      <c r="GO24" s="6">
        <v>3</v>
      </c>
      <c r="GP24" s="4">
        <v>1</v>
      </c>
      <c r="GQ24" s="4">
        <v>5</v>
      </c>
      <c r="GR24" s="4">
        <v>4</v>
      </c>
      <c r="GS24" s="89">
        <f t="shared" si="28"/>
        <v>13</v>
      </c>
      <c r="GT24" s="4">
        <v>5</v>
      </c>
      <c r="GU24" s="4">
        <v>5</v>
      </c>
      <c r="GV24" s="4">
        <v>1</v>
      </c>
      <c r="GW24" s="4">
        <v>1</v>
      </c>
      <c r="GX24" s="89">
        <f t="shared" si="29"/>
        <v>12</v>
      </c>
      <c r="GY24" s="4">
        <v>4</v>
      </c>
      <c r="GZ24" s="4">
        <v>2</v>
      </c>
      <c r="HA24" s="4">
        <v>2</v>
      </c>
      <c r="HB24" s="4">
        <v>5</v>
      </c>
      <c r="HC24" s="89">
        <f t="shared" si="30"/>
        <v>13</v>
      </c>
    </row>
    <row r="25" spans="1:211" ht="15" customHeight="1" x14ac:dyDescent="0.3">
      <c r="A25" s="119" t="s">
        <v>25</v>
      </c>
      <c r="B25" s="6">
        <v>2</v>
      </c>
      <c r="C25" s="4">
        <v>2</v>
      </c>
      <c r="D25" s="4">
        <v>2</v>
      </c>
      <c r="E25" s="4">
        <v>2</v>
      </c>
      <c r="F25" s="89">
        <f t="shared" si="31"/>
        <v>8</v>
      </c>
      <c r="G25" s="6">
        <v>3</v>
      </c>
      <c r="H25" s="4">
        <v>3</v>
      </c>
      <c r="I25" s="4">
        <v>2</v>
      </c>
      <c r="J25" s="4">
        <v>1</v>
      </c>
      <c r="K25" s="89">
        <f t="shared" si="40"/>
        <v>9</v>
      </c>
      <c r="L25" s="6">
        <v>2</v>
      </c>
      <c r="M25" s="4">
        <v>3</v>
      </c>
      <c r="N25" s="4">
        <v>2</v>
      </c>
      <c r="O25" s="4">
        <v>1</v>
      </c>
      <c r="P25" s="89">
        <f t="shared" si="43"/>
        <v>8</v>
      </c>
      <c r="Q25" s="11">
        <v>2</v>
      </c>
      <c r="R25" s="4">
        <v>3</v>
      </c>
      <c r="S25" s="4">
        <v>2</v>
      </c>
      <c r="T25" s="4">
        <v>1</v>
      </c>
      <c r="U25" s="89">
        <f t="shared" si="32"/>
        <v>8</v>
      </c>
      <c r="V25" s="6">
        <v>1</v>
      </c>
      <c r="W25" s="4">
        <v>4</v>
      </c>
      <c r="X25" s="4">
        <v>3</v>
      </c>
      <c r="Y25" s="4">
        <v>1</v>
      </c>
      <c r="Z25" s="89">
        <f t="shared" si="33"/>
        <v>9</v>
      </c>
      <c r="AA25" s="3">
        <v>2</v>
      </c>
      <c r="AB25" s="4">
        <v>4</v>
      </c>
      <c r="AC25" s="4">
        <v>3</v>
      </c>
      <c r="AD25" s="4">
        <v>1</v>
      </c>
      <c r="AE25" s="89">
        <f t="shared" si="34"/>
        <v>10</v>
      </c>
      <c r="AF25" s="6">
        <v>2</v>
      </c>
      <c r="AG25" s="4">
        <v>4</v>
      </c>
      <c r="AH25" s="4">
        <v>2</v>
      </c>
      <c r="AI25" s="4">
        <v>1</v>
      </c>
      <c r="AJ25" s="89">
        <f t="shared" si="35"/>
        <v>9</v>
      </c>
      <c r="AK25" s="4">
        <v>2</v>
      </c>
      <c r="AL25" s="4">
        <v>4</v>
      </c>
      <c r="AM25" s="4">
        <v>3</v>
      </c>
      <c r="AN25" s="4">
        <v>1</v>
      </c>
      <c r="AO25" s="89">
        <f t="shared" si="36"/>
        <v>10</v>
      </c>
      <c r="AP25" s="4">
        <v>2</v>
      </c>
      <c r="AQ25" s="4">
        <v>3</v>
      </c>
      <c r="AR25" s="4">
        <v>3</v>
      </c>
      <c r="AS25" s="4">
        <v>1</v>
      </c>
      <c r="AT25" s="89">
        <f t="shared" si="37"/>
        <v>9</v>
      </c>
      <c r="AU25" s="6">
        <v>1</v>
      </c>
      <c r="AV25" s="4">
        <v>3</v>
      </c>
      <c r="AW25" s="4">
        <v>2</v>
      </c>
      <c r="AX25" s="4">
        <v>1</v>
      </c>
      <c r="AY25" s="89">
        <f t="shared" si="38"/>
        <v>7</v>
      </c>
      <c r="AZ25" s="4">
        <v>3</v>
      </c>
      <c r="BA25" s="4">
        <v>3</v>
      </c>
      <c r="BB25" s="4">
        <v>3</v>
      </c>
      <c r="BC25" s="4">
        <v>1</v>
      </c>
      <c r="BD25" s="89">
        <f t="shared" si="39"/>
        <v>10</v>
      </c>
      <c r="BE25" s="4">
        <v>2</v>
      </c>
      <c r="BF25" s="4">
        <v>3</v>
      </c>
      <c r="BG25" s="4">
        <v>3</v>
      </c>
      <c r="BH25" s="4">
        <v>2</v>
      </c>
      <c r="BI25" s="89">
        <f t="shared" si="0"/>
        <v>10</v>
      </c>
      <c r="BJ25" s="3">
        <v>1</v>
      </c>
      <c r="BK25" s="4">
        <v>3</v>
      </c>
      <c r="BL25" s="4">
        <v>3</v>
      </c>
      <c r="BM25" s="4">
        <v>2</v>
      </c>
      <c r="BN25" s="90">
        <f t="shared" si="41"/>
        <v>9</v>
      </c>
      <c r="BO25" s="4">
        <v>2</v>
      </c>
      <c r="BP25" s="4">
        <v>2</v>
      </c>
      <c r="BQ25" s="4">
        <v>2</v>
      </c>
      <c r="BR25" s="4">
        <v>2</v>
      </c>
      <c r="BS25" s="90">
        <f t="shared" si="42"/>
        <v>8</v>
      </c>
      <c r="BT25" s="4">
        <v>3</v>
      </c>
      <c r="BU25" s="4">
        <v>3</v>
      </c>
      <c r="BV25" s="4">
        <v>2</v>
      </c>
      <c r="BW25" s="4">
        <v>2</v>
      </c>
      <c r="BX25" s="90">
        <f t="shared" si="44"/>
        <v>10</v>
      </c>
      <c r="BY25" s="11">
        <v>5</v>
      </c>
      <c r="BZ25" s="4">
        <v>2</v>
      </c>
      <c r="CA25" s="4">
        <v>3</v>
      </c>
      <c r="CB25" s="4">
        <v>2</v>
      </c>
      <c r="CC25" s="89">
        <f t="shared" si="4"/>
        <v>12</v>
      </c>
      <c r="CD25" s="4">
        <v>1</v>
      </c>
      <c r="CE25" s="4">
        <v>1</v>
      </c>
      <c r="CF25" s="4">
        <v>4</v>
      </c>
      <c r="CG25" s="4">
        <v>2</v>
      </c>
      <c r="CH25" s="89">
        <f t="shared" si="5"/>
        <v>8</v>
      </c>
      <c r="CI25" s="4">
        <v>4</v>
      </c>
      <c r="CJ25" s="4">
        <v>5</v>
      </c>
      <c r="CK25" s="4">
        <v>3</v>
      </c>
      <c r="CL25" s="4">
        <v>4</v>
      </c>
      <c r="CM25" s="89">
        <f t="shared" si="6"/>
        <v>16</v>
      </c>
      <c r="CN25" s="6">
        <v>2</v>
      </c>
      <c r="CO25" s="4">
        <v>4</v>
      </c>
      <c r="CP25" s="4">
        <v>5</v>
      </c>
      <c r="CQ25" s="4">
        <v>5</v>
      </c>
      <c r="CR25" s="89">
        <f t="shared" si="7"/>
        <v>16</v>
      </c>
      <c r="CS25" s="4">
        <v>5</v>
      </c>
      <c r="CT25" s="4">
        <v>2</v>
      </c>
      <c r="CU25" s="4">
        <v>5</v>
      </c>
      <c r="CV25" s="4">
        <v>5</v>
      </c>
      <c r="CW25" s="89">
        <f t="shared" si="8"/>
        <v>17</v>
      </c>
      <c r="CX25" s="4">
        <v>2</v>
      </c>
      <c r="CY25" s="4">
        <v>5</v>
      </c>
      <c r="CZ25" s="4">
        <v>1</v>
      </c>
      <c r="DA25" s="4">
        <v>3</v>
      </c>
      <c r="DB25" s="89">
        <f t="shared" si="9"/>
        <v>11</v>
      </c>
      <c r="DC25" s="6">
        <v>2</v>
      </c>
      <c r="DD25" s="4">
        <v>3</v>
      </c>
      <c r="DE25" s="4">
        <v>3</v>
      </c>
      <c r="DF25" s="4">
        <v>3</v>
      </c>
      <c r="DG25" s="89">
        <f t="shared" si="10"/>
        <v>11</v>
      </c>
      <c r="DH25" s="4">
        <v>1</v>
      </c>
      <c r="DI25" s="4">
        <v>5</v>
      </c>
      <c r="DJ25" s="4">
        <v>2</v>
      </c>
      <c r="DK25" s="4">
        <v>2</v>
      </c>
      <c r="DL25" s="89">
        <f t="shared" si="11"/>
        <v>10</v>
      </c>
      <c r="DM25" s="4">
        <v>2</v>
      </c>
      <c r="DN25" s="4">
        <v>3</v>
      </c>
      <c r="DO25" s="4">
        <v>2</v>
      </c>
      <c r="DP25" s="4">
        <v>4</v>
      </c>
      <c r="DQ25" s="89">
        <f t="shared" si="12"/>
        <v>11</v>
      </c>
      <c r="DR25" s="6">
        <v>2</v>
      </c>
      <c r="DS25" s="6">
        <v>2</v>
      </c>
      <c r="DT25" s="4">
        <v>5</v>
      </c>
      <c r="DU25" s="4">
        <v>3</v>
      </c>
      <c r="DV25" s="89">
        <f t="shared" si="13"/>
        <v>12</v>
      </c>
      <c r="DW25" s="12">
        <v>3</v>
      </c>
      <c r="DX25" s="4">
        <v>2</v>
      </c>
      <c r="DY25" s="4">
        <v>1</v>
      </c>
      <c r="DZ25" s="4">
        <v>2</v>
      </c>
      <c r="EA25" s="89">
        <f t="shared" si="14"/>
        <v>8</v>
      </c>
      <c r="EB25" s="4">
        <v>2</v>
      </c>
      <c r="EC25" s="4">
        <v>1</v>
      </c>
      <c r="ED25" s="4">
        <v>4</v>
      </c>
      <c r="EE25" s="4">
        <v>4</v>
      </c>
      <c r="EF25" s="89">
        <f t="shared" si="15"/>
        <v>11</v>
      </c>
      <c r="EG25" s="6">
        <v>2</v>
      </c>
      <c r="EH25" s="4">
        <v>4</v>
      </c>
      <c r="EI25" s="4">
        <v>3</v>
      </c>
      <c r="EJ25" s="4">
        <v>4</v>
      </c>
      <c r="EK25" s="89">
        <f t="shared" si="16"/>
        <v>13</v>
      </c>
      <c r="EL25" s="4">
        <v>2</v>
      </c>
      <c r="EM25" s="4">
        <v>2</v>
      </c>
      <c r="EN25" s="4">
        <v>1</v>
      </c>
      <c r="EO25" s="4">
        <v>2</v>
      </c>
      <c r="EP25" s="89">
        <f t="shared" si="17"/>
        <v>7</v>
      </c>
      <c r="EQ25" s="4">
        <v>2</v>
      </c>
      <c r="ER25" s="4">
        <v>2</v>
      </c>
      <c r="ES25" s="4">
        <v>3</v>
      </c>
      <c r="ET25" s="4">
        <v>4</v>
      </c>
      <c r="EU25" s="89">
        <f t="shared" si="18"/>
        <v>11</v>
      </c>
      <c r="EV25" s="6">
        <v>4</v>
      </c>
      <c r="EW25" s="4">
        <v>3</v>
      </c>
      <c r="EX25" s="4">
        <v>3</v>
      </c>
      <c r="EY25" s="4">
        <v>1</v>
      </c>
      <c r="EZ25" s="89">
        <f t="shared" si="19"/>
        <v>11</v>
      </c>
      <c r="FA25" s="4">
        <v>3</v>
      </c>
      <c r="FB25" s="4">
        <v>3</v>
      </c>
      <c r="FC25" s="4">
        <v>1</v>
      </c>
      <c r="FD25" s="4">
        <v>1</v>
      </c>
      <c r="FE25" s="89">
        <f t="shared" si="20"/>
        <v>8</v>
      </c>
      <c r="FF25" s="4">
        <v>1</v>
      </c>
      <c r="FG25" s="4">
        <v>2</v>
      </c>
      <c r="FH25" s="4">
        <v>2</v>
      </c>
      <c r="FI25" s="4">
        <v>3</v>
      </c>
      <c r="FJ25" s="89">
        <f t="shared" si="21"/>
        <v>8</v>
      </c>
      <c r="FK25" s="6">
        <v>3</v>
      </c>
      <c r="FL25" s="4">
        <v>3</v>
      </c>
      <c r="FM25" s="4">
        <v>2</v>
      </c>
      <c r="FN25" s="4">
        <v>4</v>
      </c>
      <c r="FO25" s="89">
        <f t="shared" si="22"/>
        <v>12</v>
      </c>
      <c r="FP25" s="12">
        <v>4</v>
      </c>
      <c r="FQ25" s="4">
        <v>2</v>
      </c>
      <c r="FR25" s="4">
        <v>4</v>
      </c>
      <c r="FS25" s="4">
        <v>1</v>
      </c>
      <c r="FT25" s="89">
        <f t="shared" si="23"/>
        <v>11</v>
      </c>
      <c r="FU25" s="4">
        <v>3</v>
      </c>
      <c r="FV25" s="4">
        <v>1</v>
      </c>
      <c r="FW25" s="4">
        <v>1</v>
      </c>
      <c r="FX25" s="4">
        <v>2</v>
      </c>
      <c r="FY25" s="89">
        <f t="shared" si="24"/>
        <v>7</v>
      </c>
      <c r="FZ25" s="11">
        <v>4</v>
      </c>
      <c r="GA25" s="4">
        <v>2</v>
      </c>
      <c r="GB25" s="4">
        <v>1</v>
      </c>
      <c r="GC25" s="4">
        <v>1</v>
      </c>
      <c r="GD25" s="89">
        <f t="shared" si="25"/>
        <v>8</v>
      </c>
      <c r="GE25" s="4">
        <v>3</v>
      </c>
      <c r="GF25" s="4">
        <v>5</v>
      </c>
      <c r="GG25" s="4">
        <v>3</v>
      </c>
      <c r="GH25" s="4">
        <v>1</v>
      </c>
      <c r="GI25" s="89">
        <f t="shared" si="26"/>
        <v>12</v>
      </c>
      <c r="GJ25" s="4">
        <v>4</v>
      </c>
      <c r="GK25" s="4">
        <v>5</v>
      </c>
      <c r="GL25" s="4">
        <v>2</v>
      </c>
      <c r="GM25" s="4">
        <v>1</v>
      </c>
      <c r="GN25" s="89">
        <f t="shared" si="27"/>
        <v>12</v>
      </c>
      <c r="GO25" s="6">
        <v>4</v>
      </c>
      <c r="GP25" s="4">
        <v>4</v>
      </c>
      <c r="GQ25" s="4">
        <v>4</v>
      </c>
      <c r="GR25" s="4">
        <v>4</v>
      </c>
      <c r="GS25" s="89">
        <f t="shared" si="28"/>
        <v>16</v>
      </c>
      <c r="GT25" s="4">
        <v>4</v>
      </c>
      <c r="GU25" s="4">
        <v>5</v>
      </c>
      <c r="GV25" s="4">
        <v>2</v>
      </c>
      <c r="GW25" s="4">
        <v>2</v>
      </c>
      <c r="GX25" s="89">
        <f t="shared" si="29"/>
        <v>13</v>
      </c>
      <c r="GY25" s="4">
        <v>3</v>
      </c>
      <c r="GZ25" s="4">
        <v>4</v>
      </c>
      <c r="HA25" s="4">
        <v>1</v>
      </c>
      <c r="HB25" s="4">
        <v>3</v>
      </c>
      <c r="HC25" s="89">
        <f t="shared" si="30"/>
        <v>11</v>
      </c>
    </row>
    <row r="26" spans="1:211" ht="15" customHeight="1" x14ac:dyDescent="0.3">
      <c r="A26" s="119" t="s">
        <v>26</v>
      </c>
      <c r="B26" s="6">
        <v>2</v>
      </c>
      <c r="C26" s="4">
        <v>3</v>
      </c>
      <c r="D26" s="4">
        <v>2</v>
      </c>
      <c r="E26" s="4">
        <v>2</v>
      </c>
      <c r="F26" s="89">
        <f t="shared" si="31"/>
        <v>9</v>
      </c>
      <c r="G26" s="6">
        <v>5</v>
      </c>
      <c r="H26" s="4">
        <v>4</v>
      </c>
      <c r="I26" s="4">
        <v>4</v>
      </c>
      <c r="J26" s="4">
        <v>4</v>
      </c>
      <c r="K26" s="89">
        <f t="shared" si="40"/>
        <v>17</v>
      </c>
      <c r="L26" s="6">
        <v>2</v>
      </c>
      <c r="M26" s="4">
        <v>3</v>
      </c>
      <c r="N26" s="4">
        <v>3</v>
      </c>
      <c r="O26" s="4">
        <v>3</v>
      </c>
      <c r="P26" s="89">
        <f t="shared" si="43"/>
        <v>11</v>
      </c>
      <c r="Q26" s="11">
        <v>2</v>
      </c>
      <c r="R26" s="4">
        <v>2</v>
      </c>
      <c r="S26" s="4">
        <v>2</v>
      </c>
      <c r="T26" s="4">
        <v>4</v>
      </c>
      <c r="U26" s="89">
        <f t="shared" si="32"/>
        <v>10</v>
      </c>
      <c r="V26" s="6">
        <v>3</v>
      </c>
      <c r="W26" s="4">
        <v>3</v>
      </c>
      <c r="X26" s="4">
        <v>2</v>
      </c>
      <c r="Y26" s="4">
        <v>3</v>
      </c>
      <c r="Z26" s="89">
        <f t="shared" si="33"/>
        <v>11</v>
      </c>
      <c r="AA26" s="3">
        <v>3</v>
      </c>
      <c r="AB26" s="4">
        <v>4</v>
      </c>
      <c r="AC26" s="4">
        <v>2</v>
      </c>
      <c r="AD26" s="4">
        <v>3</v>
      </c>
      <c r="AE26" s="89">
        <f t="shared" si="34"/>
        <v>12</v>
      </c>
      <c r="AF26" s="6">
        <v>3</v>
      </c>
      <c r="AG26" s="4">
        <v>5</v>
      </c>
      <c r="AH26" s="4">
        <v>2</v>
      </c>
      <c r="AI26" s="4">
        <v>3</v>
      </c>
      <c r="AJ26" s="89">
        <f t="shared" si="35"/>
        <v>13</v>
      </c>
      <c r="AK26" s="4">
        <v>3</v>
      </c>
      <c r="AL26" s="4">
        <v>3</v>
      </c>
      <c r="AM26" s="4">
        <v>2</v>
      </c>
      <c r="AN26" s="4">
        <v>4</v>
      </c>
      <c r="AO26" s="89">
        <f t="shared" si="36"/>
        <v>12</v>
      </c>
      <c r="AP26" s="4">
        <v>3</v>
      </c>
      <c r="AQ26" s="4">
        <v>3</v>
      </c>
      <c r="AR26" s="4">
        <v>2</v>
      </c>
      <c r="AS26" s="4">
        <v>3</v>
      </c>
      <c r="AT26" s="89">
        <f t="shared" si="37"/>
        <v>11</v>
      </c>
      <c r="AU26" s="6">
        <v>6</v>
      </c>
      <c r="AV26" s="4">
        <v>3</v>
      </c>
      <c r="AW26" s="4">
        <v>5</v>
      </c>
      <c r="AX26" s="4">
        <v>4</v>
      </c>
      <c r="AY26" s="89">
        <f t="shared" si="38"/>
        <v>18</v>
      </c>
      <c r="AZ26" s="4">
        <v>3</v>
      </c>
      <c r="BA26" s="4">
        <v>3</v>
      </c>
      <c r="BB26" s="4">
        <v>2</v>
      </c>
      <c r="BC26" s="4">
        <v>3</v>
      </c>
      <c r="BD26" s="89">
        <f t="shared" si="39"/>
        <v>11</v>
      </c>
      <c r="BE26" s="4">
        <v>2</v>
      </c>
      <c r="BF26" s="4">
        <v>3</v>
      </c>
      <c r="BG26" s="4">
        <v>2</v>
      </c>
      <c r="BH26" s="4">
        <v>3</v>
      </c>
      <c r="BI26" s="89">
        <f t="shared" si="0"/>
        <v>10</v>
      </c>
      <c r="BJ26" s="3">
        <v>3</v>
      </c>
      <c r="BK26" s="4">
        <v>2</v>
      </c>
      <c r="BL26" s="4">
        <v>3</v>
      </c>
      <c r="BM26" s="4">
        <v>3</v>
      </c>
      <c r="BN26" s="90">
        <f t="shared" si="41"/>
        <v>11</v>
      </c>
      <c r="BO26" s="4">
        <v>3</v>
      </c>
      <c r="BP26" s="4">
        <v>3</v>
      </c>
      <c r="BQ26" s="4">
        <v>3</v>
      </c>
      <c r="BR26" s="4">
        <v>2</v>
      </c>
      <c r="BS26" s="90">
        <f t="shared" si="42"/>
        <v>11</v>
      </c>
      <c r="BT26" s="4">
        <v>3</v>
      </c>
      <c r="BU26" s="4">
        <v>3</v>
      </c>
      <c r="BV26" s="4">
        <v>2</v>
      </c>
      <c r="BW26" s="4">
        <v>4</v>
      </c>
      <c r="BX26" s="90">
        <f t="shared" si="44"/>
        <v>12</v>
      </c>
      <c r="BY26" s="11">
        <v>5</v>
      </c>
      <c r="BZ26" s="4">
        <v>1</v>
      </c>
      <c r="CA26" s="4">
        <v>4</v>
      </c>
      <c r="CB26" s="4">
        <v>5</v>
      </c>
      <c r="CC26" s="89">
        <f t="shared" si="4"/>
        <v>15</v>
      </c>
      <c r="CD26" s="4">
        <v>1</v>
      </c>
      <c r="CE26" s="4">
        <v>5</v>
      </c>
      <c r="CF26" s="4">
        <v>1</v>
      </c>
      <c r="CG26" s="4">
        <v>1</v>
      </c>
      <c r="CH26" s="89">
        <f t="shared" si="5"/>
        <v>8</v>
      </c>
      <c r="CI26" s="4">
        <v>1</v>
      </c>
      <c r="CJ26" s="4">
        <v>5</v>
      </c>
      <c r="CK26" s="4">
        <v>5</v>
      </c>
      <c r="CL26" s="4">
        <v>1</v>
      </c>
      <c r="CM26" s="89">
        <f t="shared" si="6"/>
        <v>12</v>
      </c>
      <c r="CN26" s="6">
        <v>3</v>
      </c>
      <c r="CO26" s="4">
        <v>5</v>
      </c>
      <c r="CP26" s="4">
        <v>4</v>
      </c>
      <c r="CQ26" s="4">
        <v>4</v>
      </c>
      <c r="CR26" s="89">
        <f t="shared" si="7"/>
        <v>16</v>
      </c>
      <c r="CS26" s="4">
        <v>4</v>
      </c>
      <c r="CT26" s="4">
        <v>1</v>
      </c>
      <c r="CU26" s="4">
        <v>5</v>
      </c>
      <c r="CV26" s="4">
        <v>1</v>
      </c>
      <c r="CW26" s="89">
        <f t="shared" si="8"/>
        <v>11</v>
      </c>
      <c r="CX26" s="4">
        <v>2</v>
      </c>
      <c r="CY26" s="4">
        <v>5</v>
      </c>
      <c r="CZ26" s="4">
        <v>2</v>
      </c>
      <c r="DA26" s="4">
        <v>3</v>
      </c>
      <c r="DB26" s="89">
        <f t="shared" si="9"/>
        <v>12</v>
      </c>
      <c r="DC26" s="6">
        <v>5</v>
      </c>
      <c r="DD26" s="4">
        <v>5</v>
      </c>
      <c r="DE26" s="4">
        <v>4</v>
      </c>
      <c r="DF26" s="4">
        <v>3</v>
      </c>
      <c r="DG26" s="89">
        <f t="shared" si="10"/>
        <v>17</v>
      </c>
      <c r="DH26" s="4">
        <v>5</v>
      </c>
      <c r="DI26" s="4">
        <v>1</v>
      </c>
      <c r="DJ26" s="4">
        <v>4</v>
      </c>
      <c r="DK26" s="4">
        <v>2</v>
      </c>
      <c r="DL26" s="89">
        <f t="shared" si="11"/>
        <v>12</v>
      </c>
      <c r="DM26" s="4">
        <v>3</v>
      </c>
      <c r="DN26" s="4">
        <v>3</v>
      </c>
      <c r="DO26" s="4">
        <v>4</v>
      </c>
      <c r="DP26" s="4">
        <v>3</v>
      </c>
      <c r="DQ26" s="89">
        <f t="shared" si="12"/>
        <v>13</v>
      </c>
      <c r="DR26" s="6">
        <v>4</v>
      </c>
      <c r="DS26" s="6">
        <v>1</v>
      </c>
      <c r="DT26" s="12">
        <v>2</v>
      </c>
      <c r="DU26" s="12">
        <v>5</v>
      </c>
      <c r="DV26" s="89">
        <f t="shared" si="13"/>
        <v>12</v>
      </c>
      <c r="DW26" s="12">
        <v>1</v>
      </c>
      <c r="DX26" s="4">
        <v>3</v>
      </c>
      <c r="DY26" s="4">
        <v>1</v>
      </c>
      <c r="DZ26" s="4">
        <v>3</v>
      </c>
      <c r="EA26" s="89">
        <f t="shared" si="14"/>
        <v>8</v>
      </c>
      <c r="EB26" s="4">
        <v>4</v>
      </c>
      <c r="EC26" s="4">
        <v>3</v>
      </c>
      <c r="ED26" s="4">
        <v>1</v>
      </c>
      <c r="EE26" s="4">
        <v>3</v>
      </c>
      <c r="EF26" s="89">
        <f t="shared" si="15"/>
        <v>11</v>
      </c>
      <c r="EG26" s="6">
        <v>1</v>
      </c>
      <c r="EH26" s="4">
        <v>2</v>
      </c>
      <c r="EI26" s="4">
        <v>1</v>
      </c>
      <c r="EJ26" s="4">
        <v>1</v>
      </c>
      <c r="EK26" s="89">
        <f t="shared" si="16"/>
        <v>5</v>
      </c>
      <c r="EL26" s="4">
        <v>4</v>
      </c>
      <c r="EM26" s="4">
        <v>4</v>
      </c>
      <c r="EN26" s="4">
        <v>4</v>
      </c>
      <c r="EO26" s="4">
        <v>3</v>
      </c>
      <c r="EP26" s="89">
        <f t="shared" si="17"/>
        <v>15</v>
      </c>
      <c r="EQ26" s="4">
        <v>1</v>
      </c>
      <c r="ER26" s="4">
        <v>3</v>
      </c>
      <c r="ES26" s="4">
        <v>1</v>
      </c>
      <c r="ET26" s="4">
        <v>4</v>
      </c>
      <c r="EU26" s="89">
        <f t="shared" si="18"/>
        <v>9</v>
      </c>
      <c r="EV26" s="6">
        <v>4</v>
      </c>
      <c r="EW26" s="4">
        <v>3</v>
      </c>
      <c r="EX26" s="4">
        <v>2</v>
      </c>
      <c r="EY26" s="4">
        <v>3</v>
      </c>
      <c r="EZ26" s="89">
        <f t="shared" si="19"/>
        <v>12</v>
      </c>
      <c r="FA26" s="4">
        <v>4</v>
      </c>
      <c r="FB26" s="4">
        <v>1</v>
      </c>
      <c r="FC26" s="4">
        <v>1</v>
      </c>
      <c r="FD26" s="4">
        <v>1</v>
      </c>
      <c r="FE26" s="89">
        <f t="shared" si="20"/>
        <v>7</v>
      </c>
      <c r="FF26" s="4">
        <v>3</v>
      </c>
      <c r="FG26" s="4">
        <v>1</v>
      </c>
      <c r="FH26" s="4">
        <v>3</v>
      </c>
      <c r="FI26" s="4">
        <v>3</v>
      </c>
      <c r="FJ26" s="89">
        <f t="shared" si="21"/>
        <v>10</v>
      </c>
      <c r="FK26" s="6">
        <v>2</v>
      </c>
      <c r="FL26" s="4">
        <v>2</v>
      </c>
      <c r="FM26" s="4">
        <v>4</v>
      </c>
      <c r="FN26" s="4">
        <v>1</v>
      </c>
      <c r="FO26" s="89">
        <f t="shared" si="22"/>
        <v>9</v>
      </c>
      <c r="FP26" s="4">
        <v>3</v>
      </c>
      <c r="FQ26" s="12">
        <v>3</v>
      </c>
      <c r="FR26" s="12">
        <v>4</v>
      </c>
      <c r="FS26" s="12">
        <v>4</v>
      </c>
      <c r="FT26" s="89">
        <f t="shared" si="23"/>
        <v>14</v>
      </c>
      <c r="FU26" s="4">
        <v>1</v>
      </c>
      <c r="FV26" s="12">
        <v>4</v>
      </c>
      <c r="FW26" s="12">
        <v>3</v>
      </c>
      <c r="FX26" s="12">
        <v>3</v>
      </c>
      <c r="FY26" s="89">
        <f t="shared" si="24"/>
        <v>11</v>
      </c>
      <c r="FZ26" s="11">
        <v>2</v>
      </c>
      <c r="GA26" s="4">
        <v>5</v>
      </c>
      <c r="GB26" s="4">
        <v>4</v>
      </c>
      <c r="GC26" s="4">
        <v>3</v>
      </c>
      <c r="GD26" s="89">
        <f t="shared" si="25"/>
        <v>14</v>
      </c>
      <c r="GE26" s="4">
        <v>1</v>
      </c>
      <c r="GF26" s="4">
        <v>4</v>
      </c>
      <c r="GG26" s="4">
        <v>5</v>
      </c>
      <c r="GH26" s="4">
        <v>5</v>
      </c>
      <c r="GI26" s="89">
        <f t="shared" si="26"/>
        <v>15</v>
      </c>
      <c r="GJ26" s="4">
        <v>3</v>
      </c>
      <c r="GK26" s="4">
        <v>1</v>
      </c>
      <c r="GL26" s="4">
        <v>5</v>
      </c>
      <c r="GM26" s="4">
        <v>4</v>
      </c>
      <c r="GN26" s="89">
        <f t="shared" si="27"/>
        <v>13</v>
      </c>
      <c r="GO26" s="6">
        <v>2</v>
      </c>
      <c r="GP26" s="4">
        <v>5</v>
      </c>
      <c r="GQ26" s="4">
        <v>1</v>
      </c>
      <c r="GR26" s="4">
        <v>4</v>
      </c>
      <c r="GS26" s="89">
        <f t="shared" si="28"/>
        <v>12</v>
      </c>
      <c r="GT26" s="4">
        <v>5</v>
      </c>
      <c r="GU26" s="4">
        <v>2</v>
      </c>
      <c r="GV26" s="4">
        <v>2</v>
      </c>
      <c r="GW26" s="4">
        <v>3</v>
      </c>
      <c r="GX26" s="89">
        <f t="shared" si="29"/>
        <v>12</v>
      </c>
      <c r="GY26" s="4">
        <v>1</v>
      </c>
      <c r="GZ26" s="4">
        <v>4</v>
      </c>
      <c r="HA26" s="4">
        <v>4</v>
      </c>
      <c r="HB26" s="4">
        <v>2</v>
      </c>
      <c r="HC26" s="89">
        <f t="shared" si="30"/>
        <v>11</v>
      </c>
    </row>
    <row r="27" spans="1:211" ht="15" customHeight="1" x14ac:dyDescent="0.3">
      <c r="A27" s="119" t="s">
        <v>27</v>
      </c>
      <c r="B27" s="6">
        <v>2</v>
      </c>
      <c r="C27" s="4">
        <v>4</v>
      </c>
      <c r="D27" s="4">
        <v>2</v>
      </c>
      <c r="E27" s="4">
        <v>2</v>
      </c>
      <c r="F27" s="89">
        <f t="shared" si="31"/>
        <v>10</v>
      </c>
      <c r="G27" s="6">
        <v>2</v>
      </c>
      <c r="H27" s="4">
        <v>5</v>
      </c>
      <c r="I27" s="4">
        <v>2</v>
      </c>
      <c r="J27" s="4">
        <v>2</v>
      </c>
      <c r="K27" s="89">
        <f t="shared" si="40"/>
        <v>11</v>
      </c>
      <c r="L27" s="6">
        <v>1</v>
      </c>
      <c r="M27" s="4">
        <v>4</v>
      </c>
      <c r="N27" s="4">
        <v>1</v>
      </c>
      <c r="O27" s="4">
        <v>1</v>
      </c>
      <c r="P27" s="89">
        <f t="shared" si="43"/>
        <v>7</v>
      </c>
      <c r="Q27" s="11">
        <v>2</v>
      </c>
      <c r="R27" s="4">
        <v>5</v>
      </c>
      <c r="S27" s="4">
        <v>1</v>
      </c>
      <c r="T27" s="4">
        <v>3</v>
      </c>
      <c r="U27" s="89">
        <f t="shared" si="32"/>
        <v>11</v>
      </c>
      <c r="V27" s="6">
        <v>4</v>
      </c>
      <c r="W27" s="4">
        <v>3</v>
      </c>
      <c r="X27" s="4">
        <v>1</v>
      </c>
      <c r="Y27" s="4">
        <v>3</v>
      </c>
      <c r="Z27" s="89">
        <f t="shared" si="33"/>
        <v>11</v>
      </c>
      <c r="AA27" s="3">
        <v>5</v>
      </c>
      <c r="AB27" s="4">
        <v>3</v>
      </c>
      <c r="AC27" s="4">
        <v>1</v>
      </c>
      <c r="AD27" s="4">
        <v>3</v>
      </c>
      <c r="AE27" s="89">
        <f t="shared" si="34"/>
        <v>12</v>
      </c>
      <c r="AF27" s="6">
        <v>1</v>
      </c>
      <c r="AG27" s="4">
        <v>3</v>
      </c>
      <c r="AH27" s="4">
        <v>1</v>
      </c>
      <c r="AI27" s="4">
        <v>2</v>
      </c>
      <c r="AJ27" s="89">
        <f t="shared" si="35"/>
        <v>7</v>
      </c>
      <c r="AK27" s="4">
        <v>1</v>
      </c>
      <c r="AL27" s="4">
        <v>2</v>
      </c>
      <c r="AM27" s="4">
        <v>1</v>
      </c>
      <c r="AN27" s="4">
        <v>1</v>
      </c>
      <c r="AO27" s="89">
        <f t="shared" si="36"/>
        <v>5</v>
      </c>
      <c r="AP27" s="4">
        <v>1</v>
      </c>
      <c r="AQ27" s="4">
        <v>3</v>
      </c>
      <c r="AR27" s="4">
        <v>1</v>
      </c>
      <c r="AS27" s="4">
        <v>2</v>
      </c>
      <c r="AT27" s="89">
        <f t="shared" si="37"/>
        <v>7</v>
      </c>
      <c r="AU27" s="6">
        <v>1</v>
      </c>
      <c r="AV27" s="4">
        <v>2</v>
      </c>
      <c r="AW27" s="4">
        <v>2</v>
      </c>
      <c r="AX27" s="4">
        <v>2</v>
      </c>
      <c r="AY27" s="89">
        <f t="shared" si="38"/>
        <v>7</v>
      </c>
      <c r="AZ27" s="4">
        <v>2</v>
      </c>
      <c r="BA27" s="4">
        <v>1</v>
      </c>
      <c r="BB27" s="4">
        <v>2</v>
      </c>
      <c r="BC27" s="4">
        <v>1</v>
      </c>
      <c r="BD27" s="89">
        <f t="shared" si="39"/>
        <v>6</v>
      </c>
      <c r="BE27" s="4">
        <v>4</v>
      </c>
      <c r="BF27" s="4">
        <v>1</v>
      </c>
      <c r="BG27" s="4">
        <v>2</v>
      </c>
      <c r="BH27" s="4">
        <v>1</v>
      </c>
      <c r="BI27" s="89">
        <f t="shared" si="0"/>
        <v>8</v>
      </c>
      <c r="BJ27" s="3">
        <v>4</v>
      </c>
      <c r="BK27" s="4">
        <v>6</v>
      </c>
      <c r="BL27" s="4">
        <v>1</v>
      </c>
      <c r="BM27" s="4">
        <v>4</v>
      </c>
      <c r="BN27" s="90">
        <f t="shared" si="41"/>
        <v>15</v>
      </c>
      <c r="BO27" s="4">
        <v>2</v>
      </c>
      <c r="BP27" s="4">
        <v>5</v>
      </c>
      <c r="BQ27" s="4">
        <v>1</v>
      </c>
      <c r="BR27" s="4">
        <v>4</v>
      </c>
      <c r="BS27" s="90">
        <f t="shared" si="42"/>
        <v>12</v>
      </c>
      <c r="BT27" s="4">
        <v>3</v>
      </c>
      <c r="BU27" s="4">
        <v>3</v>
      </c>
      <c r="BV27" s="4">
        <v>2</v>
      </c>
      <c r="BW27" s="4">
        <v>2</v>
      </c>
      <c r="BX27" s="90">
        <f t="shared" si="44"/>
        <v>10</v>
      </c>
      <c r="BY27" s="11">
        <v>5</v>
      </c>
      <c r="BZ27" s="4">
        <v>3</v>
      </c>
      <c r="CA27" s="4">
        <v>1</v>
      </c>
      <c r="CB27" s="4">
        <v>4</v>
      </c>
      <c r="CC27" s="89">
        <f t="shared" si="4"/>
        <v>13</v>
      </c>
      <c r="CD27" s="4">
        <v>1</v>
      </c>
      <c r="CE27" s="4">
        <v>5</v>
      </c>
      <c r="CF27" s="4">
        <v>3</v>
      </c>
      <c r="CG27" s="4">
        <v>4</v>
      </c>
      <c r="CH27" s="89">
        <f t="shared" si="5"/>
        <v>13</v>
      </c>
      <c r="CI27" s="4">
        <v>1</v>
      </c>
      <c r="CJ27" s="4">
        <v>1</v>
      </c>
      <c r="CK27" s="4">
        <v>5</v>
      </c>
      <c r="CL27" s="4">
        <v>2</v>
      </c>
      <c r="CM27" s="89">
        <f t="shared" si="6"/>
        <v>9</v>
      </c>
      <c r="CN27" s="6">
        <v>2</v>
      </c>
      <c r="CO27" s="4">
        <v>3</v>
      </c>
      <c r="CP27" s="4">
        <v>2</v>
      </c>
      <c r="CQ27" s="4">
        <v>5</v>
      </c>
      <c r="CR27" s="89">
        <f t="shared" si="7"/>
        <v>12</v>
      </c>
      <c r="CS27" s="4">
        <v>1</v>
      </c>
      <c r="CT27" s="4">
        <v>4</v>
      </c>
      <c r="CU27" s="4">
        <v>5</v>
      </c>
      <c r="CV27" s="4">
        <v>4</v>
      </c>
      <c r="CW27" s="89">
        <f t="shared" si="8"/>
        <v>14</v>
      </c>
      <c r="CX27" s="4">
        <v>3</v>
      </c>
      <c r="CY27" s="4">
        <v>5</v>
      </c>
      <c r="CZ27" s="4">
        <v>4</v>
      </c>
      <c r="DA27" s="4">
        <v>5</v>
      </c>
      <c r="DB27" s="89">
        <f t="shared" si="9"/>
        <v>17</v>
      </c>
      <c r="DC27" s="6">
        <v>2</v>
      </c>
      <c r="DD27" s="4">
        <v>3</v>
      </c>
      <c r="DE27" s="4">
        <v>3</v>
      </c>
      <c r="DF27" s="4">
        <v>4</v>
      </c>
      <c r="DG27" s="89">
        <f t="shared" si="10"/>
        <v>12</v>
      </c>
      <c r="DH27" s="4">
        <v>5</v>
      </c>
      <c r="DI27" s="4">
        <v>1</v>
      </c>
      <c r="DJ27" s="4">
        <v>3</v>
      </c>
      <c r="DK27" s="4">
        <v>4</v>
      </c>
      <c r="DL27" s="89">
        <f t="shared" si="11"/>
        <v>13</v>
      </c>
      <c r="DM27" s="4">
        <v>5</v>
      </c>
      <c r="DN27" s="4">
        <v>2</v>
      </c>
      <c r="DO27" s="4">
        <v>1</v>
      </c>
      <c r="DP27" s="4">
        <v>3</v>
      </c>
      <c r="DQ27" s="89">
        <f t="shared" si="12"/>
        <v>11</v>
      </c>
      <c r="DR27" s="6">
        <v>2</v>
      </c>
      <c r="DS27" s="6">
        <v>3</v>
      </c>
      <c r="DT27" s="4">
        <v>4</v>
      </c>
      <c r="DU27" s="4">
        <v>4</v>
      </c>
      <c r="DV27" s="89">
        <f t="shared" si="13"/>
        <v>13</v>
      </c>
      <c r="DW27" s="12">
        <v>4</v>
      </c>
      <c r="DX27" s="4">
        <v>3</v>
      </c>
      <c r="DY27" s="4">
        <v>4</v>
      </c>
      <c r="DZ27" s="4">
        <v>4</v>
      </c>
      <c r="EA27" s="89">
        <f t="shared" si="14"/>
        <v>15</v>
      </c>
      <c r="EB27" s="4">
        <v>3</v>
      </c>
      <c r="EC27" s="4">
        <v>4</v>
      </c>
      <c r="ED27" s="4">
        <v>1</v>
      </c>
      <c r="EE27" s="4">
        <v>1</v>
      </c>
      <c r="EF27" s="89">
        <f t="shared" si="15"/>
        <v>9</v>
      </c>
      <c r="EG27" s="6">
        <v>4</v>
      </c>
      <c r="EH27" s="4">
        <v>3</v>
      </c>
      <c r="EI27" s="4">
        <v>2</v>
      </c>
      <c r="EJ27" s="4">
        <v>4</v>
      </c>
      <c r="EK27" s="89">
        <f t="shared" si="16"/>
        <v>13</v>
      </c>
      <c r="EL27" s="4">
        <v>2</v>
      </c>
      <c r="EM27" s="4">
        <v>4</v>
      </c>
      <c r="EN27" s="4">
        <v>1</v>
      </c>
      <c r="EO27" s="4">
        <v>2</v>
      </c>
      <c r="EP27" s="89">
        <f t="shared" si="17"/>
        <v>9</v>
      </c>
      <c r="EQ27" s="4">
        <v>4</v>
      </c>
      <c r="ER27" s="4">
        <v>3</v>
      </c>
      <c r="ES27" s="4">
        <v>1</v>
      </c>
      <c r="ET27" s="4">
        <v>1</v>
      </c>
      <c r="EU27" s="89">
        <f t="shared" si="18"/>
        <v>9</v>
      </c>
      <c r="EV27" s="6">
        <v>2</v>
      </c>
      <c r="EW27" s="4">
        <v>4</v>
      </c>
      <c r="EX27" s="4">
        <v>1</v>
      </c>
      <c r="EY27" s="4">
        <v>1</v>
      </c>
      <c r="EZ27" s="89">
        <f t="shared" si="19"/>
        <v>8</v>
      </c>
      <c r="FA27" s="4">
        <v>2</v>
      </c>
      <c r="FB27" s="4">
        <v>3</v>
      </c>
      <c r="FC27" s="4">
        <v>4</v>
      </c>
      <c r="FD27" s="4">
        <v>3</v>
      </c>
      <c r="FE27" s="89">
        <f t="shared" si="20"/>
        <v>12</v>
      </c>
      <c r="FF27" s="4">
        <v>4</v>
      </c>
      <c r="FG27" s="4">
        <v>1</v>
      </c>
      <c r="FH27" s="4">
        <v>1</v>
      </c>
      <c r="FI27" s="4">
        <v>4</v>
      </c>
      <c r="FJ27" s="89">
        <f t="shared" si="21"/>
        <v>10</v>
      </c>
      <c r="FK27" s="6">
        <v>2</v>
      </c>
      <c r="FL27" s="4">
        <v>2</v>
      </c>
      <c r="FM27" s="4">
        <v>2</v>
      </c>
      <c r="FN27" s="4">
        <v>4</v>
      </c>
      <c r="FO27" s="89">
        <f t="shared" si="22"/>
        <v>10</v>
      </c>
      <c r="FP27" s="12">
        <v>4</v>
      </c>
      <c r="FQ27" s="4">
        <v>3</v>
      </c>
      <c r="FR27" s="4">
        <v>3</v>
      </c>
      <c r="FS27" s="4">
        <v>2</v>
      </c>
      <c r="FT27" s="89">
        <f t="shared" si="23"/>
        <v>12</v>
      </c>
      <c r="FU27" s="4">
        <v>2</v>
      </c>
      <c r="FV27" s="4">
        <v>2</v>
      </c>
      <c r="FW27" s="4">
        <v>2</v>
      </c>
      <c r="FX27" s="4">
        <v>2</v>
      </c>
      <c r="FY27" s="89">
        <f t="shared" si="24"/>
        <v>8</v>
      </c>
      <c r="FZ27" s="11">
        <v>3</v>
      </c>
      <c r="GA27" s="4">
        <v>5</v>
      </c>
      <c r="GB27" s="4">
        <v>2</v>
      </c>
      <c r="GC27" s="4">
        <v>1</v>
      </c>
      <c r="GD27" s="89">
        <f t="shared" si="25"/>
        <v>11</v>
      </c>
      <c r="GE27" s="4">
        <v>5</v>
      </c>
      <c r="GF27" s="4">
        <v>1</v>
      </c>
      <c r="GG27" s="4">
        <v>2</v>
      </c>
      <c r="GH27" s="4">
        <v>4</v>
      </c>
      <c r="GI27" s="89">
        <f t="shared" si="26"/>
        <v>12</v>
      </c>
      <c r="GJ27" s="4">
        <v>1</v>
      </c>
      <c r="GK27" s="4">
        <v>2</v>
      </c>
      <c r="GL27" s="4">
        <v>2</v>
      </c>
      <c r="GM27" s="4">
        <v>1</v>
      </c>
      <c r="GN27" s="89">
        <f t="shared" si="27"/>
        <v>6</v>
      </c>
      <c r="GO27" s="6">
        <v>5</v>
      </c>
      <c r="GP27" s="4">
        <v>4</v>
      </c>
      <c r="GQ27" s="4">
        <v>2</v>
      </c>
      <c r="GR27" s="4">
        <v>2</v>
      </c>
      <c r="GS27" s="89">
        <f t="shared" si="28"/>
        <v>13</v>
      </c>
      <c r="GT27" s="4">
        <v>4</v>
      </c>
      <c r="GU27" s="4">
        <v>2</v>
      </c>
      <c r="GV27" s="4">
        <v>2</v>
      </c>
      <c r="GW27" s="4">
        <v>2</v>
      </c>
      <c r="GX27" s="89">
        <f t="shared" si="29"/>
        <v>10</v>
      </c>
      <c r="GY27" s="4">
        <v>2</v>
      </c>
      <c r="GZ27" s="4">
        <v>3</v>
      </c>
      <c r="HA27" s="4">
        <v>5</v>
      </c>
      <c r="HB27" s="4">
        <v>5</v>
      </c>
      <c r="HC27" s="89">
        <f t="shared" si="30"/>
        <v>15</v>
      </c>
    </row>
    <row r="28" spans="1:211" ht="15" customHeight="1" thickBot="1" x14ac:dyDescent="0.35">
      <c r="A28" s="120" t="s">
        <v>4</v>
      </c>
      <c r="B28" s="91">
        <f t="shared" ref="B28:AO28" si="45">AVERAGE(B5:B27)</f>
        <v>2.347826086956522</v>
      </c>
      <c r="C28" s="91">
        <f t="shared" si="45"/>
        <v>2.4347826086956523</v>
      </c>
      <c r="D28" s="91">
        <f t="shared" si="45"/>
        <v>2.347826086956522</v>
      </c>
      <c r="E28" s="91">
        <f t="shared" si="45"/>
        <v>2.3043478260869565</v>
      </c>
      <c r="F28" s="92">
        <f t="shared" si="45"/>
        <v>9.4347826086956523</v>
      </c>
      <c r="G28" s="91">
        <f t="shared" si="45"/>
        <v>2.2173913043478262</v>
      </c>
      <c r="H28" s="91">
        <f t="shared" si="45"/>
        <v>2.9130434782608696</v>
      </c>
      <c r="I28" s="91">
        <f t="shared" si="45"/>
        <v>2.2608695652173911</v>
      </c>
      <c r="J28" s="91">
        <f t="shared" si="45"/>
        <v>2.3043478260869565</v>
      </c>
      <c r="K28" s="92">
        <f t="shared" si="45"/>
        <v>9.695652173913043</v>
      </c>
      <c r="L28" s="91">
        <f t="shared" si="45"/>
        <v>2.1739130434782608</v>
      </c>
      <c r="M28" s="91">
        <f t="shared" si="45"/>
        <v>2.8260869565217392</v>
      </c>
      <c r="N28" s="91">
        <f t="shared" si="45"/>
        <v>1.9130434782608696</v>
      </c>
      <c r="O28" s="91">
        <f t="shared" si="45"/>
        <v>2.5652173913043477</v>
      </c>
      <c r="P28" s="92">
        <f t="shared" si="45"/>
        <v>9.4782608695652169</v>
      </c>
      <c r="Q28" s="91">
        <f t="shared" si="45"/>
        <v>2.2173913043478262</v>
      </c>
      <c r="R28" s="91">
        <f t="shared" si="45"/>
        <v>2.3043478260869565</v>
      </c>
      <c r="S28" s="91">
        <f t="shared" si="45"/>
        <v>2.2173913043478262</v>
      </c>
      <c r="T28" s="91">
        <f t="shared" si="45"/>
        <v>2.2608695652173911</v>
      </c>
      <c r="U28" s="92">
        <f t="shared" si="45"/>
        <v>9</v>
      </c>
      <c r="V28" s="91">
        <f t="shared" si="45"/>
        <v>2.3043478260869565</v>
      </c>
      <c r="W28" s="91">
        <f t="shared" si="45"/>
        <v>2.4782608695652173</v>
      </c>
      <c r="X28" s="91">
        <f t="shared" si="45"/>
        <v>1.7391304347826086</v>
      </c>
      <c r="Y28" s="91">
        <f t="shared" si="45"/>
        <v>2.2173913043478262</v>
      </c>
      <c r="Z28" s="92">
        <f t="shared" si="45"/>
        <v>8.7391304347826093</v>
      </c>
      <c r="AA28" s="91">
        <f t="shared" si="45"/>
        <v>2.4347826086956523</v>
      </c>
      <c r="AB28" s="91">
        <f t="shared" si="45"/>
        <v>2.652173913043478</v>
      </c>
      <c r="AC28" s="91">
        <f t="shared" si="45"/>
        <v>2.2608695652173911</v>
      </c>
      <c r="AD28" s="91">
        <f t="shared" si="45"/>
        <v>2.1304347826086958</v>
      </c>
      <c r="AE28" s="92">
        <f t="shared" si="45"/>
        <v>9.4782608695652169</v>
      </c>
      <c r="AF28" s="91">
        <f t="shared" si="45"/>
        <v>2.0434782608695654</v>
      </c>
      <c r="AG28" s="91">
        <f t="shared" si="45"/>
        <v>2.3913043478260869</v>
      </c>
      <c r="AH28" s="91">
        <f t="shared" si="45"/>
        <v>1.9565217391304348</v>
      </c>
      <c r="AI28" s="91">
        <f t="shared" si="45"/>
        <v>1.9130434782608696</v>
      </c>
      <c r="AJ28" s="92">
        <f t="shared" si="45"/>
        <v>8.304347826086957</v>
      </c>
      <c r="AK28" s="91">
        <f t="shared" si="45"/>
        <v>2.3913043478260869</v>
      </c>
      <c r="AL28" s="91">
        <f t="shared" si="45"/>
        <v>2.3043478260869565</v>
      </c>
      <c r="AM28" s="91">
        <f t="shared" si="45"/>
        <v>2.1739130434782608</v>
      </c>
      <c r="AN28" s="91">
        <f t="shared" si="45"/>
        <v>2</v>
      </c>
      <c r="AO28" s="92">
        <f t="shared" si="45"/>
        <v>8.8695652173913047</v>
      </c>
      <c r="AP28" s="91">
        <f>AVERAGE(AP5:AP24,AP26:AP27)</f>
        <v>2.1818181818181817</v>
      </c>
      <c r="AQ28" s="91">
        <f>AVERAGE(AQ5:AQ24,AQ26:AQ27)</f>
        <v>2.0909090909090908</v>
      </c>
      <c r="AR28" s="91">
        <f>AVERAGE(AR5:AR24,AR26:AR27)</f>
        <v>2.0909090909090908</v>
      </c>
      <c r="AS28" s="91">
        <f>AVERAGE(AS5:AS24,AS26:AS27)</f>
        <v>2.1818181818181817</v>
      </c>
      <c r="AT28" s="92">
        <f>AVERAGE(AT5:AT24,AT26:AT27)</f>
        <v>8.545454545454545</v>
      </c>
      <c r="AU28" s="91">
        <f t="shared" ref="AU28:BI28" si="46">AVERAGE(AU5:AU27)</f>
        <v>2.3043478260869565</v>
      </c>
      <c r="AV28" s="91">
        <f t="shared" si="46"/>
        <v>2.4782608695652173</v>
      </c>
      <c r="AW28" s="91">
        <f t="shared" si="46"/>
        <v>1.9130434782608696</v>
      </c>
      <c r="AX28" s="91">
        <f t="shared" si="46"/>
        <v>2.1304347826086958</v>
      </c>
      <c r="AY28" s="92">
        <f t="shared" si="46"/>
        <v>8.8260869565217384</v>
      </c>
      <c r="AZ28" s="91">
        <f t="shared" si="46"/>
        <v>1.8695652173913044</v>
      </c>
      <c r="BA28" s="91">
        <f t="shared" si="46"/>
        <v>2.2608695652173911</v>
      </c>
      <c r="BB28" s="91">
        <f t="shared" si="46"/>
        <v>2.0434782608695654</v>
      </c>
      <c r="BC28" s="91">
        <f t="shared" si="46"/>
        <v>1.7391304347826086</v>
      </c>
      <c r="BD28" s="92">
        <f t="shared" si="46"/>
        <v>7.9130434782608692</v>
      </c>
      <c r="BE28" s="91">
        <f t="shared" si="46"/>
        <v>1.9565217391304348</v>
      </c>
      <c r="BF28" s="91">
        <f t="shared" si="46"/>
        <v>1.9565217391304348</v>
      </c>
      <c r="BG28" s="91">
        <f t="shared" si="46"/>
        <v>1.826086956521739</v>
      </c>
      <c r="BH28" s="91">
        <f t="shared" si="46"/>
        <v>1.9130434782608696</v>
      </c>
      <c r="BI28" s="92">
        <f t="shared" si="46"/>
        <v>7.6521739130434785</v>
      </c>
      <c r="BJ28" s="91">
        <f>AVERAGE(BJ5:BJ27)</f>
        <v>2.0869565217391304</v>
      </c>
      <c r="BK28" s="91">
        <f t="shared" ref="BK28:DV28" si="47">AVERAGE(BK5:BK27)</f>
        <v>2.1739130434782608</v>
      </c>
      <c r="BL28" s="91">
        <f t="shared" si="47"/>
        <v>1.7826086956521738</v>
      </c>
      <c r="BM28" s="91">
        <f t="shared" si="47"/>
        <v>1.8695652173913044</v>
      </c>
      <c r="BN28" s="92">
        <f t="shared" si="47"/>
        <v>7.9130434782608692</v>
      </c>
      <c r="BO28" s="91">
        <f>AVERAGE(BO5:BO27)</f>
        <v>1.9130434782608696</v>
      </c>
      <c r="BP28" s="91">
        <f t="shared" si="47"/>
        <v>2</v>
      </c>
      <c r="BQ28" s="91">
        <f t="shared" si="47"/>
        <v>1.9130434782608696</v>
      </c>
      <c r="BR28" s="91">
        <f t="shared" si="47"/>
        <v>2</v>
      </c>
      <c r="BS28" s="92">
        <f t="shared" si="47"/>
        <v>7.8260869565217392</v>
      </c>
      <c r="BT28" s="91">
        <f>AVERAGE(BT5:BT27)</f>
        <v>2.0434782608695654</v>
      </c>
      <c r="BU28" s="91">
        <f t="shared" si="47"/>
        <v>2.2173913043478262</v>
      </c>
      <c r="BV28" s="91">
        <f t="shared" si="47"/>
        <v>2.0434782608695654</v>
      </c>
      <c r="BW28" s="91">
        <f t="shared" si="47"/>
        <v>2.0434782608695654</v>
      </c>
      <c r="BX28" s="92">
        <f t="shared" si="47"/>
        <v>8.3478260869565215</v>
      </c>
      <c r="BY28" s="91">
        <f t="shared" si="47"/>
        <v>3.0434782608695654</v>
      </c>
      <c r="BZ28" s="91">
        <f t="shared" si="47"/>
        <v>2.5217391304347827</v>
      </c>
      <c r="CA28" s="91">
        <f t="shared" si="47"/>
        <v>2.6956521739130435</v>
      </c>
      <c r="CB28" s="91">
        <f t="shared" si="47"/>
        <v>3.347826086956522</v>
      </c>
      <c r="CC28" s="92">
        <f t="shared" si="47"/>
        <v>11.608695652173912</v>
      </c>
      <c r="CD28" s="91">
        <f t="shared" si="47"/>
        <v>2.6956521739130435</v>
      </c>
      <c r="CE28" s="91">
        <f t="shared" si="47"/>
        <v>3</v>
      </c>
      <c r="CF28" s="91">
        <f t="shared" si="47"/>
        <v>2.4782608695652173</v>
      </c>
      <c r="CG28" s="91">
        <f t="shared" si="47"/>
        <v>2.4347826086956523</v>
      </c>
      <c r="CH28" s="92">
        <f t="shared" si="47"/>
        <v>10.608695652173912</v>
      </c>
      <c r="CI28" s="91">
        <f t="shared" si="47"/>
        <v>3.0869565217391304</v>
      </c>
      <c r="CJ28" s="91">
        <f t="shared" si="47"/>
        <v>3.2173913043478262</v>
      </c>
      <c r="CK28" s="91">
        <f t="shared" si="47"/>
        <v>2.7826086956521738</v>
      </c>
      <c r="CL28" s="91">
        <f t="shared" si="47"/>
        <v>2.347826086956522</v>
      </c>
      <c r="CM28" s="92">
        <f t="shared" si="47"/>
        <v>11.434782608695652</v>
      </c>
      <c r="CN28" s="91">
        <f t="shared" si="47"/>
        <v>3.3043478260869565</v>
      </c>
      <c r="CO28" s="91">
        <f t="shared" si="47"/>
        <v>3.2173913043478262</v>
      </c>
      <c r="CP28" s="91">
        <f t="shared" si="47"/>
        <v>3.0869565217391304</v>
      </c>
      <c r="CQ28" s="91">
        <f t="shared" si="47"/>
        <v>3.3043478260869565</v>
      </c>
      <c r="CR28" s="92">
        <f t="shared" si="47"/>
        <v>12.913043478260869</v>
      </c>
      <c r="CS28" s="91">
        <f t="shared" si="47"/>
        <v>2.5652173913043477</v>
      </c>
      <c r="CT28" s="91">
        <f t="shared" si="47"/>
        <v>2.652173913043478</v>
      </c>
      <c r="CU28" s="91">
        <f t="shared" si="47"/>
        <v>3.1304347826086958</v>
      </c>
      <c r="CV28" s="91">
        <f t="shared" si="47"/>
        <v>2.6956521739130435</v>
      </c>
      <c r="CW28" s="92">
        <f t="shared" si="47"/>
        <v>11.043478260869565</v>
      </c>
      <c r="CX28" s="91">
        <f t="shared" si="47"/>
        <v>2.8260869565217392</v>
      </c>
      <c r="CY28" s="91">
        <f t="shared" si="47"/>
        <v>3.2608695652173911</v>
      </c>
      <c r="CZ28" s="91">
        <f t="shared" si="47"/>
        <v>2.6086956521739131</v>
      </c>
      <c r="DA28" s="91">
        <f t="shared" si="47"/>
        <v>3.3043478260869565</v>
      </c>
      <c r="DB28" s="92">
        <f t="shared" si="47"/>
        <v>12</v>
      </c>
      <c r="DC28" s="91">
        <f t="shared" si="47"/>
        <v>2.7826086956521738</v>
      </c>
      <c r="DD28" s="91">
        <f t="shared" si="47"/>
        <v>2.8260869565217392</v>
      </c>
      <c r="DE28" s="91">
        <f t="shared" si="47"/>
        <v>2.8695652173913042</v>
      </c>
      <c r="DF28" s="91">
        <f t="shared" si="47"/>
        <v>2.6086956521739131</v>
      </c>
      <c r="DG28" s="92">
        <f t="shared" si="47"/>
        <v>11.086956521739131</v>
      </c>
      <c r="DH28" s="91">
        <f t="shared" si="47"/>
        <v>3.0869565217391304</v>
      </c>
      <c r="DI28" s="91">
        <f t="shared" si="47"/>
        <v>2.9130434782608696</v>
      </c>
      <c r="DJ28" s="91">
        <f t="shared" si="47"/>
        <v>3.2608695652173911</v>
      </c>
      <c r="DK28" s="91">
        <f t="shared" si="47"/>
        <v>3.5652173913043477</v>
      </c>
      <c r="DL28" s="92">
        <f t="shared" si="47"/>
        <v>12.826086956521738</v>
      </c>
      <c r="DM28" s="91">
        <f t="shared" si="47"/>
        <v>2.6956521739130435</v>
      </c>
      <c r="DN28" s="91">
        <f t="shared" si="47"/>
        <v>2.8260869565217392</v>
      </c>
      <c r="DO28" s="91">
        <f t="shared" si="47"/>
        <v>2.2173913043478262</v>
      </c>
      <c r="DP28" s="91">
        <f t="shared" si="47"/>
        <v>3.0434782608695654</v>
      </c>
      <c r="DQ28" s="92">
        <f t="shared" si="47"/>
        <v>10.782608695652174</v>
      </c>
      <c r="DR28" s="91">
        <f t="shared" si="47"/>
        <v>3</v>
      </c>
      <c r="DS28" s="91">
        <f t="shared" si="47"/>
        <v>2</v>
      </c>
      <c r="DT28" s="91">
        <f t="shared" si="47"/>
        <v>3.347826086956522</v>
      </c>
      <c r="DU28" s="91">
        <f t="shared" si="47"/>
        <v>2.7826086956521738</v>
      </c>
      <c r="DV28" s="92">
        <f t="shared" si="47"/>
        <v>11.130434782608695</v>
      </c>
      <c r="DW28" s="91">
        <f t="shared" ref="DW28:GH28" si="48">AVERAGE(DW5:DW27)</f>
        <v>2.347826086956522</v>
      </c>
      <c r="DX28" s="91">
        <f t="shared" si="48"/>
        <v>2.652173913043478</v>
      </c>
      <c r="DY28" s="91">
        <f t="shared" si="48"/>
        <v>2.5652173913043477</v>
      </c>
      <c r="DZ28" s="91">
        <f t="shared" si="48"/>
        <v>2.2608695652173911</v>
      </c>
      <c r="EA28" s="92">
        <f t="shared" si="48"/>
        <v>9.8260869565217384</v>
      </c>
      <c r="EB28" s="91">
        <f t="shared" si="48"/>
        <v>2.4782608695652173</v>
      </c>
      <c r="EC28" s="91">
        <f t="shared" si="48"/>
        <v>2.6956521739130435</v>
      </c>
      <c r="ED28" s="91">
        <f t="shared" si="48"/>
        <v>2.3043478260869565</v>
      </c>
      <c r="EE28" s="91">
        <f t="shared" si="48"/>
        <v>2.6956521739130435</v>
      </c>
      <c r="EF28" s="92">
        <f t="shared" si="48"/>
        <v>10.173913043478262</v>
      </c>
      <c r="EG28" s="91">
        <f t="shared" si="48"/>
        <v>2.5652173913043477</v>
      </c>
      <c r="EH28" s="91">
        <f t="shared" si="48"/>
        <v>2.7826086956521738</v>
      </c>
      <c r="EI28" s="91">
        <f t="shared" si="48"/>
        <v>2.347826086956522</v>
      </c>
      <c r="EJ28" s="91">
        <f t="shared" si="48"/>
        <v>2.8260869565217392</v>
      </c>
      <c r="EK28" s="92">
        <f t="shared" si="48"/>
        <v>10.521739130434783</v>
      </c>
      <c r="EL28" s="91">
        <f t="shared" si="48"/>
        <v>2.347826086956522</v>
      </c>
      <c r="EM28" s="91">
        <f t="shared" si="48"/>
        <v>2.347826086956522</v>
      </c>
      <c r="EN28" s="91">
        <f t="shared" si="48"/>
        <v>2.5652173913043477</v>
      </c>
      <c r="EO28" s="91">
        <f t="shared" si="48"/>
        <v>2.3043478260869565</v>
      </c>
      <c r="EP28" s="92">
        <f t="shared" si="48"/>
        <v>9.5652173913043477</v>
      </c>
      <c r="EQ28" s="91">
        <f t="shared" si="48"/>
        <v>2.5652173913043477</v>
      </c>
      <c r="ER28" s="91">
        <f t="shared" si="48"/>
        <v>2.7391304347826089</v>
      </c>
      <c r="ES28" s="91">
        <f t="shared" si="48"/>
        <v>2.4782608695652173</v>
      </c>
      <c r="ET28" s="91">
        <f t="shared" si="48"/>
        <v>2.8260869565217392</v>
      </c>
      <c r="EU28" s="92">
        <f t="shared" si="48"/>
        <v>10.608695652173912</v>
      </c>
      <c r="EV28" s="91">
        <f t="shared" si="48"/>
        <v>2.5652173913043477</v>
      </c>
      <c r="EW28" s="91">
        <f t="shared" si="48"/>
        <v>2.5652173913043477</v>
      </c>
      <c r="EX28" s="91">
        <f t="shared" si="48"/>
        <v>2.652173913043478</v>
      </c>
      <c r="EY28" s="91">
        <f t="shared" si="48"/>
        <v>2.1739130434782608</v>
      </c>
      <c r="EZ28" s="92">
        <f t="shared" si="48"/>
        <v>9.9565217391304355</v>
      </c>
      <c r="FA28" s="91">
        <f t="shared" si="48"/>
        <v>2.0434782608695654</v>
      </c>
      <c r="FB28" s="91">
        <f t="shared" si="48"/>
        <v>2.6956521739130435</v>
      </c>
      <c r="FC28" s="91">
        <f t="shared" si="48"/>
        <v>2.5652173913043477</v>
      </c>
      <c r="FD28" s="91">
        <f t="shared" si="48"/>
        <v>2.6086956521739131</v>
      </c>
      <c r="FE28" s="92">
        <f t="shared" si="48"/>
        <v>9.9130434782608692</v>
      </c>
      <c r="FF28" s="91">
        <f t="shared" si="48"/>
        <v>2.4782608695652173</v>
      </c>
      <c r="FG28" s="91">
        <f t="shared" si="48"/>
        <v>2.2173913043478262</v>
      </c>
      <c r="FH28" s="91">
        <f t="shared" si="48"/>
        <v>2.6956521739130435</v>
      </c>
      <c r="FI28" s="91">
        <f t="shared" si="48"/>
        <v>2.652173913043478</v>
      </c>
      <c r="FJ28" s="92">
        <f t="shared" si="48"/>
        <v>10.043478260869565</v>
      </c>
      <c r="FK28" s="91">
        <f t="shared" si="48"/>
        <v>2.347826086956522</v>
      </c>
      <c r="FL28" s="91">
        <f t="shared" si="48"/>
        <v>2.3043478260869565</v>
      </c>
      <c r="FM28" s="91">
        <f t="shared" si="48"/>
        <v>2.7391304347826089</v>
      </c>
      <c r="FN28" s="91">
        <f t="shared" si="48"/>
        <v>2.3043478260869565</v>
      </c>
      <c r="FO28" s="92">
        <f t="shared" si="48"/>
        <v>9.695652173913043</v>
      </c>
      <c r="FP28" s="91">
        <f t="shared" si="48"/>
        <v>2.5217391304347827</v>
      </c>
      <c r="FQ28" s="91">
        <f t="shared" si="48"/>
        <v>2.3043478260869565</v>
      </c>
      <c r="FR28" s="91">
        <f t="shared" si="48"/>
        <v>2.3043478260869565</v>
      </c>
      <c r="FS28" s="91">
        <f t="shared" si="48"/>
        <v>2.3913043478260869</v>
      </c>
      <c r="FT28" s="92">
        <f t="shared" si="48"/>
        <v>9.5217391304347831</v>
      </c>
      <c r="FU28" s="91">
        <f t="shared" si="48"/>
        <v>2.5652173913043477</v>
      </c>
      <c r="FV28" s="91">
        <f t="shared" si="48"/>
        <v>2.2608695652173911</v>
      </c>
      <c r="FW28" s="91">
        <f t="shared" si="48"/>
        <v>2.5217391304347827</v>
      </c>
      <c r="FX28" s="91">
        <f t="shared" si="48"/>
        <v>2.3043478260869565</v>
      </c>
      <c r="FY28" s="92">
        <f t="shared" si="48"/>
        <v>9.6521739130434785</v>
      </c>
      <c r="FZ28" s="91">
        <f t="shared" si="48"/>
        <v>3.1304347826086958</v>
      </c>
      <c r="GA28" s="91">
        <f t="shared" si="48"/>
        <v>3.3913043478260869</v>
      </c>
      <c r="GB28" s="91">
        <f t="shared" si="48"/>
        <v>3.0869565217391304</v>
      </c>
      <c r="GC28" s="91">
        <f t="shared" si="48"/>
        <v>2.652173913043478</v>
      </c>
      <c r="GD28" s="92">
        <f t="shared" si="48"/>
        <v>12.260869565217391</v>
      </c>
      <c r="GE28" s="91">
        <f t="shared" si="48"/>
        <v>3.347826086956522</v>
      </c>
      <c r="GF28" s="91">
        <f t="shared" si="48"/>
        <v>3.2173913043478262</v>
      </c>
      <c r="GG28" s="91">
        <f t="shared" si="48"/>
        <v>2.8260869565217392</v>
      </c>
      <c r="GH28" s="91">
        <f t="shared" si="48"/>
        <v>3.0434782608695654</v>
      </c>
      <c r="GI28" s="92">
        <f t="shared" ref="GI28:HC28" si="49">AVERAGE(GI5:GI27)</f>
        <v>12.434782608695652</v>
      </c>
      <c r="GJ28" s="91">
        <f t="shared" si="49"/>
        <v>3.2173913043478262</v>
      </c>
      <c r="GK28" s="91">
        <f t="shared" si="49"/>
        <v>2.6956521739130435</v>
      </c>
      <c r="GL28" s="91">
        <f t="shared" si="49"/>
        <v>2.7826086956521738</v>
      </c>
      <c r="GM28" s="91">
        <f t="shared" si="49"/>
        <v>2.3913043478260869</v>
      </c>
      <c r="GN28" s="92">
        <f t="shared" si="49"/>
        <v>11.086956521739131</v>
      </c>
      <c r="GO28" s="91">
        <f t="shared" si="49"/>
        <v>3.0434782608695654</v>
      </c>
      <c r="GP28" s="91">
        <f t="shared" si="49"/>
        <v>3</v>
      </c>
      <c r="GQ28" s="91">
        <f t="shared" si="49"/>
        <v>2.8260869565217392</v>
      </c>
      <c r="GR28" s="91">
        <f t="shared" si="49"/>
        <v>2.7391304347826089</v>
      </c>
      <c r="GS28" s="92">
        <f t="shared" si="49"/>
        <v>11.608695652173912</v>
      </c>
      <c r="GT28" s="91">
        <f t="shared" si="49"/>
        <v>3.2173913043478262</v>
      </c>
      <c r="GU28" s="91">
        <f t="shared" si="49"/>
        <v>3</v>
      </c>
      <c r="GV28" s="91">
        <f t="shared" si="49"/>
        <v>2.6956521739130435</v>
      </c>
      <c r="GW28" s="91">
        <f t="shared" si="49"/>
        <v>2.7391304347826089</v>
      </c>
      <c r="GX28" s="92">
        <f t="shared" si="49"/>
        <v>11.652173913043478</v>
      </c>
      <c r="GY28" s="91">
        <f t="shared" si="49"/>
        <v>3.2608695652173911</v>
      </c>
      <c r="GZ28" s="91">
        <f t="shared" si="49"/>
        <v>3.2608695652173911</v>
      </c>
      <c r="HA28" s="91">
        <f t="shared" si="49"/>
        <v>2.9130434782608696</v>
      </c>
      <c r="HB28" s="91">
        <f t="shared" si="49"/>
        <v>2.8695652173913042</v>
      </c>
      <c r="HC28" s="92">
        <f t="shared" si="49"/>
        <v>12.304347826086957</v>
      </c>
    </row>
    <row r="29" spans="1:211" s="116" customFormat="1" x14ac:dyDescent="0.3"/>
    <row r="30" spans="1:211" s="116" customFormat="1" x14ac:dyDescent="0.3"/>
    <row r="31" spans="1:211" s="116" customFormat="1" x14ac:dyDescent="0.3"/>
    <row r="32" spans="1:211" s="116" customFormat="1" ht="15" thickBot="1" x14ac:dyDescent="0.35"/>
    <row r="33" spans="1:211" ht="15.6" x14ac:dyDescent="0.3">
      <c r="A33" s="116"/>
      <c r="B33" s="116"/>
      <c r="C33" s="116"/>
      <c r="D33" s="116"/>
      <c r="E33" s="116"/>
      <c r="F33" s="123" t="s">
        <v>45</v>
      </c>
      <c r="G33" s="124"/>
      <c r="H33" s="125"/>
      <c r="I33" s="135" t="s">
        <v>46</v>
      </c>
      <c r="J33" s="136"/>
      <c r="K33" s="137"/>
      <c r="L33" s="123" t="s">
        <v>47</v>
      </c>
      <c r="M33" s="124"/>
      <c r="N33" s="125"/>
      <c r="O33" s="123" t="s">
        <v>48</v>
      </c>
      <c r="P33" s="124"/>
      <c r="Q33" s="125"/>
      <c r="R33" s="123" t="s">
        <v>49</v>
      </c>
      <c r="S33" s="124"/>
      <c r="T33" s="125"/>
      <c r="U33" s="123" t="s">
        <v>50</v>
      </c>
      <c r="V33" s="124"/>
      <c r="W33" s="125"/>
      <c r="X33" s="123" t="s">
        <v>51</v>
      </c>
      <c r="Y33" s="124"/>
      <c r="Z33" s="125"/>
      <c r="AA33" s="123" t="s">
        <v>52</v>
      </c>
      <c r="AB33" s="124"/>
      <c r="AC33" s="125"/>
      <c r="AD33" s="123" t="s">
        <v>53</v>
      </c>
      <c r="AE33" s="124"/>
      <c r="AF33" s="125"/>
      <c r="AG33" s="123" t="s">
        <v>54</v>
      </c>
      <c r="AH33" s="124"/>
      <c r="AI33" s="125"/>
      <c r="AJ33" s="123" t="s">
        <v>55</v>
      </c>
      <c r="AK33" s="124"/>
      <c r="AL33" s="125"/>
      <c r="AM33" s="123" t="s">
        <v>56</v>
      </c>
      <c r="AN33" s="124"/>
      <c r="AO33" s="125"/>
      <c r="AP33" s="123" t="s">
        <v>57</v>
      </c>
      <c r="AQ33" s="124"/>
      <c r="AR33" s="125"/>
      <c r="AS33" s="123" t="s">
        <v>58</v>
      </c>
      <c r="AT33" s="124"/>
      <c r="AU33" s="125"/>
      <c r="AV33" s="116"/>
      <c r="AW33" s="116"/>
      <c r="AX33" s="116"/>
      <c r="AY33" s="116"/>
      <c r="AZ33" s="116"/>
      <c r="BA33" s="116"/>
      <c r="BB33" s="116"/>
      <c r="BC33" s="116"/>
      <c r="BD33" s="116"/>
      <c r="BE33" s="116"/>
      <c r="BF33" s="116"/>
      <c r="BG33" s="116"/>
      <c r="BH33" s="116"/>
      <c r="BI33" s="116"/>
      <c r="BJ33" s="116"/>
      <c r="BK33" s="116"/>
      <c r="BL33" s="116"/>
      <c r="BM33" s="116"/>
      <c r="BN33" s="116"/>
      <c r="BO33" s="116"/>
      <c r="BP33" s="116"/>
      <c r="BQ33" s="116"/>
      <c r="BR33" s="116"/>
      <c r="BS33" s="116"/>
      <c r="BT33" s="116"/>
      <c r="BU33" s="116"/>
      <c r="BV33" s="116"/>
      <c r="BW33" s="116"/>
      <c r="BX33" s="116"/>
      <c r="BY33" s="116"/>
      <c r="BZ33" s="116"/>
      <c r="CA33" s="116"/>
      <c r="CB33" s="116"/>
      <c r="CC33" s="116"/>
      <c r="CD33" s="116"/>
      <c r="CE33" s="116"/>
      <c r="CF33" s="116"/>
      <c r="CG33" s="116"/>
      <c r="CH33" s="116"/>
      <c r="CI33" s="116"/>
      <c r="CJ33" s="116"/>
      <c r="CK33" s="116"/>
      <c r="CL33" s="116"/>
      <c r="CM33" s="116"/>
      <c r="CN33" s="116"/>
      <c r="CO33" s="116"/>
      <c r="CP33" s="116"/>
      <c r="CQ33" s="116"/>
      <c r="CR33" s="116"/>
      <c r="CS33" s="116"/>
      <c r="CT33" s="116"/>
      <c r="CU33" s="116"/>
      <c r="CV33" s="116"/>
      <c r="CW33" s="116"/>
      <c r="CX33" s="116"/>
      <c r="CY33" s="116"/>
      <c r="CZ33" s="116"/>
      <c r="DA33" s="116"/>
      <c r="DB33" s="116"/>
      <c r="DC33" s="116"/>
      <c r="DD33" s="116"/>
      <c r="DE33" s="116"/>
      <c r="DF33" s="116"/>
      <c r="DG33" s="116"/>
      <c r="DH33" s="116"/>
      <c r="DI33" s="116"/>
      <c r="DJ33" s="116"/>
      <c r="DK33" s="116"/>
      <c r="DL33" s="116"/>
      <c r="DM33" s="116"/>
      <c r="DN33" s="116"/>
      <c r="DO33" s="116"/>
      <c r="DP33" s="116"/>
      <c r="DQ33" s="116"/>
      <c r="DR33" s="116"/>
      <c r="DS33" s="116"/>
      <c r="DT33" s="116"/>
      <c r="DU33" s="116"/>
      <c r="DV33" s="116"/>
      <c r="DW33" s="116"/>
      <c r="DX33" s="116"/>
      <c r="DY33" s="116"/>
      <c r="DZ33" s="116"/>
      <c r="EA33" s="116"/>
      <c r="EB33" s="116"/>
      <c r="EC33" s="116"/>
      <c r="ED33" s="116"/>
      <c r="EE33" s="116"/>
      <c r="EF33" s="116"/>
      <c r="EG33" s="116"/>
      <c r="EH33" s="116"/>
      <c r="EI33" s="116"/>
      <c r="EJ33" s="116"/>
      <c r="EK33" s="116"/>
      <c r="EL33" s="116"/>
      <c r="EM33" s="116"/>
      <c r="EN33" s="116"/>
      <c r="EO33" s="116"/>
      <c r="EP33" s="116"/>
      <c r="EQ33" s="116"/>
      <c r="ER33" s="116"/>
      <c r="ES33" s="116"/>
      <c r="ET33" s="116"/>
      <c r="EU33" s="116"/>
      <c r="EV33" s="116"/>
      <c r="EW33" s="116"/>
      <c r="EX33" s="116"/>
      <c r="EY33" s="116"/>
      <c r="EZ33" s="116"/>
      <c r="FA33" s="116"/>
      <c r="FB33" s="116"/>
      <c r="FC33" s="116"/>
      <c r="FD33" s="116"/>
      <c r="FE33" s="116"/>
      <c r="FF33" s="116"/>
      <c r="FG33" s="116"/>
      <c r="FH33" s="116"/>
      <c r="FI33" s="116"/>
      <c r="FJ33" s="116"/>
      <c r="FK33" s="116"/>
      <c r="FL33" s="116"/>
      <c r="FM33" s="116"/>
      <c r="FN33" s="116"/>
      <c r="FO33" s="116"/>
      <c r="FP33" s="116"/>
      <c r="FQ33" s="116"/>
      <c r="FR33" s="116"/>
      <c r="FS33" s="116"/>
      <c r="FT33" s="116"/>
      <c r="FU33" s="116"/>
      <c r="FV33" s="116"/>
      <c r="FW33" s="116"/>
      <c r="FX33" s="116"/>
      <c r="FY33" s="116"/>
      <c r="FZ33" s="116"/>
      <c r="GA33" s="116"/>
      <c r="GB33" s="116"/>
      <c r="GC33" s="116"/>
      <c r="GD33" s="116"/>
      <c r="GE33" s="116"/>
      <c r="GF33" s="116"/>
      <c r="GG33" s="116"/>
      <c r="GH33" s="116"/>
      <c r="GI33" s="116"/>
      <c r="GJ33" s="116"/>
      <c r="GK33" s="116"/>
      <c r="GL33" s="116"/>
      <c r="GM33" s="116"/>
      <c r="GN33" s="116"/>
      <c r="GO33" s="116"/>
      <c r="GP33" s="116"/>
      <c r="GQ33" s="116"/>
      <c r="GR33" s="116"/>
      <c r="GS33" s="116"/>
      <c r="GT33" s="116"/>
      <c r="GU33" s="116"/>
      <c r="GV33" s="116"/>
      <c r="GW33" s="116"/>
      <c r="GX33" s="116"/>
      <c r="GY33" s="116"/>
      <c r="GZ33" s="116"/>
      <c r="HA33" s="116"/>
      <c r="HB33" s="116"/>
      <c r="HC33" s="116"/>
    </row>
    <row r="34" spans="1:211" ht="16.2" thickBot="1" x14ac:dyDescent="0.35">
      <c r="A34" s="116"/>
      <c r="B34" s="116"/>
      <c r="C34" s="116"/>
      <c r="D34" s="116"/>
      <c r="E34" s="116"/>
      <c r="F34" s="102">
        <v>1</v>
      </c>
      <c r="G34" s="103">
        <v>2</v>
      </c>
      <c r="H34" s="104">
        <v>3</v>
      </c>
      <c r="I34" s="110">
        <v>1</v>
      </c>
      <c r="J34" s="111">
        <v>2</v>
      </c>
      <c r="K34" s="112">
        <v>3</v>
      </c>
      <c r="L34" s="102">
        <v>1</v>
      </c>
      <c r="M34" s="103">
        <v>2</v>
      </c>
      <c r="N34" s="104">
        <v>3</v>
      </c>
      <c r="O34" s="102">
        <v>1</v>
      </c>
      <c r="P34" s="103">
        <v>2</v>
      </c>
      <c r="Q34" s="104">
        <v>3</v>
      </c>
      <c r="R34" s="102">
        <v>1</v>
      </c>
      <c r="S34" s="103">
        <v>2</v>
      </c>
      <c r="T34" s="104">
        <v>3</v>
      </c>
      <c r="U34" s="102">
        <v>1</v>
      </c>
      <c r="V34" s="103">
        <v>2</v>
      </c>
      <c r="W34" s="104">
        <v>3</v>
      </c>
      <c r="X34" s="102">
        <v>1</v>
      </c>
      <c r="Y34" s="103">
        <v>2</v>
      </c>
      <c r="Z34" s="104">
        <v>3</v>
      </c>
      <c r="AA34" s="102">
        <v>1</v>
      </c>
      <c r="AB34" s="103">
        <v>2</v>
      </c>
      <c r="AC34" s="104">
        <v>3</v>
      </c>
      <c r="AD34" s="102">
        <v>1</v>
      </c>
      <c r="AE34" s="103">
        <v>2</v>
      </c>
      <c r="AF34" s="104">
        <v>3</v>
      </c>
      <c r="AG34" s="102">
        <v>1</v>
      </c>
      <c r="AH34" s="103">
        <v>2</v>
      </c>
      <c r="AI34" s="104">
        <v>3</v>
      </c>
      <c r="AJ34" s="102">
        <v>1</v>
      </c>
      <c r="AK34" s="103">
        <v>2</v>
      </c>
      <c r="AL34" s="104">
        <v>3</v>
      </c>
      <c r="AM34" s="102">
        <v>1</v>
      </c>
      <c r="AN34" s="103">
        <v>2</v>
      </c>
      <c r="AO34" s="104">
        <v>3</v>
      </c>
      <c r="AP34" s="102">
        <v>1</v>
      </c>
      <c r="AQ34" s="103">
        <v>2</v>
      </c>
      <c r="AR34" s="104">
        <v>3</v>
      </c>
      <c r="AS34" s="102">
        <v>1</v>
      </c>
      <c r="AT34" s="103">
        <v>2</v>
      </c>
      <c r="AU34" s="104">
        <v>3</v>
      </c>
      <c r="AV34" s="116"/>
      <c r="AW34" s="116"/>
      <c r="AX34" s="116"/>
      <c r="AY34" s="116"/>
      <c r="AZ34" s="116"/>
      <c r="BA34" s="116"/>
      <c r="BB34" s="116"/>
      <c r="BC34" s="116"/>
      <c r="BD34" s="116"/>
      <c r="BE34" s="116"/>
      <c r="BF34" s="116"/>
      <c r="BG34" s="116"/>
      <c r="BH34" s="116"/>
      <c r="BI34" s="116"/>
      <c r="BJ34" s="116"/>
      <c r="BK34" s="116"/>
      <c r="BL34" s="116"/>
      <c r="BM34" s="116"/>
      <c r="BN34" s="116"/>
      <c r="BO34" s="116"/>
      <c r="BP34" s="116"/>
      <c r="BQ34" s="116"/>
      <c r="BR34" s="116"/>
      <c r="BS34" s="116"/>
      <c r="BT34" s="116"/>
      <c r="BU34" s="116"/>
      <c r="BV34" s="116"/>
      <c r="BW34" s="116"/>
      <c r="BX34" s="116"/>
      <c r="BY34" s="116"/>
      <c r="BZ34" s="116"/>
      <c r="CA34" s="116"/>
      <c r="CB34" s="116"/>
      <c r="CC34" s="116"/>
      <c r="CD34" s="116"/>
      <c r="CE34" s="116"/>
      <c r="CF34" s="116"/>
      <c r="CG34" s="116"/>
      <c r="CH34" s="116"/>
      <c r="CI34" s="116"/>
      <c r="CJ34" s="116"/>
      <c r="CK34" s="116"/>
      <c r="CL34" s="116"/>
      <c r="CM34" s="116"/>
      <c r="CN34" s="116"/>
      <c r="CO34" s="116"/>
      <c r="CP34" s="116"/>
      <c r="CQ34" s="116"/>
      <c r="CR34" s="116"/>
      <c r="CS34" s="116"/>
      <c r="CT34" s="116"/>
      <c r="CU34" s="116"/>
      <c r="CV34" s="116"/>
      <c r="CW34" s="116"/>
      <c r="CX34" s="116"/>
      <c r="CY34" s="116"/>
      <c r="CZ34" s="116"/>
      <c r="DA34" s="116"/>
      <c r="DB34" s="116"/>
      <c r="DC34" s="116"/>
      <c r="DD34" s="116"/>
      <c r="DE34" s="116"/>
      <c r="DF34" s="116"/>
      <c r="DG34" s="116"/>
      <c r="DH34" s="116"/>
      <c r="DI34" s="116"/>
      <c r="DJ34" s="116"/>
      <c r="DK34" s="116"/>
      <c r="DL34" s="116"/>
      <c r="DM34" s="116"/>
      <c r="DN34" s="116"/>
      <c r="DO34" s="116"/>
      <c r="DP34" s="116"/>
      <c r="DQ34" s="116"/>
      <c r="DR34" s="116"/>
      <c r="DS34" s="116"/>
      <c r="DT34" s="116"/>
      <c r="DU34" s="116"/>
      <c r="DV34" s="116"/>
      <c r="DW34" s="116"/>
      <c r="DX34" s="116"/>
      <c r="DY34" s="116"/>
      <c r="DZ34" s="116"/>
      <c r="EA34" s="116"/>
      <c r="EB34" s="116"/>
      <c r="EC34" s="116"/>
      <c r="ED34" s="116"/>
      <c r="EE34" s="116"/>
      <c r="EF34" s="116"/>
      <c r="EG34" s="116"/>
      <c r="EH34" s="116"/>
      <c r="EI34" s="116"/>
      <c r="EJ34" s="116"/>
      <c r="EK34" s="116"/>
      <c r="EL34" s="116"/>
      <c r="EM34" s="116"/>
      <c r="EN34" s="116"/>
      <c r="EO34" s="116"/>
      <c r="EP34" s="116"/>
      <c r="EQ34" s="116"/>
      <c r="ER34" s="116"/>
      <c r="ES34" s="116"/>
      <c r="ET34" s="116"/>
      <c r="EU34" s="116"/>
      <c r="EV34" s="116"/>
      <c r="EW34" s="116"/>
      <c r="EX34" s="116"/>
      <c r="EY34" s="116"/>
      <c r="EZ34" s="116"/>
      <c r="FA34" s="116"/>
      <c r="FB34" s="116"/>
      <c r="FC34" s="116"/>
      <c r="FD34" s="116"/>
      <c r="FE34" s="116"/>
      <c r="FF34" s="116"/>
      <c r="FG34" s="116"/>
      <c r="FH34" s="116"/>
      <c r="FI34" s="116"/>
      <c r="FJ34" s="116"/>
      <c r="FK34" s="116"/>
      <c r="FL34" s="116"/>
      <c r="FM34" s="116"/>
      <c r="FN34" s="116"/>
      <c r="FO34" s="116"/>
      <c r="FP34" s="116"/>
      <c r="FQ34" s="116"/>
      <c r="FR34" s="116"/>
      <c r="FS34" s="116"/>
      <c r="FT34" s="116"/>
      <c r="FU34" s="116"/>
      <c r="FV34" s="116"/>
      <c r="FW34" s="116"/>
      <c r="FX34" s="116"/>
      <c r="FY34" s="116"/>
      <c r="FZ34" s="116"/>
      <c r="GA34" s="116"/>
      <c r="GB34" s="116"/>
      <c r="GC34" s="116"/>
      <c r="GD34" s="116"/>
      <c r="GE34" s="116"/>
      <c r="GF34" s="116"/>
      <c r="GG34" s="116"/>
      <c r="GH34" s="116"/>
      <c r="GI34" s="116"/>
      <c r="GJ34" s="116"/>
      <c r="GK34" s="116"/>
      <c r="GL34" s="116"/>
      <c r="GM34" s="116"/>
      <c r="GN34" s="116"/>
      <c r="GO34" s="116"/>
      <c r="GP34" s="116"/>
      <c r="GQ34" s="116"/>
      <c r="GR34" s="116"/>
      <c r="GS34" s="116"/>
      <c r="GT34" s="116"/>
      <c r="GU34" s="116"/>
      <c r="GV34" s="116"/>
      <c r="GW34" s="116"/>
      <c r="GX34" s="116"/>
      <c r="GY34" s="116"/>
      <c r="GZ34" s="116"/>
      <c r="HA34" s="116"/>
      <c r="HB34" s="116"/>
      <c r="HC34" s="116"/>
    </row>
    <row r="35" spans="1:211" ht="16.2" thickBot="1" x14ac:dyDescent="0.35">
      <c r="A35" s="116"/>
      <c r="B35" s="126" t="s">
        <v>17</v>
      </c>
      <c r="C35" s="127"/>
      <c r="D35" s="128"/>
      <c r="E35" s="113" t="s">
        <v>60</v>
      </c>
      <c r="F35" s="108">
        <f>VLOOKUP($B$35,$A$5:$HC$27,2,FALSE)</f>
        <v>2</v>
      </c>
      <c r="G35" s="105">
        <f>VLOOKUP($B$35,$A$5:$HC$27,2+5,FALSE)</f>
        <v>2</v>
      </c>
      <c r="H35" s="109">
        <f>VLOOKUP($B$35,$A$5:$HC$27,7+5,FALSE)</f>
        <v>2</v>
      </c>
      <c r="I35" s="107">
        <f>VLOOKUP($B$35,$A$5:$HC$27,12+5,FALSE)</f>
        <v>2</v>
      </c>
      <c r="J35" s="105">
        <f>VLOOKUP($B$35,$A$5:$HC$27,17+5,FALSE)</f>
        <v>3</v>
      </c>
      <c r="K35" s="106">
        <f>VLOOKUP($B$35,$A$5:$HC$27,22+5,FALSE)</f>
        <v>2</v>
      </c>
      <c r="L35" s="108">
        <f>VLOOKUP($B$35,$A$5:$HC$27,27+5,FALSE)</f>
        <v>2</v>
      </c>
      <c r="M35" s="105">
        <f>VLOOKUP($B$35,$A$5:$HC$27,32+5,FALSE)</f>
        <v>3</v>
      </c>
      <c r="N35" s="109">
        <f>VLOOKUP($B$35,$A$5:$HC$27,37+5,FALSE)</f>
        <v>2</v>
      </c>
      <c r="O35" s="108">
        <f>VLOOKUP($B$35,$A$5:$HC$27,42+5,FALSE)</f>
        <v>1</v>
      </c>
      <c r="P35" s="105">
        <f>VLOOKUP($B$35,$A$5:$HC$27,47+5,FALSE)</f>
        <v>1</v>
      </c>
      <c r="Q35" s="109">
        <f>VLOOKUP($B$35,$A$5:$HC$27,52+5,FALSE)</f>
        <v>1</v>
      </c>
      <c r="R35" s="108">
        <f>VLOOKUP($B$35,$A$5:$HC$27,57+5,FALSE)</f>
        <v>1</v>
      </c>
      <c r="S35" s="105">
        <f>VLOOKUP($B$35,$A$5:$HC$27,62+5,FALSE)</f>
        <v>1</v>
      </c>
      <c r="T35" s="109">
        <f>VLOOKUP($B$35,$A$5:$HC$27,67+5,FALSE)</f>
        <v>1</v>
      </c>
      <c r="U35" s="108">
        <f>VLOOKUP($B$35,$A$5:$HC$27,72+5,FALSE)</f>
        <v>1</v>
      </c>
      <c r="V35" s="105">
        <f>VLOOKUP($B$35,$A$5:$HC$27,77+5,FALSE)</f>
        <v>3</v>
      </c>
      <c r="W35" s="109">
        <f>VLOOKUP($B$35,$A$5:$HC$27,82+5,FALSE)</f>
        <v>1</v>
      </c>
      <c r="X35" s="108">
        <f>VLOOKUP($B$35,$A$5:$HC$27,87+5,FALSE)</f>
        <v>2</v>
      </c>
      <c r="Y35" s="105">
        <f>VLOOKUP($B$35,$A$5:$HC$27,92+5,FALSE)</f>
        <v>1</v>
      </c>
      <c r="Z35" s="105">
        <f>VLOOKUP($B$35,$A$5:$HC$27,97+5,FALSE)</f>
        <v>5</v>
      </c>
      <c r="AA35" s="105">
        <f>VLOOKUP($B$35,$A$5:$HC$27,102+5,FALSE)</f>
        <v>2</v>
      </c>
      <c r="AB35" s="105">
        <f>VLOOKUP($B$35,$A$5:$HC$27,107+5,FALSE)</f>
        <v>1</v>
      </c>
      <c r="AC35" s="105">
        <f>VLOOKUP($B$35,$A$5:$HC$27,112+5,FALSE)</f>
        <v>1</v>
      </c>
      <c r="AD35" s="105">
        <f>VLOOKUP($B$35,$A$5:$HC$27,117+5,FALSE)</f>
        <v>1</v>
      </c>
      <c r="AE35" s="105">
        <f>VLOOKUP($B$35,$A$5:$HC$27,122+5,FALSE)</f>
        <v>1</v>
      </c>
      <c r="AF35" s="105">
        <f>VLOOKUP($B$35,$A$5:$HC$27,127+5,FALSE)</f>
        <v>2</v>
      </c>
      <c r="AG35" s="105">
        <f>VLOOKUP($B$35,$A$5:$HC$27,132+5,FALSE)</f>
        <v>4</v>
      </c>
      <c r="AH35" s="105">
        <f>VLOOKUP($B$35,$A$5:$HC$27,137+5,FALSE)</f>
        <v>1</v>
      </c>
      <c r="AI35" s="105">
        <f>VLOOKUP($B$35,$A$5:$HC$27,142+5,FALSE)</f>
        <v>2</v>
      </c>
      <c r="AJ35" s="105">
        <f>VLOOKUP($B$35,$A$5:$HC$27,147+5,FALSE)</f>
        <v>4</v>
      </c>
      <c r="AK35" s="105">
        <f>VLOOKUP($B$35,$A$5:$HC$27,152+5,FALSE)</f>
        <v>2</v>
      </c>
      <c r="AL35" s="105">
        <f>VLOOKUP($B$35,$A$5:$HC$27,157+5,FALSE)</f>
        <v>2</v>
      </c>
      <c r="AM35" s="105">
        <f>VLOOKUP($B$35,$A$5:$HC$27,162+5,FALSE)</f>
        <v>4</v>
      </c>
      <c r="AN35" s="105">
        <f>VLOOKUP($B$35,$A$5:$HC$27,167+5,FALSE)</f>
        <v>2</v>
      </c>
      <c r="AO35" s="105">
        <f>VLOOKUP($B$35,$A$5:$HC$27,172+5,FALSE)</f>
        <v>3</v>
      </c>
      <c r="AP35" s="105">
        <f>VLOOKUP($B$35,$A$5:$HC$27,177+5,FALSE)</f>
        <v>3</v>
      </c>
      <c r="AQ35" s="105">
        <f>VLOOKUP($B$35,$A$5:$HC$27,182+5,FALSE)</f>
        <v>3</v>
      </c>
      <c r="AR35" s="105">
        <f>VLOOKUP($B$35,$A$5:$HC$27,187+5,FALSE)</f>
        <v>1</v>
      </c>
      <c r="AS35" s="105">
        <f>VLOOKUP($B$35,$A$5:$HC$27,192+5,FALSE)</f>
        <v>3</v>
      </c>
      <c r="AT35" s="105">
        <f>VLOOKUP($B$35,$A$5:$HC$27,197+5,FALSE)</f>
        <v>2</v>
      </c>
      <c r="AU35" s="105">
        <f>VLOOKUP($B$35,$A$5:$HC$27,202+5,FALSE)</f>
        <v>3</v>
      </c>
      <c r="AV35" s="116"/>
      <c r="AW35" s="116"/>
      <c r="AX35" s="116"/>
      <c r="AY35" s="116"/>
      <c r="AZ35" s="116"/>
      <c r="BA35" s="116"/>
      <c r="BB35" s="116"/>
      <c r="BC35" s="116"/>
      <c r="BD35" s="116"/>
      <c r="BE35" s="116"/>
      <c r="BF35" s="116"/>
      <c r="BG35" s="116"/>
      <c r="BH35" s="116"/>
      <c r="BI35" s="116"/>
      <c r="BJ35" s="116"/>
      <c r="BK35" s="116"/>
      <c r="BL35" s="116"/>
      <c r="BM35" s="116"/>
      <c r="BN35" s="116"/>
      <c r="BO35" s="116"/>
      <c r="BP35" s="116"/>
      <c r="BQ35" s="116"/>
      <c r="BR35" s="116"/>
      <c r="BS35" s="116"/>
      <c r="BT35" s="116"/>
      <c r="BU35" s="116"/>
      <c r="BV35" s="116"/>
      <c r="BW35" s="116"/>
      <c r="BX35" s="116"/>
      <c r="BY35" s="116"/>
      <c r="BZ35" s="116"/>
      <c r="CA35" s="116"/>
      <c r="CB35" s="116"/>
      <c r="CC35" s="116"/>
      <c r="CD35" s="116"/>
      <c r="CE35" s="116"/>
      <c r="CF35" s="116"/>
      <c r="CG35" s="116"/>
      <c r="CH35" s="116"/>
      <c r="CI35" s="116"/>
      <c r="CJ35" s="116"/>
      <c r="CK35" s="116"/>
      <c r="CL35" s="116"/>
      <c r="CM35" s="116"/>
      <c r="CN35" s="116"/>
      <c r="CO35" s="116"/>
      <c r="CP35" s="116"/>
      <c r="CQ35" s="116"/>
      <c r="CR35" s="116"/>
      <c r="CS35" s="116"/>
      <c r="CT35" s="116"/>
      <c r="CU35" s="116"/>
      <c r="CV35" s="116"/>
      <c r="CW35" s="116"/>
      <c r="CX35" s="116"/>
      <c r="CY35" s="116"/>
      <c r="CZ35" s="116"/>
      <c r="DA35" s="116"/>
      <c r="DB35" s="116"/>
      <c r="DC35" s="116"/>
      <c r="DD35" s="116"/>
      <c r="DE35" s="116"/>
      <c r="DF35" s="116"/>
      <c r="DG35" s="116"/>
      <c r="DH35" s="116"/>
      <c r="DI35" s="116"/>
      <c r="DJ35" s="116"/>
      <c r="DK35" s="116"/>
      <c r="DL35" s="116"/>
      <c r="DM35" s="116"/>
      <c r="DN35" s="116"/>
      <c r="DO35" s="116"/>
      <c r="DP35" s="116"/>
      <c r="DQ35" s="116"/>
      <c r="DR35" s="116"/>
      <c r="DS35" s="116"/>
      <c r="DT35" s="116"/>
      <c r="DU35" s="116"/>
      <c r="DV35" s="116"/>
      <c r="DW35" s="116"/>
      <c r="DX35" s="116"/>
      <c r="DY35" s="116"/>
      <c r="DZ35" s="116"/>
      <c r="EA35" s="116"/>
      <c r="EB35" s="116"/>
      <c r="EC35" s="116"/>
      <c r="ED35" s="116"/>
      <c r="EE35" s="116"/>
      <c r="EF35" s="116"/>
      <c r="EG35" s="116"/>
      <c r="EH35" s="116"/>
      <c r="EI35" s="116"/>
      <c r="EJ35" s="116"/>
      <c r="EK35" s="116"/>
      <c r="EL35" s="116"/>
      <c r="EM35" s="116"/>
      <c r="EN35" s="116"/>
      <c r="EO35" s="116"/>
      <c r="EP35" s="116"/>
      <c r="EQ35" s="116"/>
      <c r="ER35" s="116"/>
      <c r="ES35" s="116"/>
      <c r="ET35" s="116"/>
      <c r="EU35" s="116"/>
      <c r="EV35" s="116"/>
      <c r="EW35" s="116"/>
      <c r="EX35" s="116"/>
      <c r="EY35" s="116"/>
      <c r="EZ35" s="116"/>
      <c r="FA35" s="116"/>
      <c r="FB35" s="116"/>
      <c r="FC35" s="116"/>
      <c r="FD35" s="116"/>
      <c r="FE35" s="116"/>
      <c r="FF35" s="116"/>
      <c r="FG35" s="116"/>
      <c r="FH35" s="116"/>
      <c r="FI35" s="116"/>
      <c r="FJ35" s="116"/>
      <c r="FK35" s="116"/>
      <c r="FL35" s="116"/>
      <c r="FM35" s="116"/>
      <c r="FN35" s="116"/>
      <c r="FO35" s="116"/>
      <c r="FP35" s="116"/>
      <c r="FQ35" s="116"/>
      <c r="FR35" s="116"/>
      <c r="FS35" s="116"/>
      <c r="FT35" s="116"/>
      <c r="FU35" s="116"/>
      <c r="FV35" s="116"/>
      <c r="FW35" s="116"/>
      <c r="FX35" s="116"/>
      <c r="FY35" s="116"/>
      <c r="FZ35" s="116"/>
      <c r="GA35" s="116"/>
      <c r="GB35" s="116"/>
      <c r="GC35" s="116"/>
      <c r="GD35" s="116"/>
      <c r="GE35" s="116"/>
      <c r="GF35" s="116"/>
      <c r="GG35" s="116"/>
      <c r="GH35" s="116"/>
      <c r="GI35" s="116"/>
      <c r="GJ35" s="116"/>
      <c r="GK35" s="116"/>
      <c r="GL35" s="116"/>
      <c r="GM35" s="116"/>
      <c r="GN35" s="116"/>
      <c r="GO35" s="116"/>
      <c r="GP35" s="116"/>
      <c r="GQ35" s="116"/>
      <c r="GR35" s="116"/>
      <c r="GS35" s="116"/>
      <c r="GT35" s="116"/>
      <c r="GU35" s="116"/>
      <c r="GV35" s="116"/>
      <c r="GW35" s="116"/>
      <c r="GX35" s="116"/>
      <c r="GY35" s="116"/>
      <c r="GZ35" s="116"/>
      <c r="HA35" s="116"/>
      <c r="HB35" s="116"/>
      <c r="HC35" s="116"/>
    </row>
    <row r="36" spans="1:211" ht="16.2" thickBot="1" x14ac:dyDescent="0.35">
      <c r="A36" s="116"/>
      <c r="B36" s="129"/>
      <c r="C36" s="130"/>
      <c r="D36" s="131"/>
      <c r="E36" s="114" t="s">
        <v>61</v>
      </c>
      <c r="F36" s="108">
        <f>VLOOKUP($B$35,$A$5:$HC$27,3,FALSE)</f>
        <v>3</v>
      </c>
      <c r="G36" s="105">
        <f>VLOOKUP($B$35,$A$5:$HC$27,3+5,FALSE)</f>
        <v>4</v>
      </c>
      <c r="H36" s="109">
        <f>VLOOKUP($B$35,$A$5:$HC$27,8+5,FALSE)</f>
        <v>3</v>
      </c>
      <c r="I36" s="107">
        <f>VLOOKUP($B$35,$A$5:$HC$27,13+5,FALSE)</f>
        <v>2</v>
      </c>
      <c r="J36" s="105">
        <f>VLOOKUP($B$35,$A$5:$HC$27,18+5,FALSE)</f>
        <v>3</v>
      </c>
      <c r="K36" s="106">
        <f>VLOOKUP($B$35,$A$5:$HC$27,23+5,FALSE)</f>
        <v>2</v>
      </c>
      <c r="L36" s="108">
        <f>VLOOKUP($B$35,$A$5:$HC$27,28+5,FALSE)</f>
        <v>2</v>
      </c>
      <c r="M36" s="105">
        <f>VLOOKUP($B$35,$A$5:$HC$27,33+5,FALSE)</f>
        <v>3</v>
      </c>
      <c r="N36" s="109">
        <f>VLOOKUP($B$35,$A$5:$HC$27,38+5,FALSE)</f>
        <v>2</v>
      </c>
      <c r="O36" s="108">
        <f>VLOOKUP($B$35,$A$5:$HC$27,43+5,FALSE)</f>
        <v>2</v>
      </c>
      <c r="P36" s="105">
        <f>VLOOKUP($B$35,$A$5:$HC$27,48+5,FALSE)</f>
        <v>3</v>
      </c>
      <c r="Q36" s="109">
        <f>VLOOKUP($B$35,$A$5:$HC$27,53+5,FALSE)</f>
        <v>1</v>
      </c>
      <c r="R36" s="108">
        <f>VLOOKUP($B$35,$A$5:$HC$27,58+5,FALSE)</f>
        <v>3</v>
      </c>
      <c r="S36" s="105">
        <f>VLOOKUP($B$35,$A$5:$HC$27,63+5,FALSE)</f>
        <v>2</v>
      </c>
      <c r="T36" s="109">
        <f>VLOOKUP($B$35,$A$5:$HC$27,68+5,FALSE)</f>
        <v>2</v>
      </c>
      <c r="U36" s="108">
        <f>VLOOKUP($B$35,$A$5:$HC$27,73+5,FALSE)</f>
        <v>3</v>
      </c>
      <c r="V36" s="105">
        <f>VLOOKUP($B$35,$A$5:$HC$27,78+5,FALSE)</f>
        <v>5</v>
      </c>
      <c r="W36" s="109">
        <f>VLOOKUP($B$35,$A$5:$HC$27,83+5,FALSE)</f>
        <v>2</v>
      </c>
      <c r="X36" s="108">
        <f>VLOOKUP($B$35,$A$5:$HC$27,88+5,FALSE)</f>
        <v>3</v>
      </c>
      <c r="Y36" s="105">
        <f>VLOOKUP($B$35,$A$5:$HC$27,93+5,FALSE)</f>
        <v>1</v>
      </c>
      <c r="Z36" s="105">
        <f>VLOOKUP($B$35,$A$5:$HC$27,98+5,FALSE)</f>
        <v>3</v>
      </c>
      <c r="AA36" s="105">
        <f>VLOOKUP($B$35,$A$5:$HC$27,103+5,FALSE)</f>
        <v>2</v>
      </c>
      <c r="AB36" s="105">
        <f>VLOOKUP($B$35,$A$5:$HC$27,108+5,FALSE)</f>
        <v>4</v>
      </c>
      <c r="AC36" s="105">
        <f>VLOOKUP($B$35,$A$5:$HC$27,113+5,FALSE)</f>
        <v>3</v>
      </c>
      <c r="AD36" s="105">
        <f>VLOOKUP($B$35,$A$5:$HC$27,118+5,FALSE)</f>
        <v>1</v>
      </c>
      <c r="AE36" s="105">
        <f>VLOOKUP($B$35,$A$5:$HC$27,123+5,FALSE)</f>
        <v>4</v>
      </c>
      <c r="AF36" s="105">
        <f>VLOOKUP($B$35,$A$5:$HC$27,128+5,FALSE)</f>
        <v>2</v>
      </c>
      <c r="AG36" s="105">
        <f>VLOOKUP($B$35,$A$5:$HC$27,133+5,FALSE)</f>
        <v>2</v>
      </c>
      <c r="AH36" s="105">
        <f>VLOOKUP($B$35,$A$5:$HC$27,138+5,FALSE)</f>
        <v>2</v>
      </c>
      <c r="AI36" s="105">
        <f>VLOOKUP($B$35,$A$5:$HC$27,143+5,FALSE)</f>
        <v>2</v>
      </c>
      <c r="AJ36" s="105">
        <f>VLOOKUP($B$35,$A$5:$HC$27,148+5,FALSE)</f>
        <v>4</v>
      </c>
      <c r="AK36" s="105">
        <f>VLOOKUP($B$35,$A$5:$HC$27,153+5,FALSE)</f>
        <v>2</v>
      </c>
      <c r="AL36" s="105">
        <f>VLOOKUP($B$35,$A$5:$HC$27,158+5,FALSE)</f>
        <v>2</v>
      </c>
      <c r="AM36" s="105">
        <f>VLOOKUP($B$35,$A$5:$HC$27,163+5,FALSE)</f>
        <v>3</v>
      </c>
      <c r="AN36" s="105">
        <f>VLOOKUP($B$35,$A$5:$HC$27,168+5,FALSE)</f>
        <v>4</v>
      </c>
      <c r="AO36" s="105">
        <f>VLOOKUP($B$35,$A$5:$HC$27,173+5,FALSE)</f>
        <v>4</v>
      </c>
      <c r="AP36" s="105">
        <f>VLOOKUP($B$35,$A$5:$HC$27,178+5,FALSE)</f>
        <v>1</v>
      </c>
      <c r="AQ36" s="105">
        <f>VLOOKUP($B$35,$A$5:$HC$27,183+5,FALSE)</f>
        <v>4</v>
      </c>
      <c r="AR36" s="105">
        <f>VLOOKUP($B$35,$A$5:$HC$27,188+5,FALSE)</f>
        <v>3</v>
      </c>
      <c r="AS36" s="105">
        <f>VLOOKUP($B$35,$A$5:$HC$27,193+5,FALSE)</f>
        <v>3</v>
      </c>
      <c r="AT36" s="105">
        <f>VLOOKUP($B$35,$A$5:$HC$27,198+5,FALSE)</f>
        <v>1</v>
      </c>
      <c r="AU36" s="105">
        <f>VLOOKUP($B$35,$A$5:$HC$27,203+5,FALSE)</f>
        <v>3</v>
      </c>
      <c r="AV36" s="116"/>
      <c r="AW36" s="116"/>
      <c r="AX36" s="116"/>
      <c r="AY36" s="116"/>
      <c r="AZ36" s="116"/>
      <c r="BA36" s="116"/>
      <c r="BB36" s="116"/>
      <c r="BC36" s="116"/>
      <c r="BD36" s="116"/>
      <c r="BE36" s="116"/>
      <c r="BF36" s="116"/>
      <c r="BG36" s="116"/>
      <c r="BH36" s="116"/>
      <c r="BI36" s="116"/>
      <c r="BJ36" s="116"/>
      <c r="BK36" s="116"/>
      <c r="BL36" s="116"/>
      <c r="BM36" s="116"/>
      <c r="BN36" s="116"/>
      <c r="BO36" s="116"/>
      <c r="BP36" s="116"/>
      <c r="BQ36" s="116"/>
      <c r="BR36" s="116"/>
      <c r="BS36" s="116"/>
      <c r="BT36" s="116"/>
      <c r="BU36" s="116"/>
      <c r="BV36" s="116"/>
      <c r="BW36" s="116"/>
      <c r="BX36" s="116"/>
      <c r="BY36" s="116"/>
      <c r="BZ36" s="116"/>
      <c r="CA36" s="116"/>
      <c r="CB36" s="116"/>
      <c r="CC36" s="116"/>
      <c r="CD36" s="116"/>
      <c r="CE36" s="116"/>
      <c r="CF36" s="116"/>
      <c r="CG36" s="116"/>
      <c r="CH36" s="116"/>
      <c r="CI36" s="116"/>
      <c r="CJ36" s="116"/>
      <c r="CK36" s="116"/>
      <c r="CL36" s="116"/>
      <c r="CM36" s="116"/>
      <c r="CN36" s="116"/>
      <c r="CO36" s="116"/>
      <c r="CP36" s="116"/>
      <c r="CQ36" s="116"/>
      <c r="CR36" s="116"/>
      <c r="CS36" s="116"/>
      <c r="CT36" s="116"/>
      <c r="CU36" s="116"/>
      <c r="CV36" s="116"/>
      <c r="CW36" s="116"/>
      <c r="CX36" s="116"/>
      <c r="CY36" s="116"/>
      <c r="CZ36" s="116"/>
      <c r="DA36" s="116"/>
      <c r="DB36" s="116"/>
      <c r="DC36" s="116"/>
      <c r="DD36" s="116"/>
      <c r="DE36" s="116"/>
      <c r="DF36" s="116"/>
      <c r="DG36" s="116"/>
      <c r="DH36" s="116"/>
      <c r="DI36" s="116"/>
      <c r="DJ36" s="116"/>
      <c r="DK36" s="116"/>
      <c r="DL36" s="116"/>
      <c r="DM36" s="116"/>
      <c r="DN36" s="116"/>
      <c r="DO36" s="116"/>
      <c r="DP36" s="116"/>
      <c r="DQ36" s="116"/>
      <c r="DR36" s="116"/>
      <c r="DS36" s="116"/>
      <c r="DT36" s="116"/>
      <c r="DU36" s="116"/>
      <c r="DV36" s="116"/>
      <c r="DW36" s="116"/>
      <c r="DX36" s="116"/>
      <c r="DY36" s="116"/>
      <c r="DZ36" s="116"/>
      <c r="EA36" s="116"/>
      <c r="EB36" s="116"/>
      <c r="EC36" s="116"/>
      <c r="ED36" s="116"/>
      <c r="EE36" s="116"/>
      <c r="EF36" s="116"/>
      <c r="EG36" s="116"/>
      <c r="EH36" s="116"/>
      <c r="EI36" s="116"/>
      <c r="EJ36" s="116"/>
      <c r="EK36" s="116"/>
      <c r="EL36" s="116"/>
      <c r="EM36" s="116"/>
      <c r="EN36" s="116"/>
      <c r="EO36" s="116"/>
      <c r="EP36" s="116"/>
      <c r="EQ36" s="116"/>
      <c r="ER36" s="116"/>
      <c r="ES36" s="116"/>
      <c r="ET36" s="116"/>
      <c r="EU36" s="116"/>
      <c r="EV36" s="116"/>
      <c r="EW36" s="116"/>
      <c r="EX36" s="116"/>
      <c r="EY36" s="116"/>
      <c r="EZ36" s="116"/>
      <c r="FA36" s="116"/>
      <c r="FB36" s="116"/>
      <c r="FC36" s="116"/>
      <c r="FD36" s="116"/>
      <c r="FE36" s="116"/>
      <c r="FF36" s="116"/>
      <c r="FG36" s="116"/>
      <c r="FH36" s="116"/>
      <c r="FI36" s="116"/>
      <c r="FJ36" s="116"/>
      <c r="FK36" s="116"/>
      <c r="FL36" s="116"/>
      <c r="FM36" s="116"/>
      <c r="FN36" s="116"/>
      <c r="FO36" s="116"/>
      <c r="FP36" s="116"/>
      <c r="FQ36" s="116"/>
      <c r="FR36" s="116"/>
      <c r="FS36" s="116"/>
      <c r="FT36" s="116"/>
      <c r="FU36" s="116"/>
      <c r="FV36" s="116"/>
      <c r="FW36" s="116"/>
      <c r="FX36" s="116"/>
      <c r="FY36" s="116"/>
      <c r="FZ36" s="116"/>
      <c r="GA36" s="116"/>
      <c r="GB36" s="116"/>
      <c r="GC36" s="116"/>
      <c r="GD36" s="116"/>
      <c r="GE36" s="116"/>
      <c r="GF36" s="116"/>
      <c r="GG36" s="116"/>
      <c r="GH36" s="116"/>
      <c r="GI36" s="116"/>
      <c r="GJ36" s="116"/>
      <c r="GK36" s="116"/>
      <c r="GL36" s="116"/>
      <c r="GM36" s="116"/>
      <c r="GN36" s="116"/>
      <c r="GO36" s="116"/>
      <c r="GP36" s="116"/>
      <c r="GQ36" s="116"/>
      <c r="GR36" s="116"/>
      <c r="GS36" s="116"/>
      <c r="GT36" s="116"/>
      <c r="GU36" s="116"/>
      <c r="GV36" s="116"/>
      <c r="GW36" s="116"/>
      <c r="GX36" s="116"/>
      <c r="GY36" s="116"/>
      <c r="GZ36" s="116"/>
      <c r="HA36" s="116"/>
      <c r="HB36" s="116"/>
      <c r="HC36" s="116"/>
    </row>
    <row r="37" spans="1:211" ht="16.2" thickBot="1" x14ac:dyDescent="0.35">
      <c r="A37" s="116"/>
      <c r="B37" s="129"/>
      <c r="C37" s="130"/>
      <c r="D37" s="131"/>
      <c r="E37" s="114" t="s">
        <v>62</v>
      </c>
      <c r="F37" s="108">
        <f>VLOOKUP($B$35,$A$5:$HC$27,4,FALSE)</f>
        <v>4</v>
      </c>
      <c r="G37" s="105">
        <f>VLOOKUP($B$35,$A$5:$HC$27,4+5,FALSE)</f>
        <v>5</v>
      </c>
      <c r="H37" s="109">
        <f>VLOOKUP($B$35,$A$5:$HC$27,9+5,FALSE)</f>
        <v>3</v>
      </c>
      <c r="I37" s="107">
        <f>VLOOKUP($B$35,$A$5:$HC$27,14+5,FALSE)</f>
        <v>3</v>
      </c>
      <c r="J37" s="105">
        <f>VLOOKUP($B$35,$A$5:$HC$27,19+5,FALSE)</f>
        <v>3</v>
      </c>
      <c r="K37" s="106">
        <f>VLOOKUP($B$35,$A$5:$HC$27,24+5,FALSE)</f>
        <v>3</v>
      </c>
      <c r="L37" s="108">
        <f>VLOOKUP($B$35,$A$5:$HC$27,29+5,FALSE)</f>
        <v>3</v>
      </c>
      <c r="M37" s="105">
        <f>VLOOKUP($B$35,$A$5:$HC$27,34+5,FALSE)</f>
        <v>4</v>
      </c>
      <c r="N37" s="109">
        <f>VLOOKUP($B$35,$A$5:$HC$27,39+5,FALSE)</f>
        <v>3</v>
      </c>
      <c r="O37" s="108">
        <f>VLOOKUP($B$35,$A$5:$HC$27,44+5,FALSE)</f>
        <v>3</v>
      </c>
      <c r="P37" s="105">
        <f>VLOOKUP($B$35,$A$5:$HC$27,49+5,FALSE)</f>
        <v>4</v>
      </c>
      <c r="Q37" s="109">
        <f>VLOOKUP($B$35,$A$5:$HC$27,54+5,FALSE)</f>
        <v>3</v>
      </c>
      <c r="R37" s="108">
        <f>VLOOKUP($B$35,$A$5:$HC$27,59+5,FALSE)</f>
        <v>3</v>
      </c>
      <c r="S37" s="105">
        <f>VLOOKUP($B$35,$A$5:$HC$27,64+5,FALSE)</f>
        <v>5</v>
      </c>
      <c r="T37" s="109">
        <f>VLOOKUP($B$35,$A$5:$HC$27,69+5,FALSE)</f>
        <v>4</v>
      </c>
      <c r="U37" s="108">
        <f>VLOOKUP($B$35,$A$5:$HC$27,74+5,FALSE)</f>
        <v>2</v>
      </c>
      <c r="V37" s="105">
        <f>VLOOKUP($B$35,$A$5:$HC$27,79+5,FALSE)</f>
        <v>1</v>
      </c>
      <c r="W37" s="109">
        <f>VLOOKUP($B$35,$A$5:$HC$27,84+5,FALSE)</f>
        <v>1</v>
      </c>
      <c r="X37" s="108">
        <f>VLOOKUP($B$35,$A$5:$HC$27,89+5,FALSE)</f>
        <v>4</v>
      </c>
      <c r="Y37" s="105">
        <f>VLOOKUP($B$35,$A$5:$HC$27,94+5,FALSE)</f>
        <v>5</v>
      </c>
      <c r="Z37" s="105">
        <f>VLOOKUP($B$35,$A$5:$HC$27,99+5,FALSE)</f>
        <v>1</v>
      </c>
      <c r="AA37" s="105">
        <f>VLOOKUP($B$35,$A$5:$HC$27,104+5,FALSE)</f>
        <v>1</v>
      </c>
      <c r="AB37" s="105">
        <f>VLOOKUP($B$35,$A$5:$HC$27,109+5,FALSE)</f>
        <v>2</v>
      </c>
      <c r="AC37" s="105">
        <f>VLOOKUP($B$35,$A$5:$HC$27,114+5,FALSE)</f>
        <v>2</v>
      </c>
      <c r="AD37" s="105">
        <f>VLOOKUP($B$35,$A$5:$HC$27,119+5,FALSE)</f>
        <v>4</v>
      </c>
      <c r="AE37" s="105">
        <f>VLOOKUP($B$35,$A$5:$HC$27,124+5,FALSE)</f>
        <v>2</v>
      </c>
      <c r="AF37" s="105">
        <f>VLOOKUP($B$35,$A$5:$HC$27,129+5,FALSE)</f>
        <v>3</v>
      </c>
      <c r="AG37" s="105">
        <f>VLOOKUP($B$35,$A$5:$HC$27,134+5,FALSE)</f>
        <v>4</v>
      </c>
      <c r="AH37" s="105">
        <f>VLOOKUP($B$35,$A$5:$HC$27,139+5,FALSE)</f>
        <v>2</v>
      </c>
      <c r="AI37" s="105">
        <f>VLOOKUP($B$35,$A$5:$HC$27,144+5,FALSE)</f>
        <v>3</v>
      </c>
      <c r="AJ37" s="105">
        <f>VLOOKUP($B$35,$A$5:$HC$27,149+5,FALSE)</f>
        <v>3</v>
      </c>
      <c r="AK37" s="105">
        <f>VLOOKUP($B$35,$A$5:$HC$27,154+5,FALSE)</f>
        <v>3</v>
      </c>
      <c r="AL37" s="105">
        <f>VLOOKUP($B$35,$A$5:$HC$27,159+5,FALSE)</f>
        <v>4</v>
      </c>
      <c r="AM37" s="105">
        <f>VLOOKUP($B$35,$A$5:$HC$27,164+5,FALSE)</f>
        <v>1</v>
      </c>
      <c r="AN37" s="105">
        <f>VLOOKUP($B$35,$A$5:$HC$27,169+5,FALSE)</f>
        <v>2</v>
      </c>
      <c r="AO37" s="105">
        <f>VLOOKUP($B$35,$A$5:$HC$27,174+5,FALSE)</f>
        <v>1</v>
      </c>
      <c r="AP37" s="105">
        <f>VLOOKUP($B$35,$A$5:$HC$27,179+5,FALSE)</f>
        <v>2</v>
      </c>
      <c r="AQ37" s="105">
        <f>VLOOKUP($B$35,$A$5:$HC$27,184+5,FALSE)</f>
        <v>4</v>
      </c>
      <c r="AR37" s="105">
        <f>VLOOKUP($B$35,$A$5:$HC$27,189+5,FALSE)</f>
        <v>3</v>
      </c>
      <c r="AS37" s="105">
        <f>VLOOKUP($B$35,$A$5:$HC$27,194+5,FALSE)</f>
        <v>1</v>
      </c>
      <c r="AT37" s="105">
        <f>VLOOKUP($B$35,$A$5:$HC$27,199+5,FALSE)</f>
        <v>3</v>
      </c>
      <c r="AU37" s="105">
        <f>VLOOKUP($B$35,$A$5:$HC$27,204+5,FALSE)</f>
        <v>1</v>
      </c>
      <c r="AV37" s="116"/>
      <c r="AW37" s="116"/>
      <c r="AX37" s="116"/>
      <c r="AY37" s="116"/>
      <c r="AZ37" s="116"/>
      <c r="BA37" s="116"/>
      <c r="BB37" s="116"/>
      <c r="BC37" s="116"/>
      <c r="BD37" s="116"/>
      <c r="BE37" s="116"/>
      <c r="BF37" s="116"/>
      <c r="BG37" s="116"/>
      <c r="BH37" s="116"/>
      <c r="BI37" s="116"/>
      <c r="BJ37" s="116"/>
      <c r="BK37" s="116"/>
      <c r="BL37" s="116"/>
      <c r="BM37" s="116"/>
      <c r="BN37" s="116"/>
      <c r="BO37" s="116"/>
      <c r="BP37" s="116"/>
      <c r="BQ37" s="116"/>
      <c r="BR37" s="116"/>
      <c r="BS37" s="116"/>
      <c r="BT37" s="116"/>
      <c r="BU37" s="116"/>
      <c r="BV37" s="116"/>
      <c r="BW37" s="116"/>
      <c r="BX37" s="116"/>
      <c r="BY37" s="116"/>
      <c r="BZ37" s="116"/>
      <c r="CA37" s="116"/>
      <c r="CB37" s="116"/>
      <c r="CC37" s="116"/>
      <c r="CD37" s="116"/>
      <c r="CE37" s="116"/>
      <c r="CF37" s="116"/>
      <c r="CG37" s="116"/>
      <c r="CH37" s="116"/>
      <c r="CI37" s="116"/>
      <c r="CJ37" s="116"/>
      <c r="CK37" s="116"/>
      <c r="CL37" s="116"/>
      <c r="CM37" s="116"/>
      <c r="CN37" s="116"/>
      <c r="CO37" s="116"/>
      <c r="CP37" s="116"/>
      <c r="CQ37" s="116"/>
      <c r="CR37" s="116"/>
      <c r="CS37" s="116"/>
      <c r="CT37" s="116"/>
      <c r="CU37" s="116"/>
      <c r="CV37" s="116"/>
      <c r="CW37" s="116"/>
      <c r="CX37" s="116"/>
      <c r="CY37" s="116"/>
      <c r="CZ37" s="116"/>
      <c r="DA37" s="116"/>
      <c r="DB37" s="116"/>
      <c r="DC37" s="116"/>
      <c r="DD37" s="116"/>
      <c r="DE37" s="116"/>
      <c r="DF37" s="116"/>
      <c r="DG37" s="116"/>
      <c r="DH37" s="116"/>
      <c r="DI37" s="116"/>
      <c r="DJ37" s="116"/>
      <c r="DK37" s="116"/>
      <c r="DL37" s="116"/>
      <c r="DM37" s="116"/>
      <c r="DN37" s="116"/>
      <c r="DO37" s="116"/>
      <c r="DP37" s="116"/>
      <c r="DQ37" s="116"/>
      <c r="DR37" s="116"/>
      <c r="DS37" s="116"/>
      <c r="DT37" s="116"/>
      <c r="DU37" s="116"/>
      <c r="DV37" s="116"/>
      <c r="DW37" s="116"/>
      <c r="DX37" s="116"/>
      <c r="DY37" s="116"/>
      <c r="DZ37" s="116"/>
      <c r="EA37" s="116"/>
      <c r="EB37" s="116"/>
      <c r="EC37" s="116"/>
      <c r="ED37" s="116"/>
      <c r="EE37" s="116"/>
      <c r="EF37" s="116"/>
      <c r="EG37" s="116"/>
      <c r="EH37" s="116"/>
      <c r="EI37" s="116"/>
      <c r="EJ37" s="116"/>
      <c r="EK37" s="116"/>
      <c r="EL37" s="116"/>
      <c r="EM37" s="116"/>
      <c r="EN37" s="116"/>
      <c r="EO37" s="116"/>
      <c r="EP37" s="116"/>
      <c r="EQ37" s="116"/>
      <c r="ER37" s="116"/>
      <c r="ES37" s="116"/>
      <c r="ET37" s="116"/>
      <c r="EU37" s="116"/>
      <c r="EV37" s="116"/>
      <c r="EW37" s="116"/>
      <c r="EX37" s="116"/>
      <c r="EY37" s="116"/>
      <c r="EZ37" s="116"/>
      <c r="FA37" s="116"/>
      <c r="FB37" s="116"/>
      <c r="FC37" s="116"/>
      <c r="FD37" s="116"/>
      <c r="FE37" s="116"/>
      <c r="FF37" s="116"/>
      <c r="FG37" s="116"/>
      <c r="FH37" s="116"/>
      <c r="FI37" s="116"/>
      <c r="FJ37" s="116"/>
      <c r="FK37" s="116"/>
      <c r="FL37" s="116"/>
      <c r="FM37" s="116"/>
      <c r="FN37" s="116"/>
      <c r="FO37" s="116"/>
      <c r="FP37" s="116"/>
      <c r="FQ37" s="116"/>
      <c r="FR37" s="116"/>
      <c r="FS37" s="116"/>
      <c r="FT37" s="116"/>
      <c r="FU37" s="116"/>
      <c r="FV37" s="116"/>
      <c r="FW37" s="116"/>
      <c r="FX37" s="116"/>
      <c r="FY37" s="116"/>
      <c r="FZ37" s="116"/>
      <c r="GA37" s="116"/>
      <c r="GB37" s="116"/>
      <c r="GC37" s="116"/>
      <c r="GD37" s="116"/>
      <c r="GE37" s="116"/>
      <c r="GF37" s="116"/>
      <c r="GG37" s="116"/>
      <c r="GH37" s="116"/>
      <c r="GI37" s="116"/>
      <c r="GJ37" s="116"/>
      <c r="GK37" s="116"/>
      <c r="GL37" s="116"/>
      <c r="GM37" s="116"/>
      <c r="GN37" s="116"/>
      <c r="GO37" s="116"/>
      <c r="GP37" s="116"/>
      <c r="GQ37" s="116"/>
      <c r="GR37" s="116"/>
      <c r="GS37" s="116"/>
      <c r="GT37" s="116"/>
      <c r="GU37" s="116"/>
      <c r="GV37" s="116"/>
      <c r="GW37" s="116"/>
      <c r="GX37" s="116"/>
      <c r="GY37" s="116"/>
      <c r="GZ37" s="116"/>
      <c r="HA37" s="116"/>
      <c r="HB37" s="116"/>
      <c r="HC37" s="116"/>
    </row>
    <row r="38" spans="1:211" ht="16.2" thickBot="1" x14ac:dyDescent="0.35">
      <c r="A38" s="116"/>
      <c r="B38" s="129"/>
      <c r="C38" s="130"/>
      <c r="D38" s="131"/>
      <c r="E38" s="114" t="s">
        <v>63</v>
      </c>
      <c r="F38" s="108">
        <f>VLOOKUP($B$35,$A$5:$HC$27,5,FALSE)</f>
        <v>2</v>
      </c>
      <c r="G38" s="105">
        <f>VLOOKUP($B$35,$A$5:$HC$27,5+5,FALSE)</f>
        <v>2</v>
      </c>
      <c r="H38" s="109">
        <f>VLOOKUP($B$35,$A$5:$HC$27,10+5,FALSE)</f>
        <v>2</v>
      </c>
      <c r="I38" s="107">
        <f>VLOOKUP($B$35,$A$5:$HC$27,15+5,FALSE)</f>
        <v>2</v>
      </c>
      <c r="J38" s="105">
        <f>VLOOKUP($B$35,$A$5:$HC$27,20+5,FALSE)</f>
        <v>2</v>
      </c>
      <c r="K38" s="106">
        <f>VLOOKUP($B$35,$A$5:$HC$27,25+5,FALSE)</f>
        <v>2</v>
      </c>
      <c r="L38" s="108">
        <f>VLOOKUP($B$35,$A$5:$HC$27,30+5,FALSE)</f>
        <v>2</v>
      </c>
      <c r="M38" s="105">
        <f>VLOOKUP($B$35,$A$5:$HC$27,35+5,FALSE)</f>
        <v>2</v>
      </c>
      <c r="N38" s="109">
        <f>VLOOKUP($B$35,$A$5:$HC$27,40+5,FALSE)</f>
        <v>2</v>
      </c>
      <c r="O38" s="108">
        <f>VLOOKUP($B$35,$A$5:$HC$27,45+5,FALSE)</f>
        <v>2</v>
      </c>
      <c r="P38" s="105">
        <f>VLOOKUP($B$35,$A$5:$HC$27,50+5,FALSE)</f>
        <v>2</v>
      </c>
      <c r="Q38" s="109">
        <f>VLOOKUP($B$35,$A$5:$HC$27,55+5,FALSE)</f>
        <v>1</v>
      </c>
      <c r="R38" s="108">
        <f>VLOOKUP($B$35,$A$5:$HC$27,60+5,FALSE)</f>
        <v>2</v>
      </c>
      <c r="S38" s="105">
        <f>VLOOKUP($B$35,$A$5:$HC$27,65+5,FALSE)</f>
        <v>1</v>
      </c>
      <c r="T38" s="109">
        <f>VLOOKUP($B$35,$A$5:$HC$27,70+5,FALSE)</f>
        <v>2</v>
      </c>
      <c r="U38" s="108">
        <f>VLOOKUP($B$35,$A$5:$HC$27,75+5,FALSE)</f>
        <v>4</v>
      </c>
      <c r="V38" s="105">
        <f>VLOOKUP($B$35,$A$5:$HC$27,80+5,FALSE)</f>
        <v>2</v>
      </c>
      <c r="W38" s="109">
        <f>VLOOKUP($B$35,$A$5:$HC$27,85+5,FALSE)</f>
        <v>1</v>
      </c>
      <c r="X38" s="108">
        <f>VLOOKUP($B$35,$A$5:$HC$27,90+5,FALSE)</f>
        <v>2</v>
      </c>
      <c r="Y38" s="105">
        <f>VLOOKUP($B$35,$A$5:$HC$27,95+5,FALSE)</f>
        <v>1</v>
      </c>
      <c r="Z38" s="105">
        <f>VLOOKUP($B$35,$A$5:$HC$27,100+5,FALSE)</f>
        <v>4</v>
      </c>
      <c r="AA38" s="105">
        <f>VLOOKUP($B$35,$A$5:$HC$27,105+5,FALSE)</f>
        <v>1</v>
      </c>
      <c r="AB38" s="105">
        <f>VLOOKUP($B$35,$A$5:$HC$27,110+5,FALSE)</f>
        <v>4</v>
      </c>
      <c r="AC38" s="105">
        <f>VLOOKUP($B$35,$A$5:$HC$27,115+5,FALSE)</f>
        <v>4</v>
      </c>
      <c r="AD38" s="105">
        <f>VLOOKUP($B$35,$A$5:$HC$27,120+5,FALSE)</f>
        <v>2</v>
      </c>
      <c r="AE38" s="105">
        <f>VLOOKUP($B$35,$A$5:$HC$27,125+5,FALSE)</f>
        <v>3</v>
      </c>
      <c r="AF38" s="105">
        <f>VLOOKUP($B$35,$A$5:$HC$27,130+5,FALSE)</f>
        <v>2</v>
      </c>
      <c r="AG38" s="105">
        <f>VLOOKUP($B$35,$A$5:$HC$27,135+5,FALSE)</f>
        <v>4</v>
      </c>
      <c r="AH38" s="105">
        <f>VLOOKUP($B$35,$A$5:$HC$27,140+5,FALSE)</f>
        <v>1</v>
      </c>
      <c r="AI38" s="105">
        <f>VLOOKUP($B$35,$A$5:$HC$27,145+5,FALSE)</f>
        <v>1</v>
      </c>
      <c r="AJ38" s="105">
        <f>VLOOKUP($B$35,$A$5:$HC$27,150+5,FALSE)</f>
        <v>4</v>
      </c>
      <c r="AK38" s="105">
        <f>VLOOKUP($B$35,$A$5:$HC$27,155+5,FALSE)</f>
        <v>2</v>
      </c>
      <c r="AL38" s="105">
        <f>VLOOKUP($B$35,$A$5:$HC$27,160+5,FALSE)</f>
        <v>2</v>
      </c>
      <c r="AM38" s="105">
        <f>VLOOKUP($B$35,$A$5:$HC$27,165+5,FALSE)</f>
        <v>1</v>
      </c>
      <c r="AN38" s="105">
        <f>VLOOKUP($B$35,$A$5:$HC$27,170+5,FALSE)</f>
        <v>2</v>
      </c>
      <c r="AO38" s="105">
        <f>VLOOKUP($B$35,$A$5:$HC$27,175+5,FALSE)</f>
        <v>3</v>
      </c>
      <c r="AP38" s="105">
        <f>VLOOKUP($B$35,$A$5:$HC$27,180+5,FALSE)</f>
        <v>3</v>
      </c>
      <c r="AQ38" s="105">
        <f>VLOOKUP($B$35,$A$5:$HC$27,185+5,FALSE)</f>
        <v>5</v>
      </c>
      <c r="AR38" s="105">
        <f>VLOOKUP($B$35,$A$5:$HC$27,190+5,FALSE)</f>
        <v>3</v>
      </c>
      <c r="AS38" s="105">
        <f>VLOOKUP($B$35,$A$5:$HC$27,195+5,FALSE)</f>
        <v>2</v>
      </c>
      <c r="AT38" s="105">
        <f>VLOOKUP($B$35,$A$5:$HC$27,200+5,FALSE)</f>
        <v>4</v>
      </c>
      <c r="AU38" s="105">
        <f>VLOOKUP($B$35,$A$5:$HC$27,205+5,FALSE)</f>
        <v>3</v>
      </c>
      <c r="AV38" s="116"/>
      <c r="AW38" s="116"/>
      <c r="AX38" s="116"/>
      <c r="AY38" s="116"/>
      <c r="AZ38" s="116"/>
      <c r="BA38" s="116"/>
      <c r="BB38" s="116"/>
      <c r="BC38" s="116"/>
      <c r="BD38" s="116"/>
      <c r="BE38" s="116"/>
      <c r="BF38" s="116"/>
      <c r="BG38" s="116"/>
      <c r="BH38" s="116"/>
      <c r="BI38" s="116"/>
      <c r="BJ38" s="116"/>
      <c r="BK38" s="116"/>
      <c r="BL38" s="116"/>
      <c r="BM38" s="116"/>
      <c r="BN38" s="116"/>
      <c r="BO38" s="116"/>
      <c r="BP38" s="116"/>
      <c r="BQ38" s="116"/>
      <c r="BR38" s="116"/>
      <c r="BS38" s="116"/>
      <c r="BT38" s="116"/>
      <c r="BU38" s="116"/>
      <c r="BV38" s="116"/>
      <c r="BW38" s="116"/>
      <c r="BX38" s="116"/>
      <c r="BY38" s="116"/>
      <c r="BZ38" s="116"/>
      <c r="CA38" s="116"/>
      <c r="CB38" s="116"/>
      <c r="CC38" s="116"/>
      <c r="CD38" s="116"/>
      <c r="CE38" s="116"/>
      <c r="CF38" s="116"/>
      <c r="CG38" s="116"/>
      <c r="CH38" s="116"/>
      <c r="CI38" s="116"/>
      <c r="CJ38" s="116"/>
      <c r="CK38" s="116"/>
      <c r="CL38" s="116"/>
      <c r="CM38" s="116"/>
      <c r="CN38" s="116"/>
      <c r="CO38" s="116"/>
      <c r="CP38" s="116"/>
      <c r="CQ38" s="116"/>
      <c r="CR38" s="116"/>
      <c r="CS38" s="116"/>
      <c r="CT38" s="116"/>
      <c r="CU38" s="116"/>
      <c r="CV38" s="116"/>
      <c r="CW38" s="116"/>
      <c r="CX38" s="116"/>
      <c r="CY38" s="116"/>
      <c r="CZ38" s="116"/>
      <c r="DA38" s="116"/>
      <c r="DB38" s="116"/>
      <c r="DC38" s="116"/>
      <c r="DD38" s="116"/>
      <c r="DE38" s="116"/>
      <c r="DF38" s="116"/>
      <c r="DG38" s="116"/>
      <c r="DH38" s="116"/>
      <c r="DI38" s="116"/>
      <c r="DJ38" s="116"/>
      <c r="DK38" s="116"/>
      <c r="DL38" s="116"/>
      <c r="DM38" s="116"/>
      <c r="DN38" s="116"/>
      <c r="DO38" s="116"/>
      <c r="DP38" s="116"/>
      <c r="DQ38" s="116"/>
      <c r="DR38" s="116"/>
      <c r="DS38" s="116"/>
      <c r="DT38" s="116"/>
      <c r="DU38" s="116"/>
      <c r="DV38" s="116"/>
      <c r="DW38" s="116"/>
      <c r="DX38" s="116"/>
      <c r="DY38" s="116"/>
      <c r="DZ38" s="116"/>
      <c r="EA38" s="116"/>
      <c r="EB38" s="116"/>
      <c r="EC38" s="116"/>
      <c r="ED38" s="116"/>
      <c r="EE38" s="116"/>
      <c r="EF38" s="116"/>
      <c r="EG38" s="116"/>
      <c r="EH38" s="116"/>
      <c r="EI38" s="116"/>
      <c r="EJ38" s="116"/>
      <c r="EK38" s="116"/>
      <c r="EL38" s="116"/>
      <c r="EM38" s="116"/>
      <c r="EN38" s="116"/>
      <c r="EO38" s="116"/>
      <c r="EP38" s="116"/>
      <c r="EQ38" s="116"/>
      <c r="ER38" s="116"/>
      <c r="ES38" s="116"/>
      <c r="ET38" s="116"/>
      <c r="EU38" s="116"/>
      <c r="EV38" s="116"/>
      <c r="EW38" s="116"/>
      <c r="EX38" s="116"/>
      <c r="EY38" s="116"/>
      <c r="EZ38" s="116"/>
      <c r="FA38" s="116"/>
      <c r="FB38" s="116"/>
      <c r="FC38" s="116"/>
      <c r="FD38" s="116"/>
      <c r="FE38" s="116"/>
      <c r="FF38" s="116"/>
      <c r="FG38" s="116"/>
      <c r="FH38" s="116"/>
      <c r="FI38" s="116"/>
      <c r="FJ38" s="116"/>
      <c r="FK38" s="116"/>
      <c r="FL38" s="116"/>
      <c r="FM38" s="116"/>
      <c r="FN38" s="116"/>
      <c r="FO38" s="116"/>
      <c r="FP38" s="116"/>
      <c r="FQ38" s="116"/>
      <c r="FR38" s="116"/>
      <c r="FS38" s="116"/>
      <c r="FT38" s="116"/>
      <c r="FU38" s="116"/>
      <c r="FV38" s="116"/>
      <c r="FW38" s="116"/>
      <c r="FX38" s="116"/>
      <c r="FY38" s="116"/>
      <c r="FZ38" s="116"/>
      <c r="GA38" s="116"/>
      <c r="GB38" s="116"/>
      <c r="GC38" s="116"/>
      <c r="GD38" s="116"/>
      <c r="GE38" s="116"/>
      <c r="GF38" s="116"/>
      <c r="GG38" s="116"/>
      <c r="GH38" s="116"/>
      <c r="GI38" s="116"/>
      <c r="GJ38" s="116"/>
      <c r="GK38" s="116"/>
      <c r="GL38" s="116"/>
      <c r="GM38" s="116"/>
      <c r="GN38" s="116"/>
      <c r="GO38" s="116"/>
      <c r="GP38" s="116"/>
      <c r="GQ38" s="116"/>
      <c r="GR38" s="116"/>
      <c r="GS38" s="116"/>
      <c r="GT38" s="116"/>
      <c r="GU38" s="116"/>
      <c r="GV38" s="116"/>
      <c r="GW38" s="116"/>
      <c r="GX38" s="116"/>
      <c r="GY38" s="116"/>
      <c r="GZ38" s="116"/>
      <c r="HA38" s="116"/>
      <c r="HB38" s="116"/>
      <c r="HC38" s="116"/>
    </row>
    <row r="39" spans="1:211" ht="16.2" thickBot="1" x14ac:dyDescent="0.35">
      <c r="A39" s="116"/>
      <c r="B39" s="132"/>
      <c r="C39" s="133"/>
      <c r="D39" s="134"/>
      <c r="E39" s="115" t="s">
        <v>64</v>
      </c>
      <c r="F39" s="108">
        <f>VLOOKUP($B$35,$A$5:$HC$27,6,FALSE)</f>
        <v>11</v>
      </c>
      <c r="G39" s="105">
        <f>VLOOKUP($B$35,$A$5:$HC$27,6+5,FALSE)</f>
        <v>13</v>
      </c>
      <c r="H39" s="109">
        <f>VLOOKUP($B$35,$A$5:$HC$27,11+5,FALSE)</f>
        <v>10</v>
      </c>
      <c r="I39" s="107">
        <f>VLOOKUP($B$35,$A$5:$HC$27,16+5,FALSE)</f>
        <v>9</v>
      </c>
      <c r="J39" s="105">
        <f>VLOOKUP($B$35,$A$5:$HC$27,21+5,FALSE)</f>
        <v>11</v>
      </c>
      <c r="K39" s="106">
        <f>VLOOKUP($B$35,$A$5:$HC$27,26+5,FALSE)</f>
        <v>9</v>
      </c>
      <c r="L39" s="108">
        <f>VLOOKUP($B$35,$A$5:$HC$27,31+5,FALSE)</f>
        <v>9</v>
      </c>
      <c r="M39" s="105">
        <f>VLOOKUP($B$35,$A$5:$HC$27,36+5,FALSE)</f>
        <v>12</v>
      </c>
      <c r="N39" s="109">
        <f>VLOOKUP($B$35,$A$5:$HC$27,41+5,FALSE)</f>
        <v>9</v>
      </c>
      <c r="O39" s="108">
        <f>VLOOKUP($B$35,$A$5:$HC$27,46+5,FALSE)</f>
        <v>8</v>
      </c>
      <c r="P39" s="105">
        <f>VLOOKUP($B$35,$A$5:$HC$27,51+5,FALSE)</f>
        <v>10</v>
      </c>
      <c r="Q39" s="109">
        <f>VLOOKUP($B$35,$A$5:$HC$27,56+5,FALSE)</f>
        <v>6</v>
      </c>
      <c r="R39" s="108">
        <f>VLOOKUP($B$35,$A$5:$HC$27,61+5,FALSE)</f>
        <v>9</v>
      </c>
      <c r="S39" s="105">
        <f>VLOOKUP($B$35,$A$5:$HC$27,66+5,FALSE)</f>
        <v>9</v>
      </c>
      <c r="T39" s="109">
        <f>VLOOKUP($B$35,$A$5:$HC$27,71+5,FALSE)</f>
        <v>9</v>
      </c>
      <c r="U39" s="108">
        <f>VLOOKUP($B$35,$A$5:$HC$27,76+5,FALSE)</f>
        <v>10</v>
      </c>
      <c r="V39" s="105">
        <f>VLOOKUP($B$35,$A$5:$HC$27,81+5,FALSE)</f>
        <v>11</v>
      </c>
      <c r="W39" s="109">
        <f>VLOOKUP($B$35,$A$5:$HC$27,86+5,FALSE)</f>
        <v>5</v>
      </c>
      <c r="X39" s="108">
        <f>VLOOKUP($B$35,$A$5:$HC$27,91+5,FALSE)</f>
        <v>11</v>
      </c>
      <c r="Y39" s="105">
        <f>VLOOKUP($B$35,$A$5:$HC$27,96+5,FALSE)</f>
        <v>8</v>
      </c>
      <c r="Z39" s="105">
        <f>VLOOKUP($B$35,$A$5:$HC$27,101+5,FALSE)</f>
        <v>13</v>
      </c>
      <c r="AA39" s="105">
        <f>VLOOKUP($B$35,$A$5:$HC$27,106+5,FALSE)</f>
        <v>6</v>
      </c>
      <c r="AB39" s="105">
        <f>VLOOKUP($B$35,$A$5:$HC$27,111+5,FALSE)</f>
        <v>11</v>
      </c>
      <c r="AC39" s="105">
        <f>VLOOKUP($B$35,$A$5:$HC$27,116+5,FALSE)</f>
        <v>10</v>
      </c>
      <c r="AD39" s="105">
        <f>VLOOKUP($B$35,$A$5:$HC$27,121+5,FALSE)</f>
        <v>8</v>
      </c>
      <c r="AE39" s="105">
        <f>VLOOKUP($B$35,$A$5:$HC$27,126+5,FALSE)</f>
        <v>10</v>
      </c>
      <c r="AF39" s="105">
        <f>VLOOKUP($B$35,$A$5:$HC$27,131+5,FALSE)</f>
        <v>9</v>
      </c>
      <c r="AG39" s="105">
        <f>VLOOKUP($B$35,$A$5:$HC$27,136+5,FALSE)</f>
        <v>14</v>
      </c>
      <c r="AH39" s="105">
        <f>VLOOKUP($B$35,$A$5:$HC$27,141+5,FALSE)</f>
        <v>6</v>
      </c>
      <c r="AI39" s="105">
        <f>VLOOKUP($B$35,$A$5:$HC$27,146+5,FALSE)</f>
        <v>8</v>
      </c>
      <c r="AJ39" s="105">
        <f>VLOOKUP($B$35,$A$5:$HC$27,151+5,FALSE)</f>
        <v>15</v>
      </c>
      <c r="AK39" s="105">
        <f>VLOOKUP($B$35,$A$5:$HC$27,156+5,FALSE)</f>
        <v>9</v>
      </c>
      <c r="AL39" s="105">
        <f>VLOOKUP($B$35,$A$5:$HC$27,161+5,FALSE)</f>
        <v>10</v>
      </c>
      <c r="AM39" s="105">
        <f>VLOOKUP($B$35,$A$5:$HC$27,166+5,FALSE)</f>
        <v>9</v>
      </c>
      <c r="AN39" s="105">
        <f>VLOOKUP($B$35,$A$5:$HC$27,171+5,FALSE)</f>
        <v>10</v>
      </c>
      <c r="AO39" s="105">
        <f>VLOOKUP($B$35,$A$5:$HC$27,176+5,FALSE)</f>
        <v>11</v>
      </c>
      <c r="AP39" s="105">
        <f>VLOOKUP($B$35,$A$5:$HC$27,181+5,FALSE)</f>
        <v>9</v>
      </c>
      <c r="AQ39" s="105">
        <f>VLOOKUP($B$35,$A$5:$HC$27,186+5,FALSE)</f>
        <v>16</v>
      </c>
      <c r="AR39" s="105">
        <f>VLOOKUP($B$35,$A$5:$HC$27,191+5,FALSE)</f>
        <v>10</v>
      </c>
      <c r="AS39" s="105">
        <f>VLOOKUP($B$35,$A$5:$HC$27,196+5,FALSE)</f>
        <v>9</v>
      </c>
      <c r="AT39" s="105">
        <f>VLOOKUP($B$35,$A$5:$HC$27,201+5,FALSE)</f>
        <v>10</v>
      </c>
      <c r="AU39" s="105">
        <f>VLOOKUP($B$35,$A$5:$HC$27,206+5,FALSE)</f>
        <v>10</v>
      </c>
      <c r="AV39" s="116"/>
      <c r="AW39" s="116"/>
      <c r="AX39" s="116"/>
      <c r="AY39" s="116"/>
      <c r="AZ39" s="116"/>
      <c r="BA39" s="116"/>
      <c r="BB39" s="116"/>
      <c r="BC39" s="116"/>
      <c r="BD39" s="116"/>
      <c r="BE39" s="116"/>
      <c r="BF39" s="116"/>
      <c r="BG39" s="116"/>
      <c r="BH39" s="116"/>
      <c r="BI39" s="116"/>
      <c r="BJ39" s="116"/>
      <c r="BK39" s="116"/>
      <c r="BL39" s="116"/>
      <c r="BM39" s="116"/>
      <c r="BN39" s="116"/>
      <c r="BO39" s="116"/>
      <c r="BP39" s="116"/>
      <c r="BQ39" s="116"/>
      <c r="BR39" s="116"/>
      <c r="BS39" s="116"/>
      <c r="BT39" s="116"/>
      <c r="BU39" s="116"/>
      <c r="BV39" s="116"/>
      <c r="BW39" s="116"/>
      <c r="BX39" s="116"/>
      <c r="BY39" s="116"/>
      <c r="BZ39" s="116"/>
      <c r="CA39" s="116"/>
      <c r="CB39" s="116"/>
      <c r="CC39" s="116"/>
      <c r="CD39" s="116"/>
      <c r="CE39" s="116"/>
      <c r="CF39" s="116"/>
      <c r="CG39" s="116"/>
      <c r="CH39" s="116"/>
      <c r="CI39" s="116"/>
      <c r="CJ39" s="116"/>
      <c r="CK39" s="116"/>
      <c r="CL39" s="116"/>
      <c r="CM39" s="116"/>
      <c r="CN39" s="116"/>
      <c r="CO39" s="116"/>
      <c r="CP39" s="116"/>
      <c r="CQ39" s="116"/>
      <c r="CR39" s="116"/>
      <c r="CS39" s="116"/>
      <c r="CT39" s="116"/>
      <c r="CU39" s="116"/>
      <c r="CV39" s="116"/>
      <c r="CW39" s="116"/>
      <c r="CX39" s="116"/>
      <c r="CY39" s="116"/>
      <c r="CZ39" s="116"/>
      <c r="DA39" s="116"/>
      <c r="DB39" s="116"/>
      <c r="DC39" s="116"/>
      <c r="DD39" s="116"/>
      <c r="DE39" s="116"/>
      <c r="DF39" s="116"/>
      <c r="DG39" s="116"/>
      <c r="DH39" s="116"/>
      <c r="DI39" s="116"/>
      <c r="DJ39" s="116"/>
      <c r="DK39" s="116"/>
      <c r="DL39" s="116"/>
      <c r="DM39" s="116"/>
      <c r="DN39" s="116"/>
      <c r="DO39" s="116"/>
      <c r="DP39" s="116"/>
      <c r="DQ39" s="116"/>
      <c r="DR39" s="116"/>
      <c r="DS39" s="116"/>
      <c r="DT39" s="116"/>
      <c r="DU39" s="116"/>
      <c r="DV39" s="116"/>
      <c r="DW39" s="116"/>
      <c r="DX39" s="116"/>
      <c r="DY39" s="116"/>
      <c r="DZ39" s="116"/>
      <c r="EA39" s="116"/>
      <c r="EB39" s="116"/>
      <c r="EC39" s="116"/>
      <c r="ED39" s="116"/>
      <c r="EE39" s="116"/>
      <c r="EF39" s="116"/>
      <c r="EG39" s="116"/>
      <c r="EH39" s="116"/>
      <c r="EI39" s="116"/>
      <c r="EJ39" s="116"/>
      <c r="EK39" s="116"/>
      <c r="EL39" s="116"/>
      <c r="EM39" s="116"/>
      <c r="EN39" s="116"/>
      <c r="EO39" s="116"/>
      <c r="EP39" s="116"/>
      <c r="EQ39" s="116"/>
      <c r="ER39" s="116"/>
      <c r="ES39" s="116"/>
      <c r="ET39" s="116"/>
      <c r="EU39" s="116"/>
      <c r="EV39" s="116"/>
      <c r="EW39" s="116"/>
      <c r="EX39" s="116"/>
      <c r="EY39" s="116"/>
      <c r="EZ39" s="116"/>
      <c r="FA39" s="116"/>
      <c r="FB39" s="116"/>
      <c r="FC39" s="116"/>
      <c r="FD39" s="116"/>
      <c r="FE39" s="116"/>
      <c r="FF39" s="116"/>
      <c r="FG39" s="116"/>
      <c r="FH39" s="116"/>
      <c r="FI39" s="116"/>
      <c r="FJ39" s="116"/>
      <c r="FK39" s="116"/>
      <c r="FL39" s="116"/>
      <c r="FM39" s="116"/>
      <c r="FN39" s="116"/>
      <c r="FO39" s="116"/>
      <c r="FP39" s="116"/>
      <c r="FQ39" s="116"/>
      <c r="FR39" s="116"/>
      <c r="FS39" s="116"/>
      <c r="FT39" s="116"/>
      <c r="FU39" s="116"/>
      <c r="FV39" s="116"/>
      <c r="FW39" s="116"/>
      <c r="FX39" s="116"/>
      <c r="FY39" s="116"/>
      <c r="FZ39" s="116"/>
      <c r="GA39" s="116"/>
      <c r="GB39" s="116"/>
      <c r="GC39" s="116"/>
      <c r="GD39" s="116"/>
      <c r="GE39" s="116"/>
      <c r="GF39" s="116"/>
      <c r="GG39" s="116"/>
      <c r="GH39" s="116"/>
      <c r="GI39" s="116"/>
      <c r="GJ39" s="116"/>
      <c r="GK39" s="116"/>
      <c r="GL39" s="116"/>
      <c r="GM39" s="116"/>
      <c r="GN39" s="116"/>
      <c r="GO39" s="116"/>
      <c r="GP39" s="116"/>
      <c r="GQ39" s="116"/>
      <c r="GR39" s="116"/>
      <c r="GS39" s="116"/>
      <c r="GT39" s="116"/>
      <c r="GU39" s="116"/>
      <c r="GV39" s="116"/>
      <c r="GW39" s="116"/>
      <c r="GX39" s="116"/>
      <c r="GY39" s="116"/>
      <c r="GZ39" s="116"/>
      <c r="HA39" s="116"/>
      <c r="HB39" s="116"/>
      <c r="HC39" s="116"/>
    </row>
    <row r="40" spans="1:211" s="116" customFormat="1" x14ac:dyDescent="0.3"/>
    <row r="41" spans="1:211" s="116" customFormat="1" x14ac:dyDescent="0.3"/>
    <row r="42" spans="1:211" s="116" customFormat="1" x14ac:dyDescent="0.3"/>
    <row r="43" spans="1:211" s="116" customFormat="1" x14ac:dyDescent="0.3"/>
    <row r="44" spans="1:211" s="116" customFormat="1" x14ac:dyDescent="0.3"/>
    <row r="45" spans="1:211" s="116" customFormat="1" x14ac:dyDescent="0.3"/>
    <row r="46" spans="1:211" s="116" customFormat="1" x14ac:dyDescent="0.3"/>
    <row r="47" spans="1:211" s="116" customFormat="1" x14ac:dyDescent="0.3"/>
    <row r="48" spans="1:211" s="116" customFormat="1" x14ac:dyDescent="0.3"/>
    <row r="49" s="116" customFormat="1" x14ac:dyDescent="0.3"/>
    <row r="50" s="116" customFormat="1" x14ac:dyDescent="0.3"/>
    <row r="51" s="116" customFormat="1" x14ac:dyDescent="0.3"/>
    <row r="52" s="116" customFormat="1" x14ac:dyDescent="0.3"/>
    <row r="53" s="116" customFormat="1" x14ac:dyDescent="0.3"/>
    <row r="54" s="116" customFormat="1" x14ac:dyDescent="0.3"/>
    <row r="55" s="116" customFormat="1" x14ac:dyDescent="0.3"/>
    <row r="56" s="116" customFormat="1" x14ac:dyDescent="0.3"/>
    <row r="57" s="116" customFormat="1" x14ac:dyDescent="0.3"/>
    <row r="58" s="116" customFormat="1" x14ac:dyDescent="0.3"/>
    <row r="59" s="116" customFormat="1" x14ac:dyDescent="0.3"/>
    <row r="60" s="116" customFormat="1" x14ac:dyDescent="0.3"/>
    <row r="61" s="116" customFormat="1" x14ac:dyDescent="0.3"/>
    <row r="62" s="116" customFormat="1" x14ac:dyDescent="0.3"/>
    <row r="63" s="116" customFormat="1" x14ac:dyDescent="0.3"/>
    <row r="64" s="116" customFormat="1" x14ac:dyDescent="0.3"/>
    <row r="65" s="116" customFormat="1" x14ac:dyDescent="0.3"/>
    <row r="66" s="116" customFormat="1" x14ac:dyDescent="0.3"/>
    <row r="67" s="116" customFormat="1" x14ac:dyDescent="0.3"/>
    <row r="68" s="116" customFormat="1" x14ac:dyDescent="0.3"/>
    <row r="69" s="116" customFormat="1" x14ac:dyDescent="0.3"/>
    <row r="70" s="116" customFormat="1" x14ac:dyDescent="0.3"/>
    <row r="71" s="116" customFormat="1" x14ac:dyDescent="0.3"/>
    <row r="72" s="116" customFormat="1" x14ac:dyDescent="0.3"/>
    <row r="73" s="116" customFormat="1" x14ac:dyDescent="0.3"/>
    <row r="74" s="116" customFormat="1" x14ac:dyDescent="0.3"/>
    <row r="75" s="116" customFormat="1" x14ac:dyDescent="0.3"/>
    <row r="76" s="116" customFormat="1" x14ac:dyDescent="0.3"/>
    <row r="77" s="116" customFormat="1" x14ac:dyDescent="0.3"/>
    <row r="78" s="116" customFormat="1" x14ac:dyDescent="0.3"/>
    <row r="79" s="116" customFormat="1" x14ac:dyDescent="0.3"/>
    <row r="80" s="116" customFormat="1" x14ac:dyDescent="0.3"/>
    <row r="81" s="116" customFormat="1" x14ac:dyDescent="0.3"/>
    <row r="82" s="116" customFormat="1" x14ac:dyDescent="0.3"/>
    <row r="83" s="116" customFormat="1" x14ac:dyDescent="0.3"/>
    <row r="84" s="116" customFormat="1" x14ac:dyDescent="0.3"/>
    <row r="85" s="116" customFormat="1" x14ac:dyDescent="0.3"/>
    <row r="86" s="116" customFormat="1" x14ac:dyDescent="0.3"/>
    <row r="87" s="116" customFormat="1" x14ac:dyDescent="0.3"/>
    <row r="88" s="116" customFormat="1" x14ac:dyDescent="0.3"/>
    <row r="89" s="116" customFormat="1" x14ac:dyDescent="0.3"/>
    <row r="90" s="116" customFormat="1" x14ac:dyDescent="0.3"/>
    <row r="91" s="116" customFormat="1" x14ac:dyDescent="0.3"/>
    <row r="92" s="116" customFormat="1" x14ac:dyDescent="0.3"/>
    <row r="93" s="116" customFormat="1" x14ac:dyDescent="0.3"/>
    <row r="94" s="116" customFormat="1" x14ac:dyDescent="0.3"/>
    <row r="95" s="116" customFormat="1" x14ac:dyDescent="0.3"/>
    <row r="96" s="116" customFormat="1" x14ac:dyDescent="0.3"/>
    <row r="97" s="116" customFormat="1" x14ac:dyDescent="0.3"/>
    <row r="98" s="116" customFormat="1" x14ac:dyDescent="0.3"/>
    <row r="99" s="116" customFormat="1" x14ac:dyDescent="0.3"/>
    <row r="100" s="116" customFormat="1" x14ac:dyDescent="0.3"/>
    <row r="101" s="116" customFormat="1" x14ac:dyDescent="0.3"/>
    <row r="102" s="116" customFormat="1" x14ac:dyDescent="0.3"/>
    <row r="103" s="116" customFormat="1" x14ac:dyDescent="0.3"/>
    <row r="104" s="116" customFormat="1" x14ac:dyDescent="0.3"/>
    <row r="105" s="116" customFormat="1" x14ac:dyDescent="0.3"/>
    <row r="106" s="116" customFormat="1" x14ac:dyDescent="0.3"/>
    <row r="107" s="116" customFormat="1" x14ac:dyDescent="0.3"/>
    <row r="108" s="116" customFormat="1" x14ac:dyDescent="0.3"/>
    <row r="109" s="116" customFormat="1" x14ac:dyDescent="0.3"/>
    <row r="110" s="116" customFormat="1" x14ac:dyDescent="0.3"/>
    <row r="111" s="116" customFormat="1" x14ac:dyDescent="0.3"/>
    <row r="112" s="116" customFormat="1" x14ac:dyDescent="0.3"/>
    <row r="113" s="116" customFormat="1" x14ac:dyDescent="0.3"/>
    <row r="114" s="116" customFormat="1" x14ac:dyDescent="0.3"/>
    <row r="115" s="116" customFormat="1" x14ac:dyDescent="0.3"/>
    <row r="116" s="116" customFormat="1" x14ac:dyDescent="0.3"/>
    <row r="117" s="116" customFormat="1" x14ac:dyDescent="0.3"/>
    <row r="118" s="116" customFormat="1" x14ac:dyDescent="0.3"/>
    <row r="119" s="116" customFormat="1" x14ac:dyDescent="0.3"/>
    <row r="120" s="116" customFormat="1" x14ac:dyDescent="0.3"/>
    <row r="121" s="116" customFormat="1" x14ac:dyDescent="0.3"/>
    <row r="122" s="116" customFormat="1" x14ac:dyDescent="0.3"/>
    <row r="123" s="116" customFormat="1" x14ac:dyDescent="0.3"/>
    <row r="124" s="116" customFormat="1" x14ac:dyDescent="0.3"/>
    <row r="125" s="116" customFormat="1" x14ac:dyDescent="0.3"/>
    <row r="126" s="116" customFormat="1" x14ac:dyDescent="0.3"/>
    <row r="127" s="116" customFormat="1" x14ac:dyDescent="0.3"/>
    <row r="128" s="116" customFormat="1" x14ac:dyDescent="0.3"/>
    <row r="129" s="116" customFormat="1" x14ac:dyDescent="0.3"/>
    <row r="130" s="116" customFormat="1" x14ac:dyDescent="0.3"/>
    <row r="131" s="116" customFormat="1" x14ac:dyDescent="0.3"/>
    <row r="132" s="116" customFormat="1" x14ac:dyDescent="0.3"/>
    <row r="133" s="116" customFormat="1" x14ac:dyDescent="0.3"/>
    <row r="134" s="116" customFormat="1" x14ac:dyDescent="0.3"/>
    <row r="135" s="116" customFormat="1" x14ac:dyDescent="0.3"/>
    <row r="136" s="116" customFormat="1" x14ac:dyDescent="0.3"/>
    <row r="137" s="116" customFormat="1" x14ac:dyDescent="0.3"/>
    <row r="138" s="116" customFormat="1" x14ac:dyDescent="0.3"/>
    <row r="139" s="116" customFormat="1" x14ac:dyDescent="0.3"/>
    <row r="140" s="116" customFormat="1" x14ac:dyDescent="0.3"/>
    <row r="141" s="116" customFormat="1" x14ac:dyDescent="0.3"/>
    <row r="142" s="116" customFormat="1" x14ac:dyDescent="0.3"/>
    <row r="143" s="116" customFormat="1" x14ac:dyDescent="0.3"/>
    <row r="144" s="116" customFormat="1" x14ac:dyDescent="0.3"/>
    <row r="145" s="116" customFormat="1" x14ac:dyDescent="0.3"/>
    <row r="146" s="116" customFormat="1" x14ac:dyDescent="0.3"/>
    <row r="147" s="116" customFormat="1" x14ac:dyDescent="0.3"/>
    <row r="148" s="116" customFormat="1" x14ac:dyDescent="0.3"/>
    <row r="149" s="116" customFormat="1" x14ac:dyDescent="0.3"/>
    <row r="150" s="116" customFormat="1" x14ac:dyDescent="0.3"/>
    <row r="151" s="116" customFormat="1" x14ac:dyDescent="0.3"/>
    <row r="152" s="116" customFormat="1" x14ac:dyDescent="0.3"/>
    <row r="153" s="116" customFormat="1" x14ac:dyDescent="0.3"/>
    <row r="154" s="116" customFormat="1" x14ac:dyDescent="0.3"/>
    <row r="155" s="116" customFormat="1" x14ac:dyDescent="0.3"/>
    <row r="156" s="116" customFormat="1" x14ac:dyDescent="0.3"/>
    <row r="157" s="116" customFormat="1" x14ac:dyDescent="0.3"/>
    <row r="158" s="116" customFormat="1" x14ac:dyDescent="0.3"/>
    <row r="159" s="116" customFormat="1" x14ac:dyDescent="0.3"/>
    <row r="160" s="116" customFormat="1" x14ac:dyDescent="0.3"/>
    <row r="161" s="116" customFormat="1" x14ac:dyDescent="0.3"/>
    <row r="162" s="116" customFormat="1" x14ac:dyDescent="0.3"/>
    <row r="163" s="116" customFormat="1" x14ac:dyDescent="0.3"/>
    <row r="164" s="116" customFormat="1" x14ac:dyDescent="0.3"/>
    <row r="165" s="116" customFormat="1" x14ac:dyDescent="0.3"/>
    <row r="166" s="116" customFormat="1" x14ac:dyDescent="0.3"/>
    <row r="167" s="116" customFormat="1" x14ac:dyDescent="0.3"/>
    <row r="168" s="116" customFormat="1" x14ac:dyDescent="0.3"/>
    <row r="169" s="116" customFormat="1" x14ac:dyDescent="0.3"/>
    <row r="170" s="116" customFormat="1" x14ac:dyDescent="0.3"/>
    <row r="171" s="116" customFormat="1" x14ac:dyDescent="0.3"/>
    <row r="172" s="116" customFormat="1" x14ac:dyDescent="0.3"/>
    <row r="173" s="116" customFormat="1" x14ac:dyDescent="0.3"/>
    <row r="174" s="116" customFormat="1" x14ac:dyDescent="0.3"/>
    <row r="175" s="116" customFormat="1" x14ac:dyDescent="0.3"/>
    <row r="176" s="116" customFormat="1" x14ac:dyDescent="0.3"/>
    <row r="177" s="116" customFormat="1" x14ac:dyDescent="0.3"/>
    <row r="178" s="116" customFormat="1" x14ac:dyDescent="0.3"/>
    <row r="179" s="116" customFormat="1" x14ac:dyDescent="0.3"/>
    <row r="180" s="116" customFormat="1" x14ac:dyDescent="0.3"/>
    <row r="181" s="116" customFormat="1" x14ac:dyDescent="0.3"/>
    <row r="182" s="116" customFormat="1" x14ac:dyDescent="0.3"/>
    <row r="183" s="116" customFormat="1" x14ac:dyDescent="0.3"/>
    <row r="184" s="116" customFormat="1" x14ac:dyDescent="0.3"/>
    <row r="185" s="116" customFormat="1" x14ac:dyDescent="0.3"/>
    <row r="186" s="116" customFormat="1" x14ac:dyDescent="0.3"/>
    <row r="187" s="116" customFormat="1" x14ac:dyDescent="0.3"/>
    <row r="188" s="116" customFormat="1" x14ac:dyDescent="0.3"/>
    <row r="189" s="116" customFormat="1" x14ac:dyDescent="0.3"/>
    <row r="190" s="116" customFormat="1" x14ac:dyDescent="0.3"/>
    <row r="191" s="116" customFormat="1" x14ac:dyDescent="0.3"/>
    <row r="192" s="116" customFormat="1" x14ac:dyDescent="0.3"/>
    <row r="193" s="116" customFormat="1" x14ac:dyDescent="0.3"/>
    <row r="194" s="116" customFormat="1" x14ac:dyDescent="0.3"/>
    <row r="195" s="116" customFormat="1" x14ac:dyDescent="0.3"/>
    <row r="196" s="116" customFormat="1" x14ac:dyDescent="0.3"/>
    <row r="197" s="116" customFormat="1" x14ac:dyDescent="0.3"/>
    <row r="198" s="116" customFormat="1" x14ac:dyDescent="0.3"/>
    <row r="199" s="116" customFormat="1" x14ac:dyDescent="0.3"/>
    <row r="200" s="116" customFormat="1" x14ac:dyDescent="0.3"/>
    <row r="201" s="116" customFormat="1" x14ac:dyDescent="0.3"/>
    <row r="202" s="116" customFormat="1" x14ac:dyDescent="0.3"/>
    <row r="203" s="116" customFormat="1" x14ac:dyDescent="0.3"/>
    <row r="204" s="116" customFormat="1" x14ac:dyDescent="0.3"/>
    <row r="205" s="116" customFormat="1" x14ac:dyDescent="0.3"/>
    <row r="206" s="116" customFormat="1" x14ac:dyDescent="0.3"/>
    <row r="207" s="116" customFormat="1" x14ac:dyDescent="0.3"/>
    <row r="208" s="116" customFormat="1" x14ac:dyDescent="0.3"/>
    <row r="209" s="116" customFormat="1" x14ac:dyDescent="0.3"/>
    <row r="210" s="116" customFormat="1" x14ac:dyDescent="0.3"/>
    <row r="211" s="116" customFormat="1" x14ac:dyDescent="0.3"/>
    <row r="212" s="116" customFormat="1" x14ac:dyDescent="0.3"/>
    <row r="213" s="116" customFormat="1" x14ac:dyDescent="0.3"/>
    <row r="214" s="116" customFormat="1" x14ac:dyDescent="0.3"/>
    <row r="215" s="116" customFormat="1" x14ac:dyDescent="0.3"/>
    <row r="216" s="116" customFormat="1" x14ac:dyDescent="0.3"/>
    <row r="217" s="116" customFormat="1" x14ac:dyDescent="0.3"/>
    <row r="218" s="116" customFormat="1" x14ac:dyDescent="0.3"/>
    <row r="219" s="116" customFormat="1" x14ac:dyDescent="0.3"/>
    <row r="220" s="116" customFormat="1" x14ac:dyDescent="0.3"/>
    <row r="221" s="116" customFormat="1" x14ac:dyDescent="0.3"/>
    <row r="222" s="116" customFormat="1" x14ac:dyDescent="0.3"/>
    <row r="223" s="116" customFormat="1" x14ac:dyDescent="0.3"/>
    <row r="224" s="116" customFormat="1" x14ac:dyDescent="0.3"/>
    <row r="225" s="116" customFormat="1" x14ac:dyDescent="0.3"/>
    <row r="226" s="116" customFormat="1" x14ac:dyDescent="0.3"/>
    <row r="227" s="116" customFormat="1" x14ac:dyDescent="0.3"/>
    <row r="228" s="116" customFormat="1" x14ac:dyDescent="0.3"/>
    <row r="229" s="116" customFormat="1" x14ac:dyDescent="0.3"/>
    <row r="230" s="116" customFormat="1" x14ac:dyDescent="0.3"/>
    <row r="231" s="116" customFormat="1" x14ac:dyDescent="0.3"/>
    <row r="232" s="116" customFormat="1" x14ac:dyDescent="0.3"/>
    <row r="233" s="116" customFormat="1" x14ac:dyDescent="0.3"/>
    <row r="234" s="116" customFormat="1" x14ac:dyDescent="0.3"/>
    <row r="235" s="116" customFormat="1" x14ac:dyDescent="0.3"/>
    <row r="236" s="116" customFormat="1" x14ac:dyDescent="0.3"/>
    <row r="237" s="116" customFormat="1" x14ac:dyDescent="0.3"/>
    <row r="238" s="116" customFormat="1" x14ac:dyDescent="0.3"/>
    <row r="239" s="116" customFormat="1" x14ac:dyDescent="0.3"/>
    <row r="240" s="116" customFormat="1" x14ac:dyDescent="0.3"/>
    <row r="241" s="116" customFormat="1" x14ac:dyDescent="0.3"/>
    <row r="242" s="116" customFormat="1" x14ac:dyDescent="0.3"/>
    <row r="243" s="116" customFormat="1" x14ac:dyDescent="0.3"/>
    <row r="244" s="116" customFormat="1" x14ac:dyDescent="0.3"/>
    <row r="245" s="116" customFormat="1" x14ac:dyDescent="0.3"/>
    <row r="246" s="116" customFormat="1" x14ac:dyDescent="0.3"/>
    <row r="247" s="116" customFormat="1" x14ac:dyDescent="0.3"/>
    <row r="248" s="116" customFormat="1" x14ac:dyDescent="0.3"/>
    <row r="249" s="116" customFormat="1" x14ac:dyDescent="0.3"/>
    <row r="250" s="116" customFormat="1" x14ac:dyDescent="0.3"/>
    <row r="251" s="116" customFormat="1" x14ac:dyDescent="0.3"/>
    <row r="252" s="116" customFormat="1" x14ac:dyDescent="0.3"/>
    <row r="253" s="116" customFormat="1" x14ac:dyDescent="0.3"/>
    <row r="254" s="116" customFormat="1" x14ac:dyDescent="0.3"/>
    <row r="255" s="116" customFormat="1" x14ac:dyDescent="0.3"/>
    <row r="256" s="116" customFormat="1" x14ac:dyDescent="0.3"/>
    <row r="257" s="116" customFormat="1" x14ac:dyDescent="0.3"/>
    <row r="258" s="116" customFormat="1" x14ac:dyDescent="0.3"/>
    <row r="259" s="116" customFormat="1" x14ac:dyDescent="0.3"/>
    <row r="260" s="116" customFormat="1" x14ac:dyDescent="0.3"/>
    <row r="261" s="116" customFormat="1" x14ac:dyDescent="0.3"/>
    <row r="262" s="116" customFormat="1" x14ac:dyDescent="0.3"/>
    <row r="263" s="116" customFormat="1" x14ac:dyDescent="0.3"/>
    <row r="264" s="116" customFormat="1" x14ac:dyDescent="0.3"/>
    <row r="265" s="116" customFormat="1" x14ac:dyDescent="0.3"/>
    <row r="266" s="116" customFormat="1" x14ac:dyDescent="0.3"/>
    <row r="267" s="116" customFormat="1" x14ac:dyDescent="0.3"/>
    <row r="268" s="116" customFormat="1" x14ac:dyDescent="0.3"/>
    <row r="269" s="116" customFormat="1" x14ac:dyDescent="0.3"/>
    <row r="270" s="116" customFormat="1" x14ac:dyDescent="0.3"/>
    <row r="271" s="116" customFormat="1" x14ac:dyDescent="0.3"/>
    <row r="272" s="116" customFormat="1" x14ac:dyDescent="0.3"/>
    <row r="273" s="116" customFormat="1" x14ac:dyDescent="0.3"/>
    <row r="274" s="116" customFormat="1" x14ac:dyDescent="0.3"/>
    <row r="275" s="116" customFormat="1" x14ac:dyDescent="0.3"/>
    <row r="276" s="116" customFormat="1" x14ac:dyDescent="0.3"/>
    <row r="277" s="116" customFormat="1" x14ac:dyDescent="0.3"/>
    <row r="278" s="116" customFormat="1" x14ac:dyDescent="0.3"/>
    <row r="279" s="116" customFormat="1" x14ac:dyDescent="0.3"/>
    <row r="280" s="116" customFormat="1" x14ac:dyDescent="0.3"/>
    <row r="281" s="116" customFormat="1" x14ac:dyDescent="0.3"/>
    <row r="282" s="116" customFormat="1" x14ac:dyDescent="0.3"/>
    <row r="283" s="116" customFormat="1" x14ac:dyDescent="0.3"/>
    <row r="284" s="116" customFormat="1" x14ac:dyDescent="0.3"/>
    <row r="285" s="116" customFormat="1" x14ac:dyDescent="0.3"/>
    <row r="286" s="116" customFormat="1" x14ac:dyDescent="0.3"/>
    <row r="287" s="116" customFormat="1" x14ac:dyDescent="0.3"/>
    <row r="288" s="116" customFormat="1" x14ac:dyDescent="0.3"/>
    <row r="289" s="116" customFormat="1" x14ac:dyDescent="0.3"/>
    <row r="290" s="116" customFormat="1" x14ac:dyDescent="0.3"/>
    <row r="291" s="116" customFormat="1" x14ac:dyDescent="0.3"/>
    <row r="292" s="116" customFormat="1" x14ac:dyDescent="0.3"/>
    <row r="293" s="116" customFormat="1" x14ac:dyDescent="0.3"/>
    <row r="294" s="116" customFormat="1" x14ac:dyDescent="0.3"/>
    <row r="295" s="116" customFormat="1" x14ac:dyDescent="0.3"/>
    <row r="296" s="116" customFormat="1" x14ac:dyDescent="0.3"/>
    <row r="297" s="116" customFormat="1" x14ac:dyDescent="0.3"/>
    <row r="298" s="116" customFormat="1" x14ac:dyDescent="0.3"/>
    <row r="299" s="116" customFormat="1" x14ac:dyDescent="0.3"/>
    <row r="300" s="116" customFormat="1" x14ac:dyDescent="0.3"/>
    <row r="301" s="116" customFormat="1" x14ac:dyDescent="0.3"/>
    <row r="302" s="116" customFormat="1" x14ac:dyDescent="0.3"/>
    <row r="303" s="116" customFormat="1" x14ac:dyDescent="0.3"/>
    <row r="304" s="116" customFormat="1" x14ac:dyDescent="0.3"/>
    <row r="305" s="116" customFormat="1" x14ac:dyDescent="0.3"/>
    <row r="306" s="116" customFormat="1" x14ac:dyDescent="0.3"/>
    <row r="307" s="116" customFormat="1" x14ac:dyDescent="0.3"/>
    <row r="308" s="116" customFormat="1" x14ac:dyDescent="0.3"/>
    <row r="309" s="116" customFormat="1" x14ac:dyDescent="0.3"/>
    <row r="310" s="116" customFormat="1" x14ac:dyDescent="0.3"/>
    <row r="311" s="116" customFormat="1" x14ac:dyDescent="0.3"/>
    <row r="312" s="116" customFormat="1" x14ac:dyDescent="0.3"/>
    <row r="313" s="116" customFormat="1" x14ac:dyDescent="0.3"/>
    <row r="314" s="116" customFormat="1" x14ac:dyDescent="0.3"/>
    <row r="315" s="116" customFormat="1" x14ac:dyDescent="0.3"/>
    <row r="316" s="116" customFormat="1" x14ac:dyDescent="0.3"/>
    <row r="317" s="116" customFormat="1" x14ac:dyDescent="0.3"/>
    <row r="318" s="116" customFormat="1" x14ac:dyDescent="0.3"/>
    <row r="319" s="116" customFormat="1" x14ac:dyDescent="0.3"/>
    <row r="320" s="116" customFormat="1" x14ac:dyDescent="0.3"/>
    <row r="321" s="116" customFormat="1" x14ac:dyDescent="0.3"/>
    <row r="322" s="116" customFormat="1" x14ac:dyDescent="0.3"/>
    <row r="323" s="116" customFormat="1" x14ac:dyDescent="0.3"/>
    <row r="324" s="116" customFormat="1" x14ac:dyDescent="0.3"/>
    <row r="325" s="116" customFormat="1" x14ac:dyDescent="0.3"/>
    <row r="326" s="116" customFormat="1" x14ac:dyDescent="0.3"/>
    <row r="327" s="116" customFormat="1" x14ac:dyDescent="0.3"/>
    <row r="328" s="116" customFormat="1" x14ac:dyDescent="0.3"/>
    <row r="329" s="116" customFormat="1" x14ac:dyDescent="0.3"/>
    <row r="330" s="116" customFormat="1" x14ac:dyDescent="0.3"/>
    <row r="331" s="116" customFormat="1" x14ac:dyDescent="0.3"/>
    <row r="332" s="116" customFormat="1" x14ac:dyDescent="0.3"/>
    <row r="333" s="116" customFormat="1" x14ac:dyDescent="0.3"/>
    <row r="334" s="116" customFormat="1" x14ac:dyDescent="0.3"/>
    <row r="335" s="116" customFormat="1" x14ac:dyDescent="0.3"/>
    <row r="336" s="116" customFormat="1" x14ac:dyDescent="0.3"/>
    <row r="337" s="116" customFormat="1" x14ac:dyDescent="0.3"/>
    <row r="338" s="116" customFormat="1" x14ac:dyDescent="0.3"/>
    <row r="339" s="116" customFormat="1" x14ac:dyDescent="0.3"/>
    <row r="340" s="116" customFormat="1" x14ac:dyDescent="0.3"/>
    <row r="341" s="116" customFormat="1" x14ac:dyDescent="0.3"/>
    <row r="342" s="116" customFormat="1" x14ac:dyDescent="0.3"/>
    <row r="343" s="116" customFormat="1" x14ac:dyDescent="0.3"/>
    <row r="344" s="116" customFormat="1" x14ac:dyDescent="0.3"/>
    <row r="345" s="116" customFormat="1" x14ac:dyDescent="0.3"/>
    <row r="346" s="116" customFormat="1" x14ac:dyDescent="0.3"/>
    <row r="347" s="116" customFormat="1" x14ac:dyDescent="0.3"/>
    <row r="348" s="116" customFormat="1" x14ac:dyDescent="0.3"/>
    <row r="349" s="116" customFormat="1" x14ac:dyDescent="0.3"/>
    <row r="350" s="116" customFormat="1" x14ac:dyDescent="0.3"/>
    <row r="351" s="116" customFormat="1" x14ac:dyDescent="0.3"/>
    <row r="352" s="116" customFormat="1" x14ac:dyDescent="0.3"/>
    <row r="353" s="116" customFormat="1" x14ac:dyDescent="0.3"/>
    <row r="354" s="116" customFormat="1" x14ac:dyDescent="0.3"/>
    <row r="355" s="116" customFormat="1" x14ac:dyDescent="0.3"/>
    <row r="356" s="116" customFormat="1" x14ac:dyDescent="0.3"/>
    <row r="357" s="116" customFormat="1" x14ac:dyDescent="0.3"/>
    <row r="358" s="116" customFormat="1" x14ac:dyDescent="0.3"/>
    <row r="359" s="116" customFormat="1" x14ac:dyDescent="0.3"/>
    <row r="360" s="116" customFormat="1" x14ac:dyDescent="0.3"/>
    <row r="361" s="116" customFormat="1" x14ac:dyDescent="0.3"/>
    <row r="362" s="116" customFormat="1" x14ac:dyDescent="0.3"/>
    <row r="363" s="116" customFormat="1" x14ac:dyDescent="0.3"/>
    <row r="364" s="116" customFormat="1" x14ac:dyDescent="0.3"/>
    <row r="365" s="116" customFormat="1" x14ac:dyDescent="0.3"/>
    <row r="366" s="116" customFormat="1" x14ac:dyDescent="0.3"/>
    <row r="367" s="116" customFormat="1" x14ac:dyDescent="0.3"/>
    <row r="368" s="116" customFormat="1" x14ac:dyDescent="0.3"/>
    <row r="369" s="116" customFormat="1" x14ac:dyDescent="0.3"/>
    <row r="370" s="116" customFormat="1" x14ac:dyDescent="0.3"/>
    <row r="371" s="116" customFormat="1" x14ac:dyDescent="0.3"/>
    <row r="372" s="116" customFormat="1" x14ac:dyDescent="0.3"/>
    <row r="373" s="116" customFormat="1" x14ac:dyDescent="0.3"/>
    <row r="374" s="116" customFormat="1" x14ac:dyDescent="0.3"/>
    <row r="375" s="116" customFormat="1" x14ac:dyDescent="0.3"/>
    <row r="376" s="116" customFormat="1" x14ac:dyDescent="0.3"/>
    <row r="377" s="116" customFormat="1" x14ac:dyDescent="0.3"/>
    <row r="378" s="116" customFormat="1" x14ac:dyDescent="0.3"/>
    <row r="379" s="116" customFormat="1" x14ac:dyDescent="0.3"/>
    <row r="380" s="116" customFormat="1" x14ac:dyDescent="0.3"/>
    <row r="381" s="116" customFormat="1" x14ac:dyDescent="0.3"/>
    <row r="382" s="116" customFormat="1" x14ac:dyDescent="0.3"/>
    <row r="383" s="116" customFormat="1" x14ac:dyDescent="0.3"/>
    <row r="384" s="116" customFormat="1" x14ac:dyDescent="0.3"/>
    <row r="385" s="116" customFormat="1" x14ac:dyDescent="0.3"/>
    <row r="386" s="116" customFormat="1" x14ac:dyDescent="0.3"/>
    <row r="387" s="116" customFormat="1" x14ac:dyDescent="0.3"/>
    <row r="388" s="116" customFormat="1" x14ac:dyDescent="0.3"/>
    <row r="389" s="116" customFormat="1" x14ac:dyDescent="0.3"/>
    <row r="390" s="116" customFormat="1" x14ac:dyDescent="0.3"/>
    <row r="391" s="116" customFormat="1" x14ac:dyDescent="0.3"/>
    <row r="392" s="116" customFormat="1" x14ac:dyDescent="0.3"/>
    <row r="393" s="116" customFormat="1" x14ac:dyDescent="0.3"/>
    <row r="394" s="116" customFormat="1" x14ac:dyDescent="0.3"/>
    <row r="395" s="116" customFormat="1" x14ac:dyDescent="0.3"/>
    <row r="396" s="116" customFormat="1" x14ac:dyDescent="0.3"/>
    <row r="397" s="116" customFormat="1" x14ac:dyDescent="0.3"/>
    <row r="398" s="116" customFormat="1" x14ac:dyDescent="0.3"/>
    <row r="399" s="116" customFormat="1" x14ac:dyDescent="0.3"/>
    <row r="400" s="116" customFormat="1" x14ac:dyDescent="0.3"/>
    <row r="401" s="116" customFormat="1" x14ac:dyDescent="0.3"/>
    <row r="402" s="116" customFormat="1" x14ac:dyDescent="0.3"/>
    <row r="403" s="116" customFormat="1" x14ac:dyDescent="0.3"/>
    <row r="404" s="116" customFormat="1" x14ac:dyDescent="0.3"/>
    <row r="405" s="116" customFormat="1" x14ac:dyDescent="0.3"/>
    <row r="406" s="116" customFormat="1" x14ac:dyDescent="0.3"/>
    <row r="407" s="116" customFormat="1" x14ac:dyDescent="0.3"/>
    <row r="408" s="116" customFormat="1" x14ac:dyDescent="0.3"/>
    <row r="409" s="116" customFormat="1" x14ac:dyDescent="0.3"/>
    <row r="410" s="116" customFormat="1" x14ac:dyDescent="0.3"/>
    <row r="411" s="116" customFormat="1" x14ac:dyDescent="0.3"/>
    <row r="412" s="116" customFormat="1" x14ac:dyDescent="0.3"/>
    <row r="413" s="116" customFormat="1" x14ac:dyDescent="0.3"/>
    <row r="414" s="116" customFormat="1" x14ac:dyDescent="0.3"/>
    <row r="415" s="116" customFormat="1" x14ac:dyDescent="0.3"/>
    <row r="416" s="116" customFormat="1" x14ac:dyDescent="0.3"/>
    <row r="417" s="116" customFormat="1" x14ac:dyDescent="0.3"/>
    <row r="418" s="116" customFormat="1" x14ac:dyDescent="0.3"/>
    <row r="419" s="116" customFormat="1" x14ac:dyDescent="0.3"/>
    <row r="420" s="116" customFormat="1" x14ac:dyDescent="0.3"/>
    <row r="421" s="116" customFormat="1" x14ac:dyDescent="0.3"/>
    <row r="422" s="116" customFormat="1" x14ac:dyDescent="0.3"/>
    <row r="423" s="116" customFormat="1" x14ac:dyDescent="0.3"/>
    <row r="424" s="116" customFormat="1" x14ac:dyDescent="0.3"/>
    <row r="425" s="116" customFormat="1" x14ac:dyDescent="0.3"/>
    <row r="426" s="116" customFormat="1" x14ac:dyDescent="0.3"/>
    <row r="427" s="116" customFormat="1" x14ac:dyDescent="0.3"/>
    <row r="428" s="116" customFormat="1" x14ac:dyDescent="0.3"/>
    <row r="429" s="116" customFormat="1" x14ac:dyDescent="0.3"/>
    <row r="430" s="116" customFormat="1" x14ac:dyDescent="0.3"/>
    <row r="431" s="116" customFormat="1" x14ac:dyDescent="0.3"/>
    <row r="432" s="116" customFormat="1" x14ac:dyDescent="0.3"/>
    <row r="433" s="116" customFormat="1" x14ac:dyDescent="0.3"/>
    <row r="434" s="116" customFormat="1" x14ac:dyDescent="0.3"/>
    <row r="435" s="116" customFormat="1" x14ac:dyDescent="0.3"/>
    <row r="436" s="116" customFormat="1" x14ac:dyDescent="0.3"/>
    <row r="437" s="116" customFormat="1" x14ac:dyDescent="0.3"/>
    <row r="438" s="116" customFormat="1" x14ac:dyDescent="0.3"/>
    <row r="439" s="116" customFormat="1" x14ac:dyDescent="0.3"/>
    <row r="440" s="116" customFormat="1" x14ac:dyDescent="0.3"/>
    <row r="441" s="116" customFormat="1" x14ac:dyDescent="0.3"/>
    <row r="442" s="116" customFormat="1" x14ac:dyDescent="0.3"/>
    <row r="443" s="116" customFormat="1" x14ac:dyDescent="0.3"/>
    <row r="444" s="116" customFormat="1" x14ac:dyDescent="0.3"/>
    <row r="445" s="116" customFormat="1" x14ac:dyDescent="0.3"/>
    <row r="446" s="116" customFormat="1" x14ac:dyDescent="0.3"/>
    <row r="447" s="116" customFormat="1" x14ac:dyDescent="0.3"/>
    <row r="448" s="116" customFormat="1" x14ac:dyDescent="0.3"/>
    <row r="449" s="116" customFormat="1" x14ac:dyDescent="0.3"/>
    <row r="450" s="116" customFormat="1" x14ac:dyDescent="0.3"/>
    <row r="451" s="116" customFormat="1" x14ac:dyDescent="0.3"/>
    <row r="452" s="116" customFormat="1" x14ac:dyDescent="0.3"/>
    <row r="453" s="116" customFormat="1" x14ac:dyDescent="0.3"/>
    <row r="454" s="116" customFormat="1" x14ac:dyDescent="0.3"/>
    <row r="455" s="116" customFormat="1" x14ac:dyDescent="0.3"/>
    <row r="456" s="116" customFormat="1" x14ac:dyDescent="0.3"/>
    <row r="457" s="116" customFormat="1" x14ac:dyDescent="0.3"/>
    <row r="458" s="116" customFormat="1" x14ac:dyDescent="0.3"/>
    <row r="459" s="116" customFormat="1" x14ac:dyDescent="0.3"/>
    <row r="460" s="116" customFormat="1" x14ac:dyDescent="0.3"/>
    <row r="461" s="116" customFormat="1" x14ac:dyDescent="0.3"/>
    <row r="462" s="116" customFormat="1" x14ac:dyDescent="0.3"/>
    <row r="463" s="116" customFormat="1" x14ac:dyDescent="0.3"/>
    <row r="464" s="116" customFormat="1" x14ac:dyDescent="0.3"/>
    <row r="465" s="116" customFormat="1" x14ac:dyDescent="0.3"/>
    <row r="466" s="116" customFormat="1" x14ac:dyDescent="0.3"/>
    <row r="467" s="116" customFormat="1" x14ac:dyDescent="0.3"/>
    <row r="468" s="116" customFormat="1" x14ac:dyDescent="0.3"/>
    <row r="469" s="116" customFormat="1" x14ac:dyDescent="0.3"/>
    <row r="470" s="116" customFormat="1" x14ac:dyDescent="0.3"/>
    <row r="471" s="116" customFormat="1" x14ac:dyDescent="0.3"/>
    <row r="472" s="116" customFormat="1" x14ac:dyDescent="0.3"/>
    <row r="473" s="116" customFormat="1" x14ac:dyDescent="0.3"/>
    <row r="474" s="116" customFormat="1" x14ac:dyDescent="0.3"/>
    <row r="475" s="116" customFormat="1" x14ac:dyDescent="0.3"/>
    <row r="476" s="116" customFormat="1" x14ac:dyDescent="0.3"/>
    <row r="477" s="116" customFormat="1" x14ac:dyDescent="0.3"/>
    <row r="478" s="116" customFormat="1" x14ac:dyDescent="0.3"/>
    <row r="479" s="116" customFormat="1" x14ac:dyDescent="0.3"/>
    <row r="480" s="116" customFormat="1" x14ac:dyDescent="0.3"/>
    <row r="481" s="116" customFormat="1" x14ac:dyDescent="0.3"/>
    <row r="482" s="116" customFormat="1" x14ac:dyDescent="0.3"/>
    <row r="483" s="116" customFormat="1" x14ac:dyDescent="0.3"/>
    <row r="484" s="116" customFormat="1" x14ac:dyDescent="0.3"/>
    <row r="485" s="116" customFormat="1" x14ac:dyDescent="0.3"/>
    <row r="486" s="116" customFormat="1" x14ac:dyDescent="0.3"/>
    <row r="487" s="116" customFormat="1" x14ac:dyDescent="0.3"/>
    <row r="488" s="116" customFormat="1" x14ac:dyDescent="0.3"/>
    <row r="489" s="116" customFormat="1" x14ac:dyDescent="0.3"/>
    <row r="490" s="116" customFormat="1" x14ac:dyDescent="0.3"/>
    <row r="491" s="116" customFormat="1" x14ac:dyDescent="0.3"/>
    <row r="492" s="116" customFormat="1" x14ac:dyDescent="0.3"/>
    <row r="493" s="116" customFormat="1" x14ac:dyDescent="0.3"/>
    <row r="494" s="116" customFormat="1" x14ac:dyDescent="0.3"/>
    <row r="495" s="116" customFormat="1" x14ac:dyDescent="0.3"/>
    <row r="496" s="116" customFormat="1" x14ac:dyDescent="0.3"/>
    <row r="497" s="116" customFormat="1" x14ac:dyDescent="0.3"/>
    <row r="498" s="116" customFormat="1" x14ac:dyDescent="0.3"/>
    <row r="499" s="116" customFormat="1" x14ac:dyDescent="0.3"/>
    <row r="500" s="116" customFormat="1" x14ac:dyDescent="0.3"/>
    <row r="501" s="116" customFormat="1" x14ac:dyDescent="0.3"/>
    <row r="502" s="116" customFormat="1" x14ac:dyDescent="0.3"/>
    <row r="503" s="116" customFormat="1" x14ac:dyDescent="0.3"/>
    <row r="504" s="116" customFormat="1" x14ac:dyDescent="0.3"/>
    <row r="505" s="116" customFormat="1" x14ac:dyDescent="0.3"/>
  </sheetData>
  <mergeCells count="72">
    <mergeCell ref="B1:HC1"/>
    <mergeCell ref="B2:P2"/>
    <mergeCell ref="Q2:AE2"/>
    <mergeCell ref="AF2:AT2"/>
    <mergeCell ref="AU2:BI2"/>
    <mergeCell ref="BJ2:BX2"/>
    <mergeCell ref="BY2:CM2"/>
    <mergeCell ref="AA3:AE3"/>
    <mergeCell ref="FZ2:GN2"/>
    <mergeCell ref="GO2:HC2"/>
    <mergeCell ref="CN2:DB2"/>
    <mergeCell ref="DC2:DQ2"/>
    <mergeCell ref="DR2:EF2"/>
    <mergeCell ref="EG2:EU2"/>
    <mergeCell ref="EV2:FJ2"/>
    <mergeCell ref="FK2:FY2"/>
    <mergeCell ref="BJ3:BN3"/>
    <mergeCell ref="BO3:BS3"/>
    <mergeCell ref="BT3:BX3"/>
    <mergeCell ref="AF3:AJ3"/>
    <mergeCell ref="AK3:AO3"/>
    <mergeCell ref="AP3:AT3"/>
    <mergeCell ref="AU3:AY3"/>
    <mergeCell ref="B3:F3"/>
    <mergeCell ref="G3:K3"/>
    <mergeCell ref="L3:P3"/>
    <mergeCell ref="Q3:U3"/>
    <mergeCell ref="V3:Z3"/>
    <mergeCell ref="AZ3:BD3"/>
    <mergeCell ref="BE3:BI3"/>
    <mergeCell ref="CN3:CR3"/>
    <mergeCell ref="CS3:CW3"/>
    <mergeCell ref="CX3:DB3"/>
    <mergeCell ref="BY3:CC3"/>
    <mergeCell ref="CD3:CH3"/>
    <mergeCell ref="CI3:CM3"/>
    <mergeCell ref="FF3:FJ3"/>
    <mergeCell ref="DC3:DG3"/>
    <mergeCell ref="DH3:DL3"/>
    <mergeCell ref="DM3:DQ3"/>
    <mergeCell ref="DR3:DV3"/>
    <mergeCell ref="DW3:EA3"/>
    <mergeCell ref="EB3:EF3"/>
    <mergeCell ref="EG3:EK3"/>
    <mergeCell ref="EL3:EP3"/>
    <mergeCell ref="EQ3:EU3"/>
    <mergeCell ref="EV3:EZ3"/>
    <mergeCell ref="FA3:FE3"/>
    <mergeCell ref="GO3:GS3"/>
    <mergeCell ref="GT3:GX3"/>
    <mergeCell ref="GY3:HC3"/>
    <mergeCell ref="FK3:FO3"/>
    <mergeCell ref="FP3:FT3"/>
    <mergeCell ref="FU3:FY3"/>
    <mergeCell ref="FZ3:GD3"/>
    <mergeCell ref="GE3:GI3"/>
    <mergeCell ref="GJ3:GN3"/>
    <mergeCell ref="B35:D39"/>
    <mergeCell ref="F33:H33"/>
    <mergeCell ref="I33:K33"/>
    <mergeCell ref="L33:N33"/>
    <mergeCell ref="O33:Q33"/>
    <mergeCell ref="AJ33:AL33"/>
    <mergeCell ref="AM33:AO33"/>
    <mergeCell ref="AP33:AR33"/>
    <mergeCell ref="AS33:AU33"/>
    <mergeCell ref="R33:T33"/>
    <mergeCell ref="U33:W33"/>
    <mergeCell ref="X33:Z33"/>
    <mergeCell ref="AA33:AC33"/>
    <mergeCell ref="AD33:AF33"/>
    <mergeCell ref="AG33:AI33"/>
  </mergeCells>
  <phoneticPr fontId="5" type="noConversion"/>
  <conditionalFormatting sqref="B5:E27 G5:J27 L5:O27 Q5:T27 V5:Y27 AA5:AD27 AF5:AI27 AK5:AN27 BJ5:BM27 BO5:BR27 AP5:AS27 AU5:AX27 AZ5:BC27 BE5:BH27 BT5:BW27 BY5:CB27 CD5:CG27 CI5:CL27 CN5:CQ27 CS5:CV27 CX5:DA27 DC5:DF27 DH5:DK27 DM5:DP27 DR5:DU27 DW5:DZ27 EB5:EE27 EG5:EJ27 EL5:EO27 EQ5:ET27 EV5:EY27 FA5:FD27 FF5:FI27 FK5:FN27 FP5:FS27 FU5:FX27 FZ5:GC27 GE5:GH27 GJ5:GM27 GO5:GR27 GT5:GW27 GY5:HB27">
    <cfRule type="cellIs" dxfId="156" priority="6" operator="between">
      <formula>1</formula>
      <formula>2</formula>
    </cfRule>
    <cfRule type="cellIs" dxfId="155" priority="7" operator="between">
      <formula>4</formula>
      <formula>5</formula>
    </cfRule>
    <cfRule type="cellIs" dxfId="154" priority="8" operator="greaterThan">
      <formula>5</formula>
    </cfRule>
  </conditionalFormatting>
  <conditionalFormatting sqref="BO5:BR5 B5:E27 G5:J27 L5:O27 Q5:T27 V5:Y27 AA5:AD27 AF5:AI27 AK5:AN27 BN7:BW27 BJ5:BM27 AP5:AS27 AU5:AX27 AZ5:BC27 BE5:BH27 BN6:BR6 BT5:BW6 BY5:CB27 CD5:CG27 CI5:CL27 CN5:CQ27 CS5:CV27 CX5:DA27 DC5:DF27 DH5:DK27 DM5:DP27 DR5:DU27 DW5:DZ27 EB5:EE27 EG5:EJ27 EL5:EO27 EQ5:ET27 EV5:EY27 FA5:FD27 FF5:FI27 FK5:FN27 FP5:FS27 FU5:FX27 FZ5:GC27 GE5:GH27 GJ5:GM27 GO5:GR27 GT5:GW27 GY5:HB27">
    <cfRule type="cellIs" dxfId="153" priority="5" operator="equal">
      <formula>3</formula>
    </cfRule>
  </conditionalFormatting>
  <dataValidations count="1">
    <dataValidation type="list" allowBlank="1" showInputMessage="1" showErrorMessage="1" sqref="B35" xr:uid="{10C5B7F1-3B04-458B-A99E-F20D00F7A801}">
      <formula1>$A$5:$A$27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2D614-D223-4C97-A375-BFBF08AA9625}">
  <dimension ref="A1:CK1310"/>
  <sheetViews>
    <sheetView showGridLines="0" zoomScale="40" zoomScaleNormal="40" workbookViewId="0">
      <pane xSplit="2" topLeftCell="C1" activePane="topRight" state="frozen"/>
      <selection activeCell="A31" sqref="A31"/>
      <selection pane="topRight" activeCell="S6" sqref="S6"/>
    </sheetView>
  </sheetViews>
  <sheetFormatPr baseColWidth="10" defaultRowHeight="13.8" x14ac:dyDescent="0.3"/>
  <cols>
    <col min="1" max="1" width="2.77734375" style="7" customWidth="1"/>
    <col min="2" max="2" width="26.21875" style="5" customWidth="1"/>
    <col min="3" max="5" width="5.5546875" style="5" customWidth="1"/>
    <col min="6" max="6" width="11.33203125" style="1" customWidth="1"/>
    <col min="7" max="9" width="5.5546875" style="1" customWidth="1"/>
    <col min="10" max="10" width="11.44140625" style="1" customWidth="1"/>
    <col min="11" max="13" width="5.5546875" style="1" customWidth="1"/>
    <col min="14" max="14" width="11.44140625" style="1" customWidth="1"/>
    <col min="15" max="15" width="5.5546875" style="1" customWidth="1"/>
    <col min="16" max="17" width="5.5546875" style="5" customWidth="1"/>
    <col min="18" max="18" width="11.44140625" style="5" customWidth="1"/>
    <col min="19" max="19" width="14.109375" style="5" customWidth="1"/>
    <col min="20" max="22" width="5.5546875" style="5" customWidth="1"/>
    <col min="23" max="23" width="11.44140625" style="5" customWidth="1"/>
    <col min="24" max="24" width="10.5546875" style="5" customWidth="1"/>
    <col min="25" max="25" width="11.109375" style="5" customWidth="1"/>
    <col min="26" max="26" width="14.109375" style="5" customWidth="1"/>
    <col min="27" max="29" width="5.5546875" style="5" customWidth="1"/>
    <col min="30" max="30" width="11.5546875" style="5"/>
    <col min="31" max="32" width="11.21875" style="5" customWidth="1"/>
    <col min="33" max="33" width="14.109375" style="5" customWidth="1"/>
    <col min="34" max="36" width="5.5546875" style="5" customWidth="1"/>
    <col min="37" max="39" width="11.5546875" style="5"/>
    <col min="40" max="40" width="14.109375" style="5" customWidth="1"/>
    <col min="41" max="43" width="5.5546875" style="5" customWidth="1"/>
    <col min="44" max="46" width="11.5546875" style="5"/>
    <col min="47" max="47" width="14.21875" style="5" customWidth="1"/>
    <col min="48" max="50" width="5.5546875" style="5" customWidth="1"/>
    <col min="51" max="53" width="11.5546875" style="5"/>
    <col min="54" max="54" width="14.21875" style="5" customWidth="1"/>
    <col min="55" max="57" width="5.5546875" style="5" customWidth="1"/>
    <col min="58" max="60" width="11.5546875" style="5"/>
    <col min="61" max="61" width="14.21875" style="5" customWidth="1"/>
    <col min="62" max="64" width="5.5546875" style="5" customWidth="1"/>
    <col min="65" max="67" width="11.5546875" style="5"/>
    <col min="68" max="68" width="14.21875" style="5" customWidth="1"/>
    <col min="69" max="71" width="5.5546875" style="5" customWidth="1"/>
    <col min="72" max="74" width="11.5546875" style="5"/>
    <col min="75" max="75" width="14.21875" style="5" customWidth="1"/>
    <col min="76" max="78" width="5.5546875" style="5" customWidth="1"/>
    <col min="79" max="81" width="11.5546875" style="5"/>
    <col min="82" max="82" width="14.21875" style="5" customWidth="1"/>
    <col min="83" max="85" width="5.5546875" style="5" customWidth="1"/>
    <col min="86" max="88" width="11.5546875" style="5"/>
    <col min="89" max="89" width="14.21875" style="5" customWidth="1"/>
    <col min="90" max="16384" width="11.5546875" style="5"/>
  </cols>
  <sheetData>
    <row r="1" spans="2:89" s="7" customFormat="1" x14ac:dyDescent="0.3"/>
    <row r="2" spans="2:89" ht="20.399999999999999" customHeight="1" thickBot="1" x14ac:dyDescent="0.35">
      <c r="B2" s="7"/>
      <c r="C2" s="152" t="s">
        <v>0</v>
      </c>
      <c r="D2" s="153"/>
      <c r="E2" s="153"/>
      <c r="F2" s="153"/>
      <c r="G2" s="153"/>
      <c r="H2" s="153"/>
      <c r="I2" s="153"/>
      <c r="J2" s="153"/>
      <c r="K2" s="153"/>
      <c r="L2" s="153"/>
      <c r="M2" s="153"/>
      <c r="N2" s="153"/>
      <c r="O2" s="153"/>
      <c r="P2" s="153"/>
      <c r="Q2" s="153"/>
      <c r="R2" s="153"/>
      <c r="S2" s="153"/>
      <c r="T2" s="153"/>
      <c r="U2" s="153"/>
      <c r="V2" s="153"/>
      <c r="W2" s="153"/>
      <c r="X2" s="153"/>
      <c r="Y2" s="153"/>
      <c r="Z2" s="153"/>
      <c r="AA2" s="153"/>
      <c r="AB2" s="153"/>
      <c r="AC2" s="153"/>
      <c r="AD2" s="153"/>
      <c r="AE2" s="153"/>
      <c r="AF2" s="153"/>
      <c r="AG2" s="153"/>
      <c r="AH2" s="153"/>
      <c r="AI2" s="153"/>
      <c r="AJ2" s="153"/>
      <c r="AK2" s="153"/>
      <c r="AL2" s="153"/>
      <c r="AM2" s="153"/>
      <c r="AN2" s="153"/>
      <c r="AO2" s="153"/>
      <c r="AP2" s="153"/>
      <c r="AQ2" s="153"/>
      <c r="AR2" s="153"/>
      <c r="AS2" s="153"/>
      <c r="AT2" s="153"/>
      <c r="AU2" s="153"/>
      <c r="AV2" s="153"/>
      <c r="AW2" s="153"/>
      <c r="AX2" s="153"/>
      <c r="AY2" s="153"/>
      <c r="AZ2" s="153"/>
      <c r="BA2" s="153"/>
      <c r="BB2" s="153"/>
      <c r="BC2" s="153"/>
      <c r="BD2" s="153"/>
      <c r="BE2" s="153"/>
      <c r="BF2" s="153"/>
      <c r="BG2" s="153"/>
      <c r="BH2" s="153"/>
      <c r="BI2" s="153"/>
      <c r="BJ2" s="153"/>
      <c r="BK2" s="153"/>
      <c r="BL2" s="153"/>
      <c r="BM2" s="153"/>
      <c r="BN2" s="153"/>
      <c r="BO2" s="153"/>
      <c r="BP2" s="153"/>
      <c r="BQ2" s="153"/>
      <c r="BR2" s="153"/>
      <c r="BS2" s="153"/>
      <c r="BT2" s="153"/>
      <c r="BU2" s="153"/>
      <c r="BV2" s="153"/>
      <c r="BW2" s="153"/>
      <c r="BX2" s="153"/>
      <c r="BY2" s="153"/>
      <c r="BZ2" s="153"/>
      <c r="CA2" s="153"/>
      <c r="CB2" s="153"/>
      <c r="CC2" s="153"/>
      <c r="CD2" s="153"/>
      <c r="CE2" s="153"/>
      <c r="CF2" s="153"/>
      <c r="CG2" s="153"/>
      <c r="CH2" s="153"/>
      <c r="CI2" s="153"/>
      <c r="CJ2" s="153"/>
      <c r="CK2" s="153"/>
    </row>
    <row r="3" spans="2:89" ht="20.399999999999999" customHeight="1" thickBot="1" x14ac:dyDescent="0.35">
      <c r="B3" s="7"/>
      <c r="C3" s="157" t="s">
        <v>1</v>
      </c>
      <c r="D3" s="158"/>
      <c r="E3" s="158"/>
      <c r="F3" s="159"/>
      <c r="G3" s="157" t="s">
        <v>31</v>
      </c>
      <c r="H3" s="158"/>
      <c r="I3" s="158"/>
      <c r="J3" s="159"/>
      <c r="K3" s="157" t="s">
        <v>30</v>
      </c>
      <c r="L3" s="158"/>
      <c r="M3" s="158"/>
      <c r="N3" s="159"/>
      <c r="O3" s="157" t="s">
        <v>29</v>
      </c>
      <c r="P3" s="158"/>
      <c r="Q3" s="158"/>
      <c r="R3" s="159"/>
      <c r="S3" s="154" t="s">
        <v>35</v>
      </c>
      <c r="T3" s="149" t="s">
        <v>28</v>
      </c>
      <c r="U3" s="150"/>
      <c r="V3" s="150"/>
      <c r="W3" s="150"/>
      <c r="X3" s="150"/>
      <c r="Y3" s="150"/>
      <c r="Z3" s="154" t="s">
        <v>35</v>
      </c>
      <c r="AA3" s="157" t="s">
        <v>32</v>
      </c>
      <c r="AB3" s="158"/>
      <c r="AC3" s="158"/>
      <c r="AD3" s="158"/>
      <c r="AE3" s="158"/>
      <c r="AF3" s="159"/>
      <c r="AG3" s="154" t="s">
        <v>35</v>
      </c>
      <c r="AH3" s="157" t="s">
        <v>2</v>
      </c>
      <c r="AI3" s="158"/>
      <c r="AJ3" s="158"/>
      <c r="AK3" s="158"/>
      <c r="AL3" s="158"/>
      <c r="AM3" s="159"/>
      <c r="AN3" s="154" t="s">
        <v>35</v>
      </c>
      <c r="AO3" s="157" t="s">
        <v>38</v>
      </c>
      <c r="AP3" s="158"/>
      <c r="AQ3" s="158"/>
      <c r="AR3" s="158"/>
      <c r="AS3" s="158"/>
      <c r="AT3" s="159"/>
      <c r="AU3" s="154" t="s">
        <v>35</v>
      </c>
      <c r="AV3" s="157" t="s">
        <v>39</v>
      </c>
      <c r="AW3" s="158"/>
      <c r="AX3" s="158"/>
      <c r="AY3" s="158"/>
      <c r="AZ3" s="158"/>
      <c r="BA3" s="159"/>
      <c r="BB3" s="154" t="s">
        <v>35</v>
      </c>
      <c r="BC3" s="157" t="s">
        <v>40</v>
      </c>
      <c r="BD3" s="158"/>
      <c r="BE3" s="158"/>
      <c r="BF3" s="158"/>
      <c r="BG3" s="158"/>
      <c r="BH3" s="159"/>
      <c r="BI3" s="154" t="s">
        <v>35</v>
      </c>
      <c r="BJ3" s="157" t="s">
        <v>41</v>
      </c>
      <c r="BK3" s="158"/>
      <c r="BL3" s="158"/>
      <c r="BM3" s="158"/>
      <c r="BN3" s="158"/>
      <c r="BO3" s="159"/>
      <c r="BP3" s="154" t="s">
        <v>35</v>
      </c>
      <c r="BQ3" s="157" t="s">
        <v>42</v>
      </c>
      <c r="BR3" s="158"/>
      <c r="BS3" s="158"/>
      <c r="BT3" s="158"/>
      <c r="BU3" s="158"/>
      <c r="BV3" s="159"/>
      <c r="BW3" s="154" t="s">
        <v>35</v>
      </c>
      <c r="BX3" s="157" t="s">
        <v>43</v>
      </c>
      <c r="BY3" s="158"/>
      <c r="BZ3" s="158"/>
      <c r="CA3" s="158"/>
      <c r="CB3" s="158"/>
      <c r="CC3" s="159"/>
      <c r="CD3" s="154" t="s">
        <v>35</v>
      </c>
      <c r="CE3" s="157" t="s">
        <v>44</v>
      </c>
      <c r="CF3" s="158"/>
      <c r="CG3" s="158"/>
      <c r="CH3" s="158"/>
      <c r="CI3" s="158"/>
      <c r="CJ3" s="159"/>
      <c r="CK3" s="154" t="s">
        <v>35</v>
      </c>
    </row>
    <row r="4" spans="2:89" ht="20.399999999999999" customHeight="1" thickBot="1" x14ac:dyDescent="0.35">
      <c r="B4" s="7"/>
      <c r="C4" s="13" t="s">
        <v>33</v>
      </c>
      <c r="D4" s="14" t="s">
        <v>33</v>
      </c>
      <c r="E4" s="23" t="s">
        <v>33</v>
      </c>
      <c r="F4" s="166" t="s">
        <v>34</v>
      </c>
      <c r="G4" s="13" t="s">
        <v>33</v>
      </c>
      <c r="H4" s="14" t="s">
        <v>33</v>
      </c>
      <c r="I4" s="26" t="s">
        <v>33</v>
      </c>
      <c r="J4" s="166" t="s">
        <v>34</v>
      </c>
      <c r="K4" s="13" t="s">
        <v>33</v>
      </c>
      <c r="L4" s="14" t="s">
        <v>33</v>
      </c>
      <c r="M4" s="26" t="s">
        <v>33</v>
      </c>
      <c r="N4" s="166" t="s">
        <v>34</v>
      </c>
      <c r="O4" s="13" t="s">
        <v>33</v>
      </c>
      <c r="P4" s="14" t="s">
        <v>33</v>
      </c>
      <c r="Q4" s="26" t="s">
        <v>33</v>
      </c>
      <c r="R4" s="166" t="s">
        <v>34</v>
      </c>
      <c r="S4" s="155"/>
      <c r="T4" s="28" t="s">
        <v>33</v>
      </c>
      <c r="U4" s="10" t="s">
        <v>33</v>
      </c>
      <c r="V4" s="29" t="s">
        <v>33</v>
      </c>
      <c r="W4" s="160" t="s">
        <v>34</v>
      </c>
      <c r="X4" s="178" t="s">
        <v>36</v>
      </c>
      <c r="Y4" s="178" t="s">
        <v>37</v>
      </c>
      <c r="Z4" s="155"/>
      <c r="AA4" s="9" t="s">
        <v>33</v>
      </c>
      <c r="AB4" s="10" t="s">
        <v>33</v>
      </c>
      <c r="AC4" s="39" t="s">
        <v>33</v>
      </c>
      <c r="AD4" s="173" t="s">
        <v>34</v>
      </c>
      <c r="AE4" s="175" t="s">
        <v>36</v>
      </c>
      <c r="AF4" s="177" t="s">
        <v>37</v>
      </c>
      <c r="AG4" s="155"/>
      <c r="AH4" s="9" t="s">
        <v>33</v>
      </c>
      <c r="AI4" s="10" t="s">
        <v>33</v>
      </c>
      <c r="AJ4" s="39" t="s">
        <v>33</v>
      </c>
      <c r="AK4" s="160" t="s">
        <v>34</v>
      </c>
      <c r="AL4" s="162" t="s">
        <v>36</v>
      </c>
      <c r="AM4" s="164" t="s">
        <v>37</v>
      </c>
      <c r="AN4" s="155"/>
      <c r="AO4" s="9" t="s">
        <v>33</v>
      </c>
      <c r="AP4" s="10" t="s">
        <v>33</v>
      </c>
      <c r="AQ4" s="39" t="s">
        <v>33</v>
      </c>
      <c r="AR4" s="160" t="s">
        <v>34</v>
      </c>
      <c r="AS4" s="162" t="s">
        <v>36</v>
      </c>
      <c r="AT4" s="164" t="s">
        <v>37</v>
      </c>
      <c r="AU4" s="155"/>
      <c r="AV4" s="9" t="s">
        <v>33</v>
      </c>
      <c r="AW4" s="10" t="s">
        <v>33</v>
      </c>
      <c r="AX4" s="39" t="s">
        <v>33</v>
      </c>
      <c r="AY4" s="160" t="s">
        <v>34</v>
      </c>
      <c r="AZ4" s="162" t="s">
        <v>36</v>
      </c>
      <c r="BA4" s="164" t="s">
        <v>37</v>
      </c>
      <c r="BB4" s="155"/>
      <c r="BC4" s="9" t="s">
        <v>33</v>
      </c>
      <c r="BD4" s="10" t="s">
        <v>33</v>
      </c>
      <c r="BE4" s="39" t="s">
        <v>33</v>
      </c>
      <c r="BF4" s="160" t="s">
        <v>34</v>
      </c>
      <c r="BG4" s="162" t="s">
        <v>36</v>
      </c>
      <c r="BH4" s="164" t="s">
        <v>37</v>
      </c>
      <c r="BI4" s="155"/>
      <c r="BJ4" s="9" t="s">
        <v>33</v>
      </c>
      <c r="BK4" s="10" t="s">
        <v>33</v>
      </c>
      <c r="BL4" s="39" t="s">
        <v>33</v>
      </c>
      <c r="BM4" s="160" t="s">
        <v>34</v>
      </c>
      <c r="BN4" s="162" t="s">
        <v>36</v>
      </c>
      <c r="BO4" s="164" t="s">
        <v>37</v>
      </c>
      <c r="BP4" s="155"/>
      <c r="BQ4" s="9" t="s">
        <v>33</v>
      </c>
      <c r="BR4" s="10" t="s">
        <v>33</v>
      </c>
      <c r="BS4" s="39" t="s">
        <v>33</v>
      </c>
      <c r="BT4" s="160" t="s">
        <v>34</v>
      </c>
      <c r="BU4" s="162" t="s">
        <v>36</v>
      </c>
      <c r="BV4" s="164" t="s">
        <v>37</v>
      </c>
      <c r="BW4" s="155"/>
      <c r="BX4" s="9" t="s">
        <v>33</v>
      </c>
      <c r="BY4" s="10" t="s">
        <v>33</v>
      </c>
      <c r="BZ4" s="39" t="s">
        <v>33</v>
      </c>
      <c r="CA4" s="160" t="s">
        <v>34</v>
      </c>
      <c r="CB4" s="162" t="s">
        <v>36</v>
      </c>
      <c r="CC4" s="164" t="s">
        <v>37</v>
      </c>
      <c r="CD4" s="155"/>
      <c r="CE4" s="9" t="s">
        <v>33</v>
      </c>
      <c r="CF4" s="10" t="s">
        <v>33</v>
      </c>
      <c r="CG4" s="39" t="s">
        <v>33</v>
      </c>
      <c r="CH4" s="160" t="s">
        <v>34</v>
      </c>
      <c r="CI4" s="162" t="s">
        <v>36</v>
      </c>
      <c r="CJ4" s="164" t="s">
        <v>37</v>
      </c>
      <c r="CK4" s="155"/>
    </row>
    <row r="5" spans="2:89" ht="16.2" thickBot="1" x14ac:dyDescent="0.35">
      <c r="B5" s="2" t="s">
        <v>3</v>
      </c>
      <c r="C5" s="15">
        <v>1</v>
      </c>
      <c r="D5" s="16">
        <v>2</v>
      </c>
      <c r="E5" s="24">
        <v>3</v>
      </c>
      <c r="F5" s="161"/>
      <c r="G5" s="15">
        <v>1</v>
      </c>
      <c r="H5" s="16">
        <v>2</v>
      </c>
      <c r="I5" s="27">
        <v>3</v>
      </c>
      <c r="J5" s="161"/>
      <c r="K5" s="15">
        <v>1</v>
      </c>
      <c r="L5" s="16">
        <v>2</v>
      </c>
      <c r="M5" s="27">
        <v>3</v>
      </c>
      <c r="N5" s="161"/>
      <c r="O5" s="15">
        <v>1</v>
      </c>
      <c r="P5" s="16">
        <v>2</v>
      </c>
      <c r="Q5" s="27">
        <v>3</v>
      </c>
      <c r="R5" s="161"/>
      <c r="S5" s="156"/>
      <c r="T5" s="75">
        <v>1</v>
      </c>
      <c r="U5" s="16">
        <v>2</v>
      </c>
      <c r="V5" s="24">
        <v>3</v>
      </c>
      <c r="W5" s="161"/>
      <c r="X5" s="179"/>
      <c r="Y5" s="179"/>
      <c r="Z5" s="156"/>
      <c r="AA5" s="15">
        <v>1</v>
      </c>
      <c r="AB5" s="16">
        <v>2</v>
      </c>
      <c r="AC5" s="27">
        <v>3</v>
      </c>
      <c r="AD5" s="174"/>
      <c r="AE5" s="176"/>
      <c r="AF5" s="163"/>
      <c r="AG5" s="156"/>
      <c r="AH5" s="15">
        <v>1</v>
      </c>
      <c r="AI5" s="16">
        <v>2</v>
      </c>
      <c r="AJ5" s="27">
        <v>3</v>
      </c>
      <c r="AK5" s="161"/>
      <c r="AL5" s="163"/>
      <c r="AM5" s="165"/>
      <c r="AN5" s="156"/>
      <c r="AO5" s="15">
        <v>1</v>
      </c>
      <c r="AP5" s="16">
        <v>2</v>
      </c>
      <c r="AQ5" s="27">
        <v>3</v>
      </c>
      <c r="AR5" s="161"/>
      <c r="AS5" s="163"/>
      <c r="AT5" s="165"/>
      <c r="AU5" s="156"/>
      <c r="AV5" s="15">
        <v>1</v>
      </c>
      <c r="AW5" s="16">
        <v>2</v>
      </c>
      <c r="AX5" s="27">
        <v>3</v>
      </c>
      <c r="AY5" s="161"/>
      <c r="AZ5" s="163"/>
      <c r="BA5" s="165"/>
      <c r="BB5" s="156"/>
      <c r="BC5" s="15">
        <v>1</v>
      </c>
      <c r="BD5" s="16">
        <v>2</v>
      </c>
      <c r="BE5" s="27">
        <v>3</v>
      </c>
      <c r="BF5" s="161"/>
      <c r="BG5" s="163"/>
      <c r="BH5" s="165"/>
      <c r="BI5" s="156"/>
      <c r="BJ5" s="15">
        <v>1</v>
      </c>
      <c r="BK5" s="16">
        <v>2</v>
      </c>
      <c r="BL5" s="27">
        <v>3</v>
      </c>
      <c r="BM5" s="161"/>
      <c r="BN5" s="163"/>
      <c r="BO5" s="165"/>
      <c r="BP5" s="156"/>
      <c r="BQ5" s="15">
        <v>1</v>
      </c>
      <c r="BR5" s="16">
        <v>2</v>
      </c>
      <c r="BS5" s="27">
        <v>3</v>
      </c>
      <c r="BT5" s="161"/>
      <c r="BU5" s="163"/>
      <c r="BV5" s="165"/>
      <c r="BW5" s="156"/>
      <c r="BX5" s="15">
        <v>1</v>
      </c>
      <c r="BY5" s="16">
        <v>2</v>
      </c>
      <c r="BZ5" s="27">
        <v>3</v>
      </c>
      <c r="CA5" s="161"/>
      <c r="CB5" s="163"/>
      <c r="CC5" s="165"/>
      <c r="CD5" s="156"/>
      <c r="CE5" s="15">
        <v>1</v>
      </c>
      <c r="CF5" s="16">
        <v>2</v>
      </c>
      <c r="CG5" s="27">
        <v>3</v>
      </c>
      <c r="CH5" s="161"/>
      <c r="CI5" s="163"/>
      <c r="CJ5" s="165"/>
      <c r="CK5" s="156"/>
    </row>
    <row r="6" spans="2:89" ht="18" customHeight="1" x14ac:dyDescent="0.3">
      <c r="B6" s="8" t="s">
        <v>5</v>
      </c>
      <c r="C6" s="11">
        <f>'WELLNESS DIARIO'!F5</f>
        <v>12</v>
      </c>
      <c r="D6" s="12">
        <f>'WELLNESS DIARIO'!K5</f>
        <v>14</v>
      </c>
      <c r="E6" s="12">
        <f>'WELLNESS DIARIO'!P5</f>
        <v>10</v>
      </c>
      <c r="F6" s="31">
        <f>SUM(C6,D6,E6)</f>
        <v>36</v>
      </c>
      <c r="G6" s="12">
        <f>'WELLNESS DIARIO'!Z5</f>
        <v>8</v>
      </c>
      <c r="H6" s="12">
        <f>'WELLNESS DIARIO'!Z5</f>
        <v>8</v>
      </c>
      <c r="I6" s="12">
        <f>'WELLNESS DIARIO'!AE5</f>
        <v>7</v>
      </c>
      <c r="J6" s="31">
        <f>SUM(G6,H6,I6)</f>
        <v>23</v>
      </c>
      <c r="K6" s="12">
        <f>'WELLNESS DIARIO'!AJ5</f>
        <v>10</v>
      </c>
      <c r="L6" s="12">
        <f>'WELLNESS DIARIO'!AO5</f>
        <v>16</v>
      </c>
      <c r="M6" s="12">
        <f>'WELLNESS DIARIO'!AT5</f>
        <v>8</v>
      </c>
      <c r="N6" s="31">
        <f>SUM(K6,L6,M6)</f>
        <v>34</v>
      </c>
      <c r="O6" s="12">
        <f>'WELLNESS DIARIO'!AY5</f>
        <v>13</v>
      </c>
      <c r="P6" s="12">
        <f>'WELLNESS DIARIO'!BD5</f>
        <v>9</v>
      </c>
      <c r="Q6" s="12">
        <f>'WELLNESS DIARIO'!BI5</f>
        <v>6</v>
      </c>
      <c r="R6" s="31">
        <f>SUM(O6,P6,Q6)</f>
        <v>28</v>
      </c>
      <c r="S6" s="73">
        <f>AVERAGE(F6,J6,N6,R6)</f>
        <v>30.25</v>
      </c>
      <c r="T6" s="12">
        <f>'WELLNESS DIARIO'!BN5</f>
        <v>10</v>
      </c>
      <c r="U6" s="12">
        <f>'WELLNESS DIARIO'!BS5</f>
        <v>13</v>
      </c>
      <c r="V6" s="12">
        <f>'WELLNESS DIARIO'!BX5</f>
        <v>7</v>
      </c>
      <c r="W6" s="74">
        <f>SUM(T6,U6,V6)</f>
        <v>30</v>
      </c>
      <c r="X6" s="69">
        <f t="shared" ref="X6:X29" si="0">(W6*100)/S6</f>
        <v>99.173553719008268</v>
      </c>
      <c r="Y6" s="70">
        <f>X6-100</f>
        <v>-0.8264462809917319</v>
      </c>
      <c r="Z6" s="40">
        <f>AVERAGE(W6,R6,N6,J6)</f>
        <v>28.75</v>
      </c>
      <c r="AA6" s="12">
        <f>'WELLNESS DIARIO'!CC5</f>
        <v>13</v>
      </c>
      <c r="AB6" s="12">
        <f>'WELLNESS DIARIO'!CH5</f>
        <v>12</v>
      </c>
      <c r="AC6" s="12">
        <f>'WELLNESS DIARIO'!CM5</f>
        <v>16</v>
      </c>
      <c r="AD6" s="68">
        <f>SUM(AA6,AB6,AC6)</f>
        <v>41</v>
      </c>
      <c r="AE6" s="69">
        <f>(AD6*100)/Z6</f>
        <v>142.60869565217391</v>
      </c>
      <c r="AF6" s="70">
        <f>AE6-100</f>
        <v>42.608695652173907</v>
      </c>
      <c r="AG6" s="40">
        <f t="shared" ref="AG6:AG29" si="1">AVERAGE(AD6,W6,R6,N6)</f>
        <v>33.25</v>
      </c>
      <c r="AH6" s="12">
        <f>'WELLNESS DIARIO'!CR5</f>
        <v>17</v>
      </c>
      <c r="AI6" s="12">
        <f>'WELLNESS DIARIO'!CW5</f>
        <v>14</v>
      </c>
      <c r="AJ6" s="12">
        <f>'WELLNESS DIARIO'!DB5</f>
        <v>11</v>
      </c>
      <c r="AK6" s="80">
        <f>SUM(AH6,AI6,AJ6)</f>
        <v>42</v>
      </c>
      <c r="AL6" s="70">
        <f t="shared" ref="AL6:AL29" si="2">(AK6*100)/AG6</f>
        <v>126.31578947368421</v>
      </c>
      <c r="AM6" s="72">
        <f>AL6-100</f>
        <v>26.315789473684205</v>
      </c>
      <c r="AN6" s="73">
        <f t="shared" ref="AN6:AN29" si="3">AVERAGE(AK6,AD6,W6,R6)</f>
        <v>35.25</v>
      </c>
      <c r="AO6" s="12">
        <f>'WELLNESS DIARIO'!DG5</f>
        <v>12</v>
      </c>
      <c r="AP6" s="12">
        <f>'WELLNESS DIARIO'!DL5</f>
        <v>13</v>
      </c>
      <c r="AQ6" s="12">
        <f>'WELLNESS DIARIO'!DQ5</f>
        <v>8</v>
      </c>
      <c r="AR6" s="71">
        <f>SUM(AO6,AP6,AQ6)</f>
        <v>33</v>
      </c>
      <c r="AS6" s="70">
        <f t="shared" ref="AS6:AS29" si="4">(AR6*100)/AN6</f>
        <v>93.61702127659575</v>
      </c>
      <c r="AT6" s="72">
        <f>AS6-100</f>
        <v>-6.3829787234042499</v>
      </c>
      <c r="AU6" s="73">
        <f>AVERAGE(AR6,AK6,AD6,W6)</f>
        <v>36.5</v>
      </c>
      <c r="AV6" s="12">
        <f>'WELLNESS DIARIO'!DV5</f>
        <v>8</v>
      </c>
      <c r="AW6" s="12">
        <f>'WELLNESS DIARIO'!EA5</f>
        <v>7</v>
      </c>
      <c r="AX6" s="12">
        <f>'WELLNESS DIARIO'!EF5</f>
        <v>8</v>
      </c>
      <c r="AY6" s="71">
        <f>SUM(AV6,AW6,AX6)</f>
        <v>23</v>
      </c>
      <c r="AZ6" s="70">
        <f t="shared" ref="AZ6:AZ29" si="5">(AY6*100)/AU6</f>
        <v>63.013698630136986</v>
      </c>
      <c r="BA6" s="72">
        <f>AZ6-100</f>
        <v>-36.986301369863014</v>
      </c>
      <c r="BB6" s="73">
        <f>AVERAGE(AY6,AR6,AK6,AD6)</f>
        <v>34.75</v>
      </c>
      <c r="BC6" s="12">
        <f>'WELLNESS DIARIO'!EK5</f>
        <v>9</v>
      </c>
      <c r="BD6" s="12">
        <f>'WELLNESS DIARIO'!EP5</f>
        <v>8</v>
      </c>
      <c r="BE6" s="12">
        <f>'WELLNESS DIARIO'!EU5</f>
        <v>10</v>
      </c>
      <c r="BF6" s="71">
        <f>SUM(BC6,BD6,BE6)</f>
        <v>27</v>
      </c>
      <c r="BG6" s="70">
        <f t="shared" ref="BG6:BG29" si="6">(BF6*100)/BB6</f>
        <v>77.697841726618705</v>
      </c>
      <c r="BH6" s="72">
        <f>BG6-100</f>
        <v>-22.302158273381295</v>
      </c>
      <c r="BI6" s="73">
        <f>AVERAGE(BF6,AY6,AR6,AK6)</f>
        <v>31.25</v>
      </c>
      <c r="BJ6" s="12">
        <f>'WELLNESS DIARIO'!EZ5</f>
        <v>11</v>
      </c>
      <c r="BK6" s="12">
        <f>'WELLNESS DIARIO'!FE5</f>
        <v>11</v>
      </c>
      <c r="BL6" s="12">
        <f>'WELLNESS DIARIO'!FJ5</f>
        <v>10</v>
      </c>
      <c r="BM6" s="71">
        <f>SUM(BJ6,BK6,BL6)</f>
        <v>32</v>
      </c>
      <c r="BN6" s="70">
        <f t="shared" ref="BN6:BN29" si="7">(BM6*100)/BI6</f>
        <v>102.4</v>
      </c>
      <c r="BO6" s="72">
        <f>BN6-100</f>
        <v>2.4000000000000057</v>
      </c>
      <c r="BP6" s="73">
        <f>AVERAGE(BM6,BF6,AY6,AR6)</f>
        <v>28.75</v>
      </c>
      <c r="BQ6" s="12">
        <f>'WELLNESS DIARIO'!FO5</f>
        <v>6</v>
      </c>
      <c r="BR6" s="12">
        <f>'WELLNESS DIARIO'!FT5</f>
        <v>9</v>
      </c>
      <c r="BS6" s="12">
        <f>'WELLNESS DIARIO'!FY5</f>
        <v>12</v>
      </c>
      <c r="BT6" s="71">
        <f>SUM(BQ6,BR6,BS6)</f>
        <v>27</v>
      </c>
      <c r="BU6" s="70">
        <f t="shared" ref="BU6:BU29" si="8">(BT6*100)/BP6</f>
        <v>93.913043478260875</v>
      </c>
      <c r="BV6" s="79">
        <f>BU6-100</f>
        <v>-6.0869565217391255</v>
      </c>
      <c r="BW6" s="73">
        <f>AVERAGE(BT6,BM6,BF6,AY6)</f>
        <v>27.25</v>
      </c>
      <c r="BX6" s="12">
        <f>'WELLNESS DIARIO'!GD5</f>
        <v>12</v>
      </c>
      <c r="BY6" s="12">
        <f>'WELLNESS DIARIO'!GI5</f>
        <v>12</v>
      </c>
      <c r="BZ6" s="12">
        <f>'WELLNESS DIARIO'!GN5</f>
        <v>12</v>
      </c>
      <c r="CA6" s="71">
        <f>SUM(BX6,BY6,BZ6)</f>
        <v>36</v>
      </c>
      <c r="CB6" s="70">
        <f t="shared" ref="CB6:CB29" si="9">(CA6*100)/BW6</f>
        <v>132.11009174311926</v>
      </c>
      <c r="CC6" s="72">
        <f>CB6-100</f>
        <v>32.110091743119256</v>
      </c>
      <c r="CD6" s="73">
        <f>AVERAGE(CA6,BT6,BM6,BF6)</f>
        <v>30.5</v>
      </c>
      <c r="CE6" s="12">
        <f>'WELLNESS DIARIO'!GS5</f>
        <v>9</v>
      </c>
      <c r="CF6" s="12">
        <f>'WELLNESS DIARIO'!GX5</f>
        <v>12</v>
      </c>
      <c r="CG6" s="12">
        <f>'WELLNESS DIARIO'!HC5</f>
        <v>16</v>
      </c>
      <c r="CH6" s="71">
        <f>SUM(CE6,CF6,CG6)</f>
        <v>37</v>
      </c>
      <c r="CI6" s="70">
        <f t="shared" ref="CI6:CI29" si="10">(CH6*100)/CD6</f>
        <v>121.31147540983606</v>
      </c>
      <c r="CJ6" s="72">
        <f>CI6-100</f>
        <v>21.311475409836063</v>
      </c>
      <c r="CK6" s="73">
        <f>AVERAGE(CH6,CA6,BT6,BM6)</f>
        <v>33</v>
      </c>
    </row>
    <row r="7" spans="2:89" ht="18" customHeight="1" x14ac:dyDescent="0.3">
      <c r="B7" s="8" t="s">
        <v>6</v>
      </c>
      <c r="C7" s="11">
        <f>'WELLNESS DIARIO'!F6</f>
        <v>8</v>
      </c>
      <c r="D7" s="12">
        <f>'WELLNESS DIARIO'!K6</f>
        <v>7</v>
      </c>
      <c r="E7" s="12">
        <f>'WELLNESS DIARIO'!P6</f>
        <v>6</v>
      </c>
      <c r="F7" s="22">
        <f t="shared" ref="F7:F28" si="11">SUM(C7,D7,E7)</f>
        <v>21</v>
      </c>
      <c r="G7" s="12">
        <f>'WELLNESS DIARIO'!U6</f>
        <v>7</v>
      </c>
      <c r="H7" s="12">
        <f>'WELLNESS DIARIO'!Z6</f>
        <v>7</v>
      </c>
      <c r="I7" s="12">
        <f>'WELLNESS DIARIO'!AE6</f>
        <v>8</v>
      </c>
      <c r="J7" s="22">
        <f t="shared" ref="J7:J28" si="12">SUM(G7,H7,I7)</f>
        <v>22</v>
      </c>
      <c r="K7" s="12">
        <f>'WELLNESS DIARIO'!AJ6</f>
        <v>12</v>
      </c>
      <c r="L7" s="12">
        <f>'WELLNESS DIARIO'!AO6</f>
        <v>7</v>
      </c>
      <c r="M7" s="12">
        <f>'WELLNESS DIARIO'!AT6</f>
        <v>6</v>
      </c>
      <c r="N7" s="22">
        <f t="shared" ref="N7:N28" si="13">SUM(K7,L7,M7)</f>
        <v>25</v>
      </c>
      <c r="O7" s="12">
        <f>'WELLNESS DIARIO'!AY6</f>
        <v>5</v>
      </c>
      <c r="P7" s="12">
        <f>'WELLNESS DIARIO'!BD6</f>
        <v>6</v>
      </c>
      <c r="Q7" s="12">
        <f>'WELLNESS DIARIO'!BI6</f>
        <v>6</v>
      </c>
      <c r="R7" s="22">
        <f t="shared" ref="R7:R28" si="14">SUM(O7,P7,Q7)</f>
        <v>17</v>
      </c>
      <c r="S7" s="37">
        <f t="shared" ref="S7:S29" si="15">AVERAGE(F7,J7,N7,R7)</f>
        <v>21.25</v>
      </c>
      <c r="T7" s="12">
        <f>'WELLNESS DIARIO'!BN6</f>
        <v>7</v>
      </c>
      <c r="U7" s="12">
        <f>'WELLNESS DIARIO'!BS6</f>
        <v>6</v>
      </c>
      <c r="V7" s="12">
        <f>'WELLNESS DIARIO'!BX6</f>
        <v>11</v>
      </c>
      <c r="W7" s="36">
        <f t="shared" ref="W7:W28" si="16">SUM(T7,U7,V7)</f>
        <v>24</v>
      </c>
      <c r="X7" s="34">
        <f t="shared" si="0"/>
        <v>112.94117647058823</v>
      </c>
      <c r="Y7" s="35">
        <f t="shared" ref="Y7:Y28" si="17">X7-100</f>
        <v>12.941176470588232</v>
      </c>
      <c r="Z7" s="33">
        <f t="shared" ref="Z7:Z29" si="18">AVERAGE(W7,R7,N7,J7)</f>
        <v>22</v>
      </c>
      <c r="AA7" s="12">
        <f>'WELLNESS DIARIO'!CC6</f>
        <v>9</v>
      </c>
      <c r="AB7" s="12">
        <f>'WELLNESS DIARIO'!CH6</f>
        <v>8</v>
      </c>
      <c r="AC7" s="12">
        <f>'WELLNESS DIARIO'!CM6</f>
        <v>9</v>
      </c>
      <c r="AD7" s="41">
        <f t="shared" ref="AD7:AD29" si="19">SUM(AA7,AB7,AC7)</f>
        <v>26</v>
      </c>
      <c r="AE7" s="34">
        <f t="shared" ref="AE7:AE29" si="20">(AD7*100)/Z7</f>
        <v>118.18181818181819</v>
      </c>
      <c r="AF7" s="35">
        <f t="shared" ref="AF7:AF29" si="21">AE7-100</f>
        <v>18.181818181818187</v>
      </c>
      <c r="AG7" s="33">
        <f t="shared" si="1"/>
        <v>23</v>
      </c>
      <c r="AH7" s="12">
        <f>'WELLNESS DIARIO'!CR6</f>
        <v>9</v>
      </c>
      <c r="AI7" s="12">
        <f>'WELLNESS DIARIO'!CW6</f>
        <v>12</v>
      </c>
      <c r="AJ7" s="12">
        <f>'WELLNESS DIARIO'!DB6</f>
        <v>9</v>
      </c>
      <c r="AK7" s="81">
        <f>SUM(AH7,AI7,AJ7)</f>
        <v>30</v>
      </c>
      <c r="AL7" s="35">
        <f t="shared" si="2"/>
        <v>130.43478260869566</v>
      </c>
      <c r="AM7" s="42">
        <f t="shared" ref="AM7:AM29" si="22">AL7-100</f>
        <v>30.434782608695656</v>
      </c>
      <c r="AN7" s="37">
        <f t="shared" si="3"/>
        <v>24.25</v>
      </c>
      <c r="AO7" s="12">
        <f>'WELLNESS DIARIO'!DG6</f>
        <v>12</v>
      </c>
      <c r="AP7" s="12">
        <f>'WELLNESS DIARIO'!DL6</f>
        <v>11</v>
      </c>
      <c r="AQ7" s="12">
        <f>'WELLNESS DIARIO'!DQ6</f>
        <v>6</v>
      </c>
      <c r="AR7" s="44">
        <f t="shared" ref="AR7:AR29" si="23">SUM(AO7,AP7,AQ7)</f>
        <v>29</v>
      </c>
      <c r="AS7" s="35">
        <f t="shared" si="4"/>
        <v>119.58762886597938</v>
      </c>
      <c r="AT7" s="42">
        <f t="shared" ref="AT7:AT29" si="24">AS7-100</f>
        <v>19.587628865979383</v>
      </c>
      <c r="AU7" s="73">
        <f t="shared" ref="AU7:AU28" si="25">AVERAGE(AR7,AK7,AD7,W7)</f>
        <v>27.25</v>
      </c>
      <c r="AV7" s="12">
        <f>'WELLNESS DIARIO'!DV6</f>
        <v>12</v>
      </c>
      <c r="AW7" s="12">
        <f>'WELLNESS DIARIO'!EA6</f>
        <v>14</v>
      </c>
      <c r="AX7" s="12">
        <f>'WELLNESS DIARIO'!EF6</f>
        <v>12</v>
      </c>
      <c r="AY7" s="44">
        <f t="shared" ref="AY7:AY29" si="26">SUM(AV7,AW7,AX7)</f>
        <v>38</v>
      </c>
      <c r="AZ7" s="35">
        <f t="shared" si="5"/>
        <v>139.44954128440367</v>
      </c>
      <c r="BA7" s="42">
        <f t="shared" ref="BA7:BA29" si="27">AZ7-100</f>
        <v>39.449541284403665</v>
      </c>
      <c r="BB7" s="73">
        <f t="shared" ref="BB7:BB28" si="28">AVERAGE(AY7,AR7,AK7,AD7)</f>
        <v>30.75</v>
      </c>
      <c r="BC7" s="12">
        <f>'WELLNESS DIARIO'!EK6</f>
        <v>13</v>
      </c>
      <c r="BD7" s="12">
        <f>'WELLNESS DIARIO'!EP6</f>
        <v>11</v>
      </c>
      <c r="BE7" s="12">
        <f>'WELLNESS DIARIO'!EU6</f>
        <v>6</v>
      </c>
      <c r="BF7" s="44">
        <f t="shared" ref="BF7:BF29" si="29">SUM(BC7,BD7,BE7)</f>
        <v>30</v>
      </c>
      <c r="BG7" s="35">
        <f t="shared" si="6"/>
        <v>97.560975609756099</v>
      </c>
      <c r="BH7" s="42">
        <f t="shared" ref="BH7:BH29" si="30">BG7-100</f>
        <v>-2.4390243902439011</v>
      </c>
      <c r="BI7" s="73">
        <f t="shared" ref="BI7:BI28" si="31">AVERAGE(BF7,AY7,AR7,AK7)</f>
        <v>31.75</v>
      </c>
      <c r="BJ7" s="12">
        <f>'WELLNESS DIARIO'!EZ6</f>
        <v>11</v>
      </c>
      <c r="BK7" s="12">
        <f>'WELLNESS DIARIO'!FE6</f>
        <v>5</v>
      </c>
      <c r="BL7" s="12">
        <f>'WELLNESS DIARIO'!FJ6</f>
        <v>13</v>
      </c>
      <c r="BM7" s="44">
        <f t="shared" ref="BM7:BM29" si="32">SUM(BJ7,BK7,BL7)</f>
        <v>29</v>
      </c>
      <c r="BN7" s="35">
        <f t="shared" si="7"/>
        <v>91.338582677165348</v>
      </c>
      <c r="BO7" s="42">
        <f t="shared" ref="BO7:BO29" si="33">BN7-100</f>
        <v>-8.6614173228346516</v>
      </c>
      <c r="BP7" s="37">
        <f>AVERAGE(BM7,BF7,AY7,AR7)</f>
        <v>31.5</v>
      </c>
      <c r="BQ7" s="12">
        <f>'WELLNESS DIARIO'!FO6</f>
        <v>11</v>
      </c>
      <c r="BR7" s="12">
        <f>'WELLNESS DIARIO'!FT6</f>
        <v>9</v>
      </c>
      <c r="BS7" s="12">
        <f>'WELLNESS DIARIO'!FY6</f>
        <v>5</v>
      </c>
      <c r="BT7" s="44">
        <f t="shared" ref="BT7:BT29" si="34">SUM(BQ7,BR7,BS7)</f>
        <v>25</v>
      </c>
      <c r="BU7" s="35">
        <f t="shared" si="8"/>
        <v>79.365079365079367</v>
      </c>
      <c r="BV7" s="42">
        <f t="shared" ref="BV7:BV29" si="35">BU7-100</f>
        <v>-20.634920634920633</v>
      </c>
      <c r="BW7" s="73">
        <f t="shared" ref="BW7:BW28" si="36">AVERAGE(BT7,BM7,BF7,AY7)</f>
        <v>30.5</v>
      </c>
      <c r="BX7" s="12">
        <f>'WELLNESS DIARIO'!GD6</f>
        <v>11</v>
      </c>
      <c r="BY7" s="12">
        <f>'WELLNESS DIARIO'!GI6</f>
        <v>7</v>
      </c>
      <c r="BZ7" s="12">
        <f>'WELLNESS DIARIO'!GN6</f>
        <v>10</v>
      </c>
      <c r="CA7" s="44">
        <f t="shared" ref="CA7:CA29" si="37">SUM(BX7,BY7,BZ7)</f>
        <v>28</v>
      </c>
      <c r="CB7" s="35">
        <f t="shared" si="9"/>
        <v>91.803278688524586</v>
      </c>
      <c r="CC7" s="42">
        <f t="shared" ref="CC7:CC29" si="38">CB7-100</f>
        <v>-8.1967213114754145</v>
      </c>
      <c r="CD7" s="73">
        <f t="shared" ref="CD7:CD28" si="39">AVERAGE(CA7,BT7,BM7,BF7)</f>
        <v>28</v>
      </c>
      <c r="CE7" s="12">
        <f>'WELLNESS DIARIO'!GS6</f>
        <v>15</v>
      </c>
      <c r="CF7" s="12">
        <f>'WELLNESS DIARIO'!GX6</f>
        <v>15</v>
      </c>
      <c r="CG7" s="12">
        <f>'WELLNESS DIARIO'!HC6</f>
        <v>11</v>
      </c>
      <c r="CH7" s="44">
        <f t="shared" ref="CH7:CH29" si="40">SUM(CE7,CF7,CG7)</f>
        <v>41</v>
      </c>
      <c r="CI7" s="35">
        <f t="shared" si="10"/>
        <v>146.42857142857142</v>
      </c>
      <c r="CJ7" s="42">
        <f t="shared" ref="CJ7:CJ29" si="41">CI7-100</f>
        <v>46.428571428571416</v>
      </c>
      <c r="CK7" s="73">
        <f t="shared" ref="CK7:CK28" si="42">AVERAGE(CH7,CA7,BT7,BM7)</f>
        <v>30.75</v>
      </c>
    </row>
    <row r="8" spans="2:89" ht="18" customHeight="1" x14ac:dyDescent="0.3">
      <c r="B8" s="8" t="s">
        <v>7</v>
      </c>
      <c r="C8" s="11">
        <f>'WELLNESS DIARIO'!F7</f>
        <v>7</v>
      </c>
      <c r="D8" s="12">
        <f>'WELLNESS DIARIO'!K7</f>
        <v>6</v>
      </c>
      <c r="E8" s="12">
        <f>'WELLNESS DIARIO'!P7</f>
        <v>6</v>
      </c>
      <c r="F8" s="22">
        <f t="shared" si="11"/>
        <v>19</v>
      </c>
      <c r="G8" s="12">
        <f>'WELLNESS DIARIO'!U7</f>
        <v>6</v>
      </c>
      <c r="H8" s="12">
        <f>'WELLNESS DIARIO'!Z7</f>
        <v>7</v>
      </c>
      <c r="I8" s="12">
        <f>'WELLNESS DIARIO'!AE7</f>
        <v>5</v>
      </c>
      <c r="J8" s="22">
        <f t="shared" si="12"/>
        <v>18</v>
      </c>
      <c r="K8" s="12">
        <f>'WELLNESS DIARIO'!AJ7</f>
        <v>8</v>
      </c>
      <c r="L8" s="12">
        <f>'WELLNESS DIARIO'!AO7</f>
        <v>10</v>
      </c>
      <c r="M8" s="12">
        <f>'WELLNESS DIARIO'!AT7</f>
        <v>13</v>
      </c>
      <c r="N8" s="22">
        <f t="shared" si="13"/>
        <v>31</v>
      </c>
      <c r="O8" s="12">
        <f>'WELLNESS DIARIO'!AY7</f>
        <v>7</v>
      </c>
      <c r="P8" s="12">
        <f>'WELLNESS DIARIO'!BD7</f>
        <v>6</v>
      </c>
      <c r="Q8" s="12">
        <f>'WELLNESS DIARIO'!BI7</f>
        <v>6</v>
      </c>
      <c r="R8" s="22">
        <f t="shared" si="14"/>
        <v>19</v>
      </c>
      <c r="S8" s="37">
        <f t="shared" si="15"/>
        <v>21.75</v>
      </c>
      <c r="T8" s="12">
        <f>'WELLNESS DIARIO'!BN7</f>
        <v>5</v>
      </c>
      <c r="U8" s="12">
        <f>'WELLNESS DIARIO'!BS7</f>
        <v>4</v>
      </c>
      <c r="V8" s="12">
        <f>'WELLNESS DIARIO'!BX7</f>
        <v>5</v>
      </c>
      <c r="W8" s="36">
        <f t="shared" si="16"/>
        <v>14</v>
      </c>
      <c r="X8" s="34">
        <f t="shared" si="0"/>
        <v>64.367816091954026</v>
      </c>
      <c r="Y8" s="35">
        <f t="shared" si="17"/>
        <v>-35.632183908045974</v>
      </c>
      <c r="Z8" s="33">
        <f t="shared" si="18"/>
        <v>20.5</v>
      </c>
      <c r="AA8" s="12">
        <f>'WELLNESS DIARIO'!CC7</f>
        <v>12</v>
      </c>
      <c r="AB8" s="12">
        <f>'WELLNESS DIARIO'!CH7</f>
        <v>13</v>
      </c>
      <c r="AC8" s="12">
        <f>'WELLNESS DIARIO'!CM7</f>
        <v>10</v>
      </c>
      <c r="AD8" s="41">
        <f t="shared" si="19"/>
        <v>35</v>
      </c>
      <c r="AE8" s="34">
        <f t="shared" si="20"/>
        <v>170.73170731707316</v>
      </c>
      <c r="AF8" s="35">
        <f t="shared" si="21"/>
        <v>70.731707317073159</v>
      </c>
      <c r="AG8" s="33">
        <f t="shared" si="1"/>
        <v>24.75</v>
      </c>
      <c r="AH8" s="12">
        <f>'WELLNESS DIARIO'!CR7</f>
        <v>11</v>
      </c>
      <c r="AI8" s="12">
        <f>'WELLNESS DIARIO'!CW7</f>
        <v>13</v>
      </c>
      <c r="AJ8" s="12">
        <f>'WELLNESS DIARIO'!DB7</f>
        <v>15</v>
      </c>
      <c r="AK8" s="81">
        <f t="shared" ref="AK8:AK29" si="43">SUM(AH8,AI8,AJ8)</f>
        <v>39</v>
      </c>
      <c r="AL8" s="35">
        <f t="shared" si="2"/>
        <v>157.57575757575756</v>
      </c>
      <c r="AM8" s="76">
        <f t="shared" si="22"/>
        <v>57.575757575757564</v>
      </c>
      <c r="AN8" s="37">
        <f t="shared" si="3"/>
        <v>26.75</v>
      </c>
      <c r="AO8" s="12">
        <f>'WELLNESS DIARIO'!DG7</f>
        <v>16</v>
      </c>
      <c r="AP8" s="12">
        <f>'WELLNESS DIARIO'!DL7</f>
        <v>13</v>
      </c>
      <c r="AQ8" s="12">
        <f>'WELLNESS DIARIO'!DQ7</f>
        <v>14</v>
      </c>
      <c r="AR8" s="44">
        <f t="shared" si="23"/>
        <v>43</v>
      </c>
      <c r="AS8" s="35">
        <f t="shared" si="4"/>
        <v>160.74766355140187</v>
      </c>
      <c r="AT8" s="42">
        <f t="shared" si="24"/>
        <v>60.747663551401871</v>
      </c>
      <c r="AU8" s="73">
        <f t="shared" si="25"/>
        <v>32.75</v>
      </c>
      <c r="AV8" s="12">
        <f>'WELLNESS DIARIO'!DV7</f>
        <v>11</v>
      </c>
      <c r="AW8" s="12">
        <f>'WELLNESS DIARIO'!EA7</f>
        <v>8</v>
      </c>
      <c r="AX8" s="12">
        <f>'WELLNESS DIARIO'!EF7</f>
        <v>11</v>
      </c>
      <c r="AY8" s="44">
        <f t="shared" si="26"/>
        <v>30</v>
      </c>
      <c r="AZ8" s="35">
        <f t="shared" si="5"/>
        <v>91.603053435114504</v>
      </c>
      <c r="BA8" s="42">
        <f t="shared" si="27"/>
        <v>-8.3969465648854964</v>
      </c>
      <c r="BB8" s="73">
        <f t="shared" si="28"/>
        <v>36.75</v>
      </c>
      <c r="BC8" s="12">
        <f>'WELLNESS DIARIO'!EK7</f>
        <v>15</v>
      </c>
      <c r="BD8" s="12">
        <f>'WELLNESS DIARIO'!EP7</f>
        <v>8</v>
      </c>
      <c r="BE8" s="12">
        <f>'WELLNESS DIARIO'!EU7</f>
        <v>11</v>
      </c>
      <c r="BF8" s="44">
        <f t="shared" si="29"/>
        <v>34</v>
      </c>
      <c r="BG8" s="35">
        <f t="shared" si="6"/>
        <v>92.517006802721085</v>
      </c>
      <c r="BH8" s="42">
        <f t="shared" si="30"/>
        <v>-7.4829931972789154</v>
      </c>
      <c r="BI8" s="73">
        <f t="shared" si="31"/>
        <v>36.5</v>
      </c>
      <c r="BJ8" s="12">
        <f>'WELLNESS DIARIO'!EZ7</f>
        <v>10</v>
      </c>
      <c r="BK8" s="12">
        <f>'WELLNESS DIARIO'!FE7</f>
        <v>13</v>
      </c>
      <c r="BL8" s="12">
        <f>'WELLNESS DIARIO'!FJ7</f>
        <v>12</v>
      </c>
      <c r="BM8" s="44">
        <f t="shared" si="32"/>
        <v>35</v>
      </c>
      <c r="BN8" s="35">
        <f t="shared" si="7"/>
        <v>95.890410958904113</v>
      </c>
      <c r="BO8" s="42">
        <f t="shared" si="33"/>
        <v>-4.1095890410958873</v>
      </c>
      <c r="BP8" s="37">
        <f t="shared" ref="BP8:BP28" si="44">AVERAGE(BM8,BF8,AY8,AR8)</f>
        <v>35.5</v>
      </c>
      <c r="BQ8" s="12">
        <f>'WELLNESS DIARIO'!FO7</f>
        <v>11</v>
      </c>
      <c r="BR8" s="12">
        <f>'WELLNESS DIARIO'!FT7</f>
        <v>9</v>
      </c>
      <c r="BS8" s="12">
        <f>'WELLNESS DIARIO'!FY7</f>
        <v>7</v>
      </c>
      <c r="BT8" s="44">
        <f t="shared" si="34"/>
        <v>27</v>
      </c>
      <c r="BU8" s="35">
        <f t="shared" si="8"/>
        <v>76.056338028169009</v>
      </c>
      <c r="BV8" s="42">
        <f t="shared" si="35"/>
        <v>-23.943661971830991</v>
      </c>
      <c r="BW8" s="73">
        <f t="shared" si="36"/>
        <v>31.5</v>
      </c>
      <c r="BX8" s="12">
        <f>'WELLNESS DIARIO'!GD7</f>
        <v>14</v>
      </c>
      <c r="BY8" s="12">
        <f>'WELLNESS DIARIO'!GI7</f>
        <v>15</v>
      </c>
      <c r="BZ8" s="12">
        <f>'WELLNESS DIARIO'!GN7</f>
        <v>9</v>
      </c>
      <c r="CA8" s="44">
        <f t="shared" si="37"/>
        <v>38</v>
      </c>
      <c r="CB8" s="35">
        <f t="shared" si="9"/>
        <v>120.63492063492063</v>
      </c>
      <c r="CC8" s="42">
        <f t="shared" si="38"/>
        <v>20.634920634920633</v>
      </c>
      <c r="CD8" s="73">
        <f t="shared" si="39"/>
        <v>33.5</v>
      </c>
      <c r="CE8" s="12">
        <f>'WELLNESS DIARIO'!GS7</f>
        <v>10</v>
      </c>
      <c r="CF8" s="12">
        <f>'WELLNESS DIARIO'!GX7</f>
        <v>10</v>
      </c>
      <c r="CG8" s="12">
        <f>'WELLNESS DIARIO'!HC7</f>
        <v>13</v>
      </c>
      <c r="CH8" s="44">
        <f t="shared" si="40"/>
        <v>33</v>
      </c>
      <c r="CI8" s="35">
        <f t="shared" si="10"/>
        <v>98.507462686567166</v>
      </c>
      <c r="CJ8" s="42">
        <f t="shared" si="41"/>
        <v>-1.4925373134328339</v>
      </c>
      <c r="CK8" s="73">
        <f t="shared" si="42"/>
        <v>33.25</v>
      </c>
    </row>
    <row r="9" spans="2:89" ht="18" customHeight="1" x14ac:dyDescent="0.3">
      <c r="B9" s="8" t="s">
        <v>8</v>
      </c>
      <c r="C9" s="11">
        <f>'WELLNESS DIARIO'!F8</f>
        <v>14</v>
      </c>
      <c r="D9" s="12">
        <f>'WELLNESS DIARIO'!K8</f>
        <v>4</v>
      </c>
      <c r="E9" s="12">
        <f>'WELLNESS DIARIO'!P8</f>
        <v>6</v>
      </c>
      <c r="F9" s="22">
        <f t="shared" si="11"/>
        <v>24</v>
      </c>
      <c r="G9" s="12">
        <f>'WELLNESS DIARIO'!U8</f>
        <v>8</v>
      </c>
      <c r="H9" s="12">
        <f>'WELLNESS DIARIO'!Z8</f>
        <v>6</v>
      </c>
      <c r="I9" s="12">
        <f>'WELLNESS DIARIO'!AE8</f>
        <v>11</v>
      </c>
      <c r="J9" s="22">
        <f t="shared" si="12"/>
        <v>25</v>
      </c>
      <c r="K9" s="12">
        <f>'WELLNESS DIARIO'!AJ8</f>
        <v>7</v>
      </c>
      <c r="L9" s="12">
        <f>'WELLNESS DIARIO'!AO8</f>
        <v>8</v>
      </c>
      <c r="M9" s="12">
        <f>'WELLNESS DIARIO'!AT8</f>
        <v>11</v>
      </c>
      <c r="N9" s="22">
        <f t="shared" si="13"/>
        <v>26</v>
      </c>
      <c r="O9" s="12">
        <f>'WELLNESS DIARIO'!AY8</f>
        <v>11</v>
      </c>
      <c r="P9" s="12">
        <f>'WELLNESS DIARIO'!BD8</f>
        <v>7</v>
      </c>
      <c r="Q9" s="12">
        <f>'WELLNESS DIARIO'!BI8</f>
        <v>5</v>
      </c>
      <c r="R9" s="22">
        <f t="shared" si="14"/>
        <v>23</v>
      </c>
      <c r="S9" s="37">
        <f t="shared" si="15"/>
        <v>24.5</v>
      </c>
      <c r="T9" s="12">
        <f>'WELLNESS DIARIO'!BN8</f>
        <v>7</v>
      </c>
      <c r="U9" s="12">
        <f>'WELLNESS DIARIO'!BS8</f>
        <v>9</v>
      </c>
      <c r="V9" s="12">
        <f>'WELLNESS DIARIO'!BX8</f>
        <v>7</v>
      </c>
      <c r="W9" s="36">
        <f t="shared" si="16"/>
        <v>23</v>
      </c>
      <c r="X9" s="34">
        <f t="shared" si="0"/>
        <v>93.877551020408163</v>
      </c>
      <c r="Y9" s="35">
        <f t="shared" si="17"/>
        <v>-6.1224489795918373</v>
      </c>
      <c r="Z9" s="33">
        <f t="shared" si="18"/>
        <v>24.25</v>
      </c>
      <c r="AA9" s="12">
        <f>'WELLNESS DIARIO'!CC8</f>
        <v>12</v>
      </c>
      <c r="AB9" s="12">
        <f>'WELLNESS DIARIO'!CH8</f>
        <v>7</v>
      </c>
      <c r="AC9" s="12">
        <f>'WELLNESS DIARIO'!CM8</f>
        <v>11</v>
      </c>
      <c r="AD9" s="41">
        <f t="shared" si="19"/>
        <v>30</v>
      </c>
      <c r="AE9" s="34">
        <f t="shared" si="20"/>
        <v>123.71134020618557</v>
      </c>
      <c r="AF9" s="35">
        <v>1</v>
      </c>
      <c r="AG9" s="33">
        <f t="shared" si="1"/>
        <v>25.5</v>
      </c>
      <c r="AH9" s="12">
        <f>'WELLNESS DIARIO'!CR8</f>
        <v>10</v>
      </c>
      <c r="AI9" s="12">
        <f>'WELLNESS DIARIO'!CW8</f>
        <v>10</v>
      </c>
      <c r="AJ9" s="12">
        <f>'WELLNESS DIARIO'!DB8</f>
        <v>13</v>
      </c>
      <c r="AK9" s="81">
        <f t="shared" si="43"/>
        <v>33</v>
      </c>
      <c r="AL9" s="35">
        <f t="shared" si="2"/>
        <v>129.41176470588235</v>
      </c>
      <c r="AM9" s="42">
        <f t="shared" si="22"/>
        <v>29.411764705882348</v>
      </c>
      <c r="AN9" s="37">
        <f t="shared" si="3"/>
        <v>27.25</v>
      </c>
      <c r="AO9" s="12">
        <f>'WELLNESS DIARIO'!DG8</f>
        <v>12</v>
      </c>
      <c r="AP9" s="12">
        <f>'WELLNESS DIARIO'!DL8</f>
        <v>7</v>
      </c>
      <c r="AQ9" s="12">
        <f>'WELLNESS DIARIO'!DQ8</f>
        <v>13</v>
      </c>
      <c r="AR9" s="44">
        <f t="shared" si="23"/>
        <v>32</v>
      </c>
      <c r="AS9" s="35">
        <f t="shared" si="4"/>
        <v>117.43119266055047</v>
      </c>
      <c r="AT9" s="43">
        <f t="shared" si="24"/>
        <v>17.431192660550465</v>
      </c>
      <c r="AU9" s="73">
        <f t="shared" si="25"/>
        <v>29.5</v>
      </c>
      <c r="AV9" s="12">
        <f>'WELLNESS DIARIO'!DV8</f>
        <v>10</v>
      </c>
      <c r="AW9" s="12">
        <f>'WELLNESS DIARIO'!EA8</f>
        <v>14</v>
      </c>
      <c r="AX9" s="12">
        <f>'WELLNESS DIARIO'!EF8</f>
        <v>13</v>
      </c>
      <c r="AY9" s="44">
        <f t="shared" si="26"/>
        <v>37</v>
      </c>
      <c r="AZ9" s="35">
        <f t="shared" si="5"/>
        <v>125.42372881355932</v>
      </c>
      <c r="BA9" s="42">
        <f t="shared" si="27"/>
        <v>25.423728813559322</v>
      </c>
      <c r="BB9" s="73">
        <f t="shared" si="28"/>
        <v>33</v>
      </c>
      <c r="BC9" s="12">
        <f>'WELLNESS DIARIO'!EK8</f>
        <v>12</v>
      </c>
      <c r="BD9" s="12">
        <f>'WELLNESS DIARIO'!EP8</f>
        <v>5</v>
      </c>
      <c r="BE9" s="12">
        <f>'WELLNESS DIARIO'!EU8</f>
        <v>10</v>
      </c>
      <c r="BF9" s="44">
        <f t="shared" si="29"/>
        <v>27</v>
      </c>
      <c r="BG9" s="35">
        <f t="shared" si="6"/>
        <v>81.818181818181813</v>
      </c>
      <c r="BH9" s="42">
        <f t="shared" si="30"/>
        <v>-18.181818181818187</v>
      </c>
      <c r="BI9" s="73">
        <f t="shared" si="31"/>
        <v>32.25</v>
      </c>
      <c r="BJ9" s="12">
        <f>'WELLNESS DIARIO'!EZ8</f>
        <v>10</v>
      </c>
      <c r="BK9" s="12">
        <f>'WELLNESS DIARIO'!FE8</f>
        <v>10</v>
      </c>
      <c r="BL9" s="12">
        <f>'WELLNESS DIARIO'!FJ8</f>
        <v>7</v>
      </c>
      <c r="BM9" s="44">
        <f t="shared" si="32"/>
        <v>27</v>
      </c>
      <c r="BN9" s="35">
        <f t="shared" si="7"/>
        <v>83.720930232558146</v>
      </c>
      <c r="BO9" s="42">
        <f t="shared" si="33"/>
        <v>-16.279069767441854</v>
      </c>
      <c r="BP9" s="37">
        <f t="shared" si="44"/>
        <v>30.75</v>
      </c>
      <c r="BQ9" s="12">
        <f>'WELLNESS DIARIO'!FO8</f>
        <v>9</v>
      </c>
      <c r="BR9" s="12">
        <f>'WELLNESS DIARIO'!FT8</f>
        <v>8</v>
      </c>
      <c r="BS9" s="12">
        <f>'WELLNESS DIARIO'!FY8</f>
        <v>6</v>
      </c>
      <c r="BT9" s="44">
        <f t="shared" si="34"/>
        <v>23</v>
      </c>
      <c r="BU9" s="35">
        <f t="shared" si="8"/>
        <v>74.796747967479675</v>
      </c>
      <c r="BV9" s="42">
        <f t="shared" si="35"/>
        <v>-25.203252032520325</v>
      </c>
      <c r="BW9" s="73">
        <f t="shared" si="36"/>
        <v>28.5</v>
      </c>
      <c r="BX9" s="12">
        <f>'WELLNESS DIARIO'!GD8</f>
        <v>11</v>
      </c>
      <c r="BY9" s="12">
        <f>'WELLNESS DIARIO'!GI8</f>
        <v>11</v>
      </c>
      <c r="BZ9" s="12">
        <f>'WELLNESS DIARIO'!GN8</f>
        <v>11</v>
      </c>
      <c r="CA9" s="44">
        <f t="shared" si="37"/>
        <v>33</v>
      </c>
      <c r="CB9" s="35">
        <f t="shared" si="9"/>
        <v>115.78947368421052</v>
      </c>
      <c r="CC9" s="42">
        <f t="shared" si="38"/>
        <v>15.78947368421052</v>
      </c>
      <c r="CD9" s="73">
        <f t="shared" si="39"/>
        <v>27.5</v>
      </c>
      <c r="CE9" s="12">
        <f>'WELLNESS DIARIO'!GS8</f>
        <v>13</v>
      </c>
      <c r="CF9" s="12">
        <f>'WELLNESS DIARIO'!GX8</f>
        <v>12</v>
      </c>
      <c r="CG9" s="12">
        <f>'WELLNESS DIARIO'!HC8</f>
        <v>12</v>
      </c>
      <c r="CH9" s="44">
        <f t="shared" si="40"/>
        <v>37</v>
      </c>
      <c r="CI9" s="35">
        <f t="shared" si="10"/>
        <v>134.54545454545453</v>
      </c>
      <c r="CJ9" s="76">
        <f t="shared" si="41"/>
        <v>34.545454545454533</v>
      </c>
      <c r="CK9" s="73">
        <f t="shared" si="42"/>
        <v>30</v>
      </c>
    </row>
    <row r="10" spans="2:89" ht="18" customHeight="1" x14ac:dyDescent="0.3">
      <c r="B10" s="8" t="s">
        <v>9</v>
      </c>
      <c r="C10" s="11">
        <f>'WELLNESS DIARIO'!F9</f>
        <v>8</v>
      </c>
      <c r="D10" s="12">
        <f>'WELLNESS DIARIO'!K9</f>
        <v>9</v>
      </c>
      <c r="E10" s="12">
        <f>'WELLNESS DIARIO'!P9</f>
        <v>9</v>
      </c>
      <c r="F10" s="22">
        <f t="shared" si="11"/>
        <v>26</v>
      </c>
      <c r="G10" s="12">
        <f>'WELLNESS DIARIO'!U9</f>
        <v>10</v>
      </c>
      <c r="H10" s="12">
        <f>'WELLNESS DIARIO'!Z9</f>
        <v>7</v>
      </c>
      <c r="I10" s="12">
        <f>'WELLNESS DIARIO'!AE9</f>
        <v>8</v>
      </c>
      <c r="J10" s="22">
        <f t="shared" si="12"/>
        <v>25</v>
      </c>
      <c r="K10" s="12">
        <f>'WELLNESS DIARIO'!AJ9</f>
        <v>7</v>
      </c>
      <c r="L10" s="12">
        <f>'WELLNESS DIARIO'!AO9</f>
        <v>7</v>
      </c>
      <c r="M10" s="12">
        <f>'WELLNESS DIARIO'!AT9</f>
        <v>7</v>
      </c>
      <c r="N10" s="22">
        <f t="shared" si="13"/>
        <v>21</v>
      </c>
      <c r="O10" s="12">
        <f>'WELLNESS DIARIO'!AY9</f>
        <v>9</v>
      </c>
      <c r="P10" s="12">
        <f>'WELLNESS DIARIO'!BD9</f>
        <v>10</v>
      </c>
      <c r="Q10" s="12">
        <f>'WELLNESS DIARIO'!BI9</f>
        <v>9</v>
      </c>
      <c r="R10" s="22">
        <f t="shared" si="14"/>
        <v>28</v>
      </c>
      <c r="S10" s="37">
        <f t="shared" si="15"/>
        <v>25</v>
      </c>
      <c r="T10" s="12">
        <f>'WELLNESS DIARIO'!BN9</f>
        <v>8</v>
      </c>
      <c r="U10" s="12">
        <f>'WELLNESS DIARIO'!BS9</f>
        <v>7</v>
      </c>
      <c r="V10" s="12">
        <f>'WELLNESS DIARIO'!BX9</f>
        <v>8</v>
      </c>
      <c r="W10" s="36">
        <f t="shared" si="16"/>
        <v>23</v>
      </c>
      <c r="X10" s="34">
        <f t="shared" si="0"/>
        <v>92</v>
      </c>
      <c r="Y10" s="35">
        <f t="shared" si="17"/>
        <v>-8</v>
      </c>
      <c r="Z10" s="33">
        <f t="shared" si="18"/>
        <v>24.25</v>
      </c>
      <c r="AA10" s="12">
        <f>'WELLNESS DIARIO'!CC9</f>
        <v>12</v>
      </c>
      <c r="AB10" s="12">
        <f>'WELLNESS DIARIO'!CH9</f>
        <v>9</v>
      </c>
      <c r="AC10" s="12">
        <f>'WELLNESS DIARIO'!CM9</f>
        <v>7</v>
      </c>
      <c r="AD10" s="41">
        <f t="shared" si="19"/>
        <v>28</v>
      </c>
      <c r="AE10" s="34">
        <f t="shared" si="20"/>
        <v>115.4639175257732</v>
      </c>
      <c r="AF10" s="35">
        <f t="shared" si="21"/>
        <v>15.463917525773198</v>
      </c>
      <c r="AG10" s="33">
        <f t="shared" si="1"/>
        <v>25</v>
      </c>
      <c r="AH10" s="12">
        <f>'WELLNESS DIARIO'!CR9</f>
        <v>16</v>
      </c>
      <c r="AI10" s="12">
        <f>'WELLNESS DIARIO'!CW9</f>
        <v>13</v>
      </c>
      <c r="AJ10" s="12">
        <f>'WELLNESS DIARIO'!DB9</f>
        <v>11</v>
      </c>
      <c r="AK10" s="81">
        <f t="shared" si="43"/>
        <v>40</v>
      </c>
      <c r="AL10" s="35">
        <f t="shared" si="2"/>
        <v>160</v>
      </c>
      <c r="AM10" s="42">
        <f t="shared" si="22"/>
        <v>60</v>
      </c>
      <c r="AN10" s="37">
        <f t="shared" si="3"/>
        <v>29.75</v>
      </c>
      <c r="AO10" s="12">
        <f>'WELLNESS DIARIO'!DG9</f>
        <v>8</v>
      </c>
      <c r="AP10" s="12">
        <f>'WELLNESS DIARIO'!DL9</f>
        <v>17</v>
      </c>
      <c r="AQ10" s="12">
        <f>'WELLNESS DIARIO'!DQ9</f>
        <v>8</v>
      </c>
      <c r="AR10" s="44">
        <f t="shared" si="23"/>
        <v>33</v>
      </c>
      <c r="AS10" s="35">
        <f t="shared" si="4"/>
        <v>110.92436974789916</v>
      </c>
      <c r="AT10" s="42">
        <f t="shared" si="24"/>
        <v>10.924369747899163</v>
      </c>
      <c r="AU10" s="73">
        <f t="shared" si="25"/>
        <v>31</v>
      </c>
      <c r="AV10" s="12">
        <f>'WELLNESS DIARIO'!DV9</f>
        <v>14</v>
      </c>
      <c r="AW10" s="12">
        <f>'WELLNESS DIARIO'!EA9</f>
        <v>7</v>
      </c>
      <c r="AX10" s="12">
        <f>'WELLNESS DIARIO'!EF9</f>
        <v>11</v>
      </c>
      <c r="AY10" s="44">
        <f t="shared" si="26"/>
        <v>32</v>
      </c>
      <c r="AZ10" s="35">
        <f t="shared" si="5"/>
        <v>103.2258064516129</v>
      </c>
      <c r="BA10" s="42">
        <f t="shared" si="27"/>
        <v>3.2258064516128968</v>
      </c>
      <c r="BB10" s="73">
        <f t="shared" si="28"/>
        <v>33.25</v>
      </c>
      <c r="BC10" s="12">
        <f>'WELLNESS DIARIO'!EK9</f>
        <v>14</v>
      </c>
      <c r="BD10" s="12">
        <f>'WELLNESS DIARIO'!EP9</f>
        <v>8</v>
      </c>
      <c r="BE10" s="12">
        <f>'WELLNESS DIARIO'!EU9</f>
        <v>12</v>
      </c>
      <c r="BF10" s="44">
        <f t="shared" si="29"/>
        <v>34</v>
      </c>
      <c r="BG10" s="35">
        <f t="shared" si="6"/>
        <v>102.25563909774436</v>
      </c>
      <c r="BH10" s="42">
        <f t="shared" si="30"/>
        <v>2.2556390977443641</v>
      </c>
      <c r="BI10" s="73">
        <f t="shared" si="31"/>
        <v>34.75</v>
      </c>
      <c r="BJ10" s="12">
        <f>'WELLNESS DIARIO'!EZ9</f>
        <v>9</v>
      </c>
      <c r="BK10" s="12">
        <f>'WELLNESS DIARIO'!FE9</f>
        <v>9</v>
      </c>
      <c r="BL10" s="12">
        <f>'WELLNESS DIARIO'!FJ9</f>
        <v>7</v>
      </c>
      <c r="BM10" s="44">
        <f t="shared" si="32"/>
        <v>25</v>
      </c>
      <c r="BN10" s="35">
        <f t="shared" si="7"/>
        <v>71.942446043165461</v>
      </c>
      <c r="BO10" s="42">
        <f t="shared" si="33"/>
        <v>-28.057553956834539</v>
      </c>
      <c r="BP10" s="37">
        <f t="shared" si="44"/>
        <v>31</v>
      </c>
      <c r="BQ10" s="12">
        <f>'WELLNESS DIARIO'!FO9</f>
        <v>10</v>
      </c>
      <c r="BR10" s="12">
        <f>'WELLNESS DIARIO'!FT9</f>
        <v>10</v>
      </c>
      <c r="BS10" s="12">
        <f>'WELLNESS DIARIO'!FY9</f>
        <v>13</v>
      </c>
      <c r="BT10" s="44">
        <f t="shared" si="34"/>
        <v>33</v>
      </c>
      <c r="BU10" s="35">
        <f t="shared" si="8"/>
        <v>106.45161290322581</v>
      </c>
      <c r="BV10" s="42">
        <f t="shared" si="35"/>
        <v>6.4516129032258078</v>
      </c>
      <c r="BW10" s="73">
        <f t="shared" si="36"/>
        <v>31</v>
      </c>
      <c r="BX10" s="12">
        <f>'WELLNESS DIARIO'!GD9</f>
        <v>18</v>
      </c>
      <c r="BY10" s="12">
        <f>'WELLNESS DIARIO'!GI9</f>
        <v>11</v>
      </c>
      <c r="BZ10" s="12">
        <f>'WELLNESS DIARIO'!GN9</f>
        <v>13</v>
      </c>
      <c r="CA10" s="44">
        <f t="shared" si="37"/>
        <v>42</v>
      </c>
      <c r="CB10" s="35">
        <f t="shared" si="9"/>
        <v>135.48387096774192</v>
      </c>
      <c r="CC10" s="42">
        <f t="shared" si="38"/>
        <v>35.483870967741922</v>
      </c>
      <c r="CD10" s="73">
        <f t="shared" si="39"/>
        <v>33.5</v>
      </c>
      <c r="CE10" s="12">
        <f>'WELLNESS DIARIO'!GS9</f>
        <v>12</v>
      </c>
      <c r="CF10" s="12">
        <f>'WELLNESS DIARIO'!GX9</f>
        <v>10</v>
      </c>
      <c r="CG10" s="12">
        <f>'WELLNESS DIARIO'!HC9</f>
        <v>10</v>
      </c>
      <c r="CH10" s="44">
        <f t="shared" si="40"/>
        <v>32</v>
      </c>
      <c r="CI10" s="35">
        <f t="shared" si="10"/>
        <v>95.522388059701498</v>
      </c>
      <c r="CJ10" s="42">
        <f t="shared" si="41"/>
        <v>-4.4776119402985017</v>
      </c>
      <c r="CK10" s="73">
        <f t="shared" si="42"/>
        <v>33</v>
      </c>
    </row>
    <row r="11" spans="2:89" ht="18" customHeight="1" x14ac:dyDescent="0.3">
      <c r="B11" s="8" t="s">
        <v>10</v>
      </c>
      <c r="C11" s="11">
        <f>'WELLNESS DIARIO'!F10</f>
        <v>5</v>
      </c>
      <c r="D11" s="12">
        <f>'WELLNESS DIARIO'!K10</f>
        <v>10</v>
      </c>
      <c r="E11" s="12">
        <f>'WELLNESS DIARIO'!P10</f>
        <v>10</v>
      </c>
      <c r="F11" s="22">
        <f t="shared" si="11"/>
        <v>25</v>
      </c>
      <c r="G11" s="12">
        <f>'WELLNESS DIARIO'!U10</f>
        <v>13</v>
      </c>
      <c r="H11" s="12">
        <f>'WELLNESS DIARIO'!Z10</f>
        <v>8</v>
      </c>
      <c r="I11" s="12">
        <f>'WELLNESS DIARIO'!AE10</f>
        <v>6</v>
      </c>
      <c r="J11" s="22">
        <f t="shared" si="12"/>
        <v>27</v>
      </c>
      <c r="K11" s="12">
        <f>'WELLNESS DIARIO'!AJ10</f>
        <v>6</v>
      </c>
      <c r="L11" s="12">
        <f>'WELLNESS DIARIO'!AO10</f>
        <v>8</v>
      </c>
      <c r="M11" s="12">
        <f>'WELLNESS DIARIO'!AT10</f>
        <v>10</v>
      </c>
      <c r="N11" s="22">
        <f t="shared" si="13"/>
        <v>24</v>
      </c>
      <c r="O11" s="12">
        <f>'WELLNESS DIARIO'!AY10</f>
        <v>5</v>
      </c>
      <c r="P11" s="12">
        <f>'WELLNESS DIARIO'!BD10</f>
        <v>7</v>
      </c>
      <c r="Q11" s="12">
        <f>'WELLNESS DIARIO'!BI10</f>
        <v>10</v>
      </c>
      <c r="R11" s="22">
        <f t="shared" si="14"/>
        <v>22</v>
      </c>
      <c r="S11" s="37">
        <f t="shared" si="15"/>
        <v>24.5</v>
      </c>
      <c r="T11" s="12">
        <f>'WELLNESS DIARIO'!BN10</f>
        <v>4</v>
      </c>
      <c r="U11" s="12">
        <f>'WELLNESS DIARIO'!BS10</f>
        <v>7</v>
      </c>
      <c r="V11" s="12">
        <f>'WELLNESS DIARIO'!BX10</f>
        <v>12</v>
      </c>
      <c r="W11" s="36">
        <f t="shared" si="16"/>
        <v>23</v>
      </c>
      <c r="X11" s="34">
        <f t="shared" si="0"/>
        <v>93.877551020408163</v>
      </c>
      <c r="Y11" s="35">
        <f t="shared" si="17"/>
        <v>-6.1224489795918373</v>
      </c>
      <c r="Z11" s="33">
        <f t="shared" si="18"/>
        <v>24</v>
      </c>
      <c r="AA11" s="12">
        <f>'WELLNESS DIARIO'!CC10</f>
        <v>15</v>
      </c>
      <c r="AB11" s="12">
        <f>'WELLNESS DIARIO'!CH10</f>
        <v>13</v>
      </c>
      <c r="AC11" s="12">
        <f>'WELLNESS DIARIO'!CM10</f>
        <v>13</v>
      </c>
      <c r="AD11" s="41">
        <f t="shared" si="19"/>
        <v>41</v>
      </c>
      <c r="AE11" s="34">
        <f t="shared" si="20"/>
        <v>170.83333333333334</v>
      </c>
      <c r="AF11" s="35">
        <f t="shared" si="21"/>
        <v>70.833333333333343</v>
      </c>
      <c r="AG11" s="33">
        <f t="shared" si="1"/>
        <v>27.5</v>
      </c>
      <c r="AH11" s="12">
        <f>'WELLNESS DIARIO'!CR10</f>
        <v>16</v>
      </c>
      <c r="AI11" s="12">
        <f>'WELLNESS DIARIO'!CW10</f>
        <v>7</v>
      </c>
      <c r="AJ11" s="12">
        <f>'WELLNESS DIARIO'!DB10</f>
        <v>5</v>
      </c>
      <c r="AK11" s="81">
        <f t="shared" si="43"/>
        <v>28</v>
      </c>
      <c r="AL11" s="35">
        <f t="shared" si="2"/>
        <v>101.81818181818181</v>
      </c>
      <c r="AM11" s="42">
        <f t="shared" si="22"/>
        <v>1.818181818181813</v>
      </c>
      <c r="AN11" s="37">
        <f t="shared" si="3"/>
        <v>28.5</v>
      </c>
      <c r="AO11" s="12">
        <f>'WELLNESS DIARIO'!DG10</f>
        <v>11</v>
      </c>
      <c r="AP11" s="12">
        <f>'WELLNESS DIARIO'!DL10</f>
        <v>14</v>
      </c>
      <c r="AQ11" s="12">
        <f>'WELLNESS DIARIO'!DQ10</f>
        <v>11</v>
      </c>
      <c r="AR11" s="44">
        <f t="shared" si="23"/>
        <v>36</v>
      </c>
      <c r="AS11" s="35">
        <f t="shared" si="4"/>
        <v>126.31578947368421</v>
      </c>
      <c r="AT11" s="42">
        <f t="shared" si="24"/>
        <v>26.315789473684205</v>
      </c>
      <c r="AU11" s="73">
        <f t="shared" si="25"/>
        <v>32</v>
      </c>
      <c r="AV11" s="12">
        <f>'WELLNESS DIARIO'!DV10</f>
        <v>14</v>
      </c>
      <c r="AW11" s="12">
        <f>'WELLNESS DIARIO'!EA10</f>
        <v>7</v>
      </c>
      <c r="AX11" s="12">
        <f>'WELLNESS DIARIO'!EF10</f>
        <v>9</v>
      </c>
      <c r="AY11" s="44">
        <f t="shared" si="26"/>
        <v>30</v>
      </c>
      <c r="AZ11" s="35">
        <f t="shared" si="5"/>
        <v>93.75</v>
      </c>
      <c r="BA11" s="42">
        <f t="shared" si="27"/>
        <v>-6.25</v>
      </c>
      <c r="BB11" s="73">
        <f t="shared" si="28"/>
        <v>33.75</v>
      </c>
      <c r="BC11" s="12">
        <f>'WELLNESS DIARIO'!EK10</f>
        <v>11</v>
      </c>
      <c r="BD11" s="12">
        <f>'WELLNESS DIARIO'!EP10</f>
        <v>9</v>
      </c>
      <c r="BE11" s="12">
        <f>'WELLNESS DIARIO'!EU10</f>
        <v>14</v>
      </c>
      <c r="BF11" s="44">
        <f t="shared" si="29"/>
        <v>34</v>
      </c>
      <c r="BG11" s="35">
        <f t="shared" si="6"/>
        <v>100.74074074074075</v>
      </c>
      <c r="BH11" s="42">
        <f t="shared" si="30"/>
        <v>0.74074074074074758</v>
      </c>
      <c r="BI11" s="73">
        <f t="shared" si="31"/>
        <v>32</v>
      </c>
      <c r="BJ11" s="12">
        <f>'WELLNESS DIARIO'!EZ10</f>
        <v>11</v>
      </c>
      <c r="BK11" s="12">
        <f>'WELLNESS DIARIO'!FE10</f>
        <v>8</v>
      </c>
      <c r="BL11" s="12">
        <f>'WELLNESS DIARIO'!FJ10</f>
        <v>9</v>
      </c>
      <c r="BM11" s="44">
        <f t="shared" si="32"/>
        <v>28</v>
      </c>
      <c r="BN11" s="35">
        <f t="shared" si="7"/>
        <v>87.5</v>
      </c>
      <c r="BO11" s="42">
        <f t="shared" si="33"/>
        <v>-12.5</v>
      </c>
      <c r="BP11" s="37">
        <f t="shared" si="44"/>
        <v>32</v>
      </c>
      <c r="BQ11" s="12">
        <f>'WELLNESS DIARIO'!FO10</f>
        <v>9</v>
      </c>
      <c r="BR11" s="12">
        <f>'WELLNESS DIARIO'!FT10</f>
        <v>7</v>
      </c>
      <c r="BS11" s="12">
        <f>'WELLNESS DIARIO'!FY10</f>
        <v>10</v>
      </c>
      <c r="BT11" s="44">
        <f t="shared" si="34"/>
        <v>26</v>
      </c>
      <c r="BU11" s="35">
        <f t="shared" si="8"/>
        <v>81.25</v>
      </c>
      <c r="BV11" s="42">
        <f t="shared" si="35"/>
        <v>-18.75</v>
      </c>
      <c r="BW11" s="73">
        <f t="shared" si="36"/>
        <v>29.5</v>
      </c>
      <c r="BX11" s="12">
        <f>'WELLNESS DIARIO'!GD10</f>
        <v>11</v>
      </c>
      <c r="BY11" s="12">
        <f>'WELLNESS DIARIO'!GI10</f>
        <v>14</v>
      </c>
      <c r="BZ11" s="12">
        <f>'WELLNESS DIARIO'!GN10</f>
        <v>10</v>
      </c>
      <c r="CA11" s="44">
        <f t="shared" si="37"/>
        <v>35</v>
      </c>
      <c r="CB11" s="35">
        <f t="shared" si="9"/>
        <v>118.64406779661017</v>
      </c>
      <c r="CC11" s="42">
        <f t="shared" si="38"/>
        <v>18.644067796610173</v>
      </c>
      <c r="CD11" s="73">
        <f t="shared" si="39"/>
        <v>30.75</v>
      </c>
      <c r="CE11" s="12">
        <f>'WELLNESS DIARIO'!GS10</f>
        <v>11</v>
      </c>
      <c r="CF11" s="12">
        <f>'WELLNESS DIARIO'!GX10</f>
        <v>16</v>
      </c>
      <c r="CG11" s="12">
        <f>'WELLNESS DIARIO'!HC10</f>
        <v>10</v>
      </c>
      <c r="CH11" s="44">
        <f t="shared" si="40"/>
        <v>37</v>
      </c>
      <c r="CI11" s="35">
        <f t="shared" si="10"/>
        <v>120.32520325203252</v>
      </c>
      <c r="CJ11" s="42">
        <f t="shared" si="41"/>
        <v>20.325203252032523</v>
      </c>
      <c r="CK11" s="73">
        <f t="shared" si="42"/>
        <v>31.5</v>
      </c>
    </row>
    <row r="12" spans="2:89" ht="18" customHeight="1" x14ac:dyDescent="0.3">
      <c r="B12" s="8" t="s">
        <v>11</v>
      </c>
      <c r="C12" s="11">
        <f>'WELLNESS DIARIO'!F11</f>
        <v>9</v>
      </c>
      <c r="D12" s="12">
        <f>'WELLNESS DIARIO'!K11</f>
        <v>5</v>
      </c>
      <c r="E12" s="12">
        <f>'WELLNESS DIARIO'!P11</f>
        <v>10</v>
      </c>
      <c r="F12" s="22">
        <f t="shared" si="11"/>
        <v>24</v>
      </c>
      <c r="G12" s="12">
        <f>'WELLNESS DIARIO'!U11</f>
        <v>6</v>
      </c>
      <c r="H12" s="12">
        <f>'WELLNESS DIARIO'!Z11</f>
        <v>8</v>
      </c>
      <c r="I12" s="12">
        <f>'WELLNESS DIARIO'!AE11</f>
        <v>14</v>
      </c>
      <c r="J12" s="22">
        <f t="shared" si="12"/>
        <v>28</v>
      </c>
      <c r="K12" s="12">
        <f>'WELLNESS DIARIO'!AJ11</f>
        <v>7</v>
      </c>
      <c r="L12" s="12">
        <f>'WELLNESS DIARIO'!AO11</f>
        <v>7</v>
      </c>
      <c r="M12" s="12">
        <f>'WELLNESS DIARIO'!AT11</f>
        <v>5</v>
      </c>
      <c r="N12" s="22">
        <f t="shared" si="13"/>
        <v>19</v>
      </c>
      <c r="O12" s="12">
        <f>'WELLNESS DIARIO'!AY11</f>
        <v>12</v>
      </c>
      <c r="P12" s="12">
        <f>'WELLNESS DIARIO'!BD11</f>
        <v>4</v>
      </c>
      <c r="Q12" s="12">
        <f>'WELLNESS DIARIO'!BI11</f>
        <v>4</v>
      </c>
      <c r="R12" s="22">
        <f t="shared" si="14"/>
        <v>20</v>
      </c>
      <c r="S12" s="37">
        <f t="shared" si="15"/>
        <v>22.75</v>
      </c>
      <c r="T12" s="12">
        <f>'WELLNESS DIARIO'!BN11</f>
        <v>4</v>
      </c>
      <c r="U12" s="12">
        <f>'WELLNESS DIARIO'!BS11</f>
        <v>5</v>
      </c>
      <c r="V12" s="12">
        <f>'WELLNESS DIARIO'!BX11</f>
        <v>7</v>
      </c>
      <c r="W12" s="36">
        <f t="shared" si="16"/>
        <v>16</v>
      </c>
      <c r="X12" s="34">
        <f t="shared" si="0"/>
        <v>70.329670329670336</v>
      </c>
      <c r="Y12" s="35">
        <f t="shared" si="17"/>
        <v>-29.670329670329664</v>
      </c>
      <c r="Z12" s="33">
        <f t="shared" si="18"/>
        <v>20.75</v>
      </c>
      <c r="AA12" s="12">
        <f>'WELLNESS DIARIO'!CC11</f>
        <v>11</v>
      </c>
      <c r="AB12" s="12">
        <f>'WELLNESS DIARIO'!CH11</f>
        <v>8</v>
      </c>
      <c r="AC12" s="12">
        <f>'WELLNESS DIARIO'!CM11</f>
        <v>15</v>
      </c>
      <c r="AD12" s="41">
        <f t="shared" si="19"/>
        <v>34</v>
      </c>
      <c r="AE12" s="34">
        <f t="shared" si="20"/>
        <v>163.85542168674698</v>
      </c>
      <c r="AF12" s="35">
        <f t="shared" si="21"/>
        <v>63.855421686746979</v>
      </c>
      <c r="AG12" s="33">
        <f t="shared" si="1"/>
        <v>22.25</v>
      </c>
      <c r="AH12" s="12">
        <f>'WELLNESS DIARIO'!CR11</f>
        <v>17</v>
      </c>
      <c r="AI12" s="12">
        <f>'WELLNESS DIARIO'!CW11</f>
        <v>13</v>
      </c>
      <c r="AJ12" s="12">
        <f>'WELLNESS DIARIO'!DB11</f>
        <v>15</v>
      </c>
      <c r="AK12" s="81">
        <f t="shared" si="43"/>
        <v>45</v>
      </c>
      <c r="AL12" s="35">
        <f t="shared" si="2"/>
        <v>202.24719101123594</v>
      </c>
      <c r="AM12" s="42">
        <f t="shared" si="22"/>
        <v>102.24719101123594</v>
      </c>
      <c r="AN12" s="37">
        <f t="shared" si="3"/>
        <v>28.75</v>
      </c>
      <c r="AO12" s="12">
        <f>'WELLNESS DIARIO'!DG11</f>
        <v>10</v>
      </c>
      <c r="AP12" s="12">
        <f>'WELLNESS DIARIO'!DL11</f>
        <v>14</v>
      </c>
      <c r="AQ12" s="12">
        <f>'WELLNESS DIARIO'!DQ11</f>
        <v>9</v>
      </c>
      <c r="AR12" s="44">
        <f t="shared" si="23"/>
        <v>33</v>
      </c>
      <c r="AS12" s="35">
        <f t="shared" si="4"/>
        <v>114.78260869565217</v>
      </c>
      <c r="AT12" s="42">
        <f t="shared" si="24"/>
        <v>14.782608695652172</v>
      </c>
      <c r="AU12" s="73">
        <f t="shared" si="25"/>
        <v>32</v>
      </c>
      <c r="AV12" s="12">
        <f>'WELLNESS DIARIO'!DV11</f>
        <v>10</v>
      </c>
      <c r="AW12" s="12">
        <f>'WELLNESS DIARIO'!EA11</f>
        <v>8</v>
      </c>
      <c r="AX12" s="12">
        <f>'WELLNESS DIARIO'!EF11</f>
        <v>12</v>
      </c>
      <c r="AY12" s="44">
        <f t="shared" si="26"/>
        <v>30</v>
      </c>
      <c r="AZ12" s="35">
        <f t="shared" si="5"/>
        <v>93.75</v>
      </c>
      <c r="BA12" s="42">
        <f t="shared" si="27"/>
        <v>-6.25</v>
      </c>
      <c r="BB12" s="73">
        <f t="shared" si="28"/>
        <v>35.5</v>
      </c>
      <c r="BC12" s="12">
        <f>'WELLNESS DIARIO'!EK11</f>
        <v>9</v>
      </c>
      <c r="BD12" s="12">
        <f>'WELLNESS DIARIO'!EP11</f>
        <v>13</v>
      </c>
      <c r="BE12" s="12">
        <f>'WELLNESS DIARIO'!EU11</f>
        <v>12</v>
      </c>
      <c r="BF12" s="44">
        <f t="shared" si="29"/>
        <v>34</v>
      </c>
      <c r="BG12" s="35">
        <f t="shared" si="6"/>
        <v>95.774647887323937</v>
      </c>
      <c r="BH12" s="42">
        <f t="shared" si="30"/>
        <v>-4.2253521126760631</v>
      </c>
      <c r="BI12" s="73">
        <f t="shared" si="31"/>
        <v>35.5</v>
      </c>
      <c r="BJ12" s="12">
        <f>'WELLNESS DIARIO'!EZ11</f>
        <v>15</v>
      </c>
      <c r="BK12" s="12">
        <f>'WELLNESS DIARIO'!FE11</f>
        <v>9</v>
      </c>
      <c r="BL12" s="12">
        <f>'WELLNESS DIARIO'!FJ11</f>
        <v>11</v>
      </c>
      <c r="BM12" s="44">
        <f t="shared" si="32"/>
        <v>35</v>
      </c>
      <c r="BN12" s="35">
        <f t="shared" si="7"/>
        <v>98.591549295774641</v>
      </c>
      <c r="BO12" s="42">
        <f t="shared" si="33"/>
        <v>-1.4084507042253591</v>
      </c>
      <c r="BP12" s="37">
        <f t="shared" si="44"/>
        <v>33</v>
      </c>
      <c r="BQ12" s="12">
        <f>'WELLNESS DIARIO'!FO11</f>
        <v>8</v>
      </c>
      <c r="BR12" s="12">
        <f>'WELLNESS DIARIO'!FT11</f>
        <v>10</v>
      </c>
      <c r="BS12" s="12">
        <f>'WELLNESS DIARIO'!FY11</f>
        <v>9</v>
      </c>
      <c r="BT12" s="44">
        <f t="shared" si="34"/>
        <v>27</v>
      </c>
      <c r="BU12" s="35">
        <f t="shared" si="8"/>
        <v>81.818181818181813</v>
      </c>
      <c r="BV12" s="42">
        <f t="shared" si="35"/>
        <v>-18.181818181818187</v>
      </c>
      <c r="BW12" s="73">
        <f t="shared" si="36"/>
        <v>31.5</v>
      </c>
      <c r="BX12" s="12">
        <f>'WELLNESS DIARIO'!GD11</f>
        <v>15</v>
      </c>
      <c r="BY12" s="12">
        <f>'WELLNESS DIARIO'!GI11</f>
        <v>12</v>
      </c>
      <c r="BZ12" s="12">
        <f>'WELLNESS DIARIO'!GN11</f>
        <v>14</v>
      </c>
      <c r="CA12" s="44">
        <f t="shared" si="37"/>
        <v>41</v>
      </c>
      <c r="CB12" s="35">
        <f t="shared" si="9"/>
        <v>130.15873015873015</v>
      </c>
      <c r="CC12" s="42">
        <f t="shared" si="38"/>
        <v>30.158730158730151</v>
      </c>
      <c r="CD12" s="73">
        <f t="shared" si="39"/>
        <v>34.25</v>
      </c>
      <c r="CE12" s="12">
        <f>'WELLNESS DIARIO'!GS11</f>
        <v>7</v>
      </c>
      <c r="CF12" s="12">
        <f>'WELLNESS DIARIO'!GX11</f>
        <v>11</v>
      </c>
      <c r="CG12" s="12">
        <f>'WELLNESS DIARIO'!HC11</f>
        <v>14</v>
      </c>
      <c r="CH12" s="44">
        <f t="shared" si="40"/>
        <v>32</v>
      </c>
      <c r="CI12" s="35">
        <f t="shared" si="10"/>
        <v>93.430656934306569</v>
      </c>
      <c r="CJ12" s="42">
        <f t="shared" si="41"/>
        <v>-6.5693430656934311</v>
      </c>
      <c r="CK12" s="73">
        <f t="shared" si="42"/>
        <v>33.75</v>
      </c>
    </row>
    <row r="13" spans="2:89" ht="18" customHeight="1" x14ac:dyDescent="0.3">
      <c r="B13" s="8" t="s">
        <v>12</v>
      </c>
      <c r="C13" s="11">
        <f>'WELLNESS DIARIO'!F12</f>
        <v>7</v>
      </c>
      <c r="D13" s="12">
        <f>'WELLNESS DIARIO'!K12</f>
        <v>7</v>
      </c>
      <c r="E13" s="12">
        <f>'WELLNESS DIARIO'!P12</f>
        <v>7</v>
      </c>
      <c r="F13" s="22">
        <f t="shared" si="11"/>
        <v>21</v>
      </c>
      <c r="G13" s="12">
        <f>'WELLNESS DIARIO'!U12</f>
        <v>4</v>
      </c>
      <c r="H13" s="12">
        <f>'WELLNESS DIARIO'!Z12</f>
        <v>11</v>
      </c>
      <c r="I13" s="12">
        <f>'WELLNESS DIARIO'!AE12</f>
        <v>6</v>
      </c>
      <c r="J13" s="22">
        <f t="shared" si="12"/>
        <v>21</v>
      </c>
      <c r="K13" s="12">
        <f>'WELLNESS DIARIO'!AJ12</f>
        <v>4</v>
      </c>
      <c r="L13" s="12">
        <f>'WELLNESS DIARIO'!AO12</f>
        <v>7</v>
      </c>
      <c r="M13" s="12">
        <f>'WELLNESS DIARIO'!AT12</f>
        <v>4</v>
      </c>
      <c r="N13" s="22">
        <f t="shared" si="13"/>
        <v>15</v>
      </c>
      <c r="O13" s="12">
        <f>'WELLNESS DIARIO'!AY12</f>
        <v>5</v>
      </c>
      <c r="P13" s="12">
        <f>'WELLNESS DIARIO'!BD12</f>
        <v>4</v>
      </c>
      <c r="Q13" s="12">
        <f>'WELLNESS DIARIO'!BI12</f>
        <v>4</v>
      </c>
      <c r="R13" s="22">
        <f t="shared" si="14"/>
        <v>13</v>
      </c>
      <c r="S13" s="37">
        <f t="shared" si="15"/>
        <v>17.5</v>
      </c>
      <c r="T13" s="12">
        <f>'WELLNESS DIARIO'!BN12</f>
        <v>4</v>
      </c>
      <c r="U13" s="12">
        <f>'WELLNESS DIARIO'!BS12</f>
        <v>5</v>
      </c>
      <c r="V13" s="12">
        <f>'WELLNESS DIARIO'!BX12</f>
        <v>4</v>
      </c>
      <c r="W13" s="36">
        <f t="shared" si="16"/>
        <v>13</v>
      </c>
      <c r="X13" s="34">
        <f t="shared" si="0"/>
        <v>74.285714285714292</v>
      </c>
      <c r="Y13" s="35">
        <f t="shared" si="17"/>
        <v>-25.714285714285708</v>
      </c>
      <c r="Z13" s="33">
        <f t="shared" si="18"/>
        <v>15.5</v>
      </c>
      <c r="AA13" s="12">
        <f>'WELLNESS DIARIO'!CC12</f>
        <v>14</v>
      </c>
      <c r="AB13" s="12">
        <f>'WELLNESS DIARIO'!CH12</f>
        <v>11</v>
      </c>
      <c r="AC13" s="12">
        <f>'WELLNESS DIARIO'!CM12</f>
        <v>11</v>
      </c>
      <c r="AD13" s="41">
        <f t="shared" si="19"/>
        <v>36</v>
      </c>
      <c r="AE13" s="34">
        <f t="shared" si="20"/>
        <v>232.25806451612902</v>
      </c>
      <c r="AF13" s="35">
        <f t="shared" si="21"/>
        <v>132.25806451612902</v>
      </c>
      <c r="AG13" s="33">
        <f t="shared" si="1"/>
        <v>19.25</v>
      </c>
      <c r="AH13" s="12">
        <f>'WELLNESS DIARIO'!CR12</f>
        <v>14</v>
      </c>
      <c r="AI13" s="12">
        <f>'WELLNESS DIARIO'!CW12</f>
        <v>6</v>
      </c>
      <c r="AJ13" s="12">
        <f>'WELLNESS DIARIO'!DB12</f>
        <v>10</v>
      </c>
      <c r="AK13" s="81">
        <f t="shared" si="43"/>
        <v>30</v>
      </c>
      <c r="AL13" s="35">
        <f t="shared" si="2"/>
        <v>155.84415584415584</v>
      </c>
      <c r="AM13" s="42">
        <f t="shared" si="22"/>
        <v>55.844155844155836</v>
      </c>
      <c r="AN13" s="37">
        <f t="shared" si="3"/>
        <v>23</v>
      </c>
      <c r="AO13" s="12">
        <f>'WELLNESS DIARIO'!DG12</f>
        <v>8</v>
      </c>
      <c r="AP13" s="12">
        <f>'WELLNESS DIARIO'!DL12</f>
        <v>15</v>
      </c>
      <c r="AQ13" s="12">
        <f>'WELLNESS DIARIO'!DQ12</f>
        <v>7</v>
      </c>
      <c r="AR13" s="44">
        <f t="shared" si="23"/>
        <v>30</v>
      </c>
      <c r="AS13" s="35">
        <f t="shared" si="4"/>
        <v>130.43478260869566</v>
      </c>
      <c r="AT13" s="42">
        <f t="shared" si="24"/>
        <v>30.434782608695656</v>
      </c>
      <c r="AU13" s="73">
        <f t="shared" si="25"/>
        <v>27.25</v>
      </c>
      <c r="AV13" s="12">
        <f>'WELLNESS DIARIO'!DV12</f>
        <v>14</v>
      </c>
      <c r="AW13" s="12">
        <f>'WELLNESS DIARIO'!EA12</f>
        <v>11</v>
      </c>
      <c r="AX13" s="12">
        <f>'WELLNESS DIARIO'!EF12</f>
        <v>10</v>
      </c>
      <c r="AY13" s="44">
        <f t="shared" si="26"/>
        <v>35</v>
      </c>
      <c r="AZ13" s="35">
        <f t="shared" si="5"/>
        <v>128.44036697247705</v>
      </c>
      <c r="BA13" s="42">
        <f t="shared" si="27"/>
        <v>28.440366972477051</v>
      </c>
      <c r="BB13" s="73">
        <f t="shared" si="28"/>
        <v>32.75</v>
      </c>
      <c r="BC13" s="12">
        <f>'WELLNESS DIARIO'!EK12</f>
        <v>9</v>
      </c>
      <c r="BD13" s="12">
        <f>'WELLNESS DIARIO'!EP12</f>
        <v>11</v>
      </c>
      <c r="BE13" s="12">
        <f>'WELLNESS DIARIO'!EU12</f>
        <v>10</v>
      </c>
      <c r="BF13" s="44">
        <f t="shared" si="29"/>
        <v>30</v>
      </c>
      <c r="BG13" s="35">
        <f t="shared" si="6"/>
        <v>91.603053435114504</v>
      </c>
      <c r="BH13" s="42">
        <f t="shared" si="30"/>
        <v>-8.3969465648854964</v>
      </c>
      <c r="BI13" s="73">
        <f t="shared" si="31"/>
        <v>31.25</v>
      </c>
      <c r="BJ13" s="12">
        <f>'WELLNESS DIARIO'!EZ12</f>
        <v>10</v>
      </c>
      <c r="BK13" s="12">
        <f>'WELLNESS DIARIO'!FE12</f>
        <v>12</v>
      </c>
      <c r="BL13" s="12">
        <f>'WELLNESS DIARIO'!FJ12</f>
        <v>8</v>
      </c>
      <c r="BM13" s="44">
        <f t="shared" si="32"/>
        <v>30</v>
      </c>
      <c r="BN13" s="35">
        <f t="shared" si="7"/>
        <v>96</v>
      </c>
      <c r="BO13" s="42">
        <f t="shared" si="33"/>
        <v>-4</v>
      </c>
      <c r="BP13" s="37">
        <f t="shared" si="44"/>
        <v>31.25</v>
      </c>
      <c r="BQ13" s="12">
        <f>'WELLNESS DIARIO'!FO12</f>
        <v>12</v>
      </c>
      <c r="BR13" s="12">
        <f>'WELLNESS DIARIO'!FT12</f>
        <v>10</v>
      </c>
      <c r="BS13" s="12">
        <f>'WELLNESS DIARIO'!FY12</f>
        <v>11</v>
      </c>
      <c r="BT13" s="44">
        <f t="shared" si="34"/>
        <v>33</v>
      </c>
      <c r="BU13" s="35">
        <f t="shared" si="8"/>
        <v>105.6</v>
      </c>
      <c r="BV13" s="42">
        <f t="shared" si="35"/>
        <v>5.5999999999999943</v>
      </c>
      <c r="BW13" s="73">
        <f t="shared" si="36"/>
        <v>32</v>
      </c>
      <c r="BX13" s="12">
        <f>'WELLNESS DIARIO'!GD12</f>
        <v>15</v>
      </c>
      <c r="BY13" s="12">
        <f>'WELLNESS DIARIO'!GI12</f>
        <v>10</v>
      </c>
      <c r="BZ13" s="12">
        <f>'WELLNESS DIARIO'!GN12</f>
        <v>10</v>
      </c>
      <c r="CA13" s="44">
        <f t="shared" si="37"/>
        <v>35</v>
      </c>
      <c r="CB13" s="35">
        <f t="shared" si="9"/>
        <v>109.375</v>
      </c>
      <c r="CC13" s="42">
        <f t="shared" si="38"/>
        <v>9.375</v>
      </c>
      <c r="CD13" s="73">
        <f t="shared" si="39"/>
        <v>32</v>
      </c>
      <c r="CE13" s="12">
        <f>'WELLNESS DIARIO'!GS12</f>
        <v>9</v>
      </c>
      <c r="CF13" s="12">
        <f>'WELLNESS DIARIO'!GX12</f>
        <v>9</v>
      </c>
      <c r="CG13" s="12">
        <f>'WELLNESS DIARIO'!HC12</f>
        <v>12</v>
      </c>
      <c r="CH13" s="44">
        <f t="shared" si="40"/>
        <v>30</v>
      </c>
      <c r="CI13" s="35">
        <f t="shared" si="10"/>
        <v>93.75</v>
      </c>
      <c r="CJ13" s="42">
        <f t="shared" si="41"/>
        <v>-6.25</v>
      </c>
      <c r="CK13" s="73">
        <f t="shared" si="42"/>
        <v>32</v>
      </c>
    </row>
    <row r="14" spans="2:89" ht="18" customHeight="1" x14ac:dyDescent="0.3">
      <c r="B14" s="8" t="s">
        <v>13</v>
      </c>
      <c r="C14" s="11">
        <f>'WELLNESS DIARIO'!F13</f>
        <v>7</v>
      </c>
      <c r="D14" s="12">
        <f>'WELLNESS DIARIO'!K13</f>
        <v>7</v>
      </c>
      <c r="E14" s="12">
        <f>'WELLNESS DIARIO'!P13</f>
        <v>9</v>
      </c>
      <c r="F14" s="22">
        <f t="shared" si="11"/>
        <v>23</v>
      </c>
      <c r="G14" s="12">
        <f>'WELLNESS DIARIO'!U13</f>
        <v>8</v>
      </c>
      <c r="H14" s="12">
        <f>'WELLNESS DIARIO'!Z13</f>
        <v>8</v>
      </c>
      <c r="I14" s="12">
        <f>'WELLNESS DIARIO'!AE13</f>
        <v>12</v>
      </c>
      <c r="J14" s="22">
        <f t="shared" si="12"/>
        <v>28</v>
      </c>
      <c r="K14" s="12">
        <f>'WELLNESS DIARIO'!AJ13</f>
        <v>10</v>
      </c>
      <c r="L14" s="12">
        <f>'WELLNESS DIARIO'!AO13</f>
        <v>11</v>
      </c>
      <c r="M14" s="12">
        <f>'WELLNESS DIARIO'!AT13</f>
        <v>7</v>
      </c>
      <c r="N14" s="22">
        <f t="shared" si="13"/>
        <v>28</v>
      </c>
      <c r="O14" s="12">
        <f>'WELLNESS DIARIO'!AY13</f>
        <v>6</v>
      </c>
      <c r="P14" s="12">
        <f>'WELLNESS DIARIO'!BD13</f>
        <v>6</v>
      </c>
      <c r="Q14" s="12">
        <f>'WELLNESS DIARIO'!BI13</f>
        <v>10</v>
      </c>
      <c r="R14" s="22">
        <f t="shared" si="14"/>
        <v>22</v>
      </c>
      <c r="S14" s="37">
        <f t="shared" si="15"/>
        <v>25.25</v>
      </c>
      <c r="T14" s="12">
        <f>'WELLNESS DIARIO'!BN13</f>
        <v>5</v>
      </c>
      <c r="U14" s="12">
        <f>'WELLNESS DIARIO'!BS13</f>
        <v>6</v>
      </c>
      <c r="V14" s="12">
        <f>'WELLNESS DIARIO'!BX13</f>
        <v>8</v>
      </c>
      <c r="W14" s="36">
        <f t="shared" si="16"/>
        <v>19</v>
      </c>
      <c r="X14" s="34">
        <f t="shared" si="0"/>
        <v>75.247524752475243</v>
      </c>
      <c r="Y14" s="35">
        <f t="shared" si="17"/>
        <v>-24.752475247524757</v>
      </c>
      <c r="Z14" s="33">
        <f t="shared" si="18"/>
        <v>24.25</v>
      </c>
      <c r="AA14" s="12">
        <f>'WELLNESS DIARIO'!CC13</f>
        <v>13</v>
      </c>
      <c r="AB14" s="12">
        <f>'WELLNESS DIARIO'!CH13</f>
        <v>11</v>
      </c>
      <c r="AC14" s="12">
        <f>'WELLNESS DIARIO'!CM13</f>
        <v>13</v>
      </c>
      <c r="AD14" s="41">
        <f t="shared" si="19"/>
        <v>37</v>
      </c>
      <c r="AE14" s="34">
        <f t="shared" si="20"/>
        <v>152.57731958762886</v>
      </c>
      <c r="AF14" s="35">
        <f t="shared" si="21"/>
        <v>52.577319587628864</v>
      </c>
      <c r="AG14" s="33">
        <f t="shared" si="1"/>
        <v>26.5</v>
      </c>
      <c r="AH14" s="12">
        <f>'WELLNESS DIARIO'!CR13</f>
        <v>10</v>
      </c>
      <c r="AI14" s="12">
        <f>'WELLNESS DIARIO'!CW13</f>
        <v>11</v>
      </c>
      <c r="AJ14" s="12">
        <f>'WELLNESS DIARIO'!DB13</f>
        <v>13</v>
      </c>
      <c r="AK14" s="81">
        <f t="shared" si="43"/>
        <v>34</v>
      </c>
      <c r="AL14" s="35">
        <f t="shared" si="2"/>
        <v>128.30188679245282</v>
      </c>
      <c r="AM14" s="42">
        <f t="shared" si="22"/>
        <v>28.301886792452819</v>
      </c>
      <c r="AN14" s="37">
        <f t="shared" si="3"/>
        <v>28</v>
      </c>
      <c r="AO14" s="12">
        <f>'WELLNESS DIARIO'!DG13</f>
        <v>14</v>
      </c>
      <c r="AP14" s="12">
        <f>'WELLNESS DIARIO'!DL13</f>
        <v>10</v>
      </c>
      <c r="AQ14" s="12">
        <f>'WELLNESS DIARIO'!DQ13</f>
        <v>15</v>
      </c>
      <c r="AR14" s="44">
        <f t="shared" si="23"/>
        <v>39</v>
      </c>
      <c r="AS14" s="35">
        <f t="shared" si="4"/>
        <v>139.28571428571428</v>
      </c>
      <c r="AT14" s="42">
        <f t="shared" si="24"/>
        <v>39.285714285714278</v>
      </c>
      <c r="AU14" s="73">
        <f t="shared" si="25"/>
        <v>32.25</v>
      </c>
      <c r="AV14" s="12">
        <f>'WELLNESS DIARIO'!DV13</f>
        <v>7</v>
      </c>
      <c r="AW14" s="12">
        <f>'WELLNESS DIARIO'!EA13</f>
        <v>8</v>
      </c>
      <c r="AX14" s="12">
        <f>'WELLNESS DIARIO'!EF13</f>
        <v>8</v>
      </c>
      <c r="AY14" s="44">
        <f t="shared" si="26"/>
        <v>23</v>
      </c>
      <c r="AZ14" s="35">
        <f t="shared" si="5"/>
        <v>71.31782945736434</v>
      </c>
      <c r="BA14" s="42">
        <f t="shared" si="27"/>
        <v>-28.68217054263566</v>
      </c>
      <c r="BB14" s="73">
        <f t="shared" si="28"/>
        <v>33.25</v>
      </c>
      <c r="BC14" s="12">
        <f>'WELLNESS DIARIO'!EK13</f>
        <v>5</v>
      </c>
      <c r="BD14" s="12">
        <f>'WELLNESS DIARIO'!EP13</f>
        <v>9</v>
      </c>
      <c r="BE14" s="12">
        <f>'WELLNESS DIARIO'!EU13</f>
        <v>9</v>
      </c>
      <c r="BF14" s="44">
        <f t="shared" si="29"/>
        <v>23</v>
      </c>
      <c r="BG14" s="35">
        <f t="shared" si="6"/>
        <v>69.172932330827066</v>
      </c>
      <c r="BH14" s="42">
        <f t="shared" si="30"/>
        <v>-30.827067669172934</v>
      </c>
      <c r="BI14" s="73">
        <f t="shared" si="31"/>
        <v>29.75</v>
      </c>
      <c r="BJ14" s="12">
        <f>'WELLNESS DIARIO'!EZ13</f>
        <v>10</v>
      </c>
      <c r="BK14" s="12">
        <f>'WELLNESS DIARIO'!FE13</f>
        <v>11</v>
      </c>
      <c r="BL14" s="12">
        <f>'WELLNESS DIARIO'!FJ13</f>
        <v>12</v>
      </c>
      <c r="BM14" s="44">
        <f t="shared" si="32"/>
        <v>33</v>
      </c>
      <c r="BN14" s="35">
        <f t="shared" si="7"/>
        <v>110.92436974789916</v>
      </c>
      <c r="BO14" s="42">
        <f t="shared" si="33"/>
        <v>10.924369747899163</v>
      </c>
      <c r="BP14" s="37">
        <f t="shared" si="44"/>
        <v>29.5</v>
      </c>
      <c r="BQ14" s="12">
        <f>'WELLNESS DIARIO'!FO13</f>
        <v>8</v>
      </c>
      <c r="BR14" s="12">
        <f>'WELLNESS DIARIO'!FT13</f>
        <v>12</v>
      </c>
      <c r="BS14" s="12">
        <f>'WELLNESS DIARIO'!FY13</f>
        <v>7</v>
      </c>
      <c r="BT14" s="44">
        <f t="shared" si="34"/>
        <v>27</v>
      </c>
      <c r="BU14" s="35">
        <f t="shared" si="8"/>
        <v>91.525423728813564</v>
      </c>
      <c r="BV14" s="42">
        <f t="shared" si="35"/>
        <v>-8.4745762711864359</v>
      </c>
      <c r="BW14" s="73">
        <f t="shared" si="36"/>
        <v>26.5</v>
      </c>
      <c r="BX14" s="12">
        <f>'WELLNESS DIARIO'!GD13</f>
        <v>7</v>
      </c>
      <c r="BY14" s="12">
        <f>'WELLNESS DIARIO'!GI13</f>
        <v>16</v>
      </c>
      <c r="BZ14" s="12">
        <f>'WELLNESS DIARIO'!GN13</f>
        <v>10</v>
      </c>
      <c r="CA14" s="44">
        <f t="shared" si="37"/>
        <v>33</v>
      </c>
      <c r="CB14" s="35">
        <f t="shared" si="9"/>
        <v>124.52830188679245</v>
      </c>
      <c r="CC14" s="42">
        <f t="shared" si="38"/>
        <v>24.528301886792448</v>
      </c>
      <c r="CD14" s="73">
        <f t="shared" si="39"/>
        <v>29</v>
      </c>
      <c r="CE14" s="12">
        <f>'WELLNESS DIARIO'!GS13</f>
        <v>17</v>
      </c>
      <c r="CF14" s="12">
        <f>'WELLNESS DIARIO'!GX13</f>
        <v>10</v>
      </c>
      <c r="CG14" s="12">
        <f>'WELLNESS DIARIO'!HC13</f>
        <v>13</v>
      </c>
      <c r="CH14" s="44">
        <f t="shared" si="40"/>
        <v>40</v>
      </c>
      <c r="CI14" s="35">
        <f t="shared" si="10"/>
        <v>137.93103448275863</v>
      </c>
      <c r="CJ14" s="42">
        <f t="shared" si="41"/>
        <v>37.931034482758633</v>
      </c>
      <c r="CK14" s="73">
        <f t="shared" si="42"/>
        <v>33.25</v>
      </c>
    </row>
    <row r="15" spans="2:89" ht="18" customHeight="1" x14ac:dyDescent="0.3">
      <c r="B15" s="8" t="s">
        <v>14</v>
      </c>
      <c r="C15" s="11">
        <f>'WELLNESS DIARIO'!F14</f>
        <v>6</v>
      </c>
      <c r="D15" s="12">
        <f>'WELLNESS DIARIO'!K14</f>
        <v>10</v>
      </c>
      <c r="E15" s="12">
        <f>'WELLNESS DIARIO'!P14</f>
        <v>7</v>
      </c>
      <c r="F15" s="22">
        <f t="shared" si="11"/>
        <v>23</v>
      </c>
      <c r="G15" s="12">
        <f>'WELLNESS DIARIO'!U14</f>
        <v>8</v>
      </c>
      <c r="H15" s="12">
        <f>'WELLNESS DIARIO'!Z14</f>
        <v>7</v>
      </c>
      <c r="I15" s="12">
        <f>'WELLNESS DIARIO'!AE14</f>
        <v>7</v>
      </c>
      <c r="J15" s="22">
        <f t="shared" si="12"/>
        <v>22</v>
      </c>
      <c r="K15" s="12">
        <f>'WELLNESS DIARIO'!AJ14</f>
        <v>8</v>
      </c>
      <c r="L15" s="12">
        <f>'WELLNESS DIARIO'!AO14</f>
        <v>7</v>
      </c>
      <c r="M15" s="12">
        <f>'WELLNESS DIARIO'!AT14</f>
        <v>8</v>
      </c>
      <c r="N15" s="22">
        <f t="shared" si="13"/>
        <v>23</v>
      </c>
      <c r="O15" s="12">
        <f>'WELLNESS DIARIO'!AY14</f>
        <v>7</v>
      </c>
      <c r="P15" s="12">
        <f>'WELLNESS DIARIO'!BD14</f>
        <v>6</v>
      </c>
      <c r="Q15" s="12">
        <f>'WELLNESS DIARIO'!BI14</f>
        <v>6</v>
      </c>
      <c r="R15" s="22">
        <f t="shared" si="14"/>
        <v>19</v>
      </c>
      <c r="S15" s="37">
        <f t="shared" si="15"/>
        <v>21.75</v>
      </c>
      <c r="T15" s="12">
        <f>'WELLNESS DIARIO'!BN14</f>
        <v>5</v>
      </c>
      <c r="U15" s="12">
        <f>'WELLNESS DIARIO'!BS14</f>
        <v>4</v>
      </c>
      <c r="V15" s="12">
        <f>'WELLNESS DIARIO'!BX14</f>
        <v>7</v>
      </c>
      <c r="W15" s="36">
        <f t="shared" si="16"/>
        <v>16</v>
      </c>
      <c r="X15" s="34">
        <f t="shared" si="0"/>
        <v>73.563218390804593</v>
      </c>
      <c r="Y15" s="35">
        <f t="shared" si="17"/>
        <v>-26.436781609195407</v>
      </c>
      <c r="Z15" s="33">
        <f t="shared" si="18"/>
        <v>20</v>
      </c>
      <c r="AA15" s="12">
        <f>'WELLNESS DIARIO'!CC14</f>
        <v>8</v>
      </c>
      <c r="AB15" s="12">
        <f>'WELLNESS DIARIO'!CH14</f>
        <v>12</v>
      </c>
      <c r="AC15" s="12">
        <f>'WELLNESS DIARIO'!CM14</f>
        <v>14</v>
      </c>
      <c r="AD15" s="41">
        <f t="shared" si="19"/>
        <v>34</v>
      </c>
      <c r="AE15" s="34">
        <f t="shared" si="20"/>
        <v>170</v>
      </c>
      <c r="AF15" s="35">
        <f t="shared" si="21"/>
        <v>70</v>
      </c>
      <c r="AG15" s="33">
        <f t="shared" si="1"/>
        <v>23</v>
      </c>
      <c r="AH15" s="12">
        <f>'WELLNESS DIARIO'!CR14</f>
        <v>15</v>
      </c>
      <c r="AI15" s="12">
        <f>'WELLNESS DIARIO'!CW14</f>
        <v>11</v>
      </c>
      <c r="AJ15" s="12">
        <f>'WELLNESS DIARIO'!DB14</f>
        <v>7</v>
      </c>
      <c r="AK15" s="81">
        <f t="shared" si="43"/>
        <v>33</v>
      </c>
      <c r="AL15" s="35">
        <f t="shared" si="2"/>
        <v>143.47826086956522</v>
      </c>
      <c r="AM15" s="42">
        <f t="shared" si="22"/>
        <v>43.478260869565219</v>
      </c>
      <c r="AN15" s="37">
        <f t="shared" si="3"/>
        <v>25.5</v>
      </c>
      <c r="AO15" s="12">
        <f>'WELLNESS DIARIO'!DG14</f>
        <v>8</v>
      </c>
      <c r="AP15" s="12">
        <f>'WELLNESS DIARIO'!DL14</f>
        <v>9</v>
      </c>
      <c r="AQ15" s="12">
        <f>'WELLNESS DIARIO'!DQ14</f>
        <v>7</v>
      </c>
      <c r="AR15" s="44">
        <f t="shared" si="23"/>
        <v>24</v>
      </c>
      <c r="AS15" s="35">
        <f t="shared" si="4"/>
        <v>94.117647058823536</v>
      </c>
      <c r="AT15" s="42">
        <f t="shared" si="24"/>
        <v>-5.8823529411764639</v>
      </c>
      <c r="AU15" s="73">
        <f t="shared" si="25"/>
        <v>26.75</v>
      </c>
      <c r="AV15" s="12">
        <f>'WELLNESS DIARIO'!DV14</f>
        <v>14</v>
      </c>
      <c r="AW15" s="12">
        <f>'WELLNESS DIARIO'!EA14</f>
        <v>11</v>
      </c>
      <c r="AX15" s="12">
        <f>'WELLNESS DIARIO'!EF14</f>
        <v>10</v>
      </c>
      <c r="AY15" s="44">
        <f t="shared" si="26"/>
        <v>35</v>
      </c>
      <c r="AZ15" s="35">
        <f t="shared" si="5"/>
        <v>130.84112149532712</v>
      </c>
      <c r="BA15" s="42">
        <f t="shared" si="27"/>
        <v>30.841121495327116</v>
      </c>
      <c r="BB15" s="73">
        <f t="shared" si="28"/>
        <v>31.5</v>
      </c>
      <c r="BC15" s="12">
        <f>'WELLNESS DIARIO'!EK14</f>
        <v>6</v>
      </c>
      <c r="BD15" s="12">
        <f>'WELLNESS DIARIO'!EP14</f>
        <v>9</v>
      </c>
      <c r="BE15" s="12">
        <f>'WELLNESS DIARIO'!EU14</f>
        <v>10</v>
      </c>
      <c r="BF15" s="44">
        <f t="shared" si="29"/>
        <v>25</v>
      </c>
      <c r="BG15" s="35">
        <f t="shared" si="6"/>
        <v>79.365079365079367</v>
      </c>
      <c r="BH15" s="42">
        <f t="shared" si="30"/>
        <v>-20.634920634920633</v>
      </c>
      <c r="BI15" s="73">
        <f t="shared" si="31"/>
        <v>29.25</v>
      </c>
      <c r="BJ15" s="12">
        <f>'WELLNESS DIARIO'!EZ14</f>
        <v>9</v>
      </c>
      <c r="BK15" s="12">
        <f>'WELLNESS DIARIO'!FE14</f>
        <v>12</v>
      </c>
      <c r="BL15" s="12">
        <f>'WELLNESS DIARIO'!FJ14</f>
        <v>9</v>
      </c>
      <c r="BM15" s="44">
        <f t="shared" si="32"/>
        <v>30</v>
      </c>
      <c r="BN15" s="35">
        <f t="shared" si="7"/>
        <v>102.56410256410257</v>
      </c>
      <c r="BO15" s="42">
        <f t="shared" si="33"/>
        <v>2.5641025641025692</v>
      </c>
      <c r="BP15" s="37">
        <f t="shared" si="44"/>
        <v>28.5</v>
      </c>
      <c r="BQ15" s="12">
        <f>'WELLNESS DIARIO'!FO14</f>
        <v>7</v>
      </c>
      <c r="BR15" s="12">
        <f>'WELLNESS DIARIO'!FT14</f>
        <v>8</v>
      </c>
      <c r="BS15" s="12">
        <f>'WELLNESS DIARIO'!FY14</f>
        <v>7</v>
      </c>
      <c r="BT15" s="44">
        <f t="shared" si="34"/>
        <v>22</v>
      </c>
      <c r="BU15" s="35">
        <f t="shared" si="8"/>
        <v>77.192982456140356</v>
      </c>
      <c r="BV15" s="42">
        <f t="shared" si="35"/>
        <v>-22.807017543859644</v>
      </c>
      <c r="BW15" s="73">
        <f t="shared" si="36"/>
        <v>28</v>
      </c>
      <c r="BX15" s="12">
        <f>'WELLNESS DIARIO'!GD14</f>
        <v>15</v>
      </c>
      <c r="BY15" s="12">
        <f>'WELLNESS DIARIO'!GI14</f>
        <v>9</v>
      </c>
      <c r="BZ15" s="12">
        <f>'WELLNESS DIARIO'!GN14</f>
        <v>9</v>
      </c>
      <c r="CA15" s="44">
        <f t="shared" si="37"/>
        <v>33</v>
      </c>
      <c r="CB15" s="35">
        <f t="shared" si="9"/>
        <v>117.85714285714286</v>
      </c>
      <c r="CC15" s="42">
        <f t="shared" si="38"/>
        <v>17.857142857142861</v>
      </c>
      <c r="CD15" s="73">
        <f t="shared" si="39"/>
        <v>27.5</v>
      </c>
      <c r="CE15" s="12">
        <f>'WELLNESS DIARIO'!GS14</f>
        <v>9</v>
      </c>
      <c r="CF15" s="12">
        <f>'WELLNESS DIARIO'!GX14</f>
        <v>11</v>
      </c>
      <c r="CG15" s="12">
        <f>'WELLNESS DIARIO'!HC14</f>
        <v>13</v>
      </c>
      <c r="CH15" s="44">
        <f t="shared" si="40"/>
        <v>33</v>
      </c>
      <c r="CI15" s="35">
        <f t="shared" si="10"/>
        <v>120</v>
      </c>
      <c r="CJ15" s="42">
        <f t="shared" si="41"/>
        <v>20</v>
      </c>
      <c r="CK15" s="73">
        <f t="shared" si="42"/>
        <v>29.5</v>
      </c>
    </row>
    <row r="16" spans="2:89" ht="18" customHeight="1" x14ac:dyDescent="0.3">
      <c r="B16" s="8" t="s">
        <v>15</v>
      </c>
      <c r="C16" s="11">
        <f>'WELLNESS DIARIO'!F15</f>
        <v>9</v>
      </c>
      <c r="D16" s="12">
        <f>'WELLNESS DIARIO'!K15</f>
        <v>12</v>
      </c>
      <c r="E16" s="12">
        <f>'WELLNESS DIARIO'!P15</f>
        <v>14</v>
      </c>
      <c r="F16" s="22">
        <f t="shared" si="11"/>
        <v>35</v>
      </c>
      <c r="G16" s="12">
        <f>'WELLNESS DIARIO'!U15</f>
        <v>8</v>
      </c>
      <c r="H16" s="12">
        <f>'WELLNESS DIARIO'!Z15</f>
        <v>8</v>
      </c>
      <c r="I16" s="12">
        <f>'WELLNESS DIARIO'!AE15</f>
        <v>10</v>
      </c>
      <c r="J16" s="22">
        <f t="shared" si="12"/>
        <v>26</v>
      </c>
      <c r="K16" s="12">
        <f>'WELLNESS DIARIO'!AJ15</f>
        <v>8</v>
      </c>
      <c r="L16" s="12">
        <f>'WELLNESS DIARIO'!AO15</f>
        <v>8</v>
      </c>
      <c r="M16" s="12">
        <f>'WELLNESS DIARIO'!AT15</f>
        <v>8</v>
      </c>
      <c r="N16" s="22">
        <f t="shared" si="13"/>
        <v>24</v>
      </c>
      <c r="O16" s="12">
        <f>'WELLNESS DIARIO'!AY15</f>
        <v>9</v>
      </c>
      <c r="P16" s="12">
        <f>'WELLNESS DIARIO'!BD15</f>
        <v>10</v>
      </c>
      <c r="Q16" s="12">
        <f>'WELLNESS DIARIO'!BI15</f>
        <v>10</v>
      </c>
      <c r="R16" s="22">
        <f t="shared" si="14"/>
        <v>29</v>
      </c>
      <c r="S16" s="37">
        <f t="shared" si="15"/>
        <v>28.5</v>
      </c>
      <c r="T16" s="12">
        <f>'WELLNESS DIARIO'!BN15</f>
        <v>10</v>
      </c>
      <c r="U16" s="12">
        <f>'WELLNESS DIARIO'!BS15</f>
        <v>8</v>
      </c>
      <c r="V16" s="12">
        <f>'WELLNESS DIARIO'!BX15</f>
        <v>8</v>
      </c>
      <c r="W16" s="36">
        <f t="shared" si="16"/>
        <v>26</v>
      </c>
      <c r="X16" s="34">
        <f t="shared" si="0"/>
        <v>91.228070175438603</v>
      </c>
      <c r="Y16" s="35">
        <f t="shared" si="17"/>
        <v>-8.771929824561397</v>
      </c>
      <c r="Z16" s="33">
        <f t="shared" si="18"/>
        <v>26.25</v>
      </c>
      <c r="AA16" s="12">
        <f>'WELLNESS DIARIO'!CC15</f>
        <v>13</v>
      </c>
      <c r="AB16" s="12">
        <f>'WELLNESS DIARIO'!CH15</f>
        <v>13</v>
      </c>
      <c r="AC16" s="12">
        <f>'WELLNESS DIARIO'!CM15</f>
        <v>5</v>
      </c>
      <c r="AD16" s="41">
        <f t="shared" si="19"/>
        <v>31</v>
      </c>
      <c r="AE16" s="34">
        <f t="shared" si="20"/>
        <v>118.0952380952381</v>
      </c>
      <c r="AF16" s="35">
        <f t="shared" si="21"/>
        <v>18.095238095238102</v>
      </c>
      <c r="AG16" s="33">
        <f t="shared" si="1"/>
        <v>27.5</v>
      </c>
      <c r="AH16" s="12">
        <f>'WELLNESS DIARIO'!CR15</f>
        <v>12</v>
      </c>
      <c r="AI16" s="12">
        <f>'WELLNESS DIARIO'!CW15</f>
        <v>13</v>
      </c>
      <c r="AJ16" s="12">
        <f>'WELLNESS DIARIO'!DB15</f>
        <v>14</v>
      </c>
      <c r="AK16" s="81">
        <f t="shared" si="43"/>
        <v>39</v>
      </c>
      <c r="AL16" s="35">
        <f t="shared" si="2"/>
        <v>141.81818181818181</v>
      </c>
      <c r="AM16" s="42">
        <f t="shared" si="22"/>
        <v>41.818181818181813</v>
      </c>
      <c r="AN16" s="37">
        <f t="shared" si="3"/>
        <v>31.25</v>
      </c>
      <c r="AO16" s="12">
        <f>'WELLNESS DIARIO'!DG15</f>
        <v>14</v>
      </c>
      <c r="AP16" s="12">
        <f>'WELLNESS DIARIO'!DL15</f>
        <v>20</v>
      </c>
      <c r="AQ16" s="12">
        <f>'WELLNESS DIARIO'!DQ15</f>
        <v>15</v>
      </c>
      <c r="AR16" s="44">
        <f t="shared" si="23"/>
        <v>49</v>
      </c>
      <c r="AS16" s="35">
        <f t="shared" si="4"/>
        <v>156.80000000000001</v>
      </c>
      <c r="AT16" s="42">
        <f t="shared" si="24"/>
        <v>56.800000000000011</v>
      </c>
      <c r="AU16" s="73">
        <f t="shared" si="25"/>
        <v>36.25</v>
      </c>
      <c r="AV16" s="12">
        <f>'WELLNESS DIARIO'!DV15</f>
        <v>10</v>
      </c>
      <c r="AW16" s="12">
        <f>'WELLNESS DIARIO'!EA15</f>
        <v>8</v>
      </c>
      <c r="AX16" s="12">
        <f>'WELLNESS DIARIO'!EF15</f>
        <v>13</v>
      </c>
      <c r="AY16" s="44">
        <f t="shared" si="26"/>
        <v>31</v>
      </c>
      <c r="AZ16" s="35">
        <f t="shared" si="5"/>
        <v>85.517241379310349</v>
      </c>
      <c r="BA16" s="42">
        <f t="shared" si="27"/>
        <v>-14.482758620689651</v>
      </c>
      <c r="BB16" s="73">
        <f t="shared" si="28"/>
        <v>37.5</v>
      </c>
      <c r="BC16" s="12">
        <f>'WELLNESS DIARIO'!EK15</f>
        <v>13</v>
      </c>
      <c r="BD16" s="12">
        <f>'WELLNESS DIARIO'!EP15</f>
        <v>10</v>
      </c>
      <c r="BE16" s="12">
        <f>'WELLNESS DIARIO'!EU15</f>
        <v>11</v>
      </c>
      <c r="BF16" s="44">
        <f t="shared" si="29"/>
        <v>34</v>
      </c>
      <c r="BG16" s="35">
        <f t="shared" si="6"/>
        <v>90.666666666666671</v>
      </c>
      <c r="BH16" s="42">
        <f t="shared" si="30"/>
        <v>-9.3333333333333286</v>
      </c>
      <c r="BI16" s="73">
        <f t="shared" si="31"/>
        <v>38.25</v>
      </c>
      <c r="BJ16" s="12">
        <f>'WELLNESS DIARIO'!EZ15</f>
        <v>6</v>
      </c>
      <c r="BK16" s="12">
        <f>'WELLNESS DIARIO'!FE15</f>
        <v>10</v>
      </c>
      <c r="BL16" s="12">
        <f>'WELLNESS DIARIO'!FJ15</f>
        <v>12</v>
      </c>
      <c r="BM16" s="44">
        <f t="shared" si="32"/>
        <v>28</v>
      </c>
      <c r="BN16" s="35">
        <f t="shared" si="7"/>
        <v>73.202614379084963</v>
      </c>
      <c r="BO16" s="42">
        <f t="shared" si="33"/>
        <v>-26.797385620915037</v>
      </c>
      <c r="BP16" s="37">
        <f t="shared" si="44"/>
        <v>35.5</v>
      </c>
      <c r="BQ16" s="12">
        <f>'WELLNESS DIARIO'!FO15</f>
        <v>10</v>
      </c>
      <c r="BR16" s="12">
        <f>'WELLNESS DIARIO'!FT15</f>
        <v>9</v>
      </c>
      <c r="BS16" s="12">
        <f>'WELLNESS DIARIO'!FY15</f>
        <v>10</v>
      </c>
      <c r="BT16" s="44">
        <f t="shared" si="34"/>
        <v>29</v>
      </c>
      <c r="BU16" s="35">
        <f t="shared" si="8"/>
        <v>81.690140845070417</v>
      </c>
      <c r="BV16" s="42">
        <f t="shared" si="35"/>
        <v>-18.309859154929583</v>
      </c>
      <c r="BW16" s="73">
        <f t="shared" si="36"/>
        <v>30.5</v>
      </c>
      <c r="BX16" s="12">
        <f>'WELLNESS DIARIO'!GD15</f>
        <v>12</v>
      </c>
      <c r="BY16" s="12">
        <f>'WELLNESS DIARIO'!GI15</f>
        <v>13</v>
      </c>
      <c r="BZ16" s="12">
        <f>'WELLNESS DIARIO'!GN15</f>
        <v>13</v>
      </c>
      <c r="CA16" s="44">
        <f t="shared" si="37"/>
        <v>38</v>
      </c>
      <c r="CB16" s="35">
        <f t="shared" si="9"/>
        <v>124.59016393442623</v>
      </c>
      <c r="CC16" s="42">
        <f t="shared" si="38"/>
        <v>24.590163934426229</v>
      </c>
      <c r="CD16" s="73">
        <f t="shared" si="39"/>
        <v>32.25</v>
      </c>
      <c r="CE16" s="12">
        <f>'WELLNESS DIARIO'!GS15</f>
        <v>15</v>
      </c>
      <c r="CF16" s="12">
        <f>'WELLNESS DIARIO'!GX15</f>
        <v>14</v>
      </c>
      <c r="CG16" s="12">
        <f>'WELLNESS DIARIO'!HC15</f>
        <v>9</v>
      </c>
      <c r="CH16" s="44">
        <f t="shared" si="40"/>
        <v>38</v>
      </c>
      <c r="CI16" s="35">
        <f t="shared" si="10"/>
        <v>117.82945736434108</v>
      </c>
      <c r="CJ16" s="42">
        <f t="shared" si="41"/>
        <v>17.829457364341081</v>
      </c>
      <c r="CK16" s="73">
        <f t="shared" si="42"/>
        <v>33.25</v>
      </c>
    </row>
    <row r="17" spans="2:89" ht="18" customHeight="1" x14ac:dyDescent="0.3">
      <c r="B17" s="8" t="s">
        <v>16</v>
      </c>
      <c r="C17" s="11">
        <f>'WELLNESS DIARIO'!F16</f>
        <v>14</v>
      </c>
      <c r="D17" s="12">
        <f>'WELLNESS DIARIO'!K16</f>
        <v>13</v>
      </c>
      <c r="E17" s="12">
        <f>'WELLNESS DIARIO'!P16</f>
        <v>16</v>
      </c>
      <c r="F17" s="22">
        <f t="shared" si="11"/>
        <v>43</v>
      </c>
      <c r="G17" s="12">
        <f>'WELLNESS DIARIO'!U16</f>
        <v>9</v>
      </c>
      <c r="H17" s="12">
        <f>'WELLNESS DIARIO'!Z16</f>
        <v>4</v>
      </c>
      <c r="I17" s="12">
        <f>'WELLNESS DIARIO'!AE16</f>
        <v>7</v>
      </c>
      <c r="J17" s="22">
        <f t="shared" si="12"/>
        <v>20</v>
      </c>
      <c r="K17" s="12">
        <f>'WELLNESS DIARIO'!AJ16</f>
        <v>8</v>
      </c>
      <c r="L17" s="12">
        <f>'WELLNESS DIARIO'!AO16</f>
        <v>10</v>
      </c>
      <c r="M17" s="12">
        <f>'WELLNESS DIARIO'!AT16</f>
        <v>7</v>
      </c>
      <c r="N17" s="22">
        <f t="shared" si="13"/>
        <v>25</v>
      </c>
      <c r="O17" s="12">
        <f>'WELLNESS DIARIO'!AY16</f>
        <v>10</v>
      </c>
      <c r="P17" s="12">
        <f>'WELLNESS DIARIO'!BD16</f>
        <v>5</v>
      </c>
      <c r="Q17" s="12">
        <f>'WELLNESS DIARIO'!BI16</f>
        <v>6</v>
      </c>
      <c r="R17" s="22">
        <f t="shared" si="14"/>
        <v>21</v>
      </c>
      <c r="S17" s="37">
        <f t="shared" si="15"/>
        <v>27.25</v>
      </c>
      <c r="T17" s="12">
        <f>'WELLNESS DIARIO'!BN16</f>
        <v>6</v>
      </c>
      <c r="U17" s="12">
        <f>'WELLNESS DIARIO'!BS16</f>
        <v>5</v>
      </c>
      <c r="V17" s="12">
        <f>'WELLNESS DIARIO'!BX16</f>
        <v>5</v>
      </c>
      <c r="W17" s="36">
        <f t="shared" si="16"/>
        <v>16</v>
      </c>
      <c r="X17" s="34">
        <f t="shared" si="0"/>
        <v>58.715596330275233</v>
      </c>
      <c r="Y17" s="35">
        <f t="shared" si="17"/>
        <v>-41.284403669724767</v>
      </c>
      <c r="Z17" s="33">
        <f t="shared" si="18"/>
        <v>20.5</v>
      </c>
      <c r="AA17" s="12">
        <f>'WELLNESS DIARIO'!CC16</f>
        <v>11</v>
      </c>
      <c r="AB17" s="12">
        <f>'WELLNESS DIARIO'!CH16</f>
        <v>8</v>
      </c>
      <c r="AC17" s="12">
        <f>'WELLNESS DIARIO'!CM16</f>
        <v>10</v>
      </c>
      <c r="AD17" s="41">
        <f t="shared" si="19"/>
        <v>29</v>
      </c>
      <c r="AE17" s="34">
        <f t="shared" si="20"/>
        <v>141.46341463414635</v>
      </c>
      <c r="AF17" s="35">
        <f t="shared" si="21"/>
        <v>41.463414634146346</v>
      </c>
      <c r="AG17" s="33">
        <f t="shared" si="1"/>
        <v>22.75</v>
      </c>
      <c r="AH17" s="12">
        <f>'WELLNESS DIARIO'!CR16</f>
        <v>10</v>
      </c>
      <c r="AI17" s="12">
        <f>'WELLNESS DIARIO'!CW16</f>
        <v>9</v>
      </c>
      <c r="AJ17" s="12">
        <f>'WELLNESS DIARIO'!DB16</f>
        <v>14</v>
      </c>
      <c r="AK17" s="81">
        <f t="shared" si="43"/>
        <v>33</v>
      </c>
      <c r="AL17" s="35">
        <f t="shared" si="2"/>
        <v>145.05494505494505</v>
      </c>
      <c r="AM17" s="42">
        <f t="shared" si="22"/>
        <v>45.054945054945051</v>
      </c>
      <c r="AN17" s="37">
        <f t="shared" si="3"/>
        <v>24.75</v>
      </c>
      <c r="AO17" s="12">
        <f>'WELLNESS DIARIO'!DG16</f>
        <v>11</v>
      </c>
      <c r="AP17" s="12">
        <f>'WELLNESS DIARIO'!DL16</f>
        <v>12</v>
      </c>
      <c r="AQ17" s="12">
        <f>'WELLNESS DIARIO'!DQ16</f>
        <v>9</v>
      </c>
      <c r="AR17" s="44">
        <f t="shared" si="23"/>
        <v>32</v>
      </c>
      <c r="AS17" s="35">
        <f t="shared" si="4"/>
        <v>129.2929292929293</v>
      </c>
      <c r="AT17" s="42">
        <f t="shared" si="24"/>
        <v>29.292929292929301</v>
      </c>
      <c r="AU17" s="73">
        <f t="shared" si="25"/>
        <v>27.5</v>
      </c>
      <c r="AV17" s="12">
        <f>'WELLNESS DIARIO'!DV16</f>
        <v>12</v>
      </c>
      <c r="AW17" s="12">
        <f>'WELLNESS DIARIO'!EA16</f>
        <v>14</v>
      </c>
      <c r="AX17" s="12">
        <f>'WELLNESS DIARIO'!EF16</f>
        <v>9</v>
      </c>
      <c r="AY17" s="44">
        <f t="shared" si="26"/>
        <v>35</v>
      </c>
      <c r="AZ17" s="35">
        <f t="shared" si="5"/>
        <v>127.27272727272727</v>
      </c>
      <c r="BA17" s="42">
        <f t="shared" si="27"/>
        <v>27.272727272727266</v>
      </c>
      <c r="BB17" s="73">
        <f t="shared" si="28"/>
        <v>32.25</v>
      </c>
      <c r="BC17" s="12">
        <f>'WELLNESS DIARIO'!EK16</f>
        <v>12</v>
      </c>
      <c r="BD17" s="12">
        <f>'WELLNESS DIARIO'!EP16</f>
        <v>11</v>
      </c>
      <c r="BE17" s="12">
        <f>'WELLNESS DIARIO'!EU16</f>
        <v>11</v>
      </c>
      <c r="BF17" s="44">
        <f t="shared" si="29"/>
        <v>34</v>
      </c>
      <c r="BG17" s="35">
        <f t="shared" si="6"/>
        <v>105.42635658914729</v>
      </c>
      <c r="BH17" s="42">
        <f t="shared" si="30"/>
        <v>5.4263565891472894</v>
      </c>
      <c r="BI17" s="73">
        <f t="shared" si="31"/>
        <v>33.5</v>
      </c>
      <c r="BJ17" s="12">
        <f>'WELLNESS DIARIO'!EZ16</f>
        <v>10</v>
      </c>
      <c r="BK17" s="12">
        <f>'WELLNESS DIARIO'!FE16</f>
        <v>8</v>
      </c>
      <c r="BL17" s="12">
        <f>'WELLNESS DIARIO'!FJ16</f>
        <v>12</v>
      </c>
      <c r="BM17" s="44">
        <f t="shared" si="32"/>
        <v>30</v>
      </c>
      <c r="BN17" s="35">
        <f t="shared" si="7"/>
        <v>89.552238805970148</v>
      </c>
      <c r="BO17" s="42">
        <f t="shared" si="33"/>
        <v>-10.447761194029852</v>
      </c>
      <c r="BP17" s="37">
        <f t="shared" si="44"/>
        <v>32.75</v>
      </c>
      <c r="BQ17" s="12">
        <f>'WELLNESS DIARIO'!FO16</f>
        <v>8</v>
      </c>
      <c r="BR17" s="12">
        <f>'WELLNESS DIARIO'!FT16</f>
        <v>8</v>
      </c>
      <c r="BS17" s="12">
        <f>'WELLNESS DIARIO'!FY16</f>
        <v>13</v>
      </c>
      <c r="BT17" s="44">
        <f t="shared" si="34"/>
        <v>29</v>
      </c>
      <c r="BU17" s="35">
        <f t="shared" si="8"/>
        <v>88.549618320610691</v>
      </c>
      <c r="BV17" s="42">
        <f t="shared" si="35"/>
        <v>-11.450381679389309</v>
      </c>
      <c r="BW17" s="73">
        <f t="shared" si="36"/>
        <v>32</v>
      </c>
      <c r="BX17" s="12">
        <f>'WELLNESS DIARIO'!GD16</f>
        <v>12</v>
      </c>
      <c r="BY17" s="12">
        <f>'WELLNESS DIARIO'!GI16</f>
        <v>12</v>
      </c>
      <c r="BZ17" s="12">
        <f>'WELLNESS DIARIO'!GN16</f>
        <v>9</v>
      </c>
      <c r="CA17" s="44">
        <f t="shared" si="37"/>
        <v>33</v>
      </c>
      <c r="CB17" s="35">
        <f t="shared" si="9"/>
        <v>103.125</v>
      </c>
      <c r="CC17" s="42">
        <f t="shared" si="38"/>
        <v>3.125</v>
      </c>
      <c r="CD17" s="73">
        <f t="shared" si="39"/>
        <v>31.5</v>
      </c>
      <c r="CE17" s="12">
        <f>'WELLNESS DIARIO'!GS16</f>
        <v>11</v>
      </c>
      <c r="CF17" s="12">
        <f>'WELLNESS DIARIO'!GX16</f>
        <v>7</v>
      </c>
      <c r="CG17" s="12">
        <f>'WELLNESS DIARIO'!HC16</f>
        <v>15</v>
      </c>
      <c r="CH17" s="44">
        <f t="shared" si="40"/>
        <v>33</v>
      </c>
      <c r="CI17" s="35">
        <f t="shared" si="10"/>
        <v>104.76190476190476</v>
      </c>
      <c r="CJ17" s="42">
        <f t="shared" si="41"/>
        <v>4.7619047619047592</v>
      </c>
      <c r="CK17" s="73">
        <f t="shared" si="42"/>
        <v>31.25</v>
      </c>
    </row>
    <row r="18" spans="2:89" ht="18" customHeight="1" x14ac:dyDescent="0.3">
      <c r="B18" s="8" t="s">
        <v>17</v>
      </c>
      <c r="C18" s="11">
        <f>'WELLNESS DIARIO'!F17</f>
        <v>11</v>
      </c>
      <c r="D18" s="12">
        <f>'WELLNESS DIARIO'!K17</f>
        <v>13</v>
      </c>
      <c r="E18" s="12">
        <f>'WELLNESS DIARIO'!P17</f>
        <v>10</v>
      </c>
      <c r="F18" s="22">
        <f t="shared" si="11"/>
        <v>34</v>
      </c>
      <c r="G18" s="12">
        <f>'WELLNESS DIARIO'!U17</f>
        <v>9</v>
      </c>
      <c r="H18" s="12">
        <f>'WELLNESS DIARIO'!Z17</f>
        <v>11</v>
      </c>
      <c r="I18" s="12">
        <f>'WELLNESS DIARIO'!AE17</f>
        <v>9</v>
      </c>
      <c r="J18" s="22">
        <f t="shared" si="12"/>
        <v>29</v>
      </c>
      <c r="K18" s="12">
        <f>'WELLNESS DIARIO'!AJ17</f>
        <v>9</v>
      </c>
      <c r="L18" s="12">
        <f>'WELLNESS DIARIO'!AO17</f>
        <v>12</v>
      </c>
      <c r="M18" s="12">
        <f>'WELLNESS DIARIO'!AT17</f>
        <v>9</v>
      </c>
      <c r="N18" s="22">
        <f t="shared" si="13"/>
        <v>30</v>
      </c>
      <c r="O18" s="12">
        <f>'WELLNESS DIARIO'!AY17</f>
        <v>8</v>
      </c>
      <c r="P18" s="12">
        <f>'WELLNESS DIARIO'!BD17</f>
        <v>10</v>
      </c>
      <c r="Q18" s="12">
        <f>'WELLNESS DIARIO'!BI17</f>
        <v>6</v>
      </c>
      <c r="R18" s="22">
        <f t="shared" si="14"/>
        <v>24</v>
      </c>
      <c r="S18" s="37">
        <f t="shared" si="15"/>
        <v>29.25</v>
      </c>
      <c r="T18" s="12">
        <f>'WELLNESS DIARIO'!BN17</f>
        <v>9</v>
      </c>
      <c r="U18" s="12">
        <f>'WELLNESS DIARIO'!BS17</f>
        <v>9</v>
      </c>
      <c r="V18" s="12">
        <f>'WELLNESS DIARIO'!BX17</f>
        <v>9</v>
      </c>
      <c r="W18" s="36">
        <f t="shared" si="16"/>
        <v>27</v>
      </c>
      <c r="X18" s="34">
        <f t="shared" si="0"/>
        <v>92.307692307692307</v>
      </c>
      <c r="Y18" s="35">
        <f t="shared" si="17"/>
        <v>-7.6923076923076934</v>
      </c>
      <c r="Z18" s="33">
        <f t="shared" si="18"/>
        <v>27.5</v>
      </c>
      <c r="AA18" s="12">
        <f>'WELLNESS DIARIO'!CC17</f>
        <v>10</v>
      </c>
      <c r="AB18" s="12">
        <f>'WELLNESS DIARIO'!CH17</f>
        <v>11</v>
      </c>
      <c r="AC18" s="12">
        <f>'WELLNESS DIARIO'!CM17</f>
        <v>5</v>
      </c>
      <c r="AD18" s="41">
        <f t="shared" si="19"/>
        <v>26</v>
      </c>
      <c r="AE18" s="34">
        <f t="shared" si="20"/>
        <v>94.545454545454547</v>
      </c>
      <c r="AF18" s="35">
        <f t="shared" si="21"/>
        <v>-5.4545454545454533</v>
      </c>
      <c r="AG18" s="33">
        <f t="shared" si="1"/>
        <v>26.75</v>
      </c>
      <c r="AH18" s="12">
        <f>'WELLNESS DIARIO'!CR17</f>
        <v>11</v>
      </c>
      <c r="AI18" s="12">
        <f>'WELLNESS DIARIO'!CW17</f>
        <v>8</v>
      </c>
      <c r="AJ18" s="12">
        <f>'WELLNESS DIARIO'!DB17</f>
        <v>13</v>
      </c>
      <c r="AK18" s="81">
        <f t="shared" si="43"/>
        <v>32</v>
      </c>
      <c r="AL18" s="35">
        <f t="shared" si="2"/>
        <v>119.62616822429906</v>
      </c>
      <c r="AM18" s="42">
        <f t="shared" si="22"/>
        <v>19.626168224299064</v>
      </c>
      <c r="AN18" s="37">
        <f t="shared" si="3"/>
        <v>27.25</v>
      </c>
      <c r="AO18" s="12">
        <f>'WELLNESS DIARIO'!DG17</f>
        <v>6</v>
      </c>
      <c r="AP18" s="12">
        <f>'WELLNESS DIARIO'!DL17</f>
        <v>11</v>
      </c>
      <c r="AQ18" s="12">
        <f>'WELLNESS DIARIO'!DQ17</f>
        <v>10</v>
      </c>
      <c r="AR18" s="44">
        <f t="shared" si="23"/>
        <v>27</v>
      </c>
      <c r="AS18" s="35">
        <f t="shared" si="4"/>
        <v>99.082568807339456</v>
      </c>
      <c r="AT18" s="42">
        <f t="shared" si="24"/>
        <v>-0.91743119266054407</v>
      </c>
      <c r="AU18" s="73">
        <f t="shared" si="25"/>
        <v>28</v>
      </c>
      <c r="AV18" s="12">
        <f>'WELLNESS DIARIO'!DV17</f>
        <v>8</v>
      </c>
      <c r="AW18" s="12">
        <f>'WELLNESS DIARIO'!EA17</f>
        <v>10</v>
      </c>
      <c r="AX18" s="12">
        <f>'WELLNESS DIARIO'!EF17</f>
        <v>9</v>
      </c>
      <c r="AY18" s="44">
        <f t="shared" si="26"/>
        <v>27</v>
      </c>
      <c r="AZ18" s="35">
        <f t="shared" si="5"/>
        <v>96.428571428571431</v>
      </c>
      <c r="BA18" s="42">
        <f t="shared" si="27"/>
        <v>-3.5714285714285694</v>
      </c>
      <c r="BB18" s="73">
        <f t="shared" si="28"/>
        <v>28</v>
      </c>
      <c r="BC18" s="12">
        <f>'WELLNESS DIARIO'!EK17</f>
        <v>14</v>
      </c>
      <c r="BD18" s="12">
        <f>'WELLNESS DIARIO'!EP17</f>
        <v>6</v>
      </c>
      <c r="BE18" s="12">
        <f>'WELLNESS DIARIO'!EU17</f>
        <v>8</v>
      </c>
      <c r="BF18" s="44">
        <f t="shared" si="29"/>
        <v>28</v>
      </c>
      <c r="BG18" s="35">
        <f t="shared" si="6"/>
        <v>100</v>
      </c>
      <c r="BH18" s="42">
        <f t="shared" si="30"/>
        <v>0</v>
      </c>
      <c r="BI18" s="73">
        <f t="shared" si="31"/>
        <v>28.5</v>
      </c>
      <c r="BJ18" s="12">
        <f>'WELLNESS DIARIO'!EZ17</f>
        <v>15</v>
      </c>
      <c r="BK18" s="12">
        <f>'WELLNESS DIARIO'!FE17</f>
        <v>9</v>
      </c>
      <c r="BL18" s="12">
        <f>'WELLNESS DIARIO'!FJ17</f>
        <v>10</v>
      </c>
      <c r="BM18" s="44">
        <f t="shared" si="32"/>
        <v>34</v>
      </c>
      <c r="BN18" s="35">
        <f t="shared" si="7"/>
        <v>119.29824561403508</v>
      </c>
      <c r="BO18" s="42">
        <f t="shared" si="33"/>
        <v>19.298245614035082</v>
      </c>
      <c r="BP18" s="37">
        <f t="shared" si="44"/>
        <v>29</v>
      </c>
      <c r="BQ18" s="12">
        <f>'WELLNESS DIARIO'!FO17</f>
        <v>9</v>
      </c>
      <c r="BR18" s="12">
        <f>'WELLNESS DIARIO'!FT17</f>
        <v>10</v>
      </c>
      <c r="BS18" s="12">
        <f>'WELLNESS DIARIO'!FY17</f>
        <v>11</v>
      </c>
      <c r="BT18" s="44">
        <f t="shared" si="34"/>
        <v>30</v>
      </c>
      <c r="BU18" s="35">
        <f t="shared" si="8"/>
        <v>103.44827586206897</v>
      </c>
      <c r="BV18" s="42">
        <f t="shared" si="35"/>
        <v>3.448275862068968</v>
      </c>
      <c r="BW18" s="73">
        <f t="shared" si="36"/>
        <v>29.75</v>
      </c>
      <c r="BX18" s="12">
        <f>'WELLNESS DIARIO'!GD17</f>
        <v>9</v>
      </c>
      <c r="BY18" s="12">
        <f>'WELLNESS DIARIO'!GI17</f>
        <v>16</v>
      </c>
      <c r="BZ18" s="12">
        <f>'WELLNESS DIARIO'!GN17</f>
        <v>10</v>
      </c>
      <c r="CA18" s="44">
        <f t="shared" si="37"/>
        <v>35</v>
      </c>
      <c r="CB18" s="35">
        <f t="shared" si="9"/>
        <v>117.64705882352941</v>
      </c>
      <c r="CC18" s="42">
        <f t="shared" si="38"/>
        <v>17.647058823529406</v>
      </c>
      <c r="CD18" s="73">
        <f t="shared" si="39"/>
        <v>31.75</v>
      </c>
      <c r="CE18" s="12">
        <f>'WELLNESS DIARIO'!GS17</f>
        <v>9</v>
      </c>
      <c r="CF18" s="12">
        <f>'WELLNESS DIARIO'!GX17</f>
        <v>10</v>
      </c>
      <c r="CG18" s="12">
        <f>'WELLNESS DIARIO'!HC17</f>
        <v>10</v>
      </c>
      <c r="CH18" s="44">
        <f t="shared" si="40"/>
        <v>29</v>
      </c>
      <c r="CI18" s="35">
        <f t="shared" si="10"/>
        <v>91.338582677165348</v>
      </c>
      <c r="CJ18" s="42">
        <f t="shared" si="41"/>
        <v>-8.6614173228346516</v>
      </c>
      <c r="CK18" s="73">
        <f t="shared" si="42"/>
        <v>32</v>
      </c>
    </row>
    <row r="19" spans="2:89" ht="18" customHeight="1" x14ac:dyDescent="0.3">
      <c r="B19" s="8" t="s">
        <v>18</v>
      </c>
      <c r="C19" s="11">
        <f>'WELLNESS DIARIO'!F18</f>
        <v>4</v>
      </c>
      <c r="D19" s="12">
        <f>'WELLNESS DIARIO'!K18</f>
        <v>7</v>
      </c>
      <c r="E19" s="12">
        <f>'WELLNESS DIARIO'!P18</f>
        <v>6</v>
      </c>
      <c r="F19" s="22">
        <f t="shared" si="11"/>
        <v>17</v>
      </c>
      <c r="G19" s="12">
        <f>'WELLNESS DIARIO'!U18</f>
        <v>5</v>
      </c>
      <c r="H19" s="12">
        <f>'WELLNESS DIARIO'!Z18</f>
        <v>5</v>
      </c>
      <c r="I19" s="12">
        <f>'WELLNESS DIARIO'!AE18</f>
        <v>6</v>
      </c>
      <c r="J19" s="22">
        <f t="shared" si="12"/>
        <v>16</v>
      </c>
      <c r="K19" s="12">
        <f>'WELLNESS DIARIO'!AJ18</f>
        <v>4</v>
      </c>
      <c r="L19" s="12">
        <f>'WELLNESS DIARIO'!AO18</f>
        <v>4</v>
      </c>
      <c r="M19" s="12">
        <f>'WELLNESS DIARIO'!AT18</f>
        <v>4</v>
      </c>
      <c r="N19" s="22">
        <f t="shared" si="13"/>
        <v>12</v>
      </c>
      <c r="O19" s="12">
        <f>'WELLNESS DIARIO'!AY18</f>
        <v>4</v>
      </c>
      <c r="P19" s="12">
        <f>'WELLNESS DIARIO'!BD18</f>
        <v>7</v>
      </c>
      <c r="Q19" s="12">
        <f>'WELLNESS DIARIO'!BI18</f>
        <v>4</v>
      </c>
      <c r="R19" s="22">
        <f t="shared" si="14"/>
        <v>15</v>
      </c>
      <c r="S19" s="37">
        <f t="shared" si="15"/>
        <v>15</v>
      </c>
      <c r="T19" s="12">
        <f>'WELLNESS DIARIO'!BN18</f>
        <v>6</v>
      </c>
      <c r="U19" s="12">
        <f>'WELLNESS DIARIO'!BS18</f>
        <v>6</v>
      </c>
      <c r="V19" s="12">
        <f>'WELLNESS DIARIO'!BX18</f>
        <v>4</v>
      </c>
      <c r="W19" s="36">
        <f t="shared" si="16"/>
        <v>16</v>
      </c>
      <c r="X19" s="34">
        <f t="shared" si="0"/>
        <v>106.66666666666667</v>
      </c>
      <c r="Y19" s="35">
        <f t="shared" si="17"/>
        <v>6.6666666666666714</v>
      </c>
      <c r="Z19" s="33">
        <f t="shared" si="18"/>
        <v>14.75</v>
      </c>
      <c r="AA19" s="12">
        <f>'WELLNESS DIARIO'!CC18</f>
        <v>11</v>
      </c>
      <c r="AB19" s="12">
        <f>'WELLNESS DIARIO'!CH18</f>
        <v>15</v>
      </c>
      <c r="AC19" s="12">
        <f>'WELLNESS DIARIO'!CM18</f>
        <v>16</v>
      </c>
      <c r="AD19" s="41">
        <f t="shared" si="19"/>
        <v>42</v>
      </c>
      <c r="AE19" s="34">
        <f t="shared" si="20"/>
        <v>284.74576271186442</v>
      </c>
      <c r="AF19" s="35">
        <f t="shared" si="21"/>
        <v>184.74576271186442</v>
      </c>
      <c r="AG19" s="33">
        <f t="shared" si="1"/>
        <v>21.25</v>
      </c>
      <c r="AH19" s="12">
        <f>'WELLNESS DIARIO'!CR18</f>
        <v>9</v>
      </c>
      <c r="AI19" s="12">
        <f>'WELLNESS DIARIO'!CW18</f>
        <v>8</v>
      </c>
      <c r="AJ19" s="12">
        <f>'WELLNESS DIARIO'!DB18</f>
        <v>15</v>
      </c>
      <c r="AK19" s="81">
        <f t="shared" si="43"/>
        <v>32</v>
      </c>
      <c r="AL19" s="35">
        <f t="shared" si="2"/>
        <v>150.58823529411765</v>
      </c>
      <c r="AM19" s="42">
        <f t="shared" si="22"/>
        <v>50.588235294117652</v>
      </c>
      <c r="AN19" s="37">
        <f t="shared" si="3"/>
        <v>26.25</v>
      </c>
      <c r="AO19" s="12">
        <f>'WELLNESS DIARIO'!DG18</f>
        <v>9</v>
      </c>
      <c r="AP19" s="12">
        <f>'WELLNESS DIARIO'!DL18</f>
        <v>14</v>
      </c>
      <c r="AQ19" s="12">
        <f>'WELLNESS DIARIO'!DQ18</f>
        <v>12</v>
      </c>
      <c r="AR19" s="44">
        <f t="shared" si="23"/>
        <v>35</v>
      </c>
      <c r="AS19" s="35">
        <f t="shared" si="4"/>
        <v>133.33333333333334</v>
      </c>
      <c r="AT19" s="77">
        <f t="shared" si="24"/>
        <v>33.333333333333343</v>
      </c>
      <c r="AU19" s="73">
        <f t="shared" si="25"/>
        <v>31.25</v>
      </c>
      <c r="AV19" s="12">
        <f>'WELLNESS DIARIO'!DV18</f>
        <v>12</v>
      </c>
      <c r="AW19" s="12">
        <f>'WELLNESS DIARIO'!EA18</f>
        <v>10</v>
      </c>
      <c r="AX19" s="12">
        <f>'WELLNESS DIARIO'!EF18</f>
        <v>12</v>
      </c>
      <c r="AY19" s="44">
        <f t="shared" si="26"/>
        <v>34</v>
      </c>
      <c r="AZ19" s="35">
        <f t="shared" si="5"/>
        <v>108.8</v>
      </c>
      <c r="BA19" s="42">
        <f t="shared" si="27"/>
        <v>8.7999999999999972</v>
      </c>
      <c r="BB19" s="73">
        <f t="shared" si="28"/>
        <v>35.75</v>
      </c>
      <c r="BC19" s="12">
        <f>'WELLNESS DIARIO'!EK18</f>
        <v>8</v>
      </c>
      <c r="BD19" s="12">
        <f>'WELLNESS DIARIO'!EP18</f>
        <v>10</v>
      </c>
      <c r="BE19" s="12">
        <f>'WELLNESS DIARIO'!EU18</f>
        <v>12</v>
      </c>
      <c r="BF19" s="44">
        <f t="shared" si="29"/>
        <v>30</v>
      </c>
      <c r="BG19" s="35">
        <f t="shared" si="6"/>
        <v>83.91608391608392</v>
      </c>
      <c r="BH19" s="42">
        <f t="shared" si="30"/>
        <v>-16.08391608391608</v>
      </c>
      <c r="BI19" s="73">
        <f t="shared" si="31"/>
        <v>32.75</v>
      </c>
      <c r="BJ19" s="12">
        <f>'WELLNESS DIARIO'!EZ18</f>
        <v>8</v>
      </c>
      <c r="BK19" s="12">
        <f>'WELLNESS DIARIO'!FE18</f>
        <v>15</v>
      </c>
      <c r="BL19" s="12">
        <f>'WELLNESS DIARIO'!FJ18</f>
        <v>10</v>
      </c>
      <c r="BM19" s="44">
        <f t="shared" si="32"/>
        <v>33</v>
      </c>
      <c r="BN19" s="35">
        <f t="shared" si="7"/>
        <v>100.76335877862596</v>
      </c>
      <c r="BO19" s="42">
        <f t="shared" si="33"/>
        <v>0.7633587786259568</v>
      </c>
      <c r="BP19" s="37">
        <f t="shared" si="44"/>
        <v>33</v>
      </c>
      <c r="BQ19" s="12">
        <f>'WELLNESS DIARIO'!FO18</f>
        <v>9</v>
      </c>
      <c r="BR19" s="12">
        <f>'WELLNESS DIARIO'!FT18</f>
        <v>11</v>
      </c>
      <c r="BS19" s="12">
        <f>'WELLNESS DIARIO'!FY18</f>
        <v>9</v>
      </c>
      <c r="BT19" s="44">
        <f t="shared" si="34"/>
        <v>29</v>
      </c>
      <c r="BU19" s="35">
        <f t="shared" si="8"/>
        <v>87.878787878787875</v>
      </c>
      <c r="BV19" s="42">
        <f t="shared" si="35"/>
        <v>-12.121212121212125</v>
      </c>
      <c r="BW19" s="73">
        <f t="shared" si="36"/>
        <v>31.5</v>
      </c>
      <c r="BX19" s="12">
        <f>'WELLNESS DIARIO'!GD18</f>
        <v>16</v>
      </c>
      <c r="BY19" s="12">
        <f>'WELLNESS DIARIO'!GI18</f>
        <v>14</v>
      </c>
      <c r="BZ19" s="12">
        <f>'WELLNESS DIARIO'!GN18</f>
        <v>9</v>
      </c>
      <c r="CA19" s="44">
        <f t="shared" si="37"/>
        <v>39</v>
      </c>
      <c r="CB19" s="35">
        <f t="shared" si="9"/>
        <v>123.80952380952381</v>
      </c>
      <c r="CC19" s="42">
        <f t="shared" si="38"/>
        <v>23.80952380952381</v>
      </c>
      <c r="CD19" s="73">
        <f t="shared" si="39"/>
        <v>32.75</v>
      </c>
      <c r="CE19" s="12">
        <f>'WELLNESS DIARIO'!GS18</f>
        <v>11</v>
      </c>
      <c r="CF19" s="12">
        <f>'WELLNESS DIARIO'!GX18</f>
        <v>18</v>
      </c>
      <c r="CG19" s="12">
        <f>'WELLNESS DIARIO'!HC18</f>
        <v>13</v>
      </c>
      <c r="CH19" s="44">
        <f t="shared" si="40"/>
        <v>42</v>
      </c>
      <c r="CI19" s="35">
        <f t="shared" si="10"/>
        <v>128.24427480916032</v>
      </c>
      <c r="CJ19" s="42">
        <f t="shared" si="41"/>
        <v>28.244274809160316</v>
      </c>
      <c r="CK19" s="73">
        <f t="shared" si="42"/>
        <v>35.75</v>
      </c>
    </row>
    <row r="20" spans="2:89" ht="18" customHeight="1" x14ac:dyDescent="0.3">
      <c r="B20" s="8" t="s">
        <v>19</v>
      </c>
      <c r="C20" s="11">
        <f>'WELLNESS DIARIO'!F19</f>
        <v>15</v>
      </c>
      <c r="D20" s="12">
        <f>'WELLNESS DIARIO'!K19</f>
        <v>12</v>
      </c>
      <c r="E20" s="12">
        <f>'WELLNESS DIARIO'!P19</f>
        <v>9</v>
      </c>
      <c r="F20" s="22">
        <f t="shared" si="11"/>
        <v>36</v>
      </c>
      <c r="G20" s="12">
        <f>'WELLNESS DIARIO'!U19</f>
        <v>14</v>
      </c>
      <c r="H20" s="12">
        <f>'WELLNESS DIARIO'!Z19</f>
        <v>18</v>
      </c>
      <c r="I20" s="12">
        <f>'WELLNESS DIARIO'!AE19</f>
        <v>12</v>
      </c>
      <c r="J20" s="22">
        <f t="shared" si="12"/>
        <v>44</v>
      </c>
      <c r="K20" s="12">
        <f>'WELLNESS DIARIO'!AJ19</f>
        <v>10</v>
      </c>
      <c r="L20" s="12">
        <f>'WELLNESS DIARIO'!AO19</f>
        <v>11</v>
      </c>
      <c r="M20" s="12">
        <f>'WELLNESS DIARIO'!AT19</f>
        <v>16</v>
      </c>
      <c r="N20" s="22">
        <f t="shared" si="13"/>
        <v>37</v>
      </c>
      <c r="O20" s="12">
        <f>'WELLNESS DIARIO'!AY19</f>
        <v>12</v>
      </c>
      <c r="P20" s="12">
        <f>'WELLNESS DIARIO'!BD19</f>
        <v>10</v>
      </c>
      <c r="Q20" s="12">
        <f>'WELLNESS DIARIO'!BI19</f>
        <v>10</v>
      </c>
      <c r="R20" s="22">
        <f t="shared" si="14"/>
        <v>32</v>
      </c>
      <c r="S20" s="37">
        <f t="shared" si="15"/>
        <v>37.25</v>
      </c>
      <c r="T20" s="12">
        <f>'WELLNESS DIARIO'!BN19</f>
        <v>12</v>
      </c>
      <c r="U20" s="12">
        <f>'WELLNESS DIARIO'!BS19</f>
        <v>9</v>
      </c>
      <c r="V20" s="12">
        <f>'WELLNESS DIARIO'!BX19</f>
        <v>13</v>
      </c>
      <c r="W20" s="36">
        <f t="shared" si="16"/>
        <v>34</v>
      </c>
      <c r="X20" s="34">
        <f t="shared" si="0"/>
        <v>91.275167785234899</v>
      </c>
      <c r="Y20" s="35">
        <f t="shared" si="17"/>
        <v>-8.724832214765101</v>
      </c>
      <c r="Z20" s="33">
        <f t="shared" si="18"/>
        <v>36.75</v>
      </c>
      <c r="AA20" s="12">
        <f>'WELLNESS DIARIO'!CC19</f>
        <v>6</v>
      </c>
      <c r="AB20" s="12">
        <f>'WELLNESS DIARIO'!CH19</f>
        <v>6</v>
      </c>
      <c r="AC20" s="12">
        <f>'WELLNESS DIARIO'!CM19</f>
        <v>13</v>
      </c>
      <c r="AD20" s="41">
        <f t="shared" si="19"/>
        <v>25</v>
      </c>
      <c r="AE20" s="34">
        <f t="shared" si="20"/>
        <v>68.027210884353735</v>
      </c>
      <c r="AF20" s="35">
        <f t="shared" si="21"/>
        <v>-31.972789115646265</v>
      </c>
      <c r="AG20" s="33">
        <f t="shared" si="1"/>
        <v>32</v>
      </c>
      <c r="AH20" s="12">
        <f>'WELLNESS DIARIO'!CR19</f>
        <v>17</v>
      </c>
      <c r="AI20" s="12">
        <f>'WELLNESS DIARIO'!CW19</f>
        <v>10</v>
      </c>
      <c r="AJ20" s="12">
        <f>'WELLNESS DIARIO'!DB19</f>
        <v>10</v>
      </c>
      <c r="AK20" s="81">
        <f t="shared" si="43"/>
        <v>37</v>
      </c>
      <c r="AL20" s="35">
        <f t="shared" si="2"/>
        <v>115.625</v>
      </c>
      <c r="AM20" s="42">
        <f t="shared" si="22"/>
        <v>15.625</v>
      </c>
      <c r="AN20" s="37">
        <f t="shared" si="3"/>
        <v>32</v>
      </c>
      <c r="AO20" s="12">
        <f>'WELLNESS DIARIO'!DG19</f>
        <v>13</v>
      </c>
      <c r="AP20" s="12">
        <f>'WELLNESS DIARIO'!DL19</f>
        <v>16</v>
      </c>
      <c r="AQ20" s="12">
        <f>'WELLNESS DIARIO'!DQ19</f>
        <v>10</v>
      </c>
      <c r="AR20" s="44">
        <f t="shared" si="23"/>
        <v>39</v>
      </c>
      <c r="AS20" s="35">
        <f t="shared" si="4"/>
        <v>121.875</v>
      </c>
      <c r="AT20" s="42">
        <f t="shared" si="24"/>
        <v>21.875</v>
      </c>
      <c r="AU20" s="73">
        <f t="shared" si="25"/>
        <v>33.75</v>
      </c>
      <c r="AV20" s="12">
        <f>'WELLNESS DIARIO'!DV19</f>
        <v>15</v>
      </c>
      <c r="AW20" s="12">
        <f>'WELLNESS DIARIO'!EA19</f>
        <v>9</v>
      </c>
      <c r="AX20" s="12">
        <f>'WELLNESS DIARIO'!EF19</f>
        <v>9</v>
      </c>
      <c r="AY20" s="44">
        <f t="shared" si="26"/>
        <v>33</v>
      </c>
      <c r="AZ20" s="35">
        <f t="shared" si="5"/>
        <v>97.777777777777771</v>
      </c>
      <c r="BA20" s="42">
        <f t="shared" si="27"/>
        <v>-2.2222222222222285</v>
      </c>
      <c r="BB20" s="73">
        <f t="shared" si="28"/>
        <v>33.5</v>
      </c>
      <c r="BC20" s="12">
        <f>'WELLNESS DIARIO'!EK19</f>
        <v>7</v>
      </c>
      <c r="BD20" s="12">
        <f>'WELLNESS DIARIO'!EP19</f>
        <v>7</v>
      </c>
      <c r="BE20" s="12">
        <f>'WELLNESS DIARIO'!EU19</f>
        <v>9</v>
      </c>
      <c r="BF20" s="44">
        <f t="shared" si="29"/>
        <v>23</v>
      </c>
      <c r="BG20" s="35">
        <f t="shared" si="6"/>
        <v>68.656716417910445</v>
      </c>
      <c r="BH20" s="78">
        <f t="shared" si="30"/>
        <v>-31.343283582089555</v>
      </c>
      <c r="BI20" s="73">
        <f t="shared" si="31"/>
        <v>33</v>
      </c>
      <c r="BJ20" s="12">
        <f>'WELLNESS DIARIO'!EZ19</f>
        <v>5</v>
      </c>
      <c r="BK20" s="12">
        <f>'WELLNESS DIARIO'!FE19</f>
        <v>10</v>
      </c>
      <c r="BL20" s="12">
        <f>'WELLNESS DIARIO'!FJ19</f>
        <v>13</v>
      </c>
      <c r="BM20" s="44">
        <f t="shared" si="32"/>
        <v>28</v>
      </c>
      <c r="BN20" s="35">
        <f t="shared" si="7"/>
        <v>84.848484848484844</v>
      </c>
      <c r="BO20" s="42">
        <f t="shared" si="33"/>
        <v>-15.151515151515156</v>
      </c>
      <c r="BP20" s="37">
        <f t="shared" si="44"/>
        <v>30.75</v>
      </c>
      <c r="BQ20" s="12">
        <f>'WELLNESS DIARIO'!FO19</f>
        <v>11</v>
      </c>
      <c r="BR20" s="12">
        <f>'WELLNESS DIARIO'!FT19</f>
        <v>9</v>
      </c>
      <c r="BS20" s="12">
        <f>'WELLNESS DIARIO'!FY19</f>
        <v>11</v>
      </c>
      <c r="BT20" s="44">
        <f t="shared" si="34"/>
        <v>31</v>
      </c>
      <c r="BU20" s="35">
        <f t="shared" si="8"/>
        <v>100.8130081300813</v>
      </c>
      <c r="BV20" s="42">
        <f t="shared" si="35"/>
        <v>0.81300813008130035</v>
      </c>
      <c r="BW20" s="73">
        <f t="shared" si="36"/>
        <v>28.75</v>
      </c>
      <c r="BX20" s="12">
        <f>'WELLNESS DIARIO'!GD19</f>
        <v>11</v>
      </c>
      <c r="BY20" s="12">
        <f>'WELLNESS DIARIO'!GI19</f>
        <v>11</v>
      </c>
      <c r="BZ20" s="12">
        <f>'WELLNESS DIARIO'!GN19</f>
        <v>7</v>
      </c>
      <c r="CA20" s="44">
        <f t="shared" si="37"/>
        <v>29</v>
      </c>
      <c r="CB20" s="35">
        <f t="shared" si="9"/>
        <v>100.8695652173913</v>
      </c>
      <c r="CC20" s="42">
        <f t="shared" si="38"/>
        <v>0.86956521739129755</v>
      </c>
      <c r="CD20" s="73">
        <f t="shared" si="39"/>
        <v>27.75</v>
      </c>
      <c r="CE20" s="12">
        <f>'WELLNESS DIARIO'!GS19</f>
        <v>11</v>
      </c>
      <c r="CF20" s="12">
        <f>'WELLNESS DIARIO'!GX19</f>
        <v>9</v>
      </c>
      <c r="CG20" s="12">
        <f>'WELLNESS DIARIO'!HC19</f>
        <v>15</v>
      </c>
      <c r="CH20" s="44">
        <f t="shared" si="40"/>
        <v>35</v>
      </c>
      <c r="CI20" s="35">
        <f t="shared" si="10"/>
        <v>126.12612612612612</v>
      </c>
      <c r="CJ20" s="42">
        <f t="shared" si="41"/>
        <v>26.126126126126124</v>
      </c>
      <c r="CK20" s="73">
        <f t="shared" si="42"/>
        <v>30.75</v>
      </c>
    </row>
    <row r="21" spans="2:89" ht="18" customHeight="1" x14ac:dyDescent="0.3">
      <c r="B21" s="8" t="s">
        <v>20</v>
      </c>
      <c r="C21" s="11">
        <f>'WELLNESS DIARIO'!F20</f>
        <v>19</v>
      </c>
      <c r="D21" s="12">
        <f>'WELLNESS DIARIO'!K20</f>
        <v>18</v>
      </c>
      <c r="E21" s="12">
        <f>'WELLNESS DIARIO'!P20</f>
        <v>16</v>
      </c>
      <c r="F21" s="22">
        <f t="shared" si="11"/>
        <v>53</v>
      </c>
      <c r="G21" s="12">
        <f>'WELLNESS DIARIO'!U20</f>
        <v>14</v>
      </c>
      <c r="H21" s="12">
        <f>'WELLNESS DIARIO'!Z20</f>
        <v>16</v>
      </c>
      <c r="I21" s="12">
        <f>'WELLNESS DIARIO'!AE20</f>
        <v>13</v>
      </c>
      <c r="J21" s="22">
        <f t="shared" si="12"/>
        <v>43</v>
      </c>
      <c r="K21" s="12">
        <f>'WELLNESS DIARIO'!AJ20</f>
        <v>12</v>
      </c>
      <c r="L21" s="12">
        <f>'WELLNESS DIARIO'!AO20</f>
        <v>12</v>
      </c>
      <c r="M21" s="12">
        <f>'WELLNESS DIARIO'!AT20</f>
        <v>11</v>
      </c>
      <c r="N21" s="22">
        <f t="shared" si="13"/>
        <v>35</v>
      </c>
      <c r="O21" s="12">
        <f>'WELLNESS DIARIO'!AY20</f>
        <v>16</v>
      </c>
      <c r="P21" s="12">
        <f>'WELLNESS DIARIO'!BD20</f>
        <v>13</v>
      </c>
      <c r="Q21" s="12">
        <f>'WELLNESS DIARIO'!BI20</f>
        <v>13</v>
      </c>
      <c r="R21" s="22">
        <f t="shared" si="14"/>
        <v>42</v>
      </c>
      <c r="S21" s="37">
        <f t="shared" si="15"/>
        <v>43.25</v>
      </c>
      <c r="T21" s="12">
        <f>'WELLNESS DIARIO'!BN20</f>
        <v>12</v>
      </c>
      <c r="U21" s="12">
        <f>'WELLNESS DIARIO'!BS20</f>
        <v>13</v>
      </c>
      <c r="V21" s="12">
        <f>'WELLNESS DIARIO'!BX20</f>
        <v>15</v>
      </c>
      <c r="W21" s="36">
        <f t="shared" si="16"/>
        <v>40</v>
      </c>
      <c r="X21" s="34">
        <f t="shared" si="0"/>
        <v>92.48554913294798</v>
      </c>
      <c r="Y21" s="35">
        <f t="shared" si="17"/>
        <v>-7.5144508670520196</v>
      </c>
      <c r="Z21" s="33">
        <f t="shared" si="18"/>
        <v>40</v>
      </c>
      <c r="AA21" s="12">
        <f>'WELLNESS DIARIO'!CC20</f>
        <v>15</v>
      </c>
      <c r="AB21" s="12">
        <f>'WELLNESS DIARIO'!CH20</f>
        <v>6</v>
      </c>
      <c r="AC21" s="12">
        <f>'WELLNESS DIARIO'!CM20</f>
        <v>9</v>
      </c>
      <c r="AD21" s="41">
        <f t="shared" si="19"/>
        <v>30</v>
      </c>
      <c r="AE21" s="34">
        <f t="shared" si="20"/>
        <v>75</v>
      </c>
      <c r="AF21" s="35">
        <f t="shared" si="21"/>
        <v>-25</v>
      </c>
      <c r="AG21" s="33">
        <f t="shared" si="1"/>
        <v>36.75</v>
      </c>
      <c r="AH21" s="12">
        <f>'WELLNESS DIARIO'!CR20</f>
        <v>10</v>
      </c>
      <c r="AI21" s="12">
        <f>'WELLNESS DIARIO'!CW20</f>
        <v>7</v>
      </c>
      <c r="AJ21" s="12">
        <f>'WELLNESS DIARIO'!DB20</f>
        <v>11</v>
      </c>
      <c r="AK21" s="81">
        <f t="shared" si="43"/>
        <v>28</v>
      </c>
      <c r="AL21" s="35">
        <f t="shared" si="2"/>
        <v>76.19047619047619</v>
      </c>
      <c r="AM21" s="42">
        <f t="shared" si="22"/>
        <v>-23.80952380952381</v>
      </c>
      <c r="AN21" s="37">
        <f t="shared" si="3"/>
        <v>35</v>
      </c>
      <c r="AO21" s="12">
        <f>'WELLNESS DIARIO'!DG20</f>
        <v>8</v>
      </c>
      <c r="AP21" s="12">
        <f>'WELLNESS DIARIO'!DL20</f>
        <v>17</v>
      </c>
      <c r="AQ21" s="12">
        <f>'WELLNESS DIARIO'!DQ20</f>
        <v>12</v>
      </c>
      <c r="AR21" s="44">
        <f t="shared" si="23"/>
        <v>37</v>
      </c>
      <c r="AS21" s="35">
        <f t="shared" si="4"/>
        <v>105.71428571428571</v>
      </c>
      <c r="AT21" s="77">
        <f t="shared" si="24"/>
        <v>5.7142857142857082</v>
      </c>
      <c r="AU21" s="73">
        <f t="shared" si="25"/>
        <v>33.75</v>
      </c>
      <c r="AV21" s="12">
        <f>'WELLNESS DIARIO'!DV20</f>
        <v>8</v>
      </c>
      <c r="AW21" s="12">
        <f>'WELLNESS DIARIO'!EA20</f>
        <v>8</v>
      </c>
      <c r="AX21" s="12">
        <f>'WELLNESS DIARIO'!EF20</f>
        <v>8</v>
      </c>
      <c r="AY21" s="44">
        <f t="shared" si="26"/>
        <v>24</v>
      </c>
      <c r="AZ21" s="35">
        <f t="shared" si="5"/>
        <v>71.111111111111114</v>
      </c>
      <c r="BA21" s="42">
        <f t="shared" si="27"/>
        <v>-28.888888888888886</v>
      </c>
      <c r="BB21" s="73">
        <f>AVERAGE(AY21,AR21,AK21,AD21)</f>
        <v>29.75</v>
      </c>
      <c r="BC21" s="12">
        <f>'WELLNESS DIARIO'!EK20</f>
        <v>8</v>
      </c>
      <c r="BD21" s="12">
        <f>'WELLNESS DIARIO'!EP20</f>
        <v>9</v>
      </c>
      <c r="BE21" s="12">
        <f>'WELLNESS DIARIO'!EU20</f>
        <v>9</v>
      </c>
      <c r="BF21" s="44">
        <f t="shared" si="29"/>
        <v>26</v>
      </c>
      <c r="BG21" s="35">
        <f t="shared" si="6"/>
        <v>87.394957983193279</v>
      </c>
      <c r="BH21" s="42">
        <f t="shared" si="30"/>
        <v>-12.605042016806721</v>
      </c>
      <c r="BI21" s="73">
        <f t="shared" si="31"/>
        <v>28.75</v>
      </c>
      <c r="BJ21" s="12">
        <f>'WELLNESS DIARIO'!EZ20</f>
        <v>10</v>
      </c>
      <c r="BK21" s="12">
        <f>'WELLNESS DIARIO'!FE20</f>
        <v>14</v>
      </c>
      <c r="BL21" s="12">
        <f>'WELLNESS DIARIO'!FJ20</f>
        <v>11</v>
      </c>
      <c r="BM21" s="44">
        <f t="shared" si="32"/>
        <v>35</v>
      </c>
      <c r="BN21" s="35">
        <f t="shared" si="7"/>
        <v>121.73913043478261</v>
      </c>
      <c r="BO21" s="42">
        <f t="shared" si="33"/>
        <v>21.739130434782609</v>
      </c>
      <c r="BP21" s="37">
        <f t="shared" si="44"/>
        <v>30.5</v>
      </c>
      <c r="BQ21" s="12">
        <f>'WELLNESS DIARIO'!FO20</f>
        <v>12</v>
      </c>
      <c r="BR21" s="12">
        <f>'WELLNESS DIARIO'!FT20</f>
        <v>10</v>
      </c>
      <c r="BS21" s="12">
        <f>'WELLNESS DIARIO'!FY20</f>
        <v>8</v>
      </c>
      <c r="BT21" s="44">
        <f t="shared" si="34"/>
        <v>30</v>
      </c>
      <c r="BU21" s="35">
        <f t="shared" si="8"/>
        <v>98.360655737704917</v>
      </c>
      <c r="BV21" s="42">
        <f t="shared" si="35"/>
        <v>-1.6393442622950829</v>
      </c>
      <c r="BW21" s="73">
        <f t="shared" si="36"/>
        <v>28.75</v>
      </c>
      <c r="BX21" s="12">
        <f>'WELLNESS DIARIO'!GD20</f>
        <v>18</v>
      </c>
      <c r="BY21" s="12">
        <f>'WELLNESS DIARIO'!GI20</f>
        <v>16</v>
      </c>
      <c r="BZ21" s="12">
        <f>'WELLNESS DIARIO'!GN20</f>
        <v>16</v>
      </c>
      <c r="CA21" s="44">
        <f t="shared" si="37"/>
        <v>50</v>
      </c>
      <c r="CB21" s="35">
        <f t="shared" si="9"/>
        <v>173.91304347826087</v>
      </c>
      <c r="CC21" s="42">
        <f t="shared" si="38"/>
        <v>73.913043478260875</v>
      </c>
      <c r="CD21" s="73">
        <f t="shared" si="39"/>
        <v>35.25</v>
      </c>
      <c r="CE21" s="12">
        <f>'WELLNESS DIARIO'!GS20</f>
        <v>11</v>
      </c>
      <c r="CF21" s="12">
        <f>'WELLNESS DIARIO'!GX20</f>
        <v>12</v>
      </c>
      <c r="CG21" s="12">
        <f>'WELLNESS DIARIO'!HC20</f>
        <v>13</v>
      </c>
      <c r="CH21" s="44">
        <f t="shared" si="40"/>
        <v>36</v>
      </c>
      <c r="CI21" s="35">
        <f t="shared" si="10"/>
        <v>102.12765957446808</v>
      </c>
      <c r="CJ21" s="42">
        <f t="shared" si="41"/>
        <v>2.1276595744680833</v>
      </c>
      <c r="CK21" s="73">
        <f t="shared" si="42"/>
        <v>37.75</v>
      </c>
    </row>
    <row r="22" spans="2:89" ht="18" customHeight="1" x14ac:dyDescent="0.3">
      <c r="B22" s="8" t="s">
        <v>21</v>
      </c>
      <c r="C22" s="11">
        <f>'WELLNESS DIARIO'!F21</f>
        <v>6</v>
      </c>
      <c r="D22" s="12">
        <f>'WELLNESS DIARIO'!K21</f>
        <v>6</v>
      </c>
      <c r="E22" s="12">
        <f>'WELLNESS DIARIO'!P21</f>
        <v>7</v>
      </c>
      <c r="F22" s="22">
        <f t="shared" si="11"/>
        <v>19</v>
      </c>
      <c r="G22" s="12">
        <f>'WELLNESS DIARIO'!U21</f>
        <v>6</v>
      </c>
      <c r="H22" s="12">
        <f>'WELLNESS DIARIO'!Z21</f>
        <v>5</v>
      </c>
      <c r="I22" s="12">
        <f>'WELLNESS DIARIO'!AE21</f>
        <v>9</v>
      </c>
      <c r="J22" s="22">
        <f t="shared" si="12"/>
        <v>20</v>
      </c>
      <c r="K22" s="12">
        <f>'WELLNESS DIARIO'!AJ21</f>
        <v>6</v>
      </c>
      <c r="L22" s="12">
        <f>'WELLNESS DIARIO'!AO21</f>
        <v>7</v>
      </c>
      <c r="M22" s="12">
        <f>'WELLNESS DIARIO'!AT21</f>
        <v>7</v>
      </c>
      <c r="N22" s="22">
        <f t="shared" si="13"/>
        <v>20</v>
      </c>
      <c r="O22" s="12">
        <f>'WELLNESS DIARIO'!AY21</f>
        <v>4</v>
      </c>
      <c r="P22" s="12">
        <f>'WELLNESS DIARIO'!BD21</f>
        <v>7</v>
      </c>
      <c r="Q22" s="12">
        <f>'WELLNESS DIARIO'!BI21</f>
        <v>7</v>
      </c>
      <c r="R22" s="22">
        <f t="shared" si="14"/>
        <v>18</v>
      </c>
      <c r="S22" s="37">
        <f t="shared" si="15"/>
        <v>19.25</v>
      </c>
      <c r="T22" s="12">
        <f>'WELLNESS DIARIO'!BN21</f>
        <v>6</v>
      </c>
      <c r="U22" s="12">
        <f>'WELLNESS DIARIO'!BS21</f>
        <v>6</v>
      </c>
      <c r="V22" s="12">
        <f>'WELLNESS DIARIO'!BX21</f>
        <v>7</v>
      </c>
      <c r="W22" s="36">
        <f t="shared" si="16"/>
        <v>19</v>
      </c>
      <c r="X22" s="34">
        <f t="shared" si="0"/>
        <v>98.701298701298697</v>
      </c>
      <c r="Y22" s="35">
        <f t="shared" si="17"/>
        <v>-1.2987012987013031</v>
      </c>
      <c r="Z22" s="33">
        <f t="shared" si="18"/>
        <v>19.25</v>
      </c>
      <c r="AA22" s="12">
        <f>'WELLNESS DIARIO'!CC21</f>
        <v>13</v>
      </c>
      <c r="AB22" s="12">
        <f>'WELLNESS DIARIO'!CH21</f>
        <v>13</v>
      </c>
      <c r="AC22" s="12">
        <f>'WELLNESS DIARIO'!CM21</f>
        <v>11</v>
      </c>
      <c r="AD22" s="41">
        <f t="shared" si="19"/>
        <v>37</v>
      </c>
      <c r="AE22" s="34">
        <f t="shared" si="20"/>
        <v>192.20779220779221</v>
      </c>
      <c r="AF22" s="35">
        <f t="shared" si="21"/>
        <v>92.20779220779221</v>
      </c>
      <c r="AG22" s="33">
        <f t="shared" si="1"/>
        <v>23.5</v>
      </c>
      <c r="AH22" s="12">
        <f>'WELLNESS DIARIO'!CR21</f>
        <v>14</v>
      </c>
      <c r="AI22" s="12">
        <f>'WELLNESS DIARIO'!CW21</f>
        <v>14</v>
      </c>
      <c r="AJ22" s="12">
        <f>'WELLNESS DIARIO'!DB21</f>
        <v>13</v>
      </c>
      <c r="AK22" s="81">
        <f t="shared" si="43"/>
        <v>41</v>
      </c>
      <c r="AL22" s="35">
        <f t="shared" si="2"/>
        <v>174.46808510638297</v>
      </c>
      <c r="AM22" s="42">
        <f t="shared" si="22"/>
        <v>74.468085106382972</v>
      </c>
      <c r="AN22" s="37">
        <f t="shared" si="3"/>
        <v>28.75</v>
      </c>
      <c r="AO22" s="12">
        <f>'WELLNESS DIARIO'!DG21</f>
        <v>11</v>
      </c>
      <c r="AP22" s="12">
        <f>'WELLNESS DIARIO'!DL21</f>
        <v>13</v>
      </c>
      <c r="AQ22" s="12">
        <f>'WELLNESS DIARIO'!DQ21</f>
        <v>10</v>
      </c>
      <c r="AR22" s="44">
        <f t="shared" si="23"/>
        <v>34</v>
      </c>
      <c r="AS22" s="35">
        <f t="shared" si="4"/>
        <v>118.26086956521739</v>
      </c>
      <c r="AT22" s="42">
        <f t="shared" si="24"/>
        <v>18.260869565217391</v>
      </c>
      <c r="AU22" s="73">
        <f t="shared" si="25"/>
        <v>32.75</v>
      </c>
      <c r="AV22" s="12">
        <f>'WELLNESS DIARIO'!DV21</f>
        <v>10</v>
      </c>
      <c r="AW22" s="12">
        <f>'WELLNESS DIARIO'!EA21</f>
        <v>10</v>
      </c>
      <c r="AX22" s="12">
        <f>'WELLNESS DIARIO'!EF21</f>
        <v>12</v>
      </c>
      <c r="AY22" s="44">
        <f t="shared" si="26"/>
        <v>32</v>
      </c>
      <c r="AZ22" s="35">
        <f t="shared" si="5"/>
        <v>97.709923664122144</v>
      </c>
      <c r="BA22" s="42">
        <f t="shared" si="27"/>
        <v>-2.2900763358778562</v>
      </c>
      <c r="BB22" s="73">
        <f t="shared" si="28"/>
        <v>36</v>
      </c>
      <c r="BC22" s="12">
        <f>'WELLNESS DIARIO'!EK21</f>
        <v>12</v>
      </c>
      <c r="BD22" s="12">
        <f>'WELLNESS DIARIO'!EP21</f>
        <v>10</v>
      </c>
      <c r="BE22" s="12">
        <f>'WELLNESS DIARIO'!EU21</f>
        <v>16</v>
      </c>
      <c r="BF22" s="44">
        <f t="shared" si="29"/>
        <v>38</v>
      </c>
      <c r="BG22" s="35">
        <f t="shared" si="6"/>
        <v>105.55555555555556</v>
      </c>
      <c r="BH22" s="42">
        <f t="shared" si="30"/>
        <v>5.5555555555555571</v>
      </c>
      <c r="BI22" s="73">
        <f t="shared" si="31"/>
        <v>36.25</v>
      </c>
      <c r="BJ22" s="12">
        <f>'WELLNESS DIARIO'!EZ21</f>
        <v>10</v>
      </c>
      <c r="BK22" s="12">
        <f>'WELLNESS DIARIO'!FE21</f>
        <v>7</v>
      </c>
      <c r="BL22" s="12">
        <f>'WELLNESS DIARIO'!FJ21</f>
        <v>9</v>
      </c>
      <c r="BM22" s="44">
        <f t="shared" si="32"/>
        <v>26</v>
      </c>
      <c r="BN22" s="35">
        <f t="shared" si="7"/>
        <v>71.724137931034477</v>
      </c>
      <c r="BO22" s="77">
        <f t="shared" si="33"/>
        <v>-28.275862068965523</v>
      </c>
      <c r="BP22" s="37">
        <f t="shared" si="44"/>
        <v>32.5</v>
      </c>
      <c r="BQ22" s="12">
        <f>'WELLNESS DIARIO'!FO21</f>
        <v>11</v>
      </c>
      <c r="BR22" s="12">
        <f>'WELLNESS DIARIO'!FT21</f>
        <v>7</v>
      </c>
      <c r="BS22" s="12">
        <f>'WELLNESS DIARIO'!FY21</f>
        <v>11</v>
      </c>
      <c r="BT22" s="44">
        <f t="shared" si="34"/>
        <v>29</v>
      </c>
      <c r="BU22" s="35">
        <f>(BT22*100)/BP22</f>
        <v>89.230769230769226</v>
      </c>
      <c r="BV22" s="42">
        <f t="shared" si="35"/>
        <v>-10.769230769230774</v>
      </c>
      <c r="BW22" s="73">
        <f t="shared" si="36"/>
        <v>31.25</v>
      </c>
      <c r="BX22" s="12">
        <f>'WELLNESS DIARIO'!GD21</f>
        <v>8</v>
      </c>
      <c r="BY22" s="12">
        <f>'WELLNESS DIARIO'!GI21</f>
        <v>12</v>
      </c>
      <c r="BZ22" s="12">
        <f>'WELLNESS DIARIO'!GN21</f>
        <v>16</v>
      </c>
      <c r="CA22" s="44">
        <f t="shared" si="37"/>
        <v>36</v>
      </c>
      <c r="CB22" s="35">
        <f t="shared" si="9"/>
        <v>115.2</v>
      </c>
      <c r="CC22" s="42">
        <f t="shared" si="38"/>
        <v>15.200000000000003</v>
      </c>
      <c r="CD22" s="73">
        <f t="shared" si="39"/>
        <v>32.25</v>
      </c>
      <c r="CE22" s="12">
        <f>'WELLNESS DIARIO'!GS21</f>
        <v>13</v>
      </c>
      <c r="CF22" s="12">
        <f>'WELLNESS DIARIO'!GX21</f>
        <v>9</v>
      </c>
      <c r="CG22" s="12">
        <f>'WELLNESS DIARIO'!HC21</f>
        <v>9</v>
      </c>
      <c r="CH22" s="44">
        <f t="shared" si="40"/>
        <v>31</v>
      </c>
      <c r="CI22" s="35">
        <f t="shared" si="10"/>
        <v>96.124031007751938</v>
      </c>
      <c r="CJ22" s="42">
        <f t="shared" si="41"/>
        <v>-3.8759689922480618</v>
      </c>
      <c r="CK22" s="73">
        <f t="shared" si="42"/>
        <v>30.5</v>
      </c>
    </row>
    <row r="23" spans="2:89" ht="18" customHeight="1" x14ac:dyDescent="0.3">
      <c r="B23" s="8" t="s">
        <v>22</v>
      </c>
      <c r="C23" s="11">
        <f>'WELLNESS DIARIO'!F22</f>
        <v>9</v>
      </c>
      <c r="D23" s="12">
        <f>'WELLNESS DIARIO'!K22</f>
        <v>5</v>
      </c>
      <c r="E23" s="12">
        <f>'WELLNESS DIARIO'!P22</f>
        <v>9</v>
      </c>
      <c r="F23" s="22">
        <f t="shared" si="11"/>
        <v>23</v>
      </c>
      <c r="G23" s="12">
        <f>'WELLNESS DIARIO'!U22</f>
        <v>11</v>
      </c>
      <c r="H23" s="12">
        <f>'WELLNESS DIARIO'!Z22</f>
        <v>7</v>
      </c>
      <c r="I23" s="12">
        <f>'WELLNESS DIARIO'!AE22</f>
        <v>10</v>
      </c>
      <c r="J23" s="22">
        <f t="shared" si="12"/>
        <v>28</v>
      </c>
      <c r="K23" s="12">
        <f>'WELLNESS DIARIO'!AJ22</f>
        <v>9</v>
      </c>
      <c r="L23" s="12">
        <f>'WELLNESS DIARIO'!AO22</f>
        <v>8</v>
      </c>
      <c r="M23" s="12">
        <f>'WELLNESS DIARIO'!AT22</f>
        <v>10</v>
      </c>
      <c r="N23" s="22">
        <f t="shared" si="13"/>
        <v>27</v>
      </c>
      <c r="O23" s="12">
        <f>'WELLNESS DIARIO'!AY22</f>
        <v>11</v>
      </c>
      <c r="P23" s="12">
        <f>'WELLNESS DIARIO'!BD22</f>
        <v>9</v>
      </c>
      <c r="Q23" s="12">
        <f>'WELLNESS DIARIO'!BI22</f>
        <v>9</v>
      </c>
      <c r="R23" s="22">
        <f t="shared" si="14"/>
        <v>29</v>
      </c>
      <c r="S23" s="37">
        <f t="shared" si="15"/>
        <v>26.75</v>
      </c>
      <c r="T23" s="12">
        <f>'WELLNESS DIARIO'!BN22</f>
        <v>8</v>
      </c>
      <c r="U23" s="12">
        <f>'WELLNESS DIARIO'!BS22</f>
        <v>7</v>
      </c>
      <c r="V23" s="12">
        <f>'WELLNESS DIARIO'!BX22</f>
        <v>8</v>
      </c>
      <c r="W23" s="36">
        <f>SUM(T23,U23,V23)</f>
        <v>23</v>
      </c>
      <c r="X23" s="34">
        <f t="shared" si="0"/>
        <v>85.981308411214954</v>
      </c>
      <c r="Y23" s="35">
        <f t="shared" si="17"/>
        <v>-14.018691588785046</v>
      </c>
      <c r="Z23" s="33">
        <f t="shared" si="18"/>
        <v>26.75</v>
      </c>
      <c r="AA23" s="12">
        <f>'WELLNESS DIARIO'!CC22</f>
        <v>9</v>
      </c>
      <c r="AB23" s="12">
        <f>'WELLNESS DIARIO'!CH22</f>
        <v>15</v>
      </c>
      <c r="AC23" s="12">
        <f>'WELLNESS DIARIO'!CM22</f>
        <v>15</v>
      </c>
      <c r="AD23" s="41">
        <f t="shared" si="19"/>
        <v>39</v>
      </c>
      <c r="AE23" s="34">
        <f t="shared" si="20"/>
        <v>145.79439252336448</v>
      </c>
      <c r="AF23" s="35">
        <f t="shared" si="21"/>
        <v>45.794392523364479</v>
      </c>
      <c r="AG23" s="33">
        <f t="shared" si="1"/>
        <v>29.5</v>
      </c>
      <c r="AH23" s="12">
        <f>'WELLNESS DIARIO'!CR22</f>
        <v>14</v>
      </c>
      <c r="AI23" s="12">
        <f>'WELLNESS DIARIO'!CW22</f>
        <v>8</v>
      </c>
      <c r="AJ23" s="12">
        <f>'WELLNESS DIARIO'!DB22</f>
        <v>12</v>
      </c>
      <c r="AK23" s="81">
        <f t="shared" si="43"/>
        <v>34</v>
      </c>
      <c r="AL23" s="35">
        <f t="shared" si="2"/>
        <v>115.2542372881356</v>
      </c>
      <c r="AM23" s="42">
        <f t="shared" si="22"/>
        <v>15.254237288135599</v>
      </c>
      <c r="AN23" s="37">
        <f t="shared" si="3"/>
        <v>31.25</v>
      </c>
      <c r="AO23" s="12">
        <f>'WELLNESS DIARIO'!DG22</f>
        <v>12</v>
      </c>
      <c r="AP23" s="12">
        <f>'WELLNESS DIARIO'!DL22</f>
        <v>13</v>
      </c>
      <c r="AQ23" s="12">
        <f>'WELLNESS DIARIO'!DQ22</f>
        <v>14</v>
      </c>
      <c r="AR23" s="44">
        <f t="shared" si="23"/>
        <v>39</v>
      </c>
      <c r="AS23" s="35">
        <f t="shared" si="4"/>
        <v>124.8</v>
      </c>
      <c r="AT23" s="42">
        <f t="shared" si="24"/>
        <v>24.799999999999997</v>
      </c>
      <c r="AU23" s="73">
        <f t="shared" si="25"/>
        <v>33.75</v>
      </c>
      <c r="AV23" s="12">
        <f>'WELLNESS DIARIO'!DV22</f>
        <v>12</v>
      </c>
      <c r="AW23" s="12">
        <f>'WELLNESS DIARIO'!EA22</f>
        <v>12</v>
      </c>
      <c r="AX23" s="12">
        <f>'WELLNESS DIARIO'!EF22</f>
        <v>14</v>
      </c>
      <c r="AY23" s="44">
        <f t="shared" si="26"/>
        <v>38</v>
      </c>
      <c r="AZ23" s="35">
        <f t="shared" si="5"/>
        <v>112.5925925925926</v>
      </c>
      <c r="BA23" s="42">
        <f t="shared" si="27"/>
        <v>12.592592592592595</v>
      </c>
      <c r="BB23" s="73">
        <f t="shared" si="28"/>
        <v>37.5</v>
      </c>
      <c r="BC23" s="12">
        <f>'WELLNESS DIARIO'!EK22</f>
        <v>12</v>
      </c>
      <c r="BD23" s="12">
        <f>'WELLNESS DIARIO'!EP22</f>
        <v>13</v>
      </c>
      <c r="BE23" s="12">
        <f>'WELLNESS DIARIO'!EU22</f>
        <v>12</v>
      </c>
      <c r="BF23" s="44">
        <f t="shared" si="29"/>
        <v>37</v>
      </c>
      <c r="BG23" s="35">
        <f t="shared" si="6"/>
        <v>98.666666666666671</v>
      </c>
      <c r="BH23" s="42">
        <f t="shared" si="30"/>
        <v>-1.3333333333333286</v>
      </c>
      <c r="BI23" s="73">
        <f t="shared" si="31"/>
        <v>37</v>
      </c>
      <c r="BJ23" s="12">
        <f>'WELLNESS DIARIO'!EZ22</f>
        <v>13</v>
      </c>
      <c r="BK23" s="12">
        <f>'WELLNESS DIARIO'!FE22</f>
        <v>8</v>
      </c>
      <c r="BL23" s="12">
        <f>'WELLNESS DIARIO'!FJ22</f>
        <v>10</v>
      </c>
      <c r="BM23" s="44">
        <f t="shared" si="32"/>
        <v>31</v>
      </c>
      <c r="BN23" s="35">
        <f t="shared" si="7"/>
        <v>83.78378378378379</v>
      </c>
      <c r="BO23" s="42">
        <f t="shared" si="33"/>
        <v>-16.21621621621621</v>
      </c>
      <c r="BP23" s="37">
        <f t="shared" si="44"/>
        <v>36.25</v>
      </c>
      <c r="BQ23" s="12">
        <f>'WELLNESS DIARIO'!FO22</f>
        <v>12</v>
      </c>
      <c r="BR23" s="12">
        <f>'WELLNESS DIARIO'!FT22</f>
        <v>6</v>
      </c>
      <c r="BS23" s="12">
        <f>'WELLNESS DIARIO'!FY22</f>
        <v>9</v>
      </c>
      <c r="BT23" s="44">
        <f t="shared" si="34"/>
        <v>27</v>
      </c>
      <c r="BU23" s="35">
        <f t="shared" si="8"/>
        <v>74.482758620689651</v>
      </c>
      <c r="BV23" s="42">
        <f t="shared" si="35"/>
        <v>-25.517241379310349</v>
      </c>
      <c r="BW23" s="73">
        <f t="shared" si="36"/>
        <v>33.25</v>
      </c>
      <c r="BX23" s="12">
        <f>'WELLNESS DIARIO'!GD22</f>
        <v>10</v>
      </c>
      <c r="BY23" s="12">
        <f>'WELLNESS DIARIO'!GI22</f>
        <v>10</v>
      </c>
      <c r="BZ23" s="12">
        <f>'WELLNESS DIARIO'!GN22</f>
        <v>14</v>
      </c>
      <c r="CA23" s="44">
        <f t="shared" si="37"/>
        <v>34</v>
      </c>
      <c r="CB23" s="35">
        <f t="shared" si="9"/>
        <v>102.25563909774436</v>
      </c>
      <c r="CC23" s="42">
        <f t="shared" si="38"/>
        <v>2.2556390977443641</v>
      </c>
      <c r="CD23" s="73">
        <f t="shared" si="39"/>
        <v>32.25</v>
      </c>
      <c r="CE23" s="12">
        <f>'WELLNESS DIARIO'!GS22</f>
        <v>9</v>
      </c>
      <c r="CF23" s="12">
        <f>'WELLNESS DIARIO'!GX22</f>
        <v>13</v>
      </c>
      <c r="CG23" s="12">
        <f>'WELLNESS DIARIO'!HC22</f>
        <v>12</v>
      </c>
      <c r="CH23" s="44">
        <f t="shared" si="40"/>
        <v>34</v>
      </c>
      <c r="CI23" s="35">
        <f t="shared" si="10"/>
        <v>105.42635658914729</v>
      </c>
      <c r="CJ23" s="42">
        <f t="shared" si="41"/>
        <v>5.4263565891472894</v>
      </c>
      <c r="CK23" s="73">
        <f t="shared" si="42"/>
        <v>31.5</v>
      </c>
    </row>
    <row r="24" spans="2:89" ht="18" customHeight="1" x14ac:dyDescent="0.3">
      <c r="B24" s="8" t="s">
        <v>23</v>
      </c>
      <c r="C24" s="11">
        <f>'WELLNESS DIARIO'!F23</f>
        <v>9</v>
      </c>
      <c r="D24" s="12">
        <f>'WELLNESS DIARIO'!K23</f>
        <v>10</v>
      </c>
      <c r="E24" s="12">
        <f>'WELLNESS DIARIO'!P23</f>
        <v>15</v>
      </c>
      <c r="F24" s="22">
        <f t="shared" si="11"/>
        <v>34</v>
      </c>
      <c r="G24" s="12">
        <f>'WELLNESS DIARIO'!U23</f>
        <v>11</v>
      </c>
      <c r="H24" s="12">
        <f>'WELLNESS DIARIO'!Z23</f>
        <v>8</v>
      </c>
      <c r="I24" s="12">
        <f>'WELLNESS DIARIO'!AE23</f>
        <v>14</v>
      </c>
      <c r="J24" s="22">
        <f t="shared" si="12"/>
        <v>33</v>
      </c>
      <c r="K24" s="12">
        <f>'WELLNESS DIARIO'!AJ23</f>
        <v>7</v>
      </c>
      <c r="L24" s="12">
        <f>'WELLNESS DIARIO'!AO23</f>
        <v>9</v>
      </c>
      <c r="M24" s="12">
        <f>'WELLNESS DIARIO'!AT23</f>
        <v>10</v>
      </c>
      <c r="N24" s="22">
        <f t="shared" si="13"/>
        <v>26</v>
      </c>
      <c r="O24" s="12">
        <f>'WELLNESS DIARIO'!AY23</f>
        <v>11</v>
      </c>
      <c r="P24" s="12">
        <f>'WELLNESS DIARIO'!BD23</f>
        <v>10</v>
      </c>
      <c r="Q24" s="12">
        <f>'WELLNESS DIARIO'!BI23</f>
        <v>8</v>
      </c>
      <c r="R24" s="22">
        <f t="shared" si="14"/>
        <v>29</v>
      </c>
      <c r="S24" s="37">
        <f t="shared" si="15"/>
        <v>30.5</v>
      </c>
      <c r="T24" s="12">
        <f>'WELLNESS DIARIO'!BN23</f>
        <v>10</v>
      </c>
      <c r="U24" s="12">
        <f>'WELLNESS DIARIO'!BS23</f>
        <v>11</v>
      </c>
      <c r="V24" s="12">
        <f>'WELLNESS DIARIO'!BX23</f>
        <v>9</v>
      </c>
      <c r="W24" s="36">
        <f t="shared" si="16"/>
        <v>30</v>
      </c>
      <c r="X24" s="34">
        <f t="shared" si="0"/>
        <v>98.360655737704917</v>
      </c>
      <c r="Y24" s="35">
        <f t="shared" si="17"/>
        <v>-1.6393442622950829</v>
      </c>
      <c r="Z24" s="33">
        <f t="shared" si="18"/>
        <v>29.5</v>
      </c>
      <c r="AA24" s="12">
        <f>'WELLNESS DIARIO'!CC23</f>
        <v>11</v>
      </c>
      <c r="AB24" s="12">
        <f>'WELLNESS DIARIO'!CH23</f>
        <v>8</v>
      </c>
      <c r="AC24" s="12">
        <f>'WELLNESS DIARIO'!CM23</f>
        <v>10</v>
      </c>
      <c r="AD24" s="41">
        <f t="shared" si="19"/>
        <v>29</v>
      </c>
      <c r="AE24" s="34">
        <f t="shared" si="20"/>
        <v>98.305084745762713</v>
      </c>
      <c r="AF24" s="35">
        <f t="shared" si="21"/>
        <v>-1.6949152542372872</v>
      </c>
      <c r="AG24" s="33">
        <f t="shared" si="1"/>
        <v>28.5</v>
      </c>
      <c r="AH24" s="12">
        <f>'WELLNESS DIARIO'!CR23</f>
        <v>13</v>
      </c>
      <c r="AI24" s="12">
        <f>'WELLNESS DIARIO'!CW23</f>
        <v>13</v>
      </c>
      <c r="AJ24" s="12">
        <f>'WELLNESS DIARIO'!DB23</f>
        <v>10</v>
      </c>
      <c r="AK24" s="81">
        <f t="shared" si="43"/>
        <v>36</v>
      </c>
      <c r="AL24" s="35">
        <f t="shared" si="2"/>
        <v>126.31578947368421</v>
      </c>
      <c r="AM24" s="42">
        <f t="shared" si="22"/>
        <v>26.315789473684205</v>
      </c>
      <c r="AN24" s="37">
        <f t="shared" si="3"/>
        <v>31</v>
      </c>
      <c r="AO24" s="12">
        <f>'WELLNESS DIARIO'!DG23</f>
        <v>14</v>
      </c>
      <c r="AP24" s="12">
        <f>'WELLNESS DIARIO'!DL23</f>
        <v>10</v>
      </c>
      <c r="AQ24" s="12">
        <f>'WELLNESS DIARIO'!DQ23</f>
        <v>11</v>
      </c>
      <c r="AR24" s="44">
        <f t="shared" si="23"/>
        <v>35</v>
      </c>
      <c r="AS24" s="35">
        <f t="shared" si="4"/>
        <v>112.90322580645162</v>
      </c>
      <c r="AT24" s="42">
        <f t="shared" si="24"/>
        <v>12.903225806451616</v>
      </c>
      <c r="AU24" s="73">
        <f t="shared" si="25"/>
        <v>32.5</v>
      </c>
      <c r="AV24" s="12">
        <f>'WELLNESS DIARIO'!DV23</f>
        <v>14</v>
      </c>
      <c r="AW24" s="12">
        <f>'WELLNESS DIARIO'!EA23</f>
        <v>7</v>
      </c>
      <c r="AX24" s="12">
        <f>'WELLNESS DIARIO'!EF23</f>
        <v>4</v>
      </c>
      <c r="AY24" s="44">
        <f t="shared" si="26"/>
        <v>25</v>
      </c>
      <c r="AZ24" s="35">
        <f t="shared" si="5"/>
        <v>76.92307692307692</v>
      </c>
      <c r="BA24" s="42">
        <f t="shared" si="27"/>
        <v>-23.07692307692308</v>
      </c>
      <c r="BB24" s="73">
        <f t="shared" si="28"/>
        <v>31.25</v>
      </c>
      <c r="BC24" s="12">
        <f>'WELLNESS DIARIO'!EK23</f>
        <v>13</v>
      </c>
      <c r="BD24" s="12">
        <f>'WELLNESS DIARIO'!EP23</f>
        <v>11</v>
      </c>
      <c r="BE24" s="12">
        <f>'WELLNESS DIARIO'!EU23</f>
        <v>12</v>
      </c>
      <c r="BF24" s="44">
        <f t="shared" si="29"/>
        <v>36</v>
      </c>
      <c r="BG24" s="35">
        <f t="shared" si="6"/>
        <v>115.2</v>
      </c>
      <c r="BH24" s="42">
        <f t="shared" si="30"/>
        <v>15.200000000000003</v>
      </c>
      <c r="BI24" s="73">
        <f t="shared" si="31"/>
        <v>33</v>
      </c>
      <c r="BJ24" s="12">
        <f>'WELLNESS DIARIO'!EZ23</f>
        <v>7</v>
      </c>
      <c r="BK24" s="12">
        <f>'WELLNESS DIARIO'!FE23</f>
        <v>9</v>
      </c>
      <c r="BL24" s="12">
        <f>'WELLNESS DIARIO'!FJ23</f>
        <v>10</v>
      </c>
      <c r="BM24" s="44">
        <f t="shared" si="32"/>
        <v>26</v>
      </c>
      <c r="BN24" s="35">
        <f t="shared" si="7"/>
        <v>78.787878787878782</v>
      </c>
      <c r="BO24" s="42">
        <f t="shared" si="33"/>
        <v>-21.212121212121218</v>
      </c>
      <c r="BP24" s="37">
        <f t="shared" si="44"/>
        <v>30.5</v>
      </c>
      <c r="BQ24" s="12">
        <f>'WELLNESS DIARIO'!FO23</f>
        <v>8</v>
      </c>
      <c r="BR24" s="12">
        <f>'WELLNESS DIARIO'!FT23</f>
        <v>9</v>
      </c>
      <c r="BS24" s="12">
        <f>'WELLNESS DIARIO'!FY23</f>
        <v>15</v>
      </c>
      <c r="BT24" s="44">
        <f t="shared" si="34"/>
        <v>32</v>
      </c>
      <c r="BU24" s="35">
        <f t="shared" si="8"/>
        <v>104.91803278688525</v>
      </c>
      <c r="BV24" s="42">
        <f t="shared" si="35"/>
        <v>4.9180327868852487</v>
      </c>
      <c r="BW24" s="73">
        <f t="shared" si="36"/>
        <v>29.75</v>
      </c>
      <c r="BX24" s="12">
        <f>'WELLNESS DIARIO'!GD23</f>
        <v>14</v>
      </c>
      <c r="BY24" s="12">
        <f>'WELLNESS DIARIO'!GI23</f>
        <v>16</v>
      </c>
      <c r="BZ24" s="12">
        <f>'WELLNESS DIARIO'!GN23</f>
        <v>8</v>
      </c>
      <c r="CA24" s="44">
        <f t="shared" si="37"/>
        <v>38</v>
      </c>
      <c r="CB24" s="35">
        <f t="shared" si="9"/>
        <v>127.73109243697479</v>
      </c>
      <c r="CC24" s="42">
        <f t="shared" si="38"/>
        <v>27.731092436974791</v>
      </c>
      <c r="CD24" s="73">
        <f t="shared" si="39"/>
        <v>33</v>
      </c>
      <c r="CE24" s="12">
        <f>'WELLNESS DIARIO'!GS23</f>
        <v>11</v>
      </c>
      <c r="CF24" s="12">
        <f>'WELLNESS DIARIO'!GX23</f>
        <v>13</v>
      </c>
      <c r="CG24" s="12">
        <f>'WELLNESS DIARIO'!HC23</f>
        <v>13</v>
      </c>
      <c r="CH24" s="44">
        <f t="shared" si="40"/>
        <v>37</v>
      </c>
      <c r="CI24" s="35">
        <f t="shared" si="10"/>
        <v>112.12121212121212</v>
      </c>
      <c r="CJ24" s="42">
        <f t="shared" si="41"/>
        <v>12.121212121212125</v>
      </c>
      <c r="CK24" s="73">
        <f t="shared" si="42"/>
        <v>33.25</v>
      </c>
    </row>
    <row r="25" spans="2:89" ht="18" customHeight="1" x14ac:dyDescent="0.3">
      <c r="B25" s="8" t="s">
        <v>24</v>
      </c>
      <c r="C25" s="11">
        <f>'WELLNESS DIARIO'!F24</f>
        <v>11</v>
      </c>
      <c r="D25" s="12">
        <f>'WELLNESS DIARIO'!K24</f>
        <v>11</v>
      </c>
      <c r="E25" s="12">
        <f>'WELLNESS DIARIO'!P24</f>
        <v>10</v>
      </c>
      <c r="F25" s="22">
        <f t="shared" si="11"/>
        <v>32</v>
      </c>
      <c r="G25" s="12">
        <f>'WELLNESS DIARIO'!U24</f>
        <v>12</v>
      </c>
      <c r="H25" s="12">
        <f>'WELLNESS DIARIO'!Z24</f>
        <v>11</v>
      </c>
      <c r="I25" s="12">
        <f>'WELLNESS DIARIO'!AE24</f>
        <v>10</v>
      </c>
      <c r="J25" s="22">
        <f t="shared" si="12"/>
        <v>33</v>
      </c>
      <c r="K25" s="12">
        <f>'WELLNESS DIARIO'!AJ24</f>
        <v>10</v>
      </c>
      <c r="L25" s="12">
        <f>'WELLNESS DIARIO'!AO24</f>
        <v>8</v>
      </c>
      <c r="M25" s="12">
        <f>'WELLNESS DIARIO'!AT24</f>
        <v>9</v>
      </c>
      <c r="N25" s="22">
        <f t="shared" si="13"/>
        <v>27</v>
      </c>
      <c r="O25" s="12">
        <f>'WELLNESS DIARIO'!AY24</f>
        <v>6</v>
      </c>
      <c r="P25" s="12">
        <f>'WELLNESS DIARIO'!BD24</f>
        <v>9</v>
      </c>
      <c r="Q25" s="12">
        <f>'WELLNESS DIARIO'!BI24</f>
        <v>9</v>
      </c>
      <c r="R25" s="22">
        <f t="shared" si="14"/>
        <v>24</v>
      </c>
      <c r="S25" s="37">
        <f t="shared" si="15"/>
        <v>29</v>
      </c>
      <c r="T25" s="12">
        <f>'WELLNESS DIARIO'!BN24</f>
        <v>9</v>
      </c>
      <c r="U25" s="12">
        <f>'WELLNESS DIARIO'!BS24</f>
        <v>9</v>
      </c>
      <c r="V25" s="12">
        <f>'WELLNESS DIARIO'!BX24</f>
        <v>6</v>
      </c>
      <c r="W25" s="36">
        <f t="shared" si="16"/>
        <v>24</v>
      </c>
      <c r="X25" s="34">
        <f t="shared" si="0"/>
        <v>82.758620689655174</v>
      </c>
      <c r="Y25" s="38">
        <f t="shared" si="17"/>
        <v>-17.241379310344826</v>
      </c>
      <c r="Z25" s="33">
        <f t="shared" si="18"/>
        <v>27</v>
      </c>
      <c r="AA25" s="12">
        <f>'WELLNESS DIARIO'!CC24</f>
        <v>9</v>
      </c>
      <c r="AB25" s="12">
        <f>'WELLNESS DIARIO'!CH24</f>
        <v>16</v>
      </c>
      <c r="AC25" s="12">
        <f>'WELLNESS DIARIO'!CM24</f>
        <v>13</v>
      </c>
      <c r="AD25" s="41">
        <f t="shared" si="19"/>
        <v>38</v>
      </c>
      <c r="AE25" s="34">
        <f t="shared" si="20"/>
        <v>140.74074074074073</v>
      </c>
      <c r="AF25" s="38">
        <f t="shared" si="21"/>
        <v>40.740740740740733</v>
      </c>
      <c r="AG25" s="33">
        <f t="shared" si="1"/>
        <v>28.25</v>
      </c>
      <c r="AH25" s="12">
        <f>'WELLNESS DIARIO'!CR24</f>
        <v>8</v>
      </c>
      <c r="AI25" s="12">
        <f>'WELLNESS DIARIO'!CW24</f>
        <v>12</v>
      </c>
      <c r="AJ25" s="12">
        <f>'WELLNESS DIARIO'!DB24</f>
        <v>15</v>
      </c>
      <c r="AK25" s="81">
        <f t="shared" si="43"/>
        <v>35</v>
      </c>
      <c r="AL25" s="35">
        <f t="shared" si="2"/>
        <v>123.89380530973452</v>
      </c>
      <c r="AM25" s="43">
        <f t="shared" si="22"/>
        <v>23.893805309734518</v>
      </c>
      <c r="AN25" s="37">
        <f t="shared" si="3"/>
        <v>30.25</v>
      </c>
      <c r="AO25" s="12">
        <f>'WELLNESS DIARIO'!DG24</f>
        <v>6</v>
      </c>
      <c r="AP25" s="12">
        <f>'WELLNESS DIARIO'!DL24</f>
        <v>11</v>
      </c>
      <c r="AQ25" s="12">
        <f>'WELLNESS DIARIO'!DQ24</f>
        <v>12</v>
      </c>
      <c r="AR25" s="44">
        <f t="shared" si="23"/>
        <v>29</v>
      </c>
      <c r="AS25" s="35">
        <f t="shared" si="4"/>
        <v>95.867768595041326</v>
      </c>
      <c r="AT25" s="43">
        <f t="shared" si="24"/>
        <v>-4.1322314049586737</v>
      </c>
      <c r="AU25" s="73">
        <f t="shared" si="25"/>
        <v>31.5</v>
      </c>
      <c r="AV25" s="12">
        <f>'WELLNESS DIARIO'!DV24</f>
        <v>4</v>
      </c>
      <c r="AW25" s="12">
        <f>'WELLNESS DIARIO'!EA24</f>
        <v>12</v>
      </c>
      <c r="AX25" s="12">
        <f>'WELLNESS DIARIO'!EF24</f>
        <v>9</v>
      </c>
      <c r="AY25" s="44">
        <f t="shared" si="26"/>
        <v>25</v>
      </c>
      <c r="AZ25" s="35">
        <f t="shared" si="5"/>
        <v>79.365079365079367</v>
      </c>
      <c r="BA25" s="43">
        <f t="shared" si="27"/>
        <v>-20.634920634920633</v>
      </c>
      <c r="BB25" s="73">
        <f t="shared" si="28"/>
        <v>31.75</v>
      </c>
      <c r="BC25" s="12">
        <f>'WELLNESS DIARIO'!EK24</f>
        <v>9</v>
      </c>
      <c r="BD25" s="12">
        <f>'WELLNESS DIARIO'!EP24</f>
        <v>11</v>
      </c>
      <c r="BE25" s="12">
        <f>'WELLNESS DIARIO'!EU24</f>
        <v>11</v>
      </c>
      <c r="BF25" s="44">
        <f t="shared" si="29"/>
        <v>31</v>
      </c>
      <c r="BG25" s="35">
        <f t="shared" si="6"/>
        <v>97.637795275590548</v>
      </c>
      <c r="BH25" s="43">
        <f t="shared" si="30"/>
        <v>-2.3622047244094517</v>
      </c>
      <c r="BI25" s="73">
        <f t="shared" si="31"/>
        <v>30</v>
      </c>
      <c r="BJ25" s="12">
        <f>'WELLNESS DIARIO'!EZ24</f>
        <v>8</v>
      </c>
      <c r="BK25" s="12">
        <f>'WELLNESS DIARIO'!FE24</f>
        <v>11</v>
      </c>
      <c r="BL25" s="12">
        <f>'WELLNESS DIARIO'!FJ24</f>
        <v>8</v>
      </c>
      <c r="BM25" s="44">
        <f t="shared" si="32"/>
        <v>27</v>
      </c>
      <c r="BN25" s="35">
        <f t="shared" si="7"/>
        <v>90</v>
      </c>
      <c r="BO25" s="43">
        <f t="shared" si="33"/>
        <v>-10</v>
      </c>
      <c r="BP25" s="37">
        <f t="shared" si="44"/>
        <v>28</v>
      </c>
      <c r="BQ25" s="12">
        <f>'WELLNESS DIARIO'!FO24</f>
        <v>11</v>
      </c>
      <c r="BR25" s="12">
        <f>'WELLNESS DIARIO'!FT24</f>
        <v>11</v>
      </c>
      <c r="BS25" s="12">
        <f>'WELLNESS DIARIO'!FY24</f>
        <v>12</v>
      </c>
      <c r="BT25" s="44">
        <f t="shared" si="34"/>
        <v>34</v>
      </c>
      <c r="BU25" s="35">
        <f t="shared" si="8"/>
        <v>121.42857142857143</v>
      </c>
      <c r="BV25" s="43">
        <f t="shared" si="35"/>
        <v>21.428571428571431</v>
      </c>
      <c r="BW25" s="73">
        <f t="shared" si="36"/>
        <v>29.25</v>
      </c>
      <c r="BX25" s="12">
        <f>'WELLNESS DIARIO'!GD24</f>
        <v>10</v>
      </c>
      <c r="BY25" s="12">
        <f>'WELLNESS DIARIO'!GI24</f>
        <v>10</v>
      </c>
      <c r="BZ25" s="12">
        <f>'WELLNESS DIARIO'!GN24</f>
        <v>14</v>
      </c>
      <c r="CA25" s="44">
        <f t="shared" si="37"/>
        <v>34</v>
      </c>
      <c r="CB25" s="35">
        <f t="shared" si="9"/>
        <v>116.23931623931624</v>
      </c>
      <c r="CC25" s="43">
        <f t="shared" si="38"/>
        <v>16.239316239316238</v>
      </c>
      <c r="CD25" s="73">
        <f t="shared" si="39"/>
        <v>31.5</v>
      </c>
      <c r="CE25" s="12">
        <f>'WELLNESS DIARIO'!GS24</f>
        <v>13</v>
      </c>
      <c r="CF25" s="12">
        <f>'WELLNESS DIARIO'!GX24</f>
        <v>12</v>
      </c>
      <c r="CG25" s="12">
        <f>'WELLNESS DIARIO'!HC24</f>
        <v>13</v>
      </c>
      <c r="CH25" s="44">
        <f t="shared" si="40"/>
        <v>38</v>
      </c>
      <c r="CI25" s="35">
        <f t="shared" si="10"/>
        <v>120.63492063492063</v>
      </c>
      <c r="CJ25" s="43">
        <f t="shared" si="41"/>
        <v>20.634920634920633</v>
      </c>
      <c r="CK25" s="73">
        <f t="shared" si="42"/>
        <v>33.25</v>
      </c>
    </row>
    <row r="26" spans="2:89" ht="18" customHeight="1" x14ac:dyDescent="0.3">
      <c r="B26" s="8" t="s">
        <v>25</v>
      </c>
      <c r="C26" s="11">
        <f>'WELLNESS DIARIO'!F25</f>
        <v>8</v>
      </c>
      <c r="D26" s="12">
        <f>'WELLNESS DIARIO'!K25</f>
        <v>9</v>
      </c>
      <c r="E26" s="12">
        <f>'WELLNESS DIARIO'!P25</f>
        <v>8</v>
      </c>
      <c r="F26" s="22">
        <f t="shared" si="11"/>
        <v>25</v>
      </c>
      <c r="G26" s="12">
        <f>'WELLNESS DIARIO'!U25</f>
        <v>8</v>
      </c>
      <c r="H26" s="12">
        <f>'WELLNESS DIARIO'!Z25</f>
        <v>9</v>
      </c>
      <c r="I26" s="12">
        <f>'WELLNESS DIARIO'!AE25</f>
        <v>10</v>
      </c>
      <c r="J26" s="22">
        <f t="shared" si="12"/>
        <v>27</v>
      </c>
      <c r="K26" s="12">
        <f>'WELLNESS DIARIO'!AJ25</f>
        <v>9</v>
      </c>
      <c r="L26" s="12">
        <f>'WELLNESS DIARIO'!AO25</f>
        <v>10</v>
      </c>
      <c r="M26" s="12">
        <f>'WELLNESS DIARIO'!AT25</f>
        <v>9</v>
      </c>
      <c r="N26" s="22">
        <f t="shared" si="13"/>
        <v>28</v>
      </c>
      <c r="O26" s="12">
        <f>'WELLNESS DIARIO'!AY25</f>
        <v>7</v>
      </c>
      <c r="P26" s="12">
        <f>'WELLNESS DIARIO'!BD25</f>
        <v>10</v>
      </c>
      <c r="Q26" s="12">
        <f>'WELLNESS DIARIO'!BI25</f>
        <v>10</v>
      </c>
      <c r="R26" s="22">
        <f t="shared" si="14"/>
        <v>27</v>
      </c>
      <c r="S26" s="37">
        <f t="shared" si="15"/>
        <v>26.75</v>
      </c>
      <c r="T26" s="12">
        <f>'WELLNESS DIARIO'!BN25</f>
        <v>9</v>
      </c>
      <c r="U26" s="12">
        <f>'WELLNESS DIARIO'!BS25</f>
        <v>8</v>
      </c>
      <c r="V26" s="12">
        <f>'WELLNESS DIARIO'!BX25</f>
        <v>10</v>
      </c>
      <c r="W26" s="36">
        <f t="shared" si="16"/>
        <v>27</v>
      </c>
      <c r="X26" s="34">
        <f t="shared" si="0"/>
        <v>100.93457943925233</v>
      </c>
      <c r="Y26" s="35">
        <f t="shared" si="17"/>
        <v>0.93457943925233167</v>
      </c>
      <c r="Z26" s="33">
        <f t="shared" si="18"/>
        <v>27.25</v>
      </c>
      <c r="AA26" s="12">
        <f>'WELLNESS DIARIO'!CC25</f>
        <v>12</v>
      </c>
      <c r="AB26" s="12">
        <f>'WELLNESS DIARIO'!CH25</f>
        <v>8</v>
      </c>
      <c r="AC26" s="12">
        <f>'WELLNESS DIARIO'!CM25</f>
        <v>16</v>
      </c>
      <c r="AD26" s="41">
        <f t="shared" si="19"/>
        <v>36</v>
      </c>
      <c r="AE26" s="34">
        <f t="shared" si="20"/>
        <v>132.11009174311926</v>
      </c>
      <c r="AF26" s="35">
        <f t="shared" si="21"/>
        <v>32.110091743119256</v>
      </c>
      <c r="AG26" s="33">
        <f t="shared" si="1"/>
        <v>29.5</v>
      </c>
      <c r="AH26" s="12">
        <f>'WELLNESS DIARIO'!CR25</f>
        <v>16</v>
      </c>
      <c r="AI26" s="12">
        <f>'WELLNESS DIARIO'!CW25</f>
        <v>17</v>
      </c>
      <c r="AJ26" s="12">
        <f>'WELLNESS DIARIO'!DB25</f>
        <v>11</v>
      </c>
      <c r="AK26" s="81">
        <f t="shared" si="43"/>
        <v>44</v>
      </c>
      <c r="AL26" s="35">
        <f t="shared" si="2"/>
        <v>149.15254237288136</v>
      </c>
      <c r="AM26" s="42">
        <f t="shared" si="22"/>
        <v>49.152542372881356</v>
      </c>
      <c r="AN26" s="37">
        <f t="shared" si="3"/>
        <v>33.5</v>
      </c>
      <c r="AO26" s="12">
        <f>'WELLNESS DIARIO'!DG25</f>
        <v>11</v>
      </c>
      <c r="AP26" s="12">
        <f>'WELLNESS DIARIO'!DL25</f>
        <v>10</v>
      </c>
      <c r="AQ26" s="12">
        <f>'WELLNESS DIARIO'!DQ25</f>
        <v>11</v>
      </c>
      <c r="AR26" s="44">
        <f t="shared" si="23"/>
        <v>32</v>
      </c>
      <c r="AS26" s="35">
        <f t="shared" si="4"/>
        <v>95.522388059701498</v>
      </c>
      <c r="AT26" s="42">
        <f t="shared" si="24"/>
        <v>-4.4776119402985017</v>
      </c>
      <c r="AU26" s="73">
        <f t="shared" si="25"/>
        <v>34.75</v>
      </c>
      <c r="AV26" s="12">
        <f>'WELLNESS DIARIO'!DV25</f>
        <v>12</v>
      </c>
      <c r="AW26" s="12">
        <f>'WELLNESS DIARIO'!EA25</f>
        <v>8</v>
      </c>
      <c r="AX26" s="12">
        <f>'WELLNESS DIARIO'!EF25</f>
        <v>11</v>
      </c>
      <c r="AY26" s="44">
        <f t="shared" si="26"/>
        <v>31</v>
      </c>
      <c r="AZ26" s="35">
        <f t="shared" si="5"/>
        <v>89.208633093525179</v>
      </c>
      <c r="BA26" s="42">
        <f t="shared" si="27"/>
        <v>-10.791366906474821</v>
      </c>
      <c r="BB26" s="73">
        <f t="shared" si="28"/>
        <v>35.75</v>
      </c>
      <c r="BC26" s="12">
        <f>'WELLNESS DIARIO'!EK25</f>
        <v>13</v>
      </c>
      <c r="BD26" s="12">
        <f>'WELLNESS DIARIO'!EP25</f>
        <v>7</v>
      </c>
      <c r="BE26" s="12">
        <f>'WELLNESS DIARIO'!EU25</f>
        <v>11</v>
      </c>
      <c r="BF26" s="44">
        <f t="shared" si="29"/>
        <v>31</v>
      </c>
      <c r="BG26" s="35">
        <f t="shared" si="6"/>
        <v>86.713286713286706</v>
      </c>
      <c r="BH26" s="42">
        <f t="shared" si="30"/>
        <v>-13.286713286713294</v>
      </c>
      <c r="BI26" s="73">
        <f t="shared" si="31"/>
        <v>34.5</v>
      </c>
      <c r="BJ26" s="12">
        <f>'WELLNESS DIARIO'!EZ25</f>
        <v>11</v>
      </c>
      <c r="BK26" s="12">
        <f>'WELLNESS DIARIO'!FE25</f>
        <v>8</v>
      </c>
      <c r="BL26" s="12">
        <f>'WELLNESS DIARIO'!FJ25</f>
        <v>8</v>
      </c>
      <c r="BM26" s="44">
        <f t="shared" si="32"/>
        <v>27</v>
      </c>
      <c r="BN26" s="35">
        <f t="shared" si="7"/>
        <v>78.260869565217391</v>
      </c>
      <c r="BO26" s="42">
        <f t="shared" si="33"/>
        <v>-21.739130434782609</v>
      </c>
      <c r="BP26" s="37">
        <f t="shared" si="44"/>
        <v>30.25</v>
      </c>
      <c r="BQ26" s="12">
        <f>'WELLNESS DIARIO'!FO25</f>
        <v>12</v>
      </c>
      <c r="BR26" s="12">
        <f>'WELLNESS DIARIO'!FT25</f>
        <v>11</v>
      </c>
      <c r="BS26" s="12">
        <f>'WELLNESS DIARIO'!FY25</f>
        <v>7</v>
      </c>
      <c r="BT26" s="44">
        <f t="shared" si="34"/>
        <v>30</v>
      </c>
      <c r="BU26" s="35">
        <f t="shared" si="8"/>
        <v>99.173553719008268</v>
      </c>
      <c r="BV26" s="42">
        <f t="shared" si="35"/>
        <v>-0.8264462809917319</v>
      </c>
      <c r="BW26" s="73">
        <f t="shared" si="36"/>
        <v>29.75</v>
      </c>
      <c r="BX26" s="12">
        <f>'WELLNESS DIARIO'!GD25</f>
        <v>8</v>
      </c>
      <c r="BY26" s="12">
        <f>'WELLNESS DIARIO'!GI25</f>
        <v>12</v>
      </c>
      <c r="BZ26" s="12">
        <f>'WELLNESS DIARIO'!GN25</f>
        <v>12</v>
      </c>
      <c r="CA26" s="44">
        <f t="shared" si="37"/>
        <v>32</v>
      </c>
      <c r="CB26" s="35">
        <f t="shared" si="9"/>
        <v>107.56302521008404</v>
      </c>
      <c r="CC26" s="42">
        <f t="shared" si="38"/>
        <v>7.5630252100840352</v>
      </c>
      <c r="CD26" s="73">
        <f t="shared" si="39"/>
        <v>30</v>
      </c>
      <c r="CE26" s="12">
        <f>'WELLNESS DIARIO'!GS25</f>
        <v>16</v>
      </c>
      <c r="CF26" s="12">
        <f>'WELLNESS DIARIO'!GX25</f>
        <v>13</v>
      </c>
      <c r="CG26" s="12">
        <f>'WELLNESS DIARIO'!HC25</f>
        <v>11</v>
      </c>
      <c r="CH26" s="44">
        <f t="shared" si="40"/>
        <v>40</v>
      </c>
      <c r="CI26" s="35">
        <f t="shared" si="10"/>
        <v>133.33333333333334</v>
      </c>
      <c r="CJ26" s="42">
        <f t="shared" si="41"/>
        <v>33.333333333333343</v>
      </c>
      <c r="CK26" s="73">
        <f t="shared" si="42"/>
        <v>32.25</v>
      </c>
    </row>
    <row r="27" spans="2:89" ht="18" customHeight="1" x14ac:dyDescent="0.3">
      <c r="B27" s="8" t="s">
        <v>26</v>
      </c>
      <c r="C27" s="11">
        <f>'WELLNESS DIARIO'!F26</f>
        <v>9</v>
      </c>
      <c r="D27" s="12">
        <f>'WELLNESS DIARIO'!K26</f>
        <v>17</v>
      </c>
      <c r="E27" s="12">
        <f>'WELLNESS DIARIO'!P26</f>
        <v>11</v>
      </c>
      <c r="F27" s="22">
        <f t="shared" si="11"/>
        <v>37</v>
      </c>
      <c r="G27" s="12">
        <f>'WELLNESS DIARIO'!U26</f>
        <v>10</v>
      </c>
      <c r="H27" s="12">
        <f>'WELLNESS DIARIO'!Z26</f>
        <v>11</v>
      </c>
      <c r="I27" s="12">
        <f>'WELLNESS DIARIO'!AE26</f>
        <v>12</v>
      </c>
      <c r="J27" s="22">
        <f t="shared" si="12"/>
        <v>33</v>
      </c>
      <c r="K27" s="12">
        <f>'WELLNESS DIARIO'!AJ26</f>
        <v>13</v>
      </c>
      <c r="L27" s="12">
        <f>'WELLNESS DIARIO'!AO26</f>
        <v>12</v>
      </c>
      <c r="M27" s="12">
        <f>'WELLNESS DIARIO'!AT26</f>
        <v>11</v>
      </c>
      <c r="N27" s="22">
        <f t="shared" si="13"/>
        <v>36</v>
      </c>
      <c r="O27" s="12">
        <f>'WELLNESS DIARIO'!AY26</f>
        <v>18</v>
      </c>
      <c r="P27" s="12">
        <f>'WELLNESS DIARIO'!BD26</f>
        <v>11</v>
      </c>
      <c r="Q27" s="12">
        <f>'WELLNESS DIARIO'!BI26</f>
        <v>10</v>
      </c>
      <c r="R27" s="22">
        <f t="shared" si="14"/>
        <v>39</v>
      </c>
      <c r="S27" s="37">
        <f t="shared" si="15"/>
        <v>36.25</v>
      </c>
      <c r="T27" s="12">
        <f>'WELLNESS DIARIO'!BN26</f>
        <v>11</v>
      </c>
      <c r="U27" s="12">
        <f>'WELLNESS DIARIO'!BS26</f>
        <v>11</v>
      </c>
      <c r="V27" s="12">
        <f>'WELLNESS DIARIO'!BX26</f>
        <v>12</v>
      </c>
      <c r="W27" s="36">
        <f t="shared" si="16"/>
        <v>34</v>
      </c>
      <c r="X27" s="34">
        <f t="shared" si="0"/>
        <v>93.793103448275858</v>
      </c>
      <c r="Y27" s="35">
        <f t="shared" si="17"/>
        <v>-6.2068965517241423</v>
      </c>
      <c r="Z27" s="33">
        <f t="shared" si="18"/>
        <v>35.5</v>
      </c>
      <c r="AA27" s="12">
        <f>'WELLNESS DIARIO'!CC26</f>
        <v>15</v>
      </c>
      <c r="AB27" s="12">
        <f>'WELLNESS DIARIO'!CH26</f>
        <v>8</v>
      </c>
      <c r="AC27" s="12">
        <f>'WELLNESS DIARIO'!CM26</f>
        <v>12</v>
      </c>
      <c r="AD27" s="41">
        <f t="shared" si="19"/>
        <v>35</v>
      </c>
      <c r="AE27" s="34">
        <f t="shared" si="20"/>
        <v>98.591549295774641</v>
      </c>
      <c r="AF27" s="35">
        <f t="shared" si="21"/>
        <v>-1.4084507042253591</v>
      </c>
      <c r="AG27" s="33">
        <f t="shared" si="1"/>
        <v>36</v>
      </c>
      <c r="AH27" s="12">
        <f>'WELLNESS DIARIO'!CR26</f>
        <v>16</v>
      </c>
      <c r="AI27" s="12">
        <f>'WELLNESS DIARIO'!CW26</f>
        <v>11</v>
      </c>
      <c r="AJ27" s="12">
        <f>'WELLNESS DIARIO'!DB26</f>
        <v>12</v>
      </c>
      <c r="AK27" s="81">
        <f t="shared" si="43"/>
        <v>39</v>
      </c>
      <c r="AL27" s="35">
        <f>(AK27*100)/AG27</f>
        <v>108.33333333333333</v>
      </c>
      <c r="AM27" s="42">
        <f t="shared" si="22"/>
        <v>8.3333333333333286</v>
      </c>
      <c r="AN27" s="37">
        <f t="shared" si="3"/>
        <v>36.75</v>
      </c>
      <c r="AO27" s="12">
        <f>'WELLNESS DIARIO'!DG26</f>
        <v>17</v>
      </c>
      <c r="AP27" s="12">
        <f>'WELLNESS DIARIO'!DL26</f>
        <v>12</v>
      </c>
      <c r="AQ27" s="12">
        <f>'WELLNESS DIARIO'!DQ26</f>
        <v>13</v>
      </c>
      <c r="AR27" s="44">
        <f t="shared" si="23"/>
        <v>42</v>
      </c>
      <c r="AS27" s="35">
        <f t="shared" si="4"/>
        <v>114.28571428571429</v>
      </c>
      <c r="AT27" s="42">
        <f t="shared" si="24"/>
        <v>14.285714285714292</v>
      </c>
      <c r="AU27" s="73">
        <f t="shared" si="25"/>
        <v>37.5</v>
      </c>
      <c r="AV27" s="12">
        <f>'WELLNESS DIARIO'!DV26</f>
        <v>12</v>
      </c>
      <c r="AW27" s="12">
        <f>'WELLNESS DIARIO'!EA26</f>
        <v>8</v>
      </c>
      <c r="AX27" s="12">
        <f>'WELLNESS DIARIO'!EF26</f>
        <v>11</v>
      </c>
      <c r="AY27" s="44">
        <f t="shared" si="26"/>
        <v>31</v>
      </c>
      <c r="AZ27" s="35">
        <f t="shared" si="5"/>
        <v>82.666666666666671</v>
      </c>
      <c r="BA27" s="42">
        <f t="shared" si="27"/>
        <v>-17.333333333333329</v>
      </c>
      <c r="BB27" s="73">
        <f t="shared" si="28"/>
        <v>36.75</v>
      </c>
      <c r="BC27" s="12">
        <f>'WELLNESS DIARIO'!EK26</f>
        <v>5</v>
      </c>
      <c r="BD27" s="12">
        <f>'WELLNESS DIARIO'!EP26</f>
        <v>15</v>
      </c>
      <c r="BE27" s="12">
        <f>'WELLNESS DIARIO'!EU26</f>
        <v>9</v>
      </c>
      <c r="BF27" s="44">
        <f t="shared" si="29"/>
        <v>29</v>
      </c>
      <c r="BG27" s="35">
        <f t="shared" si="6"/>
        <v>78.911564625850346</v>
      </c>
      <c r="BH27" s="42">
        <f t="shared" si="30"/>
        <v>-21.088435374149654</v>
      </c>
      <c r="BI27" s="73">
        <f t="shared" si="31"/>
        <v>35.25</v>
      </c>
      <c r="BJ27" s="12">
        <f>'WELLNESS DIARIO'!EZ26</f>
        <v>12</v>
      </c>
      <c r="BK27" s="12">
        <f>'WELLNESS DIARIO'!FE26</f>
        <v>7</v>
      </c>
      <c r="BL27" s="12">
        <f>'WELLNESS DIARIO'!FJ26</f>
        <v>10</v>
      </c>
      <c r="BM27" s="44">
        <f t="shared" si="32"/>
        <v>29</v>
      </c>
      <c r="BN27" s="35">
        <f t="shared" si="7"/>
        <v>82.269503546099287</v>
      </c>
      <c r="BO27" s="42">
        <f t="shared" si="33"/>
        <v>-17.730496453900713</v>
      </c>
      <c r="BP27" s="37">
        <f t="shared" si="44"/>
        <v>32.75</v>
      </c>
      <c r="BQ27" s="12">
        <f>'WELLNESS DIARIO'!FO26</f>
        <v>9</v>
      </c>
      <c r="BR27" s="12">
        <f>'WELLNESS DIARIO'!FT26</f>
        <v>14</v>
      </c>
      <c r="BS27" s="12">
        <f>'WELLNESS DIARIO'!FY26</f>
        <v>11</v>
      </c>
      <c r="BT27" s="44">
        <f t="shared" si="34"/>
        <v>34</v>
      </c>
      <c r="BU27" s="35">
        <f t="shared" si="8"/>
        <v>103.81679389312977</v>
      </c>
      <c r="BV27" s="42">
        <f t="shared" si="35"/>
        <v>3.8167938931297698</v>
      </c>
      <c r="BW27" s="73">
        <f t="shared" si="36"/>
        <v>30.75</v>
      </c>
      <c r="BX27" s="12">
        <f>'WELLNESS DIARIO'!GD26</f>
        <v>14</v>
      </c>
      <c r="BY27" s="12">
        <f>'WELLNESS DIARIO'!GI26</f>
        <v>15</v>
      </c>
      <c r="BZ27" s="12">
        <f>'WELLNESS DIARIO'!GN26</f>
        <v>13</v>
      </c>
      <c r="CA27" s="44">
        <f t="shared" si="37"/>
        <v>42</v>
      </c>
      <c r="CB27" s="35">
        <f t="shared" si="9"/>
        <v>136.58536585365854</v>
      </c>
      <c r="CC27" s="42">
        <f t="shared" si="38"/>
        <v>36.585365853658544</v>
      </c>
      <c r="CD27" s="73">
        <f t="shared" si="39"/>
        <v>33.5</v>
      </c>
      <c r="CE27" s="12">
        <f>'WELLNESS DIARIO'!GS26</f>
        <v>12</v>
      </c>
      <c r="CF27" s="12">
        <f>'WELLNESS DIARIO'!GX26</f>
        <v>12</v>
      </c>
      <c r="CG27" s="12">
        <f>'WELLNESS DIARIO'!HC26</f>
        <v>11</v>
      </c>
      <c r="CH27" s="44">
        <f t="shared" si="40"/>
        <v>35</v>
      </c>
      <c r="CI27" s="35">
        <f t="shared" si="10"/>
        <v>104.4776119402985</v>
      </c>
      <c r="CJ27" s="42">
        <f t="shared" si="41"/>
        <v>4.4776119402985017</v>
      </c>
      <c r="CK27" s="73">
        <f t="shared" si="42"/>
        <v>35</v>
      </c>
    </row>
    <row r="28" spans="2:89" ht="18" customHeight="1" thickBot="1" x14ac:dyDescent="0.35">
      <c r="B28" s="64" t="s">
        <v>27</v>
      </c>
      <c r="C28" s="11">
        <f>'WELLNESS DIARIO'!F27</f>
        <v>10</v>
      </c>
      <c r="D28" s="12">
        <f>'WELLNESS DIARIO'!K27</f>
        <v>11</v>
      </c>
      <c r="E28" s="12">
        <f>'WELLNESS DIARIO'!P27</f>
        <v>7</v>
      </c>
      <c r="F28" s="25">
        <f t="shared" si="11"/>
        <v>28</v>
      </c>
      <c r="G28" s="12">
        <f>'WELLNESS DIARIO'!U27</f>
        <v>11</v>
      </c>
      <c r="H28" s="12">
        <f>'WELLNESS DIARIO'!Z27</f>
        <v>11</v>
      </c>
      <c r="I28" s="12">
        <f>'WELLNESS DIARIO'!AE27</f>
        <v>12</v>
      </c>
      <c r="J28" s="25">
        <f t="shared" si="12"/>
        <v>34</v>
      </c>
      <c r="K28" s="12">
        <f>'WELLNESS DIARIO'!AJ27</f>
        <v>7</v>
      </c>
      <c r="L28" s="12">
        <f>'WELLNESS DIARIO'!AO27</f>
        <v>5</v>
      </c>
      <c r="M28" s="12">
        <f>'WELLNESS DIARIO'!AT27</f>
        <v>7</v>
      </c>
      <c r="N28" s="25">
        <f t="shared" si="13"/>
        <v>19</v>
      </c>
      <c r="O28" s="12">
        <f>'WELLNESS DIARIO'!AY27</f>
        <v>7</v>
      </c>
      <c r="P28" s="12">
        <f>'WELLNESS DIARIO'!BD27</f>
        <v>6</v>
      </c>
      <c r="Q28" s="12">
        <f>'WELLNESS DIARIO'!BI27</f>
        <v>8</v>
      </c>
      <c r="R28" s="25">
        <f t="shared" si="14"/>
        <v>21</v>
      </c>
      <c r="S28" s="45">
        <f t="shared" si="15"/>
        <v>25.5</v>
      </c>
      <c r="T28" s="12">
        <f>'WELLNESS DIARIO'!BN27</f>
        <v>15</v>
      </c>
      <c r="U28" s="12">
        <f>'WELLNESS DIARIO'!BS27</f>
        <v>12</v>
      </c>
      <c r="V28" s="12">
        <f>'WELLNESS DIARIO'!BX27</f>
        <v>10</v>
      </c>
      <c r="W28" s="46">
        <f t="shared" si="16"/>
        <v>37</v>
      </c>
      <c r="X28" s="47">
        <f t="shared" si="0"/>
        <v>145.09803921568627</v>
      </c>
      <c r="Y28" s="48">
        <f t="shared" si="17"/>
        <v>45.098039215686271</v>
      </c>
      <c r="Z28" s="49">
        <f t="shared" si="18"/>
        <v>27.75</v>
      </c>
      <c r="AA28" s="12">
        <f>'WELLNESS DIARIO'!CC27</f>
        <v>13</v>
      </c>
      <c r="AB28" s="12">
        <f>'WELLNESS DIARIO'!CH27</f>
        <v>13</v>
      </c>
      <c r="AC28" s="12">
        <f>'WELLNESS DIARIO'!CM27</f>
        <v>9</v>
      </c>
      <c r="AD28" s="50">
        <f t="shared" si="19"/>
        <v>35</v>
      </c>
      <c r="AE28" s="47">
        <f t="shared" si="20"/>
        <v>126.12612612612612</v>
      </c>
      <c r="AF28" s="48">
        <f t="shared" si="21"/>
        <v>26.126126126126124</v>
      </c>
      <c r="AG28" s="49">
        <f t="shared" si="1"/>
        <v>28</v>
      </c>
      <c r="AH28" s="12">
        <f>'WELLNESS DIARIO'!CR27</f>
        <v>12</v>
      </c>
      <c r="AI28" s="12">
        <f>'WELLNESS DIARIO'!CW27</f>
        <v>14</v>
      </c>
      <c r="AJ28" s="12">
        <f>'WELLNESS DIARIO'!DB27</f>
        <v>17</v>
      </c>
      <c r="AK28" s="82">
        <f t="shared" si="43"/>
        <v>43</v>
      </c>
      <c r="AL28" s="48">
        <f t="shared" si="2"/>
        <v>153.57142857142858</v>
      </c>
      <c r="AM28" s="52">
        <f t="shared" si="22"/>
        <v>53.571428571428584</v>
      </c>
      <c r="AN28" s="45">
        <f t="shared" si="3"/>
        <v>34</v>
      </c>
      <c r="AO28" s="12">
        <f>'WELLNESS DIARIO'!DG27</f>
        <v>12</v>
      </c>
      <c r="AP28" s="12">
        <f>'WELLNESS DIARIO'!DL27</f>
        <v>13</v>
      </c>
      <c r="AQ28" s="12">
        <f>'WELLNESS DIARIO'!DQ27</f>
        <v>11</v>
      </c>
      <c r="AR28" s="51">
        <f t="shared" si="23"/>
        <v>36</v>
      </c>
      <c r="AS28" s="48">
        <f t="shared" si="4"/>
        <v>105.88235294117646</v>
      </c>
      <c r="AT28" s="52">
        <f t="shared" si="24"/>
        <v>5.8823529411764639</v>
      </c>
      <c r="AU28" s="73">
        <f t="shared" si="25"/>
        <v>37.75</v>
      </c>
      <c r="AV28" s="12">
        <f>'WELLNESS DIARIO'!DV27</f>
        <v>13</v>
      </c>
      <c r="AW28" s="12">
        <f>'WELLNESS DIARIO'!EA27</f>
        <v>15</v>
      </c>
      <c r="AX28" s="12">
        <f>'WELLNESS DIARIO'!EF27</f>
        <v>9</v>
      </c>
      <c r="AY28" s="51">
        <f t="shared" si="26"/>
        <v>37</v>
      </c>
      <c r="AZ28" s="48">
        <f t="shared" si="5"/>
        <v>98.013245033112582</v>
      </c>
      <c r="BA28" s="52">
        <f t="shared" si="27"/>
        <v>-1.9867549668874176</v>
      </c>
      <c r="BB28" s="73">
        <f t="shared" si="28"/>
        <v>37.75</v>
      </c>
      <c r="BC28" s="12">
        <f>'WELLNESS DIARIO'!EK27</f>
        <v>13</v>
      </c>
      <c r="BD28" s="12">
        <f>'WELLNESS DIARIO'!EP27</f>
        <v>9</v>
      </c>
      <c r="BE28" s="12">
        <f>'WELLNESS DIARIO'!EU27</f>
        <v>9</v>
      </c>
      <c r="BF28" s="51">
        <f t="shared" si="29"/>
        <v>31</v>
      </c>
      <c r="BG28" s="48">
        <f t="shared" si="6"/>
        <v>82.119205298013242</v>
      </c>
      <c r="BH28" s="52">
        <f t="shared" si="30"/>
        <v>-17.880794701986758</v>
      </c>
      <c r="BI28" s="73">
        <f t="shared" si="31"/>
        <v>36.75</v>
      </c>
      <c r="BJ28" s="12">
        <f>'WELLNESS DIARIO'!EZ27</f>
        <v>8</v>
      </c>
      <c r="BK28" s="12">
        <f>'WELLNESS DIARIO'!FE27</f>
        <v>12</v>
      </c>
      <c r="BL28" s="12">
        <f>'WELLNESS DIARIO'!FJ27</f>
        <v>10</v>
      </c>
      <c r="BM28" s="51">
        <f t="shared" si="32"/>
        <v>30</v>
      </c>
      <c r="BN28" s="48">
        <f t="shared" si="7"/>
        <v>81.632653061224488</v>
      </c>
      <c r="BO28" s="52">
        <f t="shared" si="33"/>
        <v>-18.367346938775512</v>
      </c>
      <c r="BP28" s="37">
        <f t="shared" si="44"/>
        <v>33.5</v>
      </c>
      <c r="BQ28" s="12">
        <f>'WELLNESS DIARIO'!FO27</f>
        <v>10</v>
      </c>
      <c r="BR28" s="12">
        <f>'WELLNESS DIARIO'!FT27</f>
        <v>12</v>
      </c>
      <c r="BS28" s="12">
        <f>'WELLNESS DIARIO'!FY27</f>
        <v>8</v>
      </c>
      <c r="BT28" s="51">
        <f t="shared" si="34"/>
        <v>30</v>
      </c>
      <c r="BU28" s="48">
        <f t="shared" si="8"/>
        <v>89.552238805970148</v>
      </c>
      <c r="BV28" s="52">
        <f t="shared" si="35"/>
        <v>-10.447761194029852</v>
      </c>
      <c r="BW28" s="73">
        <f t="shared" si="36"/>
        <v>32</v>
      </c>
      <c r="BX28" s="12">
        <f>'WELLNESS DIARIO'!GD27</f>
        <v>11</v>
      </c>
      <c r="BY28" s="12">
        <f>'WELLNESS DIARIO'!GI27</f>
        <v>12</v>
      </c>
      <c r="BZ28" s="12">
        <f>'WELLNESS DIARIO'!GN27</f>
        <v>6</v>
      </c>
      <c r="CA28" s="51">
        <f t="shared" si="37"/>
        <v>29</v>
      </c>
      <c r="CB28" s="48">
        <f t="shared" si="9"/>
        <v>90.625</v>
      </c>
      <c r="CC28" s="52">
        <f t="shared" si="38"/>
        <v>-9.375</v>
      </c>
      <c r="CD28" s="73">
        <f t="shared" si="39"/>
        <v>30</v>
      </c>
      <c r="CE28" s="12">
        <f>'WELLNESS DIARIO'!GS27</f>
        <v>13</v>
      </c>
      <c r="CF28" s="12">
        <f>'WELLNESS DIARIO'!GX27</f>
        <v>10</v>
      </c>
      <c r="CG28" s="12">
        <f>'WELLNESS DIARIO'!HC27</f>
        <v>15</v>
      </c>
      <c r="CH28" s="51">
        <f t="shared" si="40"/>
        <v>38</v>
      </c>
      <c r="CI28" s="48">
        <f t="shared" si="10"/>
        <v>126.66666666666667</v>
      </c>
      <c r="CJ28" s="52">
        <f t="shared" si="41"/>
        <v>26.666666666666671</v>
      </c>
      <c r="CK28" s="73">
        <f t="shared" si="42"/>
        <v>31.75</v>
      </c>
    </row>
    <row r="29" spans="2:89" ht="18" customHeight="1" thickBot="1" x14ac:dyDescent="0.35">
      <c r="B29" s="65" t="s">
        <v>4</v>
      </c>
      <c r="C29" s="19">
        <f>AVERAGE(C6:C28)</f>
        <v>9.4347826086956523</v>
      </c>
      <c r="D29" s="20">
        <f>AVERAGE(D6:D28)</f>
        <v>9.695652173913043</v>
      </c>
      <c r="E29" s="20">
        <f>AVERAGE(E6:E28)</f>
        <v>9.4782608695652169</v>
      </c>
      <c r="F29" s="53">
        <f t="shared" ref="F29:R29" si="45">AVERAGE(F6:F28)</f>
        <v>28.608695652173914</v>
      </c>
      <c r="G29" s="19">
        <f t="shared" si="45"/>
        <v>8.9565217391304355</v>
      </c>
      <c r="H29" s="20">
        <f t="shared" si="45"/>
        <v>8.7391304347826093</v>
      </c>
      <c r="I29" s="20">
        <f t="shared" si="45"/>
        <v>9.4782608695652169</v>
      </c>
      <c r="J29" s="53">
        <f t="shared" si="45"/>
        <v>27.173913043478262</v>
      </c>
      <c r="K29" s="19">
        <f t="shared" si="45"/>
        <v>8.304347826086957</v>
      </c>
      <c r="L29" s="20">
        <f t="shared" si="45"/>
        <v>8.8695652173913047</v>
      </c>
      <c r="M29" s="20">
        <f t="shared" si="45"/>
        <v>8.5652173913043477</v>
      </c>
      <c r="N29" s="53">
        <f t="shared" si="45"/>
        <v>25.739130434782609</v>
      </c>
      <c r="O29" s="19">
        <f t="shared" si="45"/>
        <v>8.8260869565217384</v>
      </c>
      <c r="P29" s="20">
        <f t="shared" si="45"/>
        <v>7.9130434782608692</v>
      </c>
      <c r="Q29" s="20">
        <f t="shared" si="45"/>
        <v>7.6521739130434785</v>
      </c>
      <c r="R29" s="53">
        <f t="shared" si="45"/>
        <v>24.391304347826086</v>
      </c>
      <c r="S29" s="54">
        <f t="shared" si="15"/>
        <v>26.478260869565219</v>
      </c>
      <c r="T29" s="55">
        <f>AVERAGE(T6:T28)</f>
        <v>7.9130434782608692</v>
      </c>
      <c r="U29" s="20">
        <f>AVERAGE(U6:U28)</f>
        <v>7.8260869565217392</v>
      </c>
      <c r="V29" s="56">
        <f>AVERAGE(V6:V28)</f>
        <v>8.3478260869565215</v>
      </c>
      <c r="W29" s="57">
        <f>AVERAGE(W6:W28)</f>
        <v>24.086956521739129</v>
      </c>
      <c r="X29" s="58">
        <f t="shared" si="0"/>
        <v>90.968801313628887</v>
      </c>
      <c r="Y29" s="59">
        <f>X29-100</f>
        <v>-9.0311986863711127</v>
      </c>
      <c r="Z29" s="60">
        <f t="shared" si="18"/>
        <v>25.347826086956523</v>
      </c>
      <c r="AA29" s="19">
        <f>AVERAGE(AA6:AA28)</f>
        <v>11.608695652173912</v>
      </c>
      <c r="AB29" s="20">
        <f>AVERAGE(AB6:AB28)</f>
        <v>10.608695652173912</v>
      </c>
      <c r="AC29" s="21">
        <f>AVERAGE(AC6:AC28)</f>
        <v>11.434782608695652</v>
      </c>
      <c r="AD29" s="61">
        <f t="shared" si="19"/>
        <v>33.652173913043477</v>
      </c>
      <c r="AE29" s="58">
        <f t="shared" si="20"/>
        <v>132.76157804459689</v>
      </c>
      <c r="AF29" s="59">
        <f t="shared" si="21"/>
        <v>32.761578044596888</v>
      </c>
      <c r="AG29" s="60">
        <f t="shared" si="1"/>
        <v>26.967391304347824</v>
      </c>
      <c r="AH29" s="17">
        <f>AVERAGE(AH6:AH28)</f>
        <v>12.913043478260869</v>
      </c>
      <c r="AI29" s="18">
        <f>AVERAGE(AI6:AI28)</f>
        <v>11.043478260869565</v>
      </c>
      <c r="AJ29" s="32">
        <f>AVERAGE(AJ6:AJ28)</f>
        <v>12</v>
      </c>
      <c r="AK29" s="66">
        <f t="shared" si="43"/>
        <v>35.956521739130437</v>
      </c>
      <c r="AL29" s="62">
        <f t="shared" si="2"/>
        <v>133.33333333333337</v>
      </c>
      <c r="AM29" s="63">
        <f t="shared" si="22"/>
        <v>33.333333333333371</v>
      </c>
      <c r="AN29" s="67">
        <f t="shared" si="3"/>
        <v>29.521739130434781</v>
      </c>
      <c r="AO29" s="19">
        <f>AVERAGE(AO6:AO28)</f>
        <v>11.086956521739131</v>
      </c>
      <c r="AP29" s="20">
        <f>AVERAGE(AP6:AP28)</f>
        <v>12.826086956521738</v>
      </c>
      <c r="AQ29" s="21">
        <f>AVERAGE(AQ6:AQ28)</f>
        <v>10.782608695652174</v>
      </c>
      <c r="AR29" s="66">
        <f t="shared" si="23"/>
        <v>34.695652173913039</v>
      </c>
      <c r="AS29" s="62">
        <f t="shared" si="4"/>
        <v>117.52577319587628</v>
      </c>
      <c r="AT29" s="63">
        <f t="shared" si="24"/>
        <v>17.525773195876283</v>
      </c>
      <c r="AU29" s="67">
        <f>AVERAGE(AR29,AK29,AD29,W29)</f>
        <v>32.097826086956516</v>
      </c>
      <c r="AV29" s="19">
        <f>AVERAGE(AV6:AV28)</f>
        <v>11.130434782608695</v>
      </c>
      <c r="AW29" s="20">
        <f>AVERAGE(AW6:AW28)</f>
        <v>9.8260869565217384</v>
      </c>
      <c r="AX29" s="21">
        <f>AVERAGE(AX6:AX28)</f>
        <v>10.173913043478262</v>
      </c>
      <c r="AY29" s="66">
        <f t="shared" si="26"/>
        <v>31.130434782608695</v>
      </c>
      <c r="AZ29" s="62">
        <f t="shared" si="5"/>
        <v>96.986115814426029</v>
      </c>
      <c r="BA29" s="63">
        <f t="shared" si="27"/>
        <v>-3.0138841855739713</v>
      </c>
      <c r="BB29" s="67">
        <f>AVERAGE(AY29,AR29,AK29,AD29)</f>
        <v>33.858695652173914</v>
      </c>
      <c r="BC29" s="19">
        <f>AVERAGE(BC6:BC28)</f>
        <v>10.521739130434783</v>
      </c>
      <c r="BD29" s="20">
        <f>AVERAGE(BD6:BD28)</f>
        <v>9.5652173913043477</v>
      </c>
      <c r="BE29" s="21">
        <f>AVERAGE(BE6:BE28)</f>
        <v>10.608695652173912</v>
      </c>
      <c r="BF29" s="66">
        <f t="shared" si="29"/>
        <v>30.695652173913047</v>
      </c>
      <c r="BG29" s="62">
        <f t="shared" si="6"/>
        <v>90.658105939004813</v>
      </c>
      <c r="BH29" s="63">
        <f t="shared" si="30"/>
        <v>-9.3418940609951875</v>
      </c>
      <c r="BI29" s="67">
        <f>AVERAGE(BF29,AY29,AR29,AK29)</f>
        <v>33.119565217391305</v>
      </c>
      <c r="BJ29" s="19">
        <f>AVERAGE(BJ6:BJ28)</f>
        <v>9.9565217391304355</v>
      </c>
      <c r="BK29" s="20">
        <f>AVERAGE(BK6:BK28)</f>
        <v>9.9130434782608692</v>
      </c>
      <c r="BL29" s="21">
        <f>AVERAGE(BL6:BL28)</f>
        <v>10.043478260869565</v>
      </c>
      <c r="BM29" s="66">
        <f t="shared" si="32"/>
        <v>29.913043478260867</v>
      </c>
      <c r="BN29" s="62">
        <f t="shared" si="7"/>
        <v>90.318345914013776</v>
      </c>
      <c r="BO29" s="63">
        <f t="shared" si="33"/>
        <v>-9.6816540859862243</v>
      </c>
      <c r="BP29" s="67">
        <f>AVERAGE(BM29,BF29,AY29,AR29)</f>
        <v>31.608695652173914</v>
      </c>
      <c r="BQ29" s="19">
        <f>AVERAGE(BQ6:BQ28)</f>
        <v>9.695652173913043</v>
      </c>
      <c r="BR29" s="20">
        <f>AVERAGE(BR6:BR28)</f>
        <v>9.5217391304347831</v>
      </c>
      <c r="BS29" s="21">
        <f>AVERAGE(BS6:BS28)</f>
        <v>9.6521739130434785</v>
      </c>
      <c r="BT29" s="66">
        <f t="shared" si="34"/>
        <v>28.869565217391305</v>
      </c>
      <c r="BU29" s="62">
        <f t="shared" si="8"/>
        <v>91.334250343878949</v>
      </c>
      <c r="BV29" s="63">
        <f t="shared" si="35"/>
        <v>-8.6657496561210507</v>
      </c>
      <c r="BW29" s="67">
        <f>AVERAGE(BT29,BM29,BF29,BA29)</f>
        <v>21.616094170997812</v>
      </c>
      <c r="BX29" s="19">
        <f>AVERAGE(BX6:BX28)</f>
        <v>12.260869565217391</v>
      </c>
      <c r="BY29" s="20">
        <f>AVERAGE(BY6:BY28)</f>
        <v>12.434782608695652</v>
      </c>
      <c r="BZ29" s="21">
        <f>AVERAGE(BZ6:BZ28)</f>
        <v>11.086956521739131</v>
      </c>
      <c r="CA29" s="66">
        <f t="shared" si="37"/>
        <v>35.782608695652172</v>
      </c>
      <c r="CB29" s="62">
        <f t="shared" si="9"/>
        <v>165.53688382641064</v>
      </c>
      <c r="CC29" s="63">
        <f t="shared" si="38"/>
        <v>65.536883826410644</v>
      </c>
      <c r="CD29" s="67">
        <f>AVERAGE(CA29,BT29,BM29,BF29)</f>
        <v>31.315217391304348</v>
      </c>
      <c r="CE29" s="19">
        <f>AVERAGE(CE6:CE28)</f>
        <v>11.608695652173912</v>
      </c>
      <c r="CF29" s="20">
        <f>AVERAGE(CF6:CF28)</f>
        <v>11.652173913043478</v>
      </c>
      <c r="CG29" s="21">
        <f>AVERAGE(CG6:CG28)</f>
        <v>12.304347826086957</v>
      </c>
      <c r="CH29" s="66">
        <f t="shared" si="40"/>
        <v>35.565217391304344</v>
      </c>
      <c r="CI29" s="62">
        <f t="shared" si="10"/>
        <v>113.57167650121485</v>
      </c>
      <c r="CJ29" s="63">
        <f t="shared" si="41"/>
        <v>13.571676501214853</v>
      </c>
      <c r="CK29" s="67">
        <f>AVERAGE(CH29,CA29,BT29,BM29)</f>
        <v>32.532608695652172</v>
      </c>
    </row>
    <row r="30" spans="2:89" s="7" customFormat="1" ht="16.2" customHeight="1" x14ac:dyDescent="0.3"/>
    <row r="31" spans="2:89" s="7" customFormat="1" ht="16.2" customHeight="1" x14ac:dyDescent="0.3"/>
    <row r="32" spans="2:89" s="7" customFormat="1" ht="14.4" thickBot="1" x14ac:dyDescent="0.35"/>
    <row r="33" spans="3:19" s="7" customFormat="1" ht="18.600000000000001" customHeight="1" x14ac:dyDescent="0.3">
      <c r="C33" s="167" t="s">
        <v>25</v>
      </c>
      <c r="D33" s="168"/>
      <c r="E33" s="169"/>
      <c r="F33" s="87" t="s">
        <v>45</v>
      </c>
      <c r="G33" s="83" t="s">
        <v>46</v>
      </c>
      <c r="H33" s="83" t="s">
        <v>47</v>
      </c>
      <c r="I33" s="83" t="s">
        <v>48</v>
      </c>
      <c r="J33" s="83" t="s">
        <v>49</v>
      </c>
      <c r="K33" s="83" t="s">
        <v>50</v>
      </c>
      <c r="L33" s="83" t="s">
        <v>51</v>
      </c>
      <c r="M33" s="83" t="s">
        <v>52</v>
      </c>
      <c r="N33" s="83" t="s">
        <v>53</v>
      </c>
      <c r="O33" s="83" t="s">
        <v>54</v>
      </c>
      <c r="P33" s="83" t="s">
        <v>55</v>
      </c>
      <c r="Q33" s="83" t="s">
        <v>56</v>
      </c>
      <c r="R33" s="83" t="s">
        <v>57</v>
      </c>
      <c r="S33" s="84" t="s">
        <v>58</v>
      </c>
    </row>
    <row r="34" spans="3:19" s="7" customFormat="1" ht="18.600000000000001" customHeight="1" thickBot="1" x14ac:dyDescent="0.35">
      <c r="C34" s="170"/>
      <c r="D34" s="171"/>
      <c r="E34" s="172"/>
      <c r="F34" s="88">
        <f>VLOOKUP($C$33,$B$6:$CK$28,5,FALSE)</f>
        <v>25</v>
      </c>
      <c r="G34" s="85">
        <f>VLOOKUP($C$33,$B$6:$CK$28,9,FALSE)</f>
        <v>27</v>
      </c>
      <c r="H34" s="85">
        <f>VLOOKUP($C$33,$B$6:$CK$28,13,FALSE)</f>
        <v>28</v>
      </c>
      <c r="I34" s="85">
        <f>VLOOKUP($C$33,$B$6:$CK$28,17,FALSE)</f>
        <v>27</v>
      </c>
      <c r="J34" s="85">
        <f>VLOOKUP($C$33,$B$6:$CK$28,22,FALSE)</f>
        <v>27</v>
      </c>
      <c r="K34" s="85">
        <f>VLOOKUP($C$33,$B$6:$CK$28,29,FALSE)</f>
        <v>36</v>
      </c>
      <c r="L34" s="85">
        <f>VLOOKUP($C$33,$B$6:$CK$28,36,FALSE)</f>
        <v>44</v>
      </c>
      <c r="M34" s="85">
        <f>VLOOKUP($C$33,$B$6:$CK$28,43,FALSE)</f>
        <v>32</v>
      </c>
      <c r="N34" s="85">
        <f>VLOOKUP($C$33,$B$6:$CK$28,50,FALSE)</f>
        <v>31</v>
      </c>
      <c r="O34" s="85">
        <f>VLOOKUP($C$33,$B$6:$CK$28,57,FALSE)</f>
        <v>31</v>
      </c>
      <c r="P34" s="85">
        <f>VLOOKUP($C$33,$B$6:$CK$28,64,FALSE)</f>
        <v>27</v>
      </c>
      <c r="Q34" s="85">
        <f>VLOOKUP($C$33,$B$6:$CK$28,71,FALSE)</f>
        <v>30</v>
      </c>
      <c r="R34" s="85">
        <f>VLOOKUP($C$33,$B$6:$CK$28,78,FALSE)</f>
        <v>32</v>
      </c>
      <c r="S34" s="86">
        <f>VLOOKUP($C$33,$B$6:$CK$28,85,FALSE)</f>
        <v>40</v>
      </c>
    </row>
    <row r="35" spans="3:19" s="7" customFormat="1" x14ac:dyDescent="0.3"/>
    <row r="36" spans="3:19" s="7" customFormat="1" x14ac:dyDescent="0.3"/>
    <row r="37" spans="3:19" s="7" customFormat="1" x14ac:dyDescent="0.3"/>
    <row r="38" spans="3:19" s="7" customFormat="1" x14ac:dyDescent="0.3"/>
    <row r="39" spans="3:19" s="7" customFormat="1" x14ac:dyDescent="0.3"/>
    <row r="40" spans="3:19" s="7" customFormat="1" x14ac:dyDescent="0.3"/>
    <row r="41" spans="3:19" s="7" customFormat="1" x14ac:dyDescent="0.3"/>
    <row r="42" spans="3:19" s="7" customFormat="1" x14ac:dyDescent="0.3"/>
    <row r="43" spans="3:19" s="7" customFormat="1" x14ac:dyDescent="0.3"/>
    <row r="44" spans="3:19" s="7" customFormat="1" x14ac:dyDescent="0.3"/>
    <row r="45" spans="3:19" s="7" customFormat="1" x14ac:dyDescent="0.3"/>
    <row r="46" spans="3:19" s="7" customFormat="1" x14ac:dyDescent="0.3"/>
    <row r="47" spans="3:19" s="7" customFormat="1" x14ac:dyDescent="0.3"/>
    <row r="48" spans="3:19" s="7" customFormat="1" x14ac:dyDescent="0.3"/>
    <row r="49" s="7" customFormat="1" x14ac:dyDescent="0.3"/>
    <row r="50" s="7" customFormat="1" x14ac:dyDescent="0.3"/>
    <row r="51" s="7" customFormat="1" x14ac:dyDescent="0.3"/>
    <row r="52" s="7" customFormat="1" x14ac:dyDescent="0.3"/>
    <row r="53" s="7" customFormat="1" x14ac:dyDescent="0.3"/>
    <row r="54" s="7" customFormat="1" x14ac:dyDescent="0.3"/>
    <row r="55" s="7" customFormat="1" x14ac:dyDescent="0.3"/>
    <row r="56" s="7" customFormat="1" x14ac:dyDescent="0.3"/>
    <row r="57" s="7" customFormat="1" x14ac:dyDescent="0.3"/>
    <row r="58" s="7" customFormat="1" x14ac:dyDescent="0.3"/>
    <row r="59" s="7" customFormat="1" x14ac:dyDescent="0.3"/>
    <row r="60" s="7" customFormat="1" x14ac:dyDescent="0.3"/>
    <row r="61" s="7" customFormat="1" x14ac:dyDescent="0.3"/>
    <row r="62" s="7" customFormat="1" x14ac:dyDescent="0.3"/>
    <row r="63" s="7" customFormat="1" x14ac:dyDescent="0.3"/>
    <row r="64" s="7" customFormat="1" x14ac:dyDescent="0.3"/>
    <row r="65" s="7" customFormat="1" x14ac:dyDescent="0.3"/>
    <row r="66" s="7" customFormat="1" x14ac:dyDescent="0.3"/>
    <row r="67" s="7" customFormat="1" x14ac:dyDescent="0.3"/>
    <row r="68" s="7" customFormat="1" x14ac:dyDescent="0.3"/>
    <row r="69" s="7" customFormat="1" x14ac:dyDescent="0.3"/>
    <row r="70" s="7" customFormat="1" x14ac:dyDescent="0.3"/>
    <row r="71" s="7" customFormat="1" x14ac:dyDescent="0.3"/>
    <row r="72" s="7" customFormat="1" x14ac:dyDescent="0.3"/>
    <row r="73" s="7" customFormat="1" x14ac:dyDescent="0.3"/>
    <row r="74" s="7" customFormat="1" x14ac:dyDescent="0.3"/>
    <row r="75" s="7" customFormat="1" x14ac:dyDescent="0.3"/>
    <row r="76" s="7" customFormat="1" x14ac:dyDescent="0.3"/>
    <row r="77" s="7" customFormat="1" x14ac:dyDescent="0.3"/>
    <row r="78" s="7" customFormat="1" x14ac:dyDescent="0.3"/>
    <row r="79" s="7" customFormat="1" x14ac:dyDescent="0.3"/>
    <row r="80" s="7" customFormat="1" x14ac:dyDescent="0.3"/>
    <row r="81" s="7" customFormat="1" x14ac:dyDescent="0.3"/>
    <row r="82" s="7" customFormat="1" x14ac:dyDescent="0.3"/>
    <row r="83" s="7" customFormat="1" x14ac:dyDescent="0.3"/>
    <row r="84" s="7" customFormat="1" x14ac:dyDescent="0.3"/>
    <row r="85" s="7" customFormat="1" x14ac:dyDescent="0.3"/>
    <row r="86" s="7" customFormat="1" x14ac:dyDescent="0.3"/>
    <row r="87" s="7" customFormat="1" x14ac:dyDescent="0.3"/>
    <row r="88" s="7" customFormat="1" x14ac:dyDescent="0.3"/>
    <row r="89" s="7" customFormat="1" x14ac:dyDescent="0.3"/>
    <row r="90" s="7" customFormat="1" x14ac:dyDescent="0.3"/>
    <row r="91" s="7" customFormat="1" x14ac:dyDescent="0.3"/>
    <row r="92" s="7" customFormat="1" x14ac:dyDescent="0.3"/>
    <row r="93" s="7" customFormat="1" x14ac:dyDescent="0.3"/>
    <row r="94" s="7" customFormat="1" x14ac:dyDescent="0.3"/>
    <row r="95" s="7" customFormat="1" x14ac:dyDescent="0.3"/>
    <row r="96" s="7" customFormat="1" x14ac:dyDescent="0.3"/>
    <row r="97" s="7" customFormat="1" x14ac:dyDescent="0.3"/>
    <row r="98" s="7" customFormat="1" x14ac:dyDescent="0.3"/>
    <row r="99" s="7" customFormat="1" x14ac:dyDescent="0.3"/>
    <row r="100" s="7" customFormat="1" x14ac:dyDescent="0.3"/>
    <row r="101" s="7" customFormat="1" x14ac:dyDescent="0.3"/>
    <row r="102" s="7" customFormat="1" x14ac:dyDescent="0.3"/>
    <row r="103" s="7" customFormat="1" x14ac:dyDescent="0.3"/>
    <row r="104" s="7" customFormat="1" x14ac:dyDescent="0.3"/>
    <row r="105" s="7" customFormat="1" x14ac:dyDescent="0.3"/>
    <row r="106" s="7" customFormat="1" x14ac:dyDescent="0.3"/>
    <row r="107" s="7" customFormat="1" x14ac:dyDescent="0.3"/>
    <row r="108" s="7" customFormat="1" x14ac:dyDescent="0.3"/>
    <row r="109" s="7" customFormat="1" x14ac:dyDescent="0.3"/>
    <row r="110" s="7" customFormat="1" x14ac:dyDescent="0.3"/>
    <row r="111" s="7" customFormat="1" x14ac:dyDescent="0.3"/>
    <row r="112" s="7" customFormat="1" x14ac:dyDescent="0.3"/>
    <row r="113" s="7" customFormat="1" x14ac:dyDescent="0.3"/>
    <row r="114" s="7" customFormat="1" x14ac:dyDescent="0.3"/>
    <row r="115" s="7" customFormat="1" x14ac:dyDescent="0.3"/>
    <row r="116" s="7" customFormat="1" x14ac:dyDescent="0.3"/>
    <row r="117" s="7" customFormat="1" x14ac:dyDescent="0.3"/>
    <row r="118" s="7" customFormat="1" x14ac:dyDescent="0.3"/>
    <row r="119" s="7" customFormat="1" x14ac:dyDescent="0.3"/>
    <row r="120" s="7" customFormat="1" x14ac:dyDescent="0.3"/>
    <row r="121" s="7" customFormat="1" x14ac:dyDescent="0.3"/>
    <row r="122" s="7" customFormat="1" x14ac:dyDescent="0.3"/>
    <row r="123" s="7" customFormat="1" x14ac:dyDescent="0.3"/>
    <row r="124" s="7" customFormat="1" x14ac:dyDescent="0.3"/>
    <row r="125" s="7" customFormat="1" x14ac:dyDescent="0.3"/>
    <row r="126" s="7" customFormat="1" x14ac:dyDescent="0.3"/>
    <row r="127" s="7" customFormat="1" x14ac:dyDescent="0.3"/>
    <row r="128" s="7" customFormat="1" x14ac:dyDescent="0.3"/>
    <row r="129" s="7" customFormat="1" x14ac:dyDescent="0.3"/>
    <row r="130" s="7" customFormat="1" x14ac:dyDescent="0.3"/>
    <row r="131" s="7" customFormat="1" x14ac:dyDescent="0.3"/>
    <row r="132" s="7" customFormat="1" x14ac:dyDescent="0.3"/>
    <row r="133" s="7" customFormat="1" x14ac:dyDescent="0.3"/>
    <row r="134" s="7" customFormat="1" x14ac:dyDescent="0.3"/>
    <row r="135" s="7" customFormat="1" x14ac:dyDescent="0.3"/>
    <row r="136" s="7" customFormat="1" x14ac:dyDescent="0.3"/>
    <row r="137" s="7" customFormat="1" x14ac:dyDescent="0.3"/>
    <row r="138" s="7" customFormat="1" x14ac:dyDescent="0.3"/>
    <row r="139" s="7" customFormat="1" x14ac:dyDescent="0.3"/>
    <row r="140" s="7" customFormat="1" x14ac:dyDescent="0.3"/>
    <row r="141" s="7" customFormat="1" x14ac:dyDescent="0.3"/>
    <row r="142" s="7" customFormat="1" x14ac:dyDescent="0.3"/>
    <row r="143" s="7" customFormat="1" x14ac:dyDescent="0.3"/>
    <row r="144" s="7" customFormat="1" x14ac:dyDescent="0.3"/>
    <row r="145" s="7" customFormat="1" x14ac:dyDescent="0.3"/>
    <row r="146" s="7" customFormat="1" x14ac:dyDescent="0.3"/>
    <row r="147" s="7" customFormat="1" x14ac:dyDescent="0.3"/>
    <row r="148" s="7" customFormat="1" x14ac:dyDescent="0.3"/>
    <row r="149" s="7" customFormat="1" x14ac:dyDescent="0.3"/>
    <row r="150" s="7" customFormat="1" x14ac:dyDescent="0.3"/>
    <row r="151" s="7" customFormat="1" x14ac:dyDescent="0.3"/>
    <row r="152" s="7" customFormat="1" x14ac:dyDescent="0.3"/>
    <row r="153" s="7" customFormat="1" x14ac:dyDescent="0.3"/>
    <row r="154" s="7" customFormat="1" x14ac:dyDescent="0.3"/>
    <row r="155" s="7" customFormat="1" x14ac:dyDescent="0.3"/>
    <row r="156" s="7" customFormat="1" x14ac:dyDescent="0.3"/>
    <row r="157" s="7" customFormat="1" x14ac:dyDescent="0.3"/>
    <row r="158" s="7" customFormat="1" x14ac:dyDescent="0.3"/>
    <row r="159" s="7" customFormat="1" x14ac:dyDescent="0.3"/>
    <row r="160" s="7" customFormat="1" x14ac:dyDescent="0.3"/>
    <row r="161" s="7" customFormat="1" x14ac:dyDescent="0.3"/>
    <row r="162" s="7" customFormat="1" x14ac:dyDescent="0.3"/>
    <row r="163" s="7" customFormat="1" x14ac:dyDescent="0.3"/>
    <row r="164" s="7" customFormat="1" x14ac:dyDescent="0.3"/>
    <row r="165" s="7" customFormat="1" x14ac:dyDescent="0.3"/>
    <row r="166" s="7" customFormat="1" x14ac:dyDescent="0.3"/>
    <row r="167" s="7" customFormat="1" x14ac:dyDescent="0.3"/>
    <row r="168" s="7" customFormat="1" x14ac:dyDescent="0.3"/>
    <row r="169" s="7" customFormat="1" x14ac:dyDescent="0.3"/>
    <row r="170" s="7" customFormat="1" x14ac:dyDescent="0.3"/>
    <row r="171" s="7" customFormat="1" x14ac:dyDescent="0.3"/>
    <row r="172" s="7" customFormat="1" x14ac:dyDescent="0.3"/>
    <row r="173" s="7" customFormat="1" x14ac:dyDescent="0.3"/>
    <row r="174" s="7" customFormat="1" x14ac:dyDescent="0.3"/>
    <row r="175" s="7" customFormat="1" x14ac:dyDescent="0.3"/>
    <row r="176" s="7" customFormat="1" x14ac:dyDescent="0.3"/>
    <row r="177" s="7" customFormat="1" x14ac:dyDescent="0.3"/>
    <row r="178" s="7" customFormat="1" x14ac:dyDescent="0.3"/>
    <row r="179" s="7" customFormat="1" x14ac:dyDescent="0.3"/>
    <row r="180" s="7" customFormat="1" x14ac:dyDescent="0.3"/>
    <row r="181" s="7" customFormat="1" x14ac:dyDescent="0.3"/>
    <row r="182" s="7" customFormat="1" x14ac:dyDescent="0.3"/>
    <row r="183" s="7" customFormat="1" x14ac:dyDescent="0.3"/>
    <row r="184" s="7" customFormat="1" x14ac:dyDescent="0.3"/>
    <row r="185" s="7" customFormat="1" x14ac:dyDescent="0.3"/>
    <row r="186" s="7" customFormat="1" x14ac:dyDescent="0.3"/>
    <row r="187" s="7" customFormat="1" x14ac:dyDescent="0.3"/>
    <row r="188" s="7" customFormat="1" x14ac:dyDescent="0.3"/>
    <row r="189" s="7" customFormat="1" x14ac:dyDescent="0.3"/>
    <row r="190" s="7" customFormat="1" x14ac:dyDescent="0.3"/>
    <row r="191" s="7" customFormat="1" x14ac:dyDescent="0.3"/>
    <row r="192" s="7" customFormat="1" x14ac:dyDescent="0.3"/>
    <row r="193" s="7" customFormat="1" x14ac:dyDescent="0.3"/>
    <row r="194" s="7" customFormat="1" x14ac:dyDescent="0.3"/>
    <row r="195" s="7" customFormat="1" x14ac:dyDescent="0.3"/>
    <row r="196" s="7" customFormat="1" x14ac:dyDescent="0.3"/>
    <row r="197" s="7" customFormat="1" x14ac:dyDescent="0.3"/>
    <row r="198" s="7" customFormat="1" x14ac:dyDescent="0.3"/>
    <row r="199" s="7" customFormat="1" x14ac:dyDescent="0.3"/>
    <row r="200" s="7" customFormat="1" x14ac:dyDescent="0.3"/>
    <row r="201" s="7" customFormat="1" x14ac:dyDescent="0.3"/>
    <row r="202" s="7" customFormat="1" x14ac:dyDescent="0.3"/>
    <row r="203" s="7" customFormat="1" x14ac:dyDescent="0.3"/>
    <row r="204" s="7" customFormat="1" x14ac:dyDescent="0.3"/>
    <row r="205" s="7" customFormat="1" x14ac:dyDescent="0.3"/>
    <row r="206" s="7" customFormat="1" x14ac:dyDescent="0.3"/>
    <row r="207" s="7" customFormat="1" x14ac:dyDescent="0.3"/>
    <row r="208" s="7" customFormat="1" x14ac:dyDescent="0.3"/>
    <row r="209" s="7" customFormat="1" x14ac:dyDescent="0.3"/>
    <row r="210" s="7" customFormat="1" x14ac:dyDescent="0.3"/>
    <row r="211" s="7" customFormat="1" x14ac:dyDescent="0.3"/>
    <row r="212" s="7" customFormat="1" x14ac:dyDescent="0.3"/>
    <row r="213" s="7" customFormat="1" x14ac:dyDescent="0.3"/>
    <row r="214" s="7" customFormat="1" x14ac:dyDescent="0.3"/>
    <row r="215" s="7" customFormat="1" x14ac:dyDescent="0.3"/>
    <row r="216" s="7" customFormat="1" x14ac:dyDescent="0.3"/>
    <row r="217" s="7" customFormat="1" x14ac:dyDescent="0.3"/>
    <row r="218" s="7" customFormat="1" x14ac:dyDescent="0.3"/>
    <row r="219" s="7" customFormat="1" x14ac:dyDescent="0.3"/>
    <row r="220" s="7" customFormat="1" x14ac:dyDescent="0.3"/>
    <row r="221" s="7" customFormat="1" x14ac:dyDescent="0.3"/>
    <row r="222" s="7" customFormat="1" x14ac:dyDescent="0.3"/>
    <row r="223" s="7" customFormat="1" x14ac:dyDescent="0.3"/>
    <row r="224" s="7" customFormat="1" x14ac:dyDescent="0.3"/>
    <row r="225" s="7" customFormat="1" x14ac:dyDescent="0.3"/>
    <row r="226" s="7" customFormat="1" x14ac:dyDescent="0.3"/>
    <row r="227" s="7" customFormat="1" x14ac:dyDescent="0.3"/>
    <row r="228" s="7" customFormat="1" x14ac:dyDescent="0.3"/>
    <row r="229" s="7" customFormat="1" x14ac:dyDescent="0.3"/>
    <row r="230" s="7" customFormat="1" x14ac:dyDescent="0.3"/>
    <row r="231" s="7" customFormat="1" x14ac:dyDescent="0.3"/>
    <row r="232" s="7" customFormat="1" x14ac:dyDescent="0.3"/>
    <row r="233" s="7" customFormat="1" x14ac:dyDescent="0.3"/>
    <row r="234" s="7" customFormat="1" x14ac:dyDescent="0.3"/>
    <row r="235" s="7" customFormat="1" x14ac:dyDescent="0.3"/>
    <row r="236" s="7" customFormat="1" x14ac:dyDescent="0.3"/>
    <row r="237" s="7" customFormat="1" x14ac:dyDescent="0.3"/>
    <row r="238" s="7" customFormat="1" x14ac:dyDescent="0.3"/>
    <row r="239" s="7" customFormat="1" x14ac:dyDescent="0.3"/>
    <row r="240" s="7" customFormat="1" x14ac:dyDescent="0.3"/>
    <row r="241" s="7" customFormat="1" x14ac:dyDescent="0.3"/>
    <row r="242" s="7" customFormat="1" x14ac:dyDescent="0.3"/>
    <row r="243" s="7" customFormat="1" x14ac:dyDescent="0.3"/>
    <row r="244" s="7" customFormat="1" x14ac:dyDescent="0.3"/>
    <row r="245" s="7" customFormat="1" x14ac:dyDescent="0.3"/>
    <row r="246" s="7" customFormat="1" x14ac:dyDescent="0.3"/>
    <row r="247" s="7" customFormat="1" x14ac:dyDescent="0.3"/>
    <row r="248" s="7" customFormat="1" x14ac:dyDescent="0.3"/>
    <row r="249" s="7" customFormat="1" x14ac:dyDescent="0.3"/>
    <row r="250" s="7" customFormat="1" x14ac:dyDescent="0.3"/>
    <row r="251" s="7" customFormat="1" x14ac:dyDescent="0.3"/>
    <row r="252" s="7" customFormat="1" x14ac:dyDescent="0.3"/>
    <row r="253" s="7" customFormat="1" x14ac:dyDescent="0.3"/>
    <row r="254" s="7" customFormat="1" x14ac:dyDescent="0.3"/>
    <row r="255" s="7" customFormat="1" x14ac:dyDescent="0.3"/>
    <row r="256" s="7" customFormat="1" x14ac:dyDescent="0.3"/>
    <row r="257" s="7" customFormat="1" x14ac:dyDescent="0.3"/>
    <row r="258" s="7" customFormat="1" x14ac:dyDescent="0.3"/>
    <row r="259" s="7" customFormat="1" x14ac:dyDescent="0.3"/>
    <row r="260" s="7" customFormat="1" x14ac:dyDescent="0.3"/>
    <row r="261" s="7" customFormat="1" x14ac:dyDescent="0.3"/>
    <row r="262" s="7" customFormat="1" x14ac:dyDescent="0.3"/>
    <row r="263" s="7" customFormat="1" x14ac:dyDescent="0.3"/>
    <row r="264" s="7" customFormat="1" x14ac:dyDescent="0.3"/>
    <row r="265" s="7" customFormat="1" x14ac:dyDescent="0.3"/>
    <row r="266" s="7" customFormat="1" x14ac:dyDescent="0.3"/>
    <row r="267" s="7" customFormat="1" x14ac:dyDescent="0.3"/>
    <row r="268" s="7" customFormat="1" x14ac:dyDescent="0.3"/>
    <row r="269" s="7" customFormat="1" x14ac:dyDescent="0.3"/>
    <row r="270" s="7" customFormat="1" x14ac:dyDescent="0.3"/>
    <row r="271" s="7" customFormat="1" x14ac:dyDescent="0.3"/>
    <row r="272" s="7" customFormat="1" x14ac:dyDescent="0.3"/>
    <row r="273" s="7" customFormat="1" x14ac:dyDescent="0.3"/>
    <row r="274" s="7" customFormat="1" x14ac:dyDescent="0.3"/>
    <row r="275" s="7" customFormat="1" x14ac:dyDescent="0.3"/>
    <row r="276" s="7" customFormat="1" x14ac:dyDescent="0.3"/>
    <row r="277" s="7" customFormat="1" x14ac:dyDescent="0.3"/>
    <row r="278" s="7" customFormat="1" x14ac:dyDescent="0.3"/>
    <row r="279" s="7" customFormat="1" x14ac:dyDescent="0.3"/>
    <row r="280" s="7" customFormat="1" x14ac:dyDescent="0.3"/>
    <row r="281" s="7" customFormat="1" x14ac:dyDescent="0.3"/>
    <row r="282" s="7" customFormat="1" x14ac:dyDescent="0.3"/>
    <row r="283" s="7" customFormat="1" x14ac:dyDescent="0.3"/>
    <row r="284" s="7" customFormat="1" x14ac:dyDescent="0.3"/>
    <row r="285" s="7" customFormat="1" x14ac:dyDescent="0.3"/>
    <row r="286" s="7" customFormat="1" x14ac:dyDescent="0.3"/>
    <row r="287" s="7" customFormat="1" x14ac:dyDescent="0.3"/>
    <row r="288" s="7" customFormat="1" x14ac:dyDescent="0.3"/>
    <row r="289" s="7" customFormat="1" x14ac:dyDescent="0.3"/>
    <row r="290" s="7" customFormat="1" x14ac:dyDescent="0.3"/>
    <row r="291" s="7" customFormat="1" x14ac:dyDescent="0.3"/>
    <row r="292" s="7" customFormat="1" x14ac:dyDescent="0.3"/>
    <row r="293" s="7" customFormat="1" x14ac:dyDescent="0.3"/>
    <row r="294" s="7" customFormat="1" x14ac:dyDescent="0.3"/>
    <row r="295" s="7" customFormat="1" x14ac:dyDescent="0.3"/>
    <row r="296" s="7" customFormat="1" x14ac:dyDescent="0.3"/>
    <row r="297" s="7" customFormat="1" x14ac:dyDescent="0.3"/>
    <row r="298" s="7" customFormat="1" x14ac:dyDescent="0.3"/>
    <row r="299" s="7" customFormat="1" x14ac:dyDescent="0.3"/>
    <row r="300" s="7" customFormat="1" x14ac:dyDescent="0.3"/>
    <row r="301" s="7" customFormat="1" x14ac:dyDescent="0.3"/>
    <row r="302" s="7" customFormat="1" x14ac:dyDescent="0.3"/>
    <row r="303" s="7" customFormat="1" x14ac:dyDescent="0.3"/>
    <row r="304" s="7" customFormat="1" x14ac:dyDescent="0.3"/>
    <row r="305" s="7" customFormat="1" x14ac:dyDescent="0.3"/>
    <row r="306" s="7" customFormat="1" x14ac:dyDescent="0.3"/>
    <row r="307" s="7" customFormat="1" x14ac:dyDescent="0.3"/>
    <row r="308" s="7" customFormat="1" x14ac:dyDescent="0.3"/>
    <row r="309" s="7" customFormat="1" x14ac:dyDescent="0.3"/>
    <row r="310" s="7" customFormat="1" x14ac:dyDescent="0.3"/>
    <row r="311" s="7" customFormat="1" x14ac:dyDescent="0.3"/>
    <row r="312" s="7" customFormat="1" x14ac:dyDescent="0.3"/>
    <row r="313" s="7" customFormat="1" x14ac:dyDescent="0.3"/>
    <row r="314" s="7" customFormat="1" x14ac:dyDescent="0.3"/>
    <row r="315" s="7" customFormat="1" x14ac:dyDescent="0.3"/>
    <row r="316" s="7" customFormat="1" x14ac:dyDescent="0.3"/>
    <row r="317" s="7" customFormat="1" x14ac:dyDescent="0.3"/>
    <row r="318" s="7" customFormat="1" x14ac:dyDescent="0.3"/>
    <row r="319" s="7" customFormat="1" x14ac:dyDescent="0.3"/>
    <row r="320" s="7" customFormat="1" x14ac:dyDescent="0.3"/>
    <row r="321" s="7" customFormat="1" x14ac:dyDescent="0.3"/>
    <row r="322" s="7" customFormat="1" x14ac:dyDescent="0.3"/>
    <row r="323" s="7" customFormat="1" x14ac:dyDescent="0.3"/>
    <row r="324" s="7" customFormat="1" x14ac:dyDescent="0.3"/>
    <row r="325" s="7" customFormat="1" x14ac:dyDescent="0.3"/>
    <row r="326" s="7" customFormat="1" x14ac:dyDescent="0.3"/>
    <row r="327" s="7" customFormat="1" x14ac:dyDescent="0.3"/>
    <row r="328" s="7" customFormat="1" x14ac:dyDescent="0.3"/>
    <row r="329" s="7" customFormat="1" x14ac:dyDescent="0.3"/>
    <row r="330" s="7" customFormat="1" x14ac:dyDescent="0.3"/>
    <row r="331" s="7" customFormat="1" x14ac:dyDescent="0.3"/>
    <row r="332" s="7" customFormat="1" x14ac:dyDescent="0.3"/>
    <row r="333" s="7" customFormat="1" x14ac:dyDescent="0.3"/>
    <row r="334" s="7" customFormat="1" x14ac:dyDescent="0.3"/>
    <row r="335" s="7" customFormat="1" x14ac:dyDescent="0.3"/>
    <row r="336" s="7" customFormat="1" x14ac:dyDescent="0.3"/>
    <row r="337" s="7" customFormat="1" x14ac:dyDescent="0.3"/>
    <row r="338" s="7" customFormat="1" x14ac:dyDescent="0.3"/>
    <row r="339" s="7" customFormat="1" x14ac:dyDescent="0.3"/>
    <row r="340" s="7" customFormat="1" x14ac:dyDescent="0.3"/>
    <row r="341" s="7" customFormat="1" x14ac:dyDescent="0.3"/>
    <row r="342" s="7" customFormat="1" x14ac:dyDescent="0.3"/>
    <row r="343" s="7" customFormat="1" x14ac:dyDescent="0.3"/>
    <row r="344" s="7" customFormat="1" x14ac:dyDescent="0.3"/>
    <row r="345" s="7" customFormat="1" x14ac:dyDescent="0.3"/>
    <row r="346" s="7" customFormat="1" x14ac:dyDescent="0.3"/>
    <row r="347" s="7" customFormat="1" x14ac:dyDescent="0.3"/>
    <row r="348" s="7" customFormat="1" x14ac:dyDescent="0.3"/>
    <row r="349" s="7" customFormat="1" x14ac:dyDescent="0.3"/>
    <row r="350" s="7" customFormat="1" x14ac:dyDescent="0.3"/>
    <row r="351" s="7" customFormat="1" x14ac:dyDescent="0.3"/>
    <row r="352" s="7" customFormat="1" x14ac:dyDescent="0.3"/>
    <row r="353" s="7" customFormat="1" x14ac:dyDescent="0.3"/>
    <row r="354" s="7" customFormat="1" x14ac:dyDescent="0.3"/>
    <row r="355" s="7" customFormat="1" x14ac:dyDescent="0.3"/>
    <row r="356" s="7" customFormat="1" x14ac:dyDescent="0.3"/>
    <row r="357" s="7" customFormat="1" x14ac:dyDescent="0.3"/>
    <row r="358" s="7" customFormat="1" x14ac:dyDescent="0.3"/>
    <row r="359" s="7" customFormat="1" x14ac:dyDescent="0.3"/>
    <row r="360" s="7" customFormat="1" x14ac:dyDescent="0.3"/>
    <row r="361" s="7" customFormat="1" x14ac:dyDescent="0.3"/>
    <row r="362" s="7" customFormat="1" x14ac:dyDescent="0.3"/>
    <row r="363" s="7" customFormat="1" x14ac:dyDescent="0.3"/>
    <row r="364" s="7" customFormat="1" x14ac:dyDescent="0.3"/>
    <row r="365" s="7" customFormat="1" x14ac:dyDescent="0.3"/>
    <row r="366" s="7" customFormat="1" x14ac:dyDescent="0.3"/>
    <row r="367" s="7" customFormat="1" x14ac:dyDescent="0.3"/>
    <row r="368" s="7" customFormat="1" x14ac:dyDescent="0.3"/>
    <row r="369" s="7" customFormat="1" x14ac:dyDescent="0.3"/>
    <row r="370" s="7" customFormat="1" x14ac:dyDescent="0.3"/>
    <row r="371" s="7" customFormat="1" x14ac:dyDescent="0.3"/>
    <row r="372" s="7" customFormat="1" x14ac:dyDescent="0.3"/>
    <row r="373" s="7" customFormat="1" x14ac:dyDescent="0.3"/>
    <row r="374" s="7" customFormat="1" x14ac:dyDescent="0.3"/>
    <row r="375" s="7" customFormat="1" x14ac:dyDescent="0.3"/>
    <row r="376" s="7" customFormat="1" x14ac:dyDescent="0.3"/>
    <row r="377" s="7" customFormat="1" x14ac:dyDescent="0.3"/>
    <row r="378" s="7" customFormat="1" x14ac:dyDescent="0.3"/>
    <row r="379" s="7" customFormat="1" x14ac:dyDescent="0.3"/>
    <row r="380" s="7" customFormat="1" x14ac:dyDescent="0.3"/>
    <row r="381" s="7" customFormat="1" x14ac:dyDescent="0.3"/>
    <row r="382" s="7" customFormat="1" x14ac:dyDescent="0.3"/>
    <row r="383" s="7" customFormat="1" x14ac:dyDescent="0.3"/>
    <row r="384" s="7" customFormat="1" x14ac:dyDescent="0.3"/>
    <row r="385" s="7" customFormat="1" x14ac:dyDescent="0.3"/>
    <row r="386" s="7" customFormat="1" x14ac:dyDescent="0.3"/>
    <row r="387" s="7" customFormat="1" x14ac:dyDescent="0.3"/>
    <row r="388" s="7" customFormat="1" x14ac:dyDescent="0.3"/>
    <row r="389" s="7" customFormat="1" x14ac:dyDescent="0.3"/>
    <row r="390" s="7" customFormat="1" x14ac:dyDescent="0.3"/>
    <row r="391" s="7" customFormat="1" x14ac:dyDescent="0.3"/>
    <row r="392" s="7" customFormat="1" x14ac:dyDescent="0.3"/>
    <row r="393" s="7" customFormat="1" x14ac:dyDescent="0.3"/>
    <row r="394" s="7" customFormat="1" x14ac:dyDescent="0.3"/>
    <row r="395" s="7" customFormat="1" x14ac:dyDescent="0.3"/>
    <row r="396" s="7" customFormat="1" x14ac:dyDescent="0.3"/>
    <row r="397" s="7" customFormat="1" x14ac:dyDescent="0.3"/>
    <row r="398" s="7" customFormat="1" x14ac:dyDescent="0.3"/>
    <row r="399" s="7" customFormat="1" x14ac:dyDescent="0.3"/>
    <row r="400" s="7" customFormat="1" x14ac:dyDescent="0.3"/>
    <row r="401" s="7" customFormat="1" x14ac:dyDescent="0.3"/>
    <row r="402" s="7" customFormat="1" x14ac:dyDescent="0.3"/>
    <row r="403" s="7" customFormat="1" x14ac:dyDescent="0.3"/>
    <row r="404" s="7" customFormat="1" x14ac:dyDescent="0.3"/>
    <row r="405" s="7" customFormat="1" x14ac:dyDescent="0.3"/>
    <row r="406" s="7" customFormat="1" x14ac:dyDescent="0.3"/>
    <row r="407" s="7" customFormat="1" x14ac:dyDescent="0.3"/>
    <row r="408" s="7" customFormat="1" x14ac:dyDescent="0.3"/>
    <row r="409" s="7" customFormat="1" x14ac:dyDescent="0.3"/>
    <row r="410" s="7" customFormat="1" x14ac:dyDescent="0.3"/>
    <row r="411" s="7" customFormat="1" x14ac:dyDescent="0.3"/>
    <row r="412" s="7" customFormat="1" x14ac:dyDescent="0.3"/>
    <row r="413" s="7" customFormat="1" x14ac:dyDescent="0.3"/>
    <row r="414" s="7" customFormat="1" x14ac:dyDescent="0.3"/>
    <row r="415" s="7" customFormat="1" x14ac:dyDescent="0.3"/>
    <row r="416" s="7" customFormat="1" x14ac:dyDescent="0.3"/>
    <row r="417" s="7" customFormat="1" x14ac:dyDescent="0.3"/>
    <row r="418" s="7" customFormat="1" x14ac:dyDescent="0.3"/>
    <row r="419" s="7" customFormat="1" x14ac:dyDescent="0.3"/>
    <row r="420" s="7" customFormat="1" x14ac:dyDescent="0.3"/>
    <row r="421" s="7" customFormat="1" x14ac:dyDescent="0.3"/>
    <row r="422" s="7" customFormat="1" x14ac:dyDescent="0.3"/>
    <row r="423" s="7" customFormat="1" x14ac:dyDescent="0.3"/>
    <row r="424" s="7" customFormat="1" x14ac:dyDescent="0.3"/>
    <row r="425" s="7" customFormat="1" x14ac:dyDescent="0.3"/>
    <row r="426" s="7" customFormat="1" x14ac:dyDescent="0.3"/>
    <row r="427" s="7" customFormat="1" x14ac:dyDescent="0.3"/>
    <row r="428" s="7" customFormat="1" x14ac:dyDescent="0.3"/>
    <row r="429" s="7" customFormat="1" x14ac:dyDescent="0.3"/>
    <row r="430" s="7" customFormat="1" x14ac:dyDescent="0.3"/>
    <row r="431" s="7" customFormat="1" x14ac:dyDescent="0.3"/>
    <row r="432" s="7" customFormat="1" x14ac:dyDescent="0.3"/>
    <row r="433" s="7" customFormat="1" x14ac:dyDescent="0.3"/>
    <row r="434" s="7" customFormat="1" x14ac:dyDescent="0.3"/>
    <row r="435" s="7" customFormat="1" x14ac:dyDescent="0.3"/>
    <row r="436" s="7" customFormat="1" x14ac:dyDescent="0.3"/>
    <row r="437" s="7" customFormat="1" x14ac:dyDescent="0.3"/>
    <row r="438" s="7" customFormat="1" x14ac:dyDescent="0.3"/>
    <row r="439" s="7" customFormat="1" x14ac:dyDescent="0.3"/>
    <row r="440" s="7" customFormat="1" x14ac:dyDescent="0.3"/>
    <row r="441" s="7" customFormat="1" x14ac:dyDescent="0.3"/>
    <row r="442" s="7" customFormat="1" x14ac:dyDescent="0.3"/>
    <row r="443" s="7" customFormat="1" x14ac:dyDescent="0.3"/>
    <row r="444" s="7" customFormat="1" x14ac:dyDescent="0.3"/>
    <row r="445" s="7" customFormat="1" x14ac:dyDescent="0.3"/>
    <row r="446" s="7" customFormat="1" x14ac:dyDescent="0.3"/>
    <row r="447" s="7" customFormat="1" x14ac:dyDescent="0.3"/>
    <row r="448" s="7" customFormat="1" x14ac:dyDescent="0.3"/>
    <row r="449" s="7" customFormat="1" x14ac:dyDescent="0.3"/>
    <row r="450" s="7" customFormat="1" x14ac:dyDescent="0.3"/>
    <row r="451" s="7" customFormat="1" x14ac:dyDescent="0.3"/>
    <row r="452" s="7" customFormat="1" x14ac:dyDescent="0.3"/>
    <row r="453" s="7" customFormat="1" x14ac:dyDescent="0.3"/>
    <row r="454" s="7" customFormat="1" x14ac:dyDescent="0.3"/>
    <row r="455" s="7" customFormat="1" x14ac:dyDescent="0.3"/>
    <row r="456" s="7" customFormat="1" x14ac:dyDescent="0.3"/>
    <row r="457" s="7" customFormat="1" x14ac:dyDescent="0.3"/>
    <row r="458" s="7" customFormat="1" x14ac:dyDescent="0.3"/>
    <row r="459" s="7" customFormat="1" x14ac:dyDescent="0.3"/>
    <row r="460" s="7" customFormat="1" x14ac:dyDescent="0.3"/>
    <row r="461" s="7" customFormat="1" x14ac:dyDescent="0.3"/>
    <row r="462" s="7" customFormat="1" x14ac:dyDescent="0.3"/>
    <row r="463" s="7" customFormat="1" x14ac:dyDescent="0.3"/>
    <row r="464" s="7" customFormat="1" x14ac:dyDescent="0.3"/>
    <row r="465" s="7" customFormat="1" x14ac:dyDescent="0.3"/>
    <row r="466" s="7" customFormat="1" x14ac:dyDescent="0.3"/>
    <row r="467" s="7" customFormat="1" x14ac:dyDescent="0.3"/>
    <row r="468" s="7" customFormat="1" x14ac:dyDescent="0.3"/>
    <row r="469" s="7" customFormat="1" x14ac:dyDescent="0.3"/>
    <row r="470" s="7" customFormat="1" x14ac:dyDescent="0.3"/>
    <row r="471" s="7" customFormat="1" x14ac:dyDescent="0.3"/>
    <row r="472" s="7" customFormat="1" x14ac:dyDescent="0.3"/>
    <row r="473" s="7" customFormat="1" x14ac:dyDescent="0.3"/>
    <row r="474" s="7" customFormat="1" x14ac:dyDescent="0.3"/>
    <row r="475" s="7" customFormat="1" x14ac:dyDescent="0.3"/>
    <row r="476" s="7" customFormat="1" x14ac:dyDescent="0.3"/>
    <row r="477" s="7" customFormat="1" x14ac:dyDescent="0.3"/>
    <row r="478" s="7" customFormat="1" x14ac:dyDescent="0.3"/>
    <row r="479" s="7" customFormat="1" x14ac:dyDescent="0.3"/>
    <row r="480" s="7" customFormat="1" x14ac:dyDescent="0.3"/>
    <row r="481" s="7" customFormat="1" x14ac:dyDescent="0.3"/>
    <row r="482" s="7" customFormat="1" x14ac:dyDescent="0.3"/>
    <row r="483" s="7" customFormat="1" x14ac:dyDescent="0.3"/>
    <row r="484" s="7" customFormat="1" x14ac:dyDescent="0.3"/>
    <row r="485" s="7" customFormat="1" x14ac:dyDescent="0.3"/>
    <row r="486" s="7" customFormat="1" x14ac:dyDescent="0.3"/>
    <row r="487" s="7" customFormat="1" x14ac:dyDescent="0.3"/>
    <row r="488" s="7" customFormat="1" x14ac:dyDescent="0.3"/>
    <row r="489" s="7" customFormat="1" x14ac:dyDescent="0.3"/>
    <row r="490" s="7" customFormat="1" x14ac:dyDescent="0.3"/>
    <row r="491" s="7" customFormat="1" x14ac:dyDescent="0.3"/>
    <row r="492" s="7" customFormat="1" x14ac:dyDescent="0.3"/>
    <row r="493" s="7" customFormat="1" x14ac:dyDescent="0.3"/>
    <row r="494" s="7" customFormat="1" x14ac:dyDescent="0.3"/>
    <row r="495" s="7" customFormat="1" x14ac:dyDescent="0.3"/>
    <row r="496" s="7" customFormat="1" x14ac:dyDescent="0.3"/>
    <row r="497" s="7" customFormat="1" x14ac:dyDescent="0.3"/>
    <row r="498" s="7" customFormat="1" x14ac:dyDescent="0.3"/>
    <row r="499" s="7" customFormat="1" x14ac:dyDescent="0.3"/>
    <row r="500" s="7" customFormat="1" x14ac:dyDescent="0.3"/>
    <row r="501" s="7" customFormat="1" x14ac:dyDescent="0.3"/>
    <row r="502" s="7" customFormat="1" x14ac:dyDescent="0.3"/>
    <row r="503" s="7" customFormat="1" x14ac:dyDescent="0.3"/>
    <row r="504" s="7" customFormat="1" x14ac:dyDescent="0.3"/>
    <row r="505" s="7" customFormat="1" x14ac:dyDescent="0.3"/>
    <row r="506" s="7" customFormat="1" x14ac:dyDescent="0.3"/>
    <row r="507" s="7" customFormat="1" x14ac:dyDescent="0.3"/>
    <row r="508" s="7" customFormat="1" x14ac:dyDescent="0.3"/>
    <row r="509" s="7" customFormat="1" x14ac:dyDescent="0.3"/>
    <row r="510" s="7" customFormat="1" x14ac:dyDescent="0.3"/>
    <row r="511" s="7" customFormat="1" x14ac:dyDescent="0.3"/>
    <row r="512" s="7" customFormat="1" x14ac:dyDescent="0.3"/>
    <row r="513" s="7" customFormat="1" x14ac:dyDescent="0.3"/>
    <row r="514" s="7" customFormat="1" x14ac:dyDescent="0.3"/>
    <row r="515" s="7" customFormat="1" x14ac:dyDescent="0.3"/>
    <row r="516" s="7" customFormat="1" x14ac:dyDescent="0.3"/>
    <row r="517" s="7" customFormat="1" x14ac:dyDescent="0.3"/>
    <row r="518" s="7" customFormat="1" x14ac:dyDescent="0.3"/>
    <row r="519" s="7" customFormat="1" x14ac:dyDescent="0.3"/>
    <row r="520" s="7" customFormat="1" x14ac:dyDescent="0.3"/>
    <row r="521" s="7" customFormat="1" x14ac:dyDescent="0.3"/>
    <row r="522" s="7" customFormat="1" x14ac:dyDescent="0.3"/>
    <row r="523" s="7" customFormat="1" x14ac:dyDescent="0.3"/>
    <row r="524" s="7" customFormat="1" x14ac:dyDescent="0.3"/>
    <row r="525" s="7" customFormat="1" x14ac:dyDescent="0.3"/>
    <row r="526" s="7" customFormat="1" x14ac:dyDescent="0.3"/>
    <row r="527" s="7" customFormat="1" x14ac:dyDescent="0.3"/>
    <row r="528" s="7" customFormat="1" x14ac:dyDescent="0.3"/>
    <row r="529" s="7" customFormat="1" x14ac:dyDescent="0.3"/>
    <row r="530" s="7" customFormat="1" x14ac:dyDescent="0.3"/>
    <row r="531" s="7" customFormat="1" x14ac:dyDescent="0.3"/>
    <row r="532" s="7" customFormat="1" x14ac:dyDescent="0.3"/>
    <row r="533" s="7" customFormat="1" x14ac:dyDescent="0.3"/>
    <row r="534" s="7" customFormat="1" x14ac:dyDescent="0.3"/>
    <row r="535" s="7" customFormat="1" x14ac:dyDescent="0.3"/>
    <row r="536" s="7" customFormat="1" x14ac:dyDescent="0.3"/>
    <row r="537" s="7" customFormat="1" x14ac:dyDescent="0.3"/>
    <row r="538" s="7" customFormat="1" x14ac:dyDescent="0.3"/>
    <row r="539" s="7" customFormat="1" x14ac:dyDescent="0.3"/>
    <row r="540" s="7" customFormat="1" x14ac:dyDescent="0.3"/>
    <row r="541" s="7" customFormat="1" x14ac:dyDescent="0.3"/>
    <row r="542" s="7" customFormat="1" x14ac:dyDescent="0.3"/>
    <row r="543" s="7" customFormat="1" x14ac:dyDescent="0.3"/>
    <row r="544" s="7" customFormat="1" x14ac:dyDescent="0.3"/>
    <row r="545" s="7" customFormat="1" x14ac:dyDescent="0.3"/>
    <row r="546" s="7" customFormat="1" x14ac:dyDescent="0.3"/>
    <row r="547" s="7" customFormat="1" x14ac:dyDescent="0.3"/>
    <row r="548" s="7" customFormat="1" x14ac:dyDescent="0.3"/>
    <row r="549" s="7" customFormat="1" x14ac:dyDescent="0.3"/>
    <row r="550" s="7" customFormat="1" x14ac:dyDescent="0.3"/>
    <row r="551" s="7" customFormat="1" x14ac:dyDescent="0.3"/>
    <row r="552" s="7" customFormat="1" x14ac:dyDescent="0.3"/>
    <row r="553" s="7" customFormat="1" x14ac:dyDescent="0.3"/>
    <row r="554" s="7" customFormat="1" x14ac:dyDescent="0.3"/>
    <row r="555" s="7" customFormat="1" x14ac:dyDescent="0.3"/>
    <row r="556" s="7" customFormat="1" x14ac:dyDescent="0.3"/>
    <row r="557" s="7" customFormat="1" x14ac:dyDescent="0.3"/>
    <row r="558" s="7" customFormat="1" x14ac:dyDescent="0.3"/>
    <row r="559" s="7" customFormat="1" x14ac:dyDescent="0.3"/>
    <row r="560" s="7" customFormat="1" x14ac:dyDescent="0.3"/>
    <row r="561" s="7" customFormat="1" x14ac:dyDescent="0.3"/>
    <row r="562" s="7" customFormat="1" x14ac:dyDescent="0.3"/>
    <row r="563" s="7" customFormat="1" x14ac:dyDescent="0.3"/>
    <row r="564" s="7" customFormat="1" x14ac:dyDescent="0.3"/>
    <row r="565" s="7" customFormat="1" x14ac:dyDescent="0.3"/>
    <row r="566" s="7" customFormat="1" x14ac:dyDescent="0.3"/>
    <row r="567" s="7" customFormat="1" x14ac:dyDescent="0.3"/>
    <row r="568" s="7" customFormat="1" x14ac:dyDescent="0.3"/>
    <row r="569" s="7" customFormat="1" x14ac:dyDescent="0.3"/>
    <row r="570" s="7" customFormat="1" x14ac:dyDescent="0.3"/>
    <row r="571" s="7" customFormat="1" x14ac:dyDescent="0.3"/>
    <row r="572" s="7" customFormat="1" x14ac:dyDescent="0.3"/>
    <row r="573" s="7" customFormat="1" x14ac:dyDescent="0.3"/>
    <row r="574" s="7" customFormat="1" x14ac:dyDescent="0.3"/>
    <row r="575" s="7" customFormat="1" x14ac:dyDescent="0.3"/>
    <row r="576" s="7" customFormat="1" x14ac:dyDescent="0.3"/>
    <row r="577" s="7" customFormat="1" x14ac:dyDescent="0.3"/>
    <row r="578" s="7" customFormat="1" x14ac:dyDescent="0.3"/>
    <row r="579" s="7" customFormat="1" x14ac:dyDescent="0.3"/>
    <row r="580" s="7" customFormat="1" x14ac:dyDescent="0.3"/>
    <row r="581" s="7" customFormat="1" x14ac:dyDescent="0.3"/>
    <row r="582" s="7" customFormat="1" x14ac:dyDescent="0.3"/>
    <row r="583" s="7" customFormat="1" x14ac:dyDescent="0.3"/>
    <row r="584" s="7" customFormat="1" x14ac:dyDescent="0.3"/>
    <row r="585" s="7" customFormat="1" x14ac:dyDescent="0.3"/>
    <row r="586" s="7" customFormat="1" x14ac:dyDescent="0.3"/>
    <row r="587" s="7" customFormat="1" x14ac:dyDescent="0.3"/>
    <row r="588" s="7" customFormat="1" x14ac:dyDescent="0.3"/>
    <row r="589" s="7" customFormat="1" x14ac:dyDescent="0.3"/>
    <row r="590" s="7" customFormat="1" x14ac:dyDescent="0.3"/>
    <row r="591" s="7" customFormat="1" x14ac:dyDescent="0.3"/>
    <row r="592" s="7" customFormat="1" x14ac:dyDescent="0.3"/>
    <row r="593" s="7" customFormat="1" x14ac:dyDescent="0.3"/>
    <row r="594" s="7" customFormat="1" x14ac:dyDescent="0.3"/>
    <row r="595" s="7" customFormat="1" x14ac:dyDescent="0.3"/>
    <row r="596" s="7" customFormat="1" x14ac:dyDescent="0.3"/>
    <row r="597" s="7" customFormat="1" x14ac:dyDescent="0.3"/>
    <row r="598" s="7" customFormat="1" x14ac:dyDescent="0.3"/>
    <row r="599" s="7" customFormat="1" x14ac:dyDescent="0.3"/>
    <row r="600" s="7" customFormat="1" x14ac:dyDescent="0.3"/>
    <row r="601" s="7" customFormat="1" x14ac:dyDescent="0.3"/>
    <row r="602" s="7" customFormat="1" x14ac:dyDescent="0.3"/>
    <row r="603" s="7" customFormat="1" x14ac:dyDescent="0.3"/>
    <row r="604" s="7" customFormat="1" x14ac:dyDescent="0.3"/>
    <row r="605" s="7" customFormat="1" x14ac:dyDescent="0.3"/>
    <row r="606" s="7" customFormat="1" x14ac:dyDescent="0.3"/>
    <row r="607" s="7" customFormat="1" x14ac:dyDescent="0.3"/>
    <row r="608" s="7" customFormat="1" x14ac:dyDescent="0.3"/>
    <row r="609" s="7" customFormat="1" x14ac:dyDescent="0.3"/>
    <row r="610" s="7" customFormat="1" x14ac:dyDescent="0.3"/>
    <row r="611" s="7" customFormat="1" x14ac:dyDescent="0.3"/>
    <row r="612" s="7" customFormat="1" x14ac:dyDescent="0.3"/>
    <row r="613" s="7" customFormat="1" x14ac:dyDescent="0.3"/>
    <row r="614" s="7" customFormat="1" x14ac:dyDescent="0.3"/>
    <row r="615" s="7" customFormat="1" x14ac:dyDescent="0.3"/>
    <row r="616" s="7" customFormat="1" x14ac:dyDescent="0.3"/>
    <row r="617" s="7" customFormat="1" x14ac:dyDescent="0.3"/>
    <row r="618" s="7" customFormat="1" x14ac:dyDescent="0.3"/>
    <row r="619" s="7" customFormat="1" x14ac:dyDescent="0.3"/>
    <row r="620" s="7" customFormat="1" x14ac:dyDescent="0.3"/>
    <row r="621" s="7" customFormat="1" x14ac:dyDescent="0.3"/>
    <row r="622" s="7" customFormat="1" x14ac:dyDescent="0.3"/>
    <row r="623" s="7" customFormat="1" x14ac:dyDescent="0.3"/>
    <row r="624" s="7" customFormat="1" x14ac:dyDescent="0.3"/>
    <row r="625" s="7" customFormat="1" x14ac:dyDescent="0.3"/>
    <row r="626" s="7" customFormat="1" x14ac:dyDescent="0.3"/>
    <row r="627" s="7" customFormat="1" x14ac:dyDescent="0.3"/>
    <row r="628" s="7" customFormat="1" x14ac:dyDescent="0.3"/>
    <row r="629" s="7" customFormat="1" x14ac:dyDescent="0.3"/>
    <row r="630" s="7" customFormat="1" x14ac:dyDescent="0.3"/>
    <row r="631" s="7" customFormat="1" x14ac:dyDescent="0.3"/>
    <row r="632" s="7" customFormat="1" x14ac:dyDescent="0.3"/>
    <row r="633" s="7" customFormat="1" x14ac:dyDescent="0.3"/>
    <row r="634" s="7" customFormat="1" x14ac:dyDescent="0.3"/>
    <row r="635" s="7" customFormat="1" x14ac:dyDescent="0.3"/>
    <row r="636" s="7" customFormat="1" x14ac:dyDescent="0.3"/>
    <row r="637" s="7" customFormat="1" x14ac:dyDescent="0.3"/>
    <row r="638" s="7" customFormat="1" x14ac:dyDescent="0.3"/>
    <row r="639" s="7" customFormat="1" x14ac:dyDescent="0.3"/>
    <row r="640" s="7" customFormat="1" x14ac:dyDescent="0.3"/>
    <row r="641" s="7" customFormat="1" x14ac:dyDescent="0.3"/>
    <row r="642" s="7" customFormat="1" x14ac:dyDescent="0.3"/>
    <row r="643" s="7" customFormat="1" x14ac:dyDescent="0.3"/>
    <row r="644" s="7" customFormat="1" x14ac:dyDescent="0.3"/>
    <row r="645" s="7" customFormat="1" x14ac:dyDescent="0.3"/>
    <row r="646" s="7" customFormat="1" x14ac:dyDescent="0.3"/>
    <row r="647" s="7" customFormat="1" x14ac:dyDescent="0.3"/>
    <row r="648" s="7" customFormat="1" x14ac:dyDescent="0.3"/>
    <row r="649" s="7" customFormat="1" x14ac:dyDescent="0.3"/>
    <row r="650" s="7" customFormat="1" x14ac:dyDescent="0.3"/>
    <row r="651" s="7" customFormat="1" x14ac:dyDescent="0.3"/>
    <row r="652" s="7" customFormat="1" x14ac:dyDescent="0.3"/>
    <row r="653" s="7" customFormat="1" x14ac:dyDescent="0.3"/>
    <row r="654" s="7" customFormat="1" x14ac:dyDescent="0.3"/>
    <row r="655" s="7" customFormat="1" x14ac:dyDescent="0.3"/>
    <row r="656" s="7" customFormat="1" x14ac:dyDescent="0.3"/>
    <row r="657" s="7" customFormat="1" x14ac:dyDescent="0.3"/>
    <row r="658" s="7" customFormat="1" x14ac:dyDescent="0.3"/>
    <row r="659" s="7" customFormat="1" x14ac:dyDescent="0.3"/>
    <row r="660" s="7" customFormat="1" x14ac:dyDescent="0.3"/>
    <row r="661" s="7" customFormat="1" x14ac:dyDescent="0.3"/>
    <row r="662" s="7" customFormat="1" x14ac:dyDescent="0.3"/>
    <row r="663" s="7" customFormat="1" x14ac:dyDescent="0.3"/>
    <row r="664" s="7" customFormat="1" x14ac:dyDescent="0.3"/>
    <row r="665" s="7" customFormat="1" x14ac:dyDescent="0.3"/>
    <row r="666" s="7" customFormat="1" x14ac:dyDescent="0.3"/>
    <row r="667" s="7" customFormat="1" x14ac:dyDescent="0.3"/>
    <row r="668" s="7" customFormat="1" x14ac:dyDescent="0.3"/>
    <row r="669" s="7" customFormat="1" x14ac:dyDescent="0.3"/>
    <row r="670" s="7" customFormat="1" x14ac:dyDescent="0.3"/>
    <row r="671" s="7" customFormat="1" x14ac:dyDescent="0.3"/>
    <row r="672" s="7" customFormat="1" x14ac:dyDescent="0.3"/>
    <row r="673" s="7" customFormat="1" x14ac:dyDescent="0.3"/>
    <row r="674" s="7" customFormat="1" x14ac:dyDescent="0.3"/>
    <row r="675" s="7" customFormat="1" x14ac:dyDescent="0.3"/>
    <row r="676" s="7" customFormat="1" x14ac:dyDescent="0.3"/>
    <row r="677" s="7" customFormat="1" x14ac:dyDescent="0.3"/>
    <row r="678" s="7" customFormat="1" x14ac:dyDescent="0.3"/>
    <row r="679" s="7" customFormat="1" x14ac:dyDescent="0.3"/>
    <row r="680" s="7" customFormat="1" x14ac:dyDescent="0.3"/>
    <row r="681" s="7" customFormat="1" x14ac:dyDescent="0.3"/>
    <row r="682" s="7" customFormat="1" x14ac:dyDescent="0.3"/>
    <row r="683" s="7" customFormat="1" x14ac:dyDescent="0.3"/>
    <row r="684" s="7" customFormat="1" x14ac:dyDescent="0.3"/>
    <row r="685" s="7" customFormat="1" x14ac:dyDescent="0.3"/>
    <row r="686" s="7" customFormat="1" x14ac:dyDescent="0.3"/>
    <row r="687" s="7" customFormat="1" x14ac:dyDescent="0.3"/>
    <row r="688" s="7" customFormat="1" x14ac:dyDescent="0.3"/>
    <row r="689" s="7" customFormat="1" x14ac:dyDescent="0.3"/>
    <row r="690" s="7" customFormat="1" x14ac:dyDescent="0.3"/>
    <row r="691" s="7" customFormat="1" x14ac:dyDescent="0.3"/>
    <row r="692" s="7" customFormat="1" x14ac:dyDescent="0.3"/>
    <row r="693" s="7" customFormat="1" x14ac:dyDescent="0.3"/>
    <row r="694" s="7" customFormat="1" x14ac:dyDescent="0.3"/>
    <row r="695" s="7" customFormat="1" x14ac:dyDescent="0.3"/>
    <row r="696" s="7" customFormat="1" x14ac:dyDescent="0.3"/>
    <row r="697" s="7" customFormat="1" x14ac:dyDescent="0.3"/>
    <row r="698" s="7" customFormat="1" x14ac:dyDescent="0.3"/>
    <row r="699" s="7" customFormat="1" x14ac:dyDescent="0.3"/>
    <row r="700" s="7" customFormat="1" x14ac:dyDescent="0.3"/>
    <row r="701" s="7" customFormat="1" x14ac:dyDescent="0.3"/>
    <row r="702" s="7" customFormat="1" x14ac:dyDescent="0.3"/>
    <row r="703" s="7" customFormat="1" x14ac:dyDescent="0.3"/>
    <row r="704" s="7" customFormat="1" x14ac:dyDescent="0.3"/>
    <row r="705" s="7" customFormat="1" x14ac:dyDescent="0.3"/>
    <row r="706" s="7" customFormat="1" x14ac:dyDescent="0.3"/>
    <row r="707" s="7" customFormat="1" x14ac:dyDescent="0.3"/>
    <row r="708" s="7" customFormat="1" x14ac:dyDescent="0.3"/>
    <row r="709" s="7" customFormat="1" x14ac:dyDescent="0.3"/>
    <row r="710" s="7" customFormat="1" x14ac:dyDescent="0.3"/>
    <row r="711" s="7" customFormat="1" x14ac:dyDescent="0.3"/>
    <row r="712" s="7" customFormat="1" x14ac:dyDescent="0.3"/>
    <row r="713" s="7" customFormat="1" x14ac:dyDescent="0.3"/>
    <row r="714" s="7" customFormat="1" x14ac:dyDescent="0.3"/>
    <row r="715" s="7" customFormat="1" x14ac:dyDescent="0.3"/>
    <row r="716" s="7" customFormat="1" x14ac:dyDescent="0.3"/>
    <row r="717" s="7" customFormat="1" x14ac:dyDescent="0.3"/>
    <row r="718" s="7" customFormat="1" x14ac:dyDescent="0.3"/>
    <row r="719" s="7" customFormat="1" x14ac:dyDescent="0.3"/>
    <row r="720" s="7" customFormat="1" x14ac:dyDescent="0.3"/>
    <row r="721" s="7" customFormat="1" x14ac:dyDescent="0.3"/>
    <row r="722" s="7" customFormat="1" x14ac:dyDescent="0.3"/>
    <row r="723" s="7" customFormat="1" x14ac:dyDescent="0.3"/>
    <row r="724" s="7" customFormat="1" x14ac:dyDescent="0.3"/>
    <row r="725" s="7" customFormat="1" x14ac:dyDescent="0.3"/>
    <row r="726" s="7" customFormat="1" x14ac:dyDescent="0.3"/>
    <row r="727" s="7" customFormat="1" x14ac:dyDescent="0.3"/>
    <row r="728" s="7" customFormat="1" x14ac:dyDescent="0.3"/>
    <row r="729" s="7" customFormat="1" x14ac:dyDescent="0.3"/>
    <row r="730" s="7" customFormat="1" x14ac:dyDescent="0.3"/>
    <row r="731" s="7" customFormat="1" x14ac:dyDescent="0.3"/>
    <row r="732" s="7" customFormat="1" x14ac:dyDescent="0.3"/>
    <row r="733" s="7" customFormat="1" x14ac:dyDescent="0.3"/>
    <row r="734" s="7" customFormat="1" x14ac:dyDescent="0.3"/>
    <row r="735" s="7" customFormat="1" x14ac:dyDescent="0.3"/>
    <row r="736" s="7" customFormat="1" x14ac:dyDescent="0.3"/>
    <row r="737" s="7" customFormat="1" x14ac:dyDescent="0.3"/>
    <row r="738" s="7" customFormat="1" x14ac:dyDescent="0.3"/>
    <row r="739" s="7" customFormat="1" x14ac:dyDescent="0.3"/>
    <row r="740" s="7" customFormat="1" x14ac:dyDescent="0.3"/>
    <row r="741" s="7" customFormat="1" x14ac:dyDescent="0.3"/>
    <row r="742" s="7" customFormat="1" x14ac:dyDescent="0.3"/>
    <row r="743" s="7" customFormat="1" x14ac:dyDescent="0.3"/>
    <row r="744" s="7" customFormat="1" x14ac:dyDescent="0.3"/>
    <row r="745" s="7" customFormat="1" x14ac:dyDescent="0.3"/>
    <row r="746" s="7" customFormat="1" x14ac:dyDescent="0.3"/>
    <row r="747" s="7" customFormat="1" x14ac:dyDescent="0.3"/>
    <row r="748" s="7" customFormat="1" x14ac:dyDescent="0.3"/>
    <row r="749" s="7" customFormat="1" x14ac:dyDescent="0.3"/>
    <row r="750" s="7" customFormat="1" x14ac:dyDescent="0.3"/>
    <row r="751" s="7" customFormat="1" x14ac:dyDescent="0.3"/>
    <row r="752" s="7" customFormat="1" x14ac:dyDescent="0.3"/>
    <row r="753" s="7" customFormat="1" x14ac:dyDescent="0.3"/>
    <row r="754" s="7" customFormat="1" x14ac:dyDescent="0.3"/>
    <row r="755" s="7" customFormat="1" x14ac:dyDescent="0.3"/>
    <row r="756" s="7" customFormat="1" x14ac:dyDescent="0.3"/>
    <row r="757" s="7" customFormat="1" x14ac:dyDescent="0.3"/>
    <row r="758" s="7" customFormat="1" x14ac:dyDescent="0.3"/>
    <row r="759" s="7" customFormat="1" x14ac:dyDescent="0.3"/>
    <row r="760" s="7" customFormat="1" x14ac:dyDescent="0.3"/>
    <row r="761" s="7" customFormat="1" x14ac:dyDescent="0.3"/>
    <row r="762" s="7" customFormat="1" x14ac:dyDescent="0.3"/>
    <row r="763" s="7" customFormat="1" x14ac:dyDescent="0.3"/>
    <row r="764" s="7" customFormat="1" x14ac:dyDescent="0.3"/>
    <row r="765" s="7" customFormat="1" x14ac:dyDescent="0.3"/>
    <row r="766" s="7" customFormat="1" x14ac:dyDescent="0.3"/>
    <row r="767" s="7" customFormat="1" x14ac:dyDescent="0.3"/>
    <row r="768" s="7" customFormat="1" x14ac:dyDescent="0.3"/>
    <row r="769" s="7" customFormat="1" x14ac:dyDescent="0.3"/>
    <row r="770" s="7" customFormat="1" x14ac:dyDescent="0.3"/>
    <row r="771" s="7" customFormat="1" x14ac:dyDescent="0.3"/>
    <row r="772" s="7" customFormat="1" x14ac:dyDescent="0.3"/>
    <row r="773" s="7" customFormat="1" x14ac:dyDescent="0.3"/>
    <row r="774" s="7" customFormat="1" x14ac:dyDescent="0.3"/>
    <row r="775" s="7" customFormat="1" x14ac:dyDescent="0.3"/>
    <row r="776" s="7" customFormat="1" x14ac:dyDescent="0.3"/>
    <row r="777" s="7" customFormat="1" x14ac:dyDescent="0.3"/>
    <row r="778" s="7" customFormat="1" x14ac:dyDescent="0.3"/>
    <row r="779" s="7" customFormat="1" x14ac:dyDescent="0.3"/>
    <row r="780" s="7" customFormat="1" x14ac:dyDescent="0.3"/>
    <row r="781" s="7" customFormat="1" x14ac:dyDescent="0.3"/>
    <row r="782" s="7" customFormat="1" x14ac:dyDescent="0.3"/>
    <row r="783" s="7" customFormat="1" x14ac:dyDescent="0.3"/>
    <row r="784" s="7" customFormat="1" x14ac:dyDescent="0.3"/>
    <row r="785" s="7" customFormat="1" x14ac:dyDescent="0.3"/>
    <row r="786" s="7" customFormat="1" x14ac:dyDescent="0.3"/>
    <row r="787" s="7" customFormat="1" x14ac:dyDescent="0.3"/>
    <row r="788" s="7" customFormat="1" x14ac:dyDescent="0.3"/>
    <row r="789" s="7" customFormat="1" x14ac:dyDescent="0.3"/>
    <row r="790" s="7" customFormat="1" x14ac:dyDescent="0.3"/>
    <row r="791" s="7" customFormat="1" x14ac:dyDescent="0.3"/>
    <row r="792" s="7" customFormat="1" x14ac:dyDescent="0.3"/>
    <row r="793" s="7" customFormat="1" x14ac:dyDescent="0.3"/>
    <row r="794" s="7" customFormat="1" x14ac:dyDescent="0.3"/>
    <row r="795" s="7" customFormat="1" x14ac:dyDescent="0.3"/>
    <row r="796" s="7" customFormat="1" x14ac:dyDescent="0.3"/>
    <row r="797" s="7" customFormat="1" x14ac:dyDescent="0.3"/>
    <row r="798" s="7" customFormat="1" x14ac:dyDescent="0.3"/>
    <row r="799" s="7" customFormat="1" x14ac:dyDescent="0.3"/>
    <row r="800" s="7" customFormat="1" x14ac:dyDescent="0.3"/>
    <row r="801" s="7" customFormat="1" x14ac:dyDescent="0.3"/>
    <row r="802" s="7" customFormat="1" x14ac:dyDescent="0.3"/>
    <row r="803" s="7" customFormat="1" x14ac:dyDescent="0.3"/>
    <row r="804" s="7" customFormat="1" x14ac:dyDescent="0.3"/>
    <row r="805" s="7" customFormat="1" x14ac:dyDescent="0.3"/>
    <row r="806" s="7" customFormat="1" x14ac:dyDescent="0.3"/>
    <row r="807" s="7" customFormat="1" x14ac:dyDescent="0.3"/>
    <row r="808" s="7" customFormat="1" x14ac:dyDescent="0.3"/>
    <row r="809" s="7" customFormat="1" x14ac:dyDescent="0.3"/>
    <row r="810" s="7" customFormat="1" x14ac:dyDescent="0.3"/>
    <row r="811" s="7" customFormat="1" x14ac:dyDescent="0.3"/>
    <row r="812" s="7" customFormat="1" x14ac:dyDescent="0.3"/>
    <row r="813" s="7" customFormat="1" x14ac:dyDescent="0.3"/>
    <row r="814" s="7" customFormat="1" x14ac:dyDescent="0.3"/>
    <row r="815" s="7" customFormat="1" x14ac:dyDescent="0.3"/>
    <row r="816" s="7" customFormat="1" x14ac:dyDescent="0.3"/>
    <row r="817" s="7" customFormat="1" x14ac:dyDescent="0.3"/>
    <row r="818" s="7" customFormat="1" x14ac:dyDescent="0.3"/>
    <row r="819" s="7" customFormat="1" x14ac:dyDescent="0.3"/>
    <row r="820" s="7" customFormat="1" x14ac:dyDescent="0.3"/>
    <row r="821" s="7" customFormat="1" x14ac:dyDescent="0.3"/>
    <row r="822" s="7" customFormat="1" x14ac:dyDescent="0.3"/>
    <row r="823" s="7" customFormat="1" x14ac:dyDescent="0.3"/>
    <row r="824" s="7" customFormat="1" x14ac:dyDescent="0.3"/>
    <row r="825" s="7" customFormat="1" x14ac:dyDescent="0.3"/>
    <row r="826" s="7" customFormat="1" x14ac:dyDescent="0.3"/>
    <row r="827" s="7" customFormat="1" x14ac:dyDescent="0.3"/>
    <row r="828" s="7" customFormat="1" x14ac:dyDescent="0.3"/>
    <row r="829" s="7" customFormat="1" x14ac:dyDescent="0.3"/>
    <row r="830" s="7" customFormat="1" x14ac:dyDescent="0.3"/>
    <row r="831" s="7" customFormat="1" x14ac:dyDescent="0.3"/>
    <row r="832" s="7" customFormat="1" x14ac:dyDescent="0.3"/>
    <row r="833" s="7" customFormat="1" x14ac:dyDescent="0.3"/>
    <row r="834" s="7" customFormat="1" x14ac:dyDescent="0.3"/>
    <row r="835" s="7" customFormat="1" x14ac:dyDescent="0.3"/>
    <row r="836" s="7" customFormat="1" x14ac:dyDescent="0.3"/>
    <row r="837" s="7" customFormat="1" x14ac:dyDescent="0.3"/>
    <row r="838" s="7" customFormat="1" x14ac:dyDescent="0.3"/>
    <row r="839" s="7" customFormat="1" x14ac:dyDescent="0.3"/>
    <row r="840" s="7" customFormat="1" x14ac:dyDescent="0.3"/>
    <row r="841" s="7" customFormat="1" x14ac:dyDescent="0.3"/>
    <row r="842" s="7" customFormat="1" x14ac:dyDescent="0.3"/>
    <row r="843" s="7" customFormat="1" x14ac:dyDescent="0.3"/>
    <row r="844" s="7" customFormat="1" x14ac:dyDescent="0.3"/>
    <row r="845" s="7" customFormat="1" x14ac:dyDescent="0.3"/>
    <row r="846" s="7" customFormat="1" x14ac:dyDescent="0.3"/>
    <row r="847" s="7" customFormat="1" x14ac:dyDescent="0.3"/>
    <row r="848" s="7" customFormat="1" x14ac:dyDescent="0.3"/>
    <row r="849" s="7" customFormat="1" x14ac:dyDescent="0.3"/>
    <row r="850" s="7" customFormat="1" x14ac:dyDescent="0.3"/>
    <row r="851" s="7" customFormat="1" x14ac:dyDescent="0.3"/>
    <row r="852" s="7" customFormat="1" x14ac:dyDescent="0.3"/>
    <row r="853" s="7" customFormat="1" x14ac:dyDescent="0.3"/>
    <row r="854" s="7" customFormat="1" x14ac:dyDescent="0.3"/>
    <row r="855" s="7" customFormat="1" x14ac:dyDescent="0.3"/>
    <row r="856" s="7" customFormat="1" x14ac:dyDescent="0.3"/>
    <row r="857" s="7" customFormat="1" x14ac:dyDescent="0.3"/>
    <row r="858" s="7" customFormat="1" x14ac:dyDescent="0.3"/>
    <row r="859" s="7" customFormat="1" x14ac:dyDescent="0.3"/>
    <row r="860" s="7" customFormat="1" x14ac:dyDescent="0.3"/>
    <row r="861" s="7" customFormat="1" x14ac:dyDescent="0.3"/>
    <row r="862" s="7" customFormat="1" x14ac:dyDescent="0.3"/>
    <row r="863" s="7" customFormat="1" x14ac:dyDescent="0.3"/>
    <row r="864" s="7" customFormat="1" x14ac:dyDescent="0.3"/>
    <row r="865" s="7" customFormat="1" x14ac:dyDescent="0.3"/>
    <row r="866" s="7" customFormat="1" x14ac:dyDescent="0.3"/>
    <row r="867" s="7" customFormat="1" x14ac:dyDescent="0.3"/>
    <row r="868" s="7" customFormat="1" x14ac:dyDescent="0.3"/>
    <row r="869" s="7" customFormat="1" x14ac:dyDescent="0.3"/>
    <row r="870" s="7" customFormat="1" x14ac:dyDescent="0.3"/>
    <row r="871" s="7" customFormat="1" x14ac:dyDescent="0.3"/>
    <row r="872" s="7" customFormat="1" x14ac:dyDescent="0.3"/>
    <row r="873" s="7" customFormat="1" x14ac:dyDescent="0.3"/>
    <row r="874" s="7" customFormat="1" x14ac:dyDescent="0.3"/>
    <row r="875" s="7" customFormat="1" x14ac:dyDescent="0.3"/>
    <row r="876" s="7" customFormat="1" x14ac:dyDescent="0.3"/>
    <row r="877" s="7" customFormat="1" x14ac:dyDescent="0.3"/>
    <row r="878" s="7" customFormat="1" x14ac:dyDescent="0.3"/>
    <row r="879" s="7" customFormat="1" x14ac:dyDescent="0.3"/>
    <row r="880" s="7" customFormat="1" x14ac:dyDescent="0.3"/>
    <row r="881" s="7" customFormat="1" x14ac:dyDescent="0.3"/>
    <row r="882" s="7" customFormat="1" x14ac:dyDescent="0.3"/>
    <row r="883" s="7" customFormat="1" x14ac:dyDescent="0.3"/>
    <row r="884" s="7" customFormat="1" x14ac:dyDescent="0.3"/>
    <row r="885" s="7" customFormat="1" x14ac:dyDescent="0.3"/>
    <row r="886" s="7" customFormat="1" x14ac:dyDescent="0.3"/>
    <row r="887" s="7" customFormat="1" x14ac:dyDescent="0.3"/>
    <row r="888" s="7" customFormat="1" x14ac:dyDescent="0.3"/>
    <row r="889" s="7" customFormat="1" x14ac:dyDescent="0.3"/>
    <row r="890" s="7" customFormat="1" x14ac:dyDescent="0.3"/>
    <row r="891" s="7" customFormat="1" x14ac:dyDescent="0.3"/>
    <row r="892" s="7" customFormat="1" x14ac:dyDescent="0.3"/>
    <row r="893" s="7" customFormat="1" x14ac:dyDescent="0.3"/>
    <row r="894" s="7" customFormat="1" x14ac:dyDescent="0.3"/>
    <row r="895" s="7" customFormat="1" x14ac:dyDescent="0.3"/>
    <row r="896" s="7" customFormat="1" x14ac:dyDescent="0.3"/>
    <row r="897" s="7" customFormat="1" x14ac:dyDescent="0.3"/>
    <row r="898" s="7" customFormat="1" x14ac:dyDescent="0.3"/>
    <row r="899" s="7" customFormat="1" x14ac:dyDescent="0.3"/>
    <row r="900" s="7" customFormat="1" x14ac:dyDescent="0.3"/>
    <row r="901" s="7" customFormat="1" x14ac:dyDescent="0.3"/>
    <row r="902" s="7" customFormat="1" x14ac:dyDescent="0.3"/>
    <row r="903" s="7" customFormat="1" x14ac:dyDescent="0.3"/>
    <row r="904" s="7" customFormat="1" x14ac:dyDescent="0.3"/>
    <row r="905" s="7" customFormat="1" x14ac:dyDescent="0.3"/>
    <row r="906" s="7" customFormat="1" x14ac:dyDescent="0.3"/>
    <row r="907" s="7" customFormat="1" x14ac:dyDescent="0.3"/>
    <row r="908" s="7" customFormat="1" x14ac:dyDescent="0.3"/>
    <row r="909" s="7" customFormat="1" x14ac:dyDescent="0.3"/>
    <row r="910" s="7" customFormat="1" x14ac:dyDescent="0.3"/>
    <row r="911" s="7" customFormat="1" x14ac:dyDescent="0.3"/>
    <row r="912" s="7" customFormat="1" x14ac:dyDescent="0.3"/>
    <row r="913" s="7" customFormat="1" x14ac:dyDescent="0.3"/>
    <row r="914" s="7" customFormat="1" x14ac:dyDescent="0.3"/>
    <row r="915" s="7" customFormat="1" x14ac:dyDescent="0.3"/>
    <row r="916" s="7" customFormat="1" x14ac:dyDescent="0.3"/>
    <row r="917" s="7" customFormat="1" x14ac:dyDescent="0.3"/>
    <row r="918" s="7" customFormat="1" x14ac:dyDescent="0.3"/>
    <row r="919" s="7" customFormat="1" x14ac:dyDescent="0.3"/>
    <row r="920" s="7" customFormat="1" x14ac:dyDescent="0.3"/>
    <row r="921" s="7" customFormat="1" x14ac:dyDescent="0.3"/>
    <row r="922" s="7" customFormat="1" x14ac:dyDescent="0.3"/>
    <row r="923" s="7" customFormat="1" x14ac:dyDescent="0.3"/>
    <row r="924" s="7" customFormat="1" x14ac:dyDescent="0.3"/>
    <row r="925" s="7" customFormat="1" x14ac:dyDescent="0.3"/>
    <row r="926" s="7" customFormat="1" x14ac:dyDescent="0.3"/>
    <row r="927" s="7" customFormat="1" x14ac:dyDescent="0.3"/>
    <row r="928" s="7" customFormat="1" x14ac:dyDescent="0.3"/>
    <row r="929" s="7" customFormat="1" x14ac:dyDescent="0.3"/>
    <row r="930" s="7" customFormat="1" x14ac:dyDescent="0.3"/>
    <row r="931" s="7" customFormat="1" x14ac:dyDescent="0.3"/>
    <row r="932" s="7" customFormat="1" x14ac:dyDescent="0.3"/>
    <row r="933" s="7" customFormat="1" x14ac:dyDescent="0.3"/>
    <row r="934" s="7" customFormat="1" x14ac:dyDescent="0.3"/>
    <row r="935" s="7" customFormat="1" x14ac:dyDescent="0.3"/>
    <row r="936" s="7" customFormat="1" x14ac:dyDescent="0.3"/>
    <row r="937" s="7" customFormat="1" x14ac:dyDescent="0.3"/>
    <row r="938" s="7" customFormat="1" x14ac:dyDescent="0.3"/>
    <row r="939" s="7" customFormat="1" x14ac:dyDescent="0.3"/>
    <row r="940" s="7" customFormat="1" x14ac:dyDescent="0.3"/>
    <row r="941" s="7" customFormat="1" x14ac:dyDescent="0.3"/>
    <row r="942" s="7" customFormat="1" x14ac:dyDescent="0.3"/>
    <row r="943" s="7" customFormat="1" x14ac:dyDescent="0.3"/>
    <row r="944" s="7" customFormat="1" x14ac:dyDescent="0.3"/>
    <row r="945" s="7" customFormat="1" x14ac:dyDescent="0.3"/>
    <row r="946" s="7" customFormat="1" x14ac:dyDescent="0.3"/>
    <row r="947" s="7" customFormat="1" x14ac:dyDescent="0.3"/>
    <row r="948" s="7" customFormat="1" x14ac:dyDescent="0.3"/>
    <row r="949" s="7" customFormat="1" x14ac:dyDescent="0.3"/>
    <row r="950" s="7" customFormat="1" x14ac:dyDescent="0.3"/>
    <row r="951" s="7" customFormat="1" x14ac:dyDescent="0.3"/>
    <row r="952" s="7" customFormat="1" x14ac:dyDescent="0.3"/>
    <row r="953" s="7" customFormat="1" x14ac:dyDescent="0.3"/>
    <row r="954" s="7" customFormat="1" x14ac:dyDescent="0.3"/>
    <row r="955" s="7" customFormat="1" x14ac:dyDescent="0.3"/>
    <row r="956" s="7" customFormat="1" x14ac:dyDescent="0.3"/>
    <row r="957" s="7" customFormat="1" x14ac:dyDescent="0.3"/>
    <row r="958" s="7" customFormat="1" x14ac:dyDescent="0.3"/>
    <row r="959" s="7" customFormat="1" x14ac:dyDescent="0.3"/>
    <row r="960" s="7" customFormat="1" x14ac:dyDescent="0.3"/>
    <row r="961" s="7" customFormat="1" x14ac:dyDescent="0.3"/>
    <row r="962" s="7" customFormat="1" x14ac:dyDescent="0.3"/>
    <row r="963" s="7" customFormat="1" x14ac:dyDescent="0.3"/>
    <row r="964" s="7" customFormat="1" x14ac:dyDescent="0.3"/>
    <row r="965" s="7" customFormat="1" x14ac:dyDescent="0.3"/>
    <row r="966" s="7" customFormat="1" x14ac:dyDescent="0.3"/>
    <row r="967" s="7" customFormat="1" x14ac:dyDescent="0.3"/>
    <row r="968" s="7" customFormat="1" x14ac:dyDescent="0.3"/>
    <row r="969" s="7" customFormat="1" x14ac:dyDescent="0.3"/>
    <row r="970" s="7" customFormat="1" x14ac:dyDescent="0.3"/>
    <row r="971" s="7" customFormat="1" x14ac:dyDescent="0.3"/>
    <row r="972" s="7" customFormat="1" x14ac:dyDescent="0.3"/>
    <row r="973" s="7" customFormat="1" x14ac:dyDescent="0.3"/>
    <row r="974" s="7" customFormat="1" x14ac:dyDescent="0.3"/>
    <row r="975" s="7" customFormat="1" x14ac:dyDescent="0.3"/>
    <row r="976" s="7" customFormat="1" x14ac:dyDescent="0.3"/>
    <row r="977" s="7" customFormat="1" x14ac:dyDescent="0.3"/>
    <row r="978" s="7" customFormat="1" x14ac:dyDescent="0.3"/>
    <row r="979" s="7" customFormat="1" x14ac:dyDescent="0.3"/>
    <row r="980" s="7" customFormat="1" x14ac:dyDescent="0.3"/>
    <row r="981" s="7" customFormat="1" x14ac:dyDescent="0.3"/>
    <row r="982" s="7" customFormat="1" x14ac:dyDescent="0.3"/>
    <row r="983" s="7" customFormat="1" x14ac:dyDescent="0.3"/>
    <row r="984" s="7" customFormat="1" x14ac:dyDescent="0.3"/>
    <row r="985" s="7" customFormat="1" x14ac:dyDescent="0.3"/>
    <row r="986" s="7" customFormat="1" x14ac:dyDescent="0.3"/>
    <row r="987" s="7" customFormat="1" x14ac:dyDescent="0.3"/>
    <row r="988" s="7" customFormat="1" x14ac:dyDescent="0.3"/>
    <row r="989" s="7" customFormat="1" x14ac:dyDescent="0.3"/>
    <row r="990" s="7" customFormat="1" x14ac:dyDescent="0.3"/>
    <row r="991" s="7" customFormat="1" x14ac:dyDescent="0.3"/>
    <row r="992" s="7" customFormat="1" x14ac:dyDescent="0.3"/>
    <row r="993" s="7" customFormat="1" x14ac:dyDescent="0.3"/>
    <row r="994" s="7" customFormat="1" x14ac:dyDescent="0.3"/>
    <row r="995" s="7" customFormat="1" x14ac:dyDescent="0.3"/>
    <row r="996" s="7" customFormat="1" x14ac:dyDescent="0.3"/>
    <row r="997" s="7" customFormat="1" x14ac:dyDescent="0.3"/>
    <row r="998" s="7" customFormat="1" x14ac:dyDescent="0.3"/>
    <row r="999" s="7" customFormat="1" x14ac:dyDescent="0.3"/>
    <row r="1000" s="7" customFormat="1" x14ac:dyDescent="0.3"/>
    <row r="1001" s="7" customFormat="1" x14ac:dyDescent="0.3"/>
    <row r="1002" s="7" customFormat="1" x14ac:dyDescent="0.3"/>
    <row r="1003" s="7" customFormat="1" x14ac:dyDescent="0.3"/>
    <row r="1004" s="7" customFormat="1" x14ac:dyDescent="0.3"/>
    <row r="1005" s="7" customFormat="1" x14ac:dyDescent="0.3"/>
    <row r="1006" s="7" customFormat="1" x14ac:dyDescent="0.3"/>
    <row r="1007" s="7" customFormat="1" x14ac:dyDescent="0.3"/>
    <row r="1008" s="7" customFormat="1" x14ac:dyDescent="0.3"/>
    <row r="1009" s="7" customFormat="1" x14ac:dyDescent="0.3"/>
    <row r="1010" s="7" customFormat="1" x14ac:dyDescent="0.3"/>
    <row r="1011" s="7" customFormat="1" x14ac:dyDescent="0.3"/>
    <row r="1012" s="7" customFormat="1" x14ac:dyDescent="0.3"/>
    <row r="1013" s="7" customFormat="1" x14ac:dyDescent="0.3"/>
    <row r="1014" s="7" customFormat="1" x14ac:dyDescent="0.3"/>
    <row r="1015" s="7" customFormat="1" x14ac:dyDescent="0.3"/>
    <row r="1016" s="7" customFormat="1" x14ac:dyDescent="0.3"/>
    <row r="1017" s="7" customFormat="1" x14ac:dyDescent="0.3"/>
    <row r="1018" s="7" customFormat="1" x14ac:dyDescent="0.3"/>
    <row r="1019" s="7" customFormat="1" x14ac:dyDescent="0.3"/>
    <row r="1020" s="7" customFormat="1" x14ac:dyDescent="0.3"/>
    <row r="1021" s="7" customFormat="1" x14ac:dyDescent="0.3"/>
    <row r="1022" s="7" customFormat="1" x14ac:dyDescent="0.3"/>
    <row r="1023" s="7" customFormat="1" x14ac:dyDescent="0.3"/>
    <row r="1024" s="7" customFormat="1" x14ac:dyDescent="0.3"/>
    <row r="1025" s="7" customFormat="1" x14ac:dyDescent="0.3"/>
    <row r="1026" s="7" customFormat="1" x14ac:dyDescent="0.3"/>
    <row r="1027" s="7" customFormat="1" x14ac:dyDescent="0.3"/>
    <row r="1028" s="7" customFormat="1" x14ac:dyDescent="0.3"/>
    <row r="1029" s="7" customFormat="1" x14ac:dyDescent="0.3"/>
    <row r="1030" s="7" customFormat="1" x14ac:dyDescent="0.3"/>
    <row r="1031" s="7" customFormat="1" x14ac:dyDescent="0.3"/>
    <row r="1032" s="7" customFormat="1" x14ac:dyDescent="0.3"/>
    <row r="1033" s="7" customFormat="1" x14ac:dyDescent="0.3"/>
    <row r="1034" s="7" customFormat="1" x14ac:dyDescent="0.3"/>
    <row r="1035" s="7" customFormat="1" x14ac:dyDescent="0.3"/>
    <row r="1036" s="7" customFormat="1" x14ac:dyDescent="0.3"/>
    <row r="1037" s="7" customFormat="1" x14ac:dyDescent="0.3"/>
    <row r="1038" s="7" customFormat="1" x14ac:dyDescent="0.3"/>
    <row r="1039" s="7" customFormat="1" x14ac:dyDescent="0.3"/>
    <row r="1040" s="7" customFormat="1" x14ac:dyDescent="0.3"/>
    <row r="1041" s="7" customFormat="1" x14ac:dyDescent="0.3"/>
    <row r="1042" s="7" customFormat="1" x14ac:dyDescent="0.3"/>
    <row r="1043" s="7" customFormat="1" x14ac:dyDescent="0.3"/>
    <row r="1044" s="7" customFormat="1" x14ac:dyDescent="0.3"/>
    <row r="1045" s="7" customFormat="1" x14ac:dyDescent="0.3"/>
    <row r="1046" s="7" customFormat="1" x14ac:dyDescent="0.3"/>
    <row r="1047" s="7" customFormat="1" x14ac:dyDescent="0.3"/>
    <row r="1048" s="7" customFormat="1" x14ac:dyDescent="0.3"/>
    <row r="1049" s="7" customFormat="1" x14ac:dyDescent="0.3"/>
    <row r="1050" s="7" customFormat="1" x14ac:dyDescent="0.3"/>
    <row r="1051" s="7" customFormat="1" x14ac:dyDescent="0.3"/>
    <row r="1052" s="7" customFormat="1" x14ac:dyDescent="0.3"/>
    <row r="1053" s="7" customFormat="1" x14ac:dyDescent="0.3"/>
    <row r="1054" s="7" customFormat="1" x14ac:dyDescent="0.3"/>
    <row r="1055" s="7" customFormat="1" x14ac:dyDescent="0.3"/>
    <row r="1056" s="7" customFormat="1" x14ac:dyDescent="0.3"/>
    <row r="1057" s="7" customFormat="1" x14ac:dyDescent="0.3"/>
    <row r="1058" s="7" customFormat="1" x14ac:dyDescent="0.3"/>
    <row r="1059" s="7" customFormat="1" x14ac:dyDescent="0.3"/>
    <row r="1060" s="7" customFormat="1" x14ac:dyDescent="0.3"/>
    <row r="1061" s="7" customFormat="1" x14ac:dyDescent="0.3"/>
    <row r="1062" s="7" customFormat="1" x14ac:dyDescent="0.3"/>
    <row r="1063" s="7" customFormat="1" x14ac:dyDescent="0.3"/>
    <row r="1064" s="7" customFormat="1" x14ac:dyDescent="0.3"/>
    <row r="1065" s="7" customFormat="1" x14ac:dyDescent="0.3"/>
    <row r="1066" s="7" customFormat="1" x14ac:dyDescent="0.3"/>
    <row r="1067" s="7" customFormat="1" x14ac:dyDescent="0.3"/>
    <row r="1068" s="7" customFormat="1" x14ac:dyDescent="0.3"/>
    <row r="1069" s="7" customFormat="1" x14ac:dyDescent="0.3"/>
    <row r="1070" s="7" customFormat="1" x14ac:dyDescent="0.3"/>
    <row r="1071" s="7" customFormat="1" x14ac:dyDescent="0.3"/>
    <row r="1072" s="7" customFormat="1" x14ac:dyDescent="0.3"/>
    <row r="1073" s="7" customFormat="1" x14ac:dyDescent="0.3"/>
    <row r="1074" s="7" customFormat="1" x14ac:dyDescent="0.3"/>
    <row r="1075" s="7" customFormat="1" x14ac:dyDescent="0.3"/>
    <row r="1076" s="7" customFormat="1" x14ac:dyDescent="0.3"/>
    <row r="1077" s="7" customFormat="1" x14ac:dyDescent="0.3"/>
    <row r="1078" s="7" customFormat="1" x14ac:dyDescent="0.3"/>
    <row r="1079" s="7" customFormat="1" x14ac:dyDescent="0.3"/>
    <row r="1080" s="7" customFormat="1" x14ac:dyDescent="0.3"/>
    <row r="1081" s="7" customFormat="1" x14ac:dyDescent="0.3"/>
    <row r="1082" s="7" customFormat="1" x14ac:dyDescent="0.3"/>
    <row r="1083" s="7" customFormat="1" x14ac:dyDescent="0.3"/>
    <row r="1084" s="7" customFormat="1" x14ac:dyDescent="0.3"/>
    <row r="1085" s="7" customFormat="1" x14ac:dyDescent="0.3"/>
    <row r="1086" s="7" customFormat="1" x14ac:dyDescent="0.3"/>
    <row r="1087" s="7" customFormat="1" x14ac:dyDescent="0.3"/>
    <row r="1088" s="7" customFormat="1" x14ac:dyDescent="0.3"/>
    <row r="1089" s="7" customFormat="1" x14ac:dyDescent="0.3"/>
    <row r="1090" s="7" customFormat="1" x14ac:dyDescent="0.3"/>
    <row r="1091" s="7" customFormat="1" x14ac:dyDescent="0.3"/>
    <row r="1092" s="7" customFormat="1" x14ac:dyDescent="0.3"/>
    <row r="1093" s="7" customFormat="1" x14ac:dyDescent="0.3"/>
    <row r="1094" s="7" customFormat="1" x14ac:dyDescent="0.3"/>
    <row r="1095" s="7" customFormat="1" x14ac:dyDescent="0.3"/>
    <row r="1096" s="7" customFormat="1" x14ac:dyDescent="0.3"/>
    <row r="1097" s="7" customFormat="1" x14ac:dyDescent="0.3"/>
    <row r="1098" s="7" customFormat="1" x14ac:dyDescent="0.3"/>
    <row r="1099" s="7" customFormat="1" x14ac:dyDescent="0.3"/>
    <row r="1100" s="7" customFormat="1" x14ac:dyDescent="0.3"/>
    <row r="1101" s="7" customFormat="1" x14ac:dyDescent="0.3"/>
    <row r="1102" s="7" customFormat="1" x14ac:dyDescent="0.3"/>
    <row r="1103" s="7" customFormat="1" x14ac:dyDescent="0.3"/>
    <row r="1104" s="7" customFormat="1" x14ac:dyDescent="0.3"/>
    <row r="1105" s="7" customFormat="1" x14ac:dyDescent="0.3"/>
    <row r="1106" s="7" customFormat="1" x14ac:dyDescent="0.3"/>
    <row r="1107" s="7" customFormat="1" x14ac:dyDescent="0.3"/>
    <row r="1108" s="7" customFormat="1" x14ac:dyDescent="0.3"/>
    <row r="1109" s="7" customFormat="1" x14ac:dyDescent="0.3"/>
    <row r="1110" s="7" customFormat="1" x14ac:dyDescent="0.3"/>
    <row r="1111" s="7" customFormat="1" x14ac:dyDescent="0.3"/>
    <row r="1112" s="7" customFormat="1" x14ac:dyDescent="0.3"/>
    <row r="1113" s="7" customFormat="1" x14ac:dyDescent="0.3"/>
    <row r="1114" s="7" customFormat="1" x14ac:dyDescent="0.3"/>
    <row r="1115" s="7" customFormat="1" x14ac:dyDescent="0.3"/>
    <row r="1116" s="7" customFormat="1" x14ac:dyDescent="0.3"/>
    <row r="1117" s="7" customFormat="1" x14ac:dyDescent="0.3"/>
    <row r="1118" s="7" customFormat="1" x14ac:dyDescent="0.3"/>
    <row r="1119" s="7" customFormat="1" x14ac:dyDescent="0.3"/>
    <row r="1120" s="7" customFormat="1" x14ac:dyDescent="0.3"/>
    <row r="1121" s="7" customFormat="1" x14ac:dyDescent="0.3"/>
    <row r="1122" s="7" customFormat="1" x14ac:dyDescent="0.3"/>
    <row r="1123" s="7" customFormat="1" x14ac:dyDescent="0.3"/>
    <row r="1124" s="7" customFormat="1" x14ac:dyDescent="0.3"/>
    <row r="1125" s="7" customFormat="1" x14ac:dyDescent="0.3"/>
    <row r="1126" s="7" customFormat="1" x14ac:dyDescent="0.3"/>
    <row r="1127" s="7" customFormat="1" x14ac:dyDescent="0.3"/>
    <row r="1128" s="7" customFormat="1" x14ac:dyDescent="0.3"/>
    <row r="1129" s="7" customFormat="1" x14ac:dyDescent="0.3"/>
    <row r="1130" s="7" customFormat="1" x14ac:dyDescent="0.3"/>
    <row r="1131" s="7" customFormat="1" x14ac:dyDescent="0.3"/>
    <row r="1132" s="7" customFormat="1" x14ac:dyDescent="0.3"/>
    <row r="1133" s="7" customFormat="1" x14ac:dyDescent="0.3"/>
    <row r="1134" s="7" customFormat="1" x14ac:dyDescent="0.3"/>
    <row r="1135" s="7" customFormat="1" x14ac:dyDescent="0.3"/>
    <row r="1136" s="7" customFormat="1" x14ac:dyDescent="0.3"/>
    <row r="1137" s="7" customFormat="1" x14ac:dyDescent="0.3"/>
    <row r="1138" s="7" customFormat="1" x14ac:dyDescent="0.3"/>
    <row r="1139" s="7" customFormat="1" x14ac:dyDescent="0.3"/>
    <row r="1140" s="7" customFormat="1" x14ac:dyDescent="0.3"/>
    <row r="1141" s="7" customFormat="1" x14ac:dyDescent="0.3"/>
    <row r="1142" s="7" customFormat="1" x14ac:dyDescent="0.3"/>
    <row r="1143" s="7" customFormat="1" x14ac:dyDescent="0.3"/>
    <row r="1144" s="7" customFormat="1" x14ac:dyDescent="0.3"/>
    <row r="1145" s="7" customFormat="1" x14ac:dyDescent="0.3"/>
    <row r="1146" s="7" customFormat="1" x14ac:dyDescent="0.3"/>
    <row r="1147" s="7" customFormat="1" x14ac:dyDescent="0.3"/>
    <row r="1148" s="7" customFormat="1" x14ac:dyDescent="0.3"/>
    <row r="1149" s="7" customFormat="1" x14ac:dyDescent="0.3"/>
    <row r="1150" s="7" customFormat="1" x14ac:dyDescent="0.3"/>
    <row r="1151" s="7" customFormat="1" x14ac:dyDescent="0.3"/>
    <row r="1152" s="7" customFormat="1" x14ac:dyDescent="0.3"/>
    <row r="1153" s="7" customFormat="1" x14ac:dyDescent="0.3"/>
    <row r="1154" s="7" customFormat="1" x14ac:dyDescent="0.3"/>
    <row r="1155" s="7" customFormat="1" x14ac:dyDescent="0.3"/>
    <row r="1156" s="7" customFormat="1" x14ac:dyDescent="0.3"/>
    <row r="1157" s="7" customFormat="1" x14ac:dyDescent="0.3"/>
    <row r="1158" s="7" customFormat="1" x14ac:dyDescent="0.3"/>
    <row r="1159" s="7" customFormat="1" x14ac:dyDescent="0.3"/>
    <row r="1160" s="7" customFormat="1" x14ac:dyDescent="0.3"/>
    <row r="1161" s="7" customFormat="1" x14ac:dyDescent="0.3"/>
    <row r="1162" s="7" customFormat="1" x14ac:dyDescent="0.3"/>
    <row r="1163" s="7" customFormat="1" x14ac:dyDescent="0.3"/>
    <row r="1164" s="7" customFormat="1" x14ac:dyDescent="0.3"/>
    <row r="1165" s="7" customFormat="1" x14ac:dyDescent="0.3"/>
    <row r="1166" s="7" customFormat="1" x14ac:dyDescent="0.3"/>
    <row r="1167" s="7" customFormat="1" x14ac:dyDescent="0.3"/>
    <row r="1168" s="7" customFormat="1" x14ac:dyDescent="0.3"/>
    <row r="1169" s="7" customFormat="1" x14ac:dyDescent="0.3"/>
    <row r="1170" s="7" customFormat="1" x14ac:dyDescent="0.3"/>
    <row r="1171" s="7" customFormat="1" x14ac:dyDescent="0.3"/>
    <row r="1172" s="7" customFormat="1" x14ac:dyDescent="0.3"/>
    <row r="1173" s="7" customFormat="1" x14ac:dyDescent="0.3"/>
    <row r="1174" s="7" customFormat="1" x14ac:dyDescent="0.3"/>
    <row r="1175" s="7" customFormat="1" x14ac:dyDescent="0.3"/>
    <row r="1176" s="7" customFormat="1" x14ac:dyDescent="0.3"/>
    <row r="1177" s="7" customFormat="1" x14ac:dyDescent="0.3"/>
    <row r="1178" s="7" customFormat="1" x14ac:dyDescent="0.3"/>
    <row r="1179" s="7" customFormat="1" x14ac:dyDescent="0.3"/>
    <row r="1180" s="7" customFormat="1" x14ac:dyDescent="0.3"/>
    <row r="1181" s="7" customFormat="1" x14ac:dyDescent="0.3"/>
    <row r="1182" s="7" customFormat="1" x14ac:dyDescent="0.3"/>
    <row r="1183" s="7" customFormat="1" x14ac:dyDescent="0.3"/>
    <row r="1184" s="7" customFormat="1" x14ac:dyDescent="0.3"/>
    <row r="1185" s="7" customFormat="1" x14ac:dyDescent="0.3"/>
    <row r="1186" s="7" customFormat="1" x14ac:dyDescent="0.3"/>
    <row r="1187" s="7" customFormat="1" x14ac:dyDescent="0.3"/>
    <row r="1188" s="7" customFormat="1" x14ac:dyDescent="0.3"/>
    <row r="1189" s="7" customFormat="1" x14ac:dyDescent="0.3"/>
    <row r="1190" s="7" customFormat="1" x14ac:dyDescent="0.3"/>
    <row r="1191" s="7" customFormat="1" x14ac:dyDescent="0.3"/>
    <row r="1192" s="7" customFormat="1" x14ac:dyDescent="0.3"/>
    <row r="1193" s="7" customFormat="1" x14ac:dyDescent="0.3"/>
    <row r="1194" s="7" customFormat="1" x14ac:dyDescent="0.3"/>
    <row r="1195" s="7" customFormat="1" x14ac:dyDescent="0.3"/>
    <row r="1196" s="7" customFormat="1" x14ac:dyDescent="0.3"/>
    <row r="1197" s="7" customFormat="1" x14ac:dyDescent="0.3"/>
    <row r="1198" s="7" customFormat="1" x14ac:dyDescent="0.3"/>
    <row r="1199" s="7" customFormat="1" x14ac:dyDescent="0.3"/>
    <row r="1200" s="7" customFormat="1" x14ac:dyDescent="0.3"/>
    <row r="1201" s="7" customFormat="1" x14ac:dyDescent="0.3"/>
    <row r="1202" s="7" customFormat="1" x14ac:dyDescent="0.3"/>
    <row r="1203" s="7" customFormat="1" x14ac:dyDescent="0.3"/>
    <row r="1204" s="7" customFormat="1" x14ac:dyDescent="0.3"/>
    <row r="1205" s="7" customFormat="1" x14ac:dyDescent="0.3"/>
    <row r="1206" s="7" customFormat="1" x14ac:dyDescent="0.3"/>
    <row r="1207" s="7" customFormat="1" x14ac:dyDescent="0.3"/>
    <row r="1208" s="7" customFormat="1" x14ac:dyDescent="0.3"/>
    <row r="1209" s="7" customFormat="1" x14ac:dyDescent="0.3"/>
    <row r="1210" s="7" customFormat="1" x14ac:dyDescent="0.3"/>
    <row r="1211" s="7" customFormat="1" x14ac:dyDescent="0.3"/>
    <row r="1212" s="7" customFormat="1" x14ac:dyDescent="0.3"/>
    <row r="1213" s="7" customFormat="1" x14ac:dyDescent="0.3"/>
    <row r="1214" s="7" customFormat="1" x14ac:dyDescent="0.3"/>
    <row r="1215" s="7" customFormat="1" x14ac:dyDescent="0.3"/>
    <row r="1216" s="7" customFormat="1" x14ac:dyDescent="0.3"/>
    <row r="1217" s="7" customFormat="1" x14ac:dyDescent="0.3"/>
    <row r="1218" s="7" customFormat="1" x14ac:dyDescent="0.3"/>
    <row r="1219" s="7" customFormat="1" x14ac:dyDescent="0.3"/>
    <row r="1220" s="7" customFormat="1" x14ac:dyDescent="0.3"/>
    <row r="1221" s="7" customFormat="1" x14ac:dyDescent="0.3"/>
    <row r="1222" s="7" customFormat="1" x14ac:dyDescent="0.3"/>
    <row r="1223" s="7" customFormat="1" x14ac:dyDescent="0.3"/>
    <row r="1224" s="7" customFormat="1" x14ac:dyDescent="0.3"/>
    <row r="1225" s="7" customFormat="1" x14ac:dyDescent="0.3"/>
    <row r="1226" s="7" customFormat="1" x14ac:dyDescent="0.3"/>
    <row r="1227" s="7" customFormat="1" x14ac:dyDescent="0.3"/>
    <row r="1228" s="7" customFormat="1" x14ac:dyDescent="0.3"/>
    <row r="1229" s="7" customFormat="1" x14ac:dyDescent="0.3"/>
    <row r="1230" s="7" customFormat="1" x14ac:dyDescent="0.3"/>
    <row r="1231" s="7" customFormat="1" x14ac:dyDescent="0.3"/>
    <row r="1232" s="7" customFormat="1" x14ac:dyDescent="0.3"/>
    <row r="1233" s="7" customFormat="1" x14ac:dyDescent="0.3"/>
    <row r="1234" s="7" customFormat="1" x14ac:dyDescent="0.3"/>
    <row r="1235" s="7" customFormat="1" x14ac:dyDescent="0.3"/>
    <row r="1236" s="7" customFormat="1" x14ac:dyDescent="0.3"/>
    <row r="1237" s="7" customFormat="1" x14ac:dyDescent="0.3"/>
    <row r="1238" s="7" customFormat="1" x14ac:dyDescent="0.3"/>
    <row r="1239" s="7" customFormat="1" x14ac:dyDescent="0.3"/>
    <row r="1240" s="7" customFormat="1" x14ac:dyDescent="0.3"/>
    <row r="1241" s="7" customFormat="1" x14ac:dyDescent="0.3"/>
    <row r="1242" s="7" customFormat="1" x14ac:dyDescent="0.3"/>
    <row r="1243" s="7" customFormat="1" x14ac:dyDescent="0.3"/>
    <row r="1244" s="7" customFormat="1" x14ac:dyDescent="0.3"/>
    <row r="1245" s="7" customFormat="1" x14ac:dyDescent="0.3"/>
    <row r="1246" s="7" customFormat="1" x14ac:dyDescent="0.3"/>
    <row r="1247" s="7" customFormat="1" x14ac:dyDescent="0.3"/>
    <row r="1248" s="7" customFormat="1" x14ac:dyDescent="0.3"/>
    <row r="1249" s="7" customFormat="1" x14ac:dyDescent="0.3"/>
    <row r="1250" s="7" customFormat="1" x14ac:dyDescent="0.3"/>
    <row r="1251" s="7" customFormat="1" x14ac:dyDescent="0.3"/>
    <row r="1252" s="7" customFormat="1" x14ac:dyDescent="0.3"/>
    <row r="1253" s="7" customFormat="1" x14ac:dyDescent="0.3"/>
    <row r="1254" s="7" customFormat="1" x14ac:dyDescent="0.3"/>
    <row r="1255" s="7" customFormat="1" x14ac:dyDescent="0.3"/>
    <row r="1256" s="7" customFormat="1" x14ac:dyDescent="0.3"/>
    <row r="1257" s="7" customFormat="1" x14ac:dyDescent="0.3"/>
    <row r="1258" s="7" customFormat="1" x14ac:dyDescent="0.3"/>
    <row r="1259" s="7" customFormat="1" x14ac:dyDescent="0.3"/>
    <row r="1260" s="7" customFormat="1" x14ac:dyDescent="0.3"/>
    <row r="1261" s="7" customFormat="1" x14ac:dyDescent="0.3"/>
    <row r="1262" s="7" customFormat="1" x14ac:dyDescent="0.3"/>
    <row r="1263" s="7" customFormat="1" x14ac:dyDescent="0.3"/>
    <row r="1264" s="7" customFormat="1" x14ac:dyDescent="0.3"/>
    <row r="1265" s="7" customFormat="1" x14ac:dyDescent="0.3"/>
    <row r="1266" s="7" customFormat="1" x14ac:dyDescent="0.3"/>
    <row r="1267" s="7" customFormat="1" x14ac:dyDescent="0.3"/>
    <row r="1268" s="7" customFormat="1" x14ac:dyDescent="0.3"/>
    <row r="1269" s="7" customFormat="1" x14ac:dyDescent="0.3"/>
    <row r="1270" s="7" customFormat="1" x14ac:dyDescent="0.3"/>
    <row r="1271" s="7" customFormat="1" x14ac:dyDescent="0.3"/>
    <row r="1272" s="7" customFormat="1" x14ac:dyDescent="0.3"/>
    <row r="1273" s="7" customFormat="1" x14ac:dyDescent="0.3"/>
    <row r="1274" s="7" customFormat="1" x14ac:dyDescent="0.3"/>
    <row r="1275" s="7" customFormat="1" x14ac:dyDescent="0.3"/>
    <row r="1276" s="7" customFormat="1" x14ac:dyDescent="0.3"/>
    <row r="1277" s="7" customFormat="1" x14ac:dyDescent="0.3"/>
    <row r="1278" s="7" customFormat="1" x14ac:dyDescent="0.3"/>
    <row r="1279" s="7" customFormat="1" x14ac:dyDescent="0.3"/>
    <row r="1280" s="7" customFormat="1" x14ac:dyDescent="0.3"/>
    <row r="1281" s="7" customFormat="1" x14ac:dyDescent="0.3"/>
    <row r="1282" s="7" customFormat="1" x14ac:dyDescent="0.3"/>
    <row r="1283" s="7" customFormat="1" x14ac:dyDescent="0.3"/>
    <row r="1284" s="7" customFormat="1" x14ac:dyDescent="0.3"/>
    <row r="1285" s="7" customFormat="1" x14ac:dyDescent="0.3"/>
    <row r="1286" s="7" customFormat="1" x14ac:dyDescent="0.3"/>
    <row r="1287" s="7" customFormat="1" x14ac:dyDescent="0.3"/>
    <row r="1288" s="7" customFormat="1" x14ac:dyDescent="0.3"/>
    <row r="1289" s="7" customFormat="1" x14ac:dyDescent="0.3"/>
    <row r="1290" s="7" customFormat="1" x14ac:dyDescent="0.3"/>
    <row r="1291" s="7" customFormat="1" x14ac:dyDescent="0.3"/>
    <row r="1292" s="7" customFormat="1" x14ac:dyDescent="0.3"/>
    <row r="1293" s="7" customFormat="1" x14ac:dyDescent="0.3"/>
    <row r="1294" s="7" customFormat="1" x14ac:dyDescent="0.3"/>
    <row r="1295" s="7" customFormat="1" x14ac:dyDescent="0.3"/>
    <row r="1296" s="7" customFormat="1" x14ac:dyDescent="0.3"/>
    <row r="1297" s="7" customFormat="1" x14ac:dyDescent="0.3"/>
    <row r="1298" s="7" customFormat="1" x14ac:dyDescent="0.3"/>
    <row r="1299" s="7" customFormat="1" x14ac:dyDescent="0.3"/>
    <row r="1300" s="7" customFormat="1" x14ac:dyDescent="0.3"/>
    <row r="1301" s="7" customFormat="1" x14ac:dyDescent="0.3"/>
    <row r="1302" s="7" customFormat="1" x14ac:dyDescent="0.3"/>
    <row r="1303" s="7" customFormat="1" x14ac:dyDescent="0.3"/>
    <row r="1304" s="7" customFormat="1" x14ac:dyDescent="0.3"/>
    <row r="1305" s="7" customFormat="1" x14ac:dyDescent="0.3"/>
    <row r="1306" s="7" customFormat="1" x14ac:dyDescent="0.3"/>
    <row r="1307" s="7" customFormat="1" x14ac:dyDescent="0.3"/>
    <row r="1308" s="7" customFormat="1" x14ac:dyDescent="0.3"/>
    <row r="1309" s="7" customFormat="1" x14ac:dyDescent="0.3"/>
    <row r="1310" s="7" customFormat="1" x14ac:dyDescent="0.3"/>
  </sheetData>
  <mergeCells count="61">
    <mergeCell ref="C33:E34"/>
    <mergeCell ref="AH3:AM3"/>
    <mergeCell ref="AN3:AN5"/>
    <mergeCell ref="AK4:AK5"/>
    <mergeCell ref="AL4:AL5"/>
    <mergeCell ref="AM4:AM5"/>
    <mergeCell ref="S3:S5"/>
    <mergeCell ref="AA3:AF3"/>
    <mergeCell ref="AG3:AG5"/>
    <mergeCell ref="AD4:AD5"/>
    <mergeCell ref="AE4:AE5"/>
    <mergeCell ref="AF4:AF5"/>
    <mergeCell ref="Y4:Y5"/>
    <mergeCell ref="X4:X5"/>
    <mergeCell ref="T3:Y3"/>
    <mergeCell ref="Z3:Z5"/>
    <mergeCell ref="W4:W5"/>
    <mergeCell ref="O3:R3"/>
    <mergeCell ref="N4:N5"/>
    <mergeCell ref="R4:R5"/>
    <mergeCell ref="C3:F3"/>
    <mergeCell ref="K3:N3"/>
    <mergeCell ref="F4:F5"/>
    <mergeCell ref="G3:J3"/>
    <mergeCell ref="J4:J5"/>
    <mergeCell ref="AO3:AT3"/>
    <mergeCell ref="AU3:AU5"/>
    <mergeCell ref="AR4:AR5"/>
    <mergeCell ref="AS4:AS5"/>
    <mergeCell ref="AT4:AT5"/>
    <mergeCell ref="AV3:BA3"/>
    <mergeCell ref="BB3:BB5"/>
    <mergeCell ref="BC3:BH3"/>
    <mergeCell ref="BI3:BI5"/>
    <mergeCell ref="AY4:AY5"/>
    <mergeCell ref="AZ4:AZ5"/>
    <mergeCell ref="BA4:BA5"/>
    <mergeCell ref="BF4:BF5"/>
    <mergeCell ref="BG4:BG5"/>
    <mergeCell ref="BH4:BH5"/>
    <mergeCell ref="BJ3:BO3"/>
    <mergeCell ref="BP3:BP5"/>
    <mergeCell ref="BQ3:BV3"/>
    <mergeCell ref="BW3:BW5"/>
    <mergeCell ref="BX3:CC3"/>
    <mergeCell ref="C2:CK2"/>
    <mergeCell ref="CD3:CD5"/>
    <mergeCell ref="CE3:CJ3"/>
    <mergeCell ref="CK3:CK5"/>
    <mergeCell ref="BM4:BM5"/>
    <mergeCell ref="BN4:BN5"/>
    <mergeCell ref="BO4:BO5"/>
    <mergeCell ref="BT4:BT5"/>
    <mergeCell ref="BU4:BU5"/>
    <mergeCell ref="BV4:BV5"/>
    <mergeCell ref="CA4:CA5"/>
    <mergeCell ref="CB4:CB5"/>
    <mergeCell ref="CC4:CC5"/>
    <mergeCell ref="CH4:CH5"/>
    <mergeCell ref="CI4:CI5"/>
    <mergeCell ref="CJ4:CJ5"/>
  </mergeCells>
  <phoneticPr fontId="5" type="noConversion"/>
  <conditionalFormatting sqref="V29:W29 B29 B6:E28 G6:I28 K6:M28 O6:Q28 T6:V28 AA6:AC29 AH6:AJ29 AO6:AQ29 AV6:AX28 AV29 AX29 BC6:BE28 BC29 BE29 BJ6:BL28 BL29 BQ6:BS28 BX6:BZ29 CE6:CG29">
    <cfRule type="cellIs" dxfId="152" priority="149" operator="between">
      <formula>1</formula>
      <formula>2</formula>
    </cfRule>
    <cfRule type="cellIs" dxfId="151" priority="150" operator="between">
      <formula>3</formula>
      <formula>4</formula>
    </cfRule>
    <cfRule type="cellIs" dxfId="150" priority="151" operator="between">
      <formula>5</formula>
      <formula>6</formula>
    </cfRule>
    <cfRule type="cellIs" dxfId="149" priority="152" operator="between">
      <formula>7</formula>
      <formula>8</formula>
    </cfRule>
    <cfRule type="cellIs" dxfId="148" priority="153" operator="between">
      <formula>9</formula>
      <formula>10</formula>
    </cfRule>
  </conditionalFormatting>
  <conditionalFormatting sqref="C6:E28 G6:I28 K6:M28 O6:Q28">
    <cfRule type="cellIs" dxfId="147" priority="145" operator="between">
      <formula>23</formula>
      <formula>28</formula>
    </cfRule>
    <cfRule type="cellIs" dxfId="146" priority="146" operator="between">
      <formula>16</formula>
      <formula>22</formula>
    </cfRule>
    <cfRule type="cellIs" dxfId="145" priority="147" operator="between">
      <formula>11</formula>
      <formula>15</formula>
    </cfRule>
    <cfRule type="cellIs" dxfId="144" priority="148" operator="between">
      <formula>4</formula>
      <formula>10</formula>
    </cfRule>
  </conditionalFormatting>
  <conditionalFormatting sqref="T6:V28">
    <cfRule type="cellIs" dxfId="143" priority="141" operator="between">
      <formula>23</formula>
      <formula>28</formula>
    </cfRule>
    <cfRule type="cellIs" dxfId="142" priority="142" operator="between">
      <formula>16</formula>
      <formula>22</formula>
    </cfRule>
    <cfRule type="cellIs" dxfId="141" priority="143" operator="between">
      <formula>11</formula>
      <formula>15</formula>
    </cfRule>
    <cfRule type="cellIs" dxfId="140" priority="144" operator="between">
      <formula>4</formula>
      <formula>10</formula>
    </cfRule>
  </conditionalFormatting>
  <conditionalFormatting sqref="Y6:Y29">
    <cfRule type="cellIs" dxfId="139" priority="137" operator="greaterThanOrEqual">
      <formula>11</formula>
    </cfRule>
    <cfRule type="cellIs" dxfId="138" priority="138" operator="between">
      <formula>6</formula>
      <formula>10</formula>
    </cfRule>
    <cfRule type="cellIs" dxfId="137" priority="139" operator="between">
      <formula>1</formula>
      <formula>5</formula>
    </cfRule>
    <cfRule type="cellIs" dxfId="136" priority="140" operator="lessThanOrEqual">
      <formula>0</formula>
    </cfRule>
  </conditionalFormatting>
  <conditionalFormatting sqref="AA6:AC28">
    <cfRule type="cellIs" dxfId="135" priority="133" operator="between">
      <formula>23</formula>
      <formula>28</formula>
    </cfRule>
    <cfRule type="cellIs" dxfId="134" priority="134" operator="between">
      <formula>16</formula>
      <formula>22</formula>
    </cfRule>
    <cfRule type="cellIs" dxfId="133" priority="135" operator="between">
      <formula>11</formula>
      <formula>15</formula>
    </cfRule>
    <cfRule type="cellIs" dxfId="132" priority="136" operator="between">
      <formula>4</formula>
      <formula>10</formula>
    </cfRule>
  </conditionalFormatting>
  <conditionalFormatting sqref="AF6:AF29">
    <cfRule type="cellIs" dxfId="131" priority="129" operator="greaterThanOrEqual">
      <formula>11</formula>
    </cfRule>
    <cfRule type="cellIs" dxfId="130" priority="130" operator="between">
      <formula>6</formula>
      <formula>10</formula>
    </cfRule>
    <cfRule type="cellIs" dxfId="129" priority="131" operator="between">
      <formula>1</formula>
      <formula>5</formula>
    </cfRule>
    <cfRule type="cellIs" dxfId="128" priority="132" operator="lessThan">
      <formula>0</formula>
    </cfRule>
  </conditionalFormatting>
  <conditionalFormatting sqref="AH6:AJ28 AO6:AQ28 AV6:AX28 BC6:BE28 BJ6:BL28 BQ6:BS28 BX6:BZ28 CE6:CG28">
    <cfRule type="cellIs" dxfId="127" priority="125" operator="between">
      <formula>23</formula>
      <formula>28</formula>
    </cfRule>
    <cfRule type="cellIs" dxfId="126" priority="126" operator="between">
      <formula>16</formula>
      <formula>22</formula>
    </cfRule>
    <cfRule type="cellIs" dxfId="125" priority="127" operator="between">
      <formula>11</formula>
      <formula>15</formula>
    </cfRule>
    <cfRule type="cellIs" dxfId="124" priority="128" operator="between">
      <formula>4</formula>
      <formula>10</formula>
    </cfRule>
  </conditionalFormatting>
  <conditionalFormatting sqref="AM6:AM29 AT6:AT29 BA6:BA29 BH6:BH29 BO6:BO29 BV6:BV29 CC6:CC29 CJ6:CJ29">
    <cfRule type="cellIs" dxfId="123" priority="121" operator="greaterThanOrEqual">
      <formula>11</formula>
    </cfRule>
    <cfRule type="cellIs" dxfId="122" priority="122" operator="between">
      <formula>6</formula>
      <formula>10</formula>
    </cfRule>
    <cfRule type="cellIs" dxfId="121" priority="123" operator="between">
      <formula>1</formula>
      <formula>5</formula>
    </cfRule>
    <cfRule type="cellIs" dxfId="120" priority="124" operator="lessThan">
      <formula>0</formula>
    </cfRule>
  </conditionalFormatting>
  <conditionalFormatting sqref="T6:V28">
    <cfRule type="cellIs" dxfId="119" priority="117" operator="between">
      <formula>23</formula>
      <formula>28</formula>
    </cfRule>
    <cfRule type="cellIs" dxfId="118" priority="118" operator="between">
      <formula>16</formula>
      <formula>22</formula>
    </cfRule>
    <cfRule type="cellIs" dxfId="117" priority="119" operator="between">
      <formula>11</formula>
      <formula>15</formula>
    </cfRule>
    <cfRule type="cellIs" dxfId="116" priority="120" operator="between">
      <formula>4</formula>
      <formula>10</formula>
    </cfRule>
  </conditionalFormatting>
  <conditionalFormatting sqref="AA6:AC28">
    <cfRule type="cellIs" dxfId="115" priority="113" operator="between">
      <formula>23</formula>
      <formula>28</formula>
    </cfRule>
    <cfRule type="cellIs" dxfId="114" priority="114" operator="between">
      <formula>16</formula>
      <formula>22</formula>
    </cfRule>
    <cfRule type="cellIs" dxfId="113" priority="115" operator="between">
      <formula>11</formula>
      <formula>15</formula>
    </cfRule>
    <cfRule type="cellIs" dxfId="112" priority="116" operator="between">
      <formula>4</formula>
      <formula>10</formula>
    </cfRule>
  </conditionalFormatting>
  <conditionalFormatting sqref="AA6:AC28">
    <cfRule type="cellIs" dxfId="111" priority="109" operator="between">
      <formula>23</formula>
      <formula>28</formula>
    </cfRule>
    <cfRule type="cellIs" dxfId="110" priority="110" operator="between">
      <formula>16</formula>
      <formula>22</formula>
    </cfRule>
    <cfRule type="cellIs" dxfId="109" priority="111" operator="between">
      <formula>11</formula>
      <formula>15</formula>
    </cfRule>
    <cfRule type="cellIs" dxfId="108" priority="112" operator="between">
      <formula>4</formula>
      <formula>10</formula>
    </cfRule>
  </conditionalFormatting>
  <conditionalFormatting sqref="AH6:AJ28">
    <cfRule type="cellIs" dxfId="107" priority="105" operator="between">
      <formula>23</formula>
      <formula>28</formula>
    </cfRule>
    <cfRule type="cellIs" dxfId="106" priority="106" operator="between">
      <formula>16</formula>
      <formula>22</formula>
    </cfRule>
    <cfRule type="cellIs" dxfId="105" priority="107" operator="between">
      <formula>11</formula>
      <formula>15</formula>
    </cfRule>
    <cfRule type="cellIs" dxfId="104" priority="108" operator="between">
      <formula>4</formula>
      <formula>10</formula>
    </cfRule>
  </conditionalFormatting>
  <conditionalFormatting sqref="AH6:AJ28">
    <cfRule type="cellIs" dxfId="103" priority="101" operator="between">
      <formula>23</formula>
      <formula>28</formula>
    </cfRule>
    <cfRule type="cellIs" dxfId="102" priority="102" operator="between">
      <formula>16</formula>
      <formula>22</formula>
    </cfRule>
    <cfRule type="cellIs" dxfId="101" priority="103" operator="between">
      <formula>11</formula>
      <formula>15</formula>
    </cfRule>
    <cfRule type="cellIs" dxfId="100" priority="104" operator="between">
      <formula>4</formula>
      <formula>10</formula>
    </cfRule>
  </conditionalFormatting>
  <conditionalFormatting sqref="AH6:AJ28">
    <cfRule type="cellIs" dxfId="99" priority="97" operator="between">
      <formula>23</formula>
      <formula>28</formula>
    </cfRule>
    <cfRule type="cellIs" dxfId="98" priority="98" operator="between">
      <formula>16</formula>
      <formula>22</formula>
    </cfRule>
    <cfRule type="cellIs" dxfId="97" priority="99" operator="between">
      <formula>11</formula>
      <formula>15</formula>
    </cfRule>
    <cfRule type="cellIs" dxfId="96" priority="100" operator="between">
      <formula>4</formula>
      <formula>10</formula>
    </cfRule>
  </conditionalFormatting>
  <conditionalFormatting sqref="AH6">
    <cfRule type="cellIs" dxfId="95" priority="93" operator="between">
      <formula>23</formula>
      <formula>28</formula>
    </cfRule>
    <cfRule type="cellIs" dxfId="94" priority="94" operator="between">
      <formula>16</formula>
      <formula>22</formula>
    </cfRule>
    <cfRule type="cellIs" dxfId="93" priority="95" operator="between">
      <formula>11</formula>
      <formula>15</formula>
    </cfRule>
    <cfRule type="cellIs" dxfId="92" priority="96" operator="between">
      <formula>4</formula>
      <formula>10</formula>
    </cfRule>
  </conditionalFormatting>
  <conditionalFormatting sqref="AH6">
    <cfRule type="cellIs" dxfId="91" priority="89" operator="between">
      <formula>23</formula>
      <formula>28</formula>
    </cfRule>
    <cfRule type="cellIs" dxfId="90" priority="90" operator="between">
      <formula>16</formula>
      <formula>22</formula>
    </cfRule>
    <cfRule type="cellIs" dxfId="89" priority="91" operator="between">
      <formula>11</formula>
      <formula>15</formula>
    </cfRule>
    <cfRule type="cellIs" dxfId="88" priority="92" operator="between">
      <formula>4</formula>
      <formula>10</formula>
    </cfRule>
  </conditionalFormatting>
  <conditionalFormatting sqref="AH6">
    <cfRule type="cellIs" dxfId="87" priority="85" operator="between">
      <formula>23</formula>
      <formula>28</formula>
    </cfRule>
    <cfRule type="cellIs" dxfId="86" priority="86" operator="between">
      <formula>16</formula>
      <formula>22</formula>
    </cfRule>
    <cfRule type="cellIs" dxfId="85" priority="87" operator="between">
      <formula>11</formula>
      <formula>15</formula>
    </cfRule>
    <cfRule type="cellIs" dxfId="84" priority="88" operator="between">
      <formula>4</formula>
      <formula>10</formula>
    </cfRule>
  </conditionalFormatting>
  <conditionalFormatting sqref="AO6:AQ28">
    <cfRule type="cellIs" dxfId="83" priority="81" operator="between">
      <formula>23</formula>
      <formula>28</formula>
    </cfRule>
    <cfRule type="cellIs" dxfId="82" priority="82" operator="between">
      <formula>16</formula>
      <formula>22</formula>
    </cfRule>
    <cfRule type="cellIs" dxfId="81" priority="83" operator="between">
      <formula>11</formula>
      <formula>15</formula>
    </cfRule>
    <cfRule type="cellIs" dxfId="80" priority="84" operator="between">
      <formula>4</formula>
      <formula>10</formula>
    </cfRule>
  </conditionalFormatting>
  <conditionalFormatting sqref="AO6:AQ28">
    <cfRule type="cellIs" dxfId="79" priority="77" operator="between">
      <formula>23</formula>
      <formula>28</formula>
    </cfRule>
    <cfRule type="cellIs" dxfId="78" priority="78" operator="between">
      <formula>16</formula>
      <formula>22</formula>
    </cfRule>
    <cfRule type="cellIs" dxfId="77" priority="79" operator="between">
      <formula>11</formula>
      <formula>15</formula>
    </cfRule>
    <cfRule type="cellIs" dxfId="76" priority="80" operator="between">
      <formula>4</formula>
      <formula>10</formula>
    </cfRule>
  </conditionalFormatting>
  <conditionalFormatting sqref="AO6:AQ28">
    <cfRule type="cellIs" dxfId="75" priority="73" operator="between">
      <formula>23</formula>
      <formula>28</formula>
    </cfRule>
    <cfRule type="cellIs" dxfId="74" priority="74" operator="between">
      <formula>16</formula>
      <formula>22</formula>
    </cfRule>
    <cfRule type="cellIs" dxfId="73" priority="75" operator="between">
      <formula>11</formula>
      <formula>15</formula>
    </cfRule>
    <cfRule type="cellIs" dxfId="72" priority="76" operator="between">
      <formula>4</formula>
      <formula>10</formula>
    </cfRule>
  </conditionalFormatting>
  <conditionalFormatting sqref="AV6:AX28">
    <cfRule type="cellIs" dxfId="71" priority="69" operator="between">
      <formula>23</formula>
      <formula>28</formula>
    </cfRule>
    <cfRule type="cellIs" dxfId="70" priority="70" operator="between">
      <formula>16</formula>
      <formula>22</formula>
    </cfRule>
    <cfRule type="cellIs" dxfId="69" priority="71" operator="between">
      <formula>11</formula>
      <formula>15</formula>
    </cfRule>
    <cfRule type="cellIs" dxfId="68" priority="72" operator="between">
      <formula>4</formula>
      <formula>10</formula>
    </cfRule>
  </conditionalFormatting>
  <conditionalFormatting sqref="AV6:AX28">
    <cfRule type="cellIs" dxfId="67" priority="65" operator="between">
      <formula>23</formula>
      <formula>28</formula>
    </cfRule>
    <cfRule type="cellIs" dxfId="66" priority="66" operator="between">
      <formula>16</formula>
      <formula>22</formula>
    </cfRule>
    <cfRule type="cellIs" dxfId="65" priority="67" operator="between">
      <formula>11</formula>
      <formula>15</formula>
    </cfRule>
    <cfRule type="cellIs" dxfId="64" priority="68" operator="between">
      <formula>4</formula>
      <formula>10</formula>
    </cfRule>
  </conditionalFormatting>
  <conditionalFormatting sqref="AV6:AX28">
    <cfRule type="cellIs" dxfId="63" priority="61" operator="between">
      <formula>23</formula>
      <formula>28</formula>
    </cfRule>
    <cfRule type="cellIs" dxfId="62" priority="62" operator="between">
      <formula>16</formula>
      <formula>22</formula>
    </cfRule>
    <cfRule type="cellIs" dxfId="61" priority="63" operator="between">
      <formula>11</formula>
      <formula>15</formula>
    </cfRule>
    <cfRule type="cellIs" dxfId="60" priority="64" operator="between">
      <formula>4</formula>
      <formula>10</formula>
    </cfRule>
  </conditionalFormatting>
  <conditionalFormatting sqref="BC6:BE28">
    <cfRule type="cellIs" dxfId="59" priority="57" operator="between">
      <formula>23</formula>
      <formula>28</formula>
    </cfRule>
    <cfRule type="cellIs" dxfId="58" priority="58" operator="between">
      <formula>16</formula>
      <formula>22</formula>
    </cfRule>
    <cfRule type="cellIs" dxfId="57" priority="59" operator="between">
      <formula>11</formula>
      <formula>15</formula>
    </cfRule>
    <cfRule type="cellIs" dxfId="56" priority="60" operator="between">
      <formula>4</formula>
      <formula>10</formula>
    </cfRule>
  </conditionalFormatting>
  <conditionalFormatting sqref="BC6:BE28">
    <cfRule type="cellIs" dxfId="55" priority="53" operator="between">
      <formula>23</formula>
      <formula>28</formula>
    </cfRule>
    <cfRule type="cellIs" dxfId="54" priority="54" operator="between">
      <formula>16</formula>
      <formula>22</formula>
    </cfRule>
    <cfRule type="cellIs" dxfId="53" priority="55" operator="between">
      <formula>11</formula>
      <formula>15</formula>
    </cfRule>
    <cfRule type="cellIs" dxfId="52" priority="56" operator="between">
      <formula>4</formula>
      <formula>10</formula>
    </cfRule>
  </conditionalFormatting>
  <conditionalFormatting sqref="BC6:BE28">
    <cfRule type="cellIs" dxfId="51" priority="49" operator="between">
      <formula>23</formula>
      <formula>28</formula>
    </cfRule>
    <cfRule type="cellIs" dxfId="50" priority="50" operator="between">
      <formula>16</formula>
      <formula>22</formula>
    </cfRule>
    <cfRule type="cellIs" dxfId="49" priority="51" operator="between">
      <formula>11</formula>
      <formula>15</formula>
    </cfRule>
    <cfRule type="cellIs" dxfId="48" priority="52" operator="between">
      <formula>4</formula>
      <formula>10</formula>
    </cfRule>
  </conditionalFormatting>
  <conditionalFormatting sqref="BJ6:BL28">
    <cfRule type="cellIs" dxfId="47" priority="45" operator="between">
      <formula>23</formula>
      <formula>28</formula>
    </cfRule>
    <cfRule type="cellIs" dxfId="46" priority="46" operator="between">
      <formula>16</formula>
      <formula>22</formula>
    </cfRule>
    <cfRule type="cellIs" dxfId="45" priority="47" operator="between">
      <formula>11</formula>
      <formula>15</formula>
    </cfRule>
    <cfRule type="cellIs" dxfId="44" priority="48" operator="between">
      <formula>4</formula>
      <formula>10</formula>
    </cfRule>
  </conditionalFormatting>
  <conditionalFormatting sqref="BJ6:BL28">
    <cfRule type="cellIs" dxfId="43" priority="41" operator="between">
      <formula>23</formula>
      <formula>28</formula>
    </cfRule>
    <cfRule type="cellIs" dxfId="42" priority="42" operator="between">
      <formula>16</formula>
      <formula>22</formula>
    </cfRule>
    <cfRule type="cellIs" dxfId="41" priority="43" operator="between">
      <formula>11</formula>
      <formula>15</formula>
    </cfRule>
    <cfRule type="cellIs" dxfId="40" priority="44" operator="between">
      <formula>4</formula>
      <formula>10</formula>
    </cfRule>
  </conditionalFormatting>
  <conditionalFormatting sqref="BJ6:BL28">
    <cfRule type="cellIs" dxfId="39" priority="37" operator="between">
      <formula>23</formula>
      <formula>28</formula>
    </cfRule>
    <cfRule type="cellIs" dxfId="38" priority="38" operator="between">
      <formula>16</formula>
      <formula>22</formula>
    </cfRule>
    <cfRule type="cellIs" dxfId="37" priority="39" operator="between">
      <formula>11</formula>
      <formula>15</formula>
    </cfRule>
    <cfRule type="cellIs" dxfId="36" priority="40" operator="between">
      <formula>4</formula>
      <formula>10</formula>
    </cfRule>
  </conditionalFormatting>
  <conditionalFormatting sqref="BQ6:BS28">
    <cfRule type="cellIs" dxfId="35" priority="33" operator="between">
      <formula>23</formula>
      <formula>28</formula>
    </cfRule>
    <cfRule type="cellIs" dxfId="34" priority="34" operator="between">
      <formula>16</formula>
      <formula>22</formula>
    </cfRule>
    <cfRule type="cellIs" dxfId="33" priority="35" operator="between">
      <formula>11</formula>
      <formula>15</formula>
    </cfRule>
    <cfRule type="cellIs" dxfId="32" priority="36" operator="between">
      <formula>4</formula>
      <formula>10</formula>
    </cfRule>
  </conditionalFormatting>
  <conditionalFormatting sqref="BQ6:BS28">
    <cfRule type="cellIs" dxfId="31" priority="29" operator="between">
      <formula>23</formula>
      <formula>28</formula>
    </cfRule>
    <cfRule type="cellIs" dxfId="30" priority="30" operator="between">
      <formula>16</formula>
      <formula>22</formula>
    </cfRule>
    <cfRule type="cellIs" dxfId="29" priority="31" operator="between">
      <formula>11</formula>
      <formula>15</formula>
    </cfRule>
    <cfRule type="cellIs" dxfId="28" priority="32" operator="between">
      <formula>4</formula>
      <formula>10</formula>
    </cfRule>
  </conditionalFormatting>
  <conditionalFormatting sqref="BQ6:BS28">
    <cfRule type="cellIs" dxfId="27" priority="25" operator="between">
      <formula>23</formula>
      <formula>28</formula>
    </cfRule>
    <cfRule type="cellIs" dxfId="26" priority="26" operator="between">
      <formula>16</formula>
      <formula>22</formula>
    </cfRule>
    <cfRule type="cellIs" dxfId="25" priority="27" operator="between">
      <formula>11</formula>
      <formula>15</formula>
    </cfRule>
    <cfRule type="cellIs" dxfId="24" priority="28" operator="between">
      <formula>4</formula>
      <formula>10</formula>
    </cfRule>
  </conditionalFormatting>
  <conditionalFormatting sqref="BX6:BZ28">
    <cfRule type="cellIs" dxfId="23" priority="21" operator="between">
      <formula>23</formula>
      <formula>28</formula>
    </cfRule>
    <cfRule type="cellIs" dxfId="22" priority="22" operator="between">
      <formula>16</formula>
      <formula>22</formula>
    </cfRule>
    <cfRule type="cellIs" dxfId="21" priority="23" operator="between">
      <formula>11</formula>
      <formula>15</formula>
    </cfRule>
    <cfRule type="cellIs" dxfId="20" priority="24" operator="between">
      <formula>4</formula>
      <formula>10</formula>
    </cfRule>
  </conditionalFormatting>
  <conditionalFormatting sqref="BX6:BZ28">
    <cfRule type="cellIs" dxfId="19" priority="17" operator="between">
      <formula>23</formula>
      <formula>28</formula>
    </cfRule>
    <cfRule type="cellIs" dxfId="18" priority="18" operator="between">
      <formula>16</formula>
      <formula>22</formula>
    </cfRule>
    <cfRule type="cellIs" dxfId="17" priority="19" operator="between">
      <formula>11</formula>
      <formula>15</formula>
    </cfRule>
    <cfRule type="cellIs" dxfId="16" priority="20" operator="between">
      <formula>4</formula>
      <formula>10</formula>
    </cfRule>
  </conditionalFormatting>
  <conditionalFormatting sqref="BX6:BZ28">
    <cfRule type="cellIs" dxfId="15" priority="13" operator="between">
      <formula>23</formula>
      <formula>28</formula>
    </cfRule>
    <cfRule type="cellIs" dxfId="14" priority="14" operator="between">
      <formula>16</formula>
      <formula>22</formula>
    </cfRule>
    <cfRule type="cellIs" dxfId="13" priority="15" operator="between">
      <formula>11</formula>
      <formula>15</formula>
    </cfRule>
    <cfRule type="cellIs" dxfId="12" priority="16" operator="between">
      <formula>4</formula>
      <formula>10</formula>
    </cfRule>
  </conditionalFormatting>
  <conditionalFormatting sqref="CE6:CG28">
    <cfRule type="cellIs" dxfId="11" priority="9" operator="between">
      <formula>23</formula>
      <formula>28</formula>
    </cfRule>
    <cfRule type="cellIs" dxfId="10" priority="10" operator="between">
      <formula>16</formula>
      <formula>22</formula>
    </cfRule>
    <cfRule type="cellIs" dxfId="9" priority="11" operator="between">
      <formula>11</formula>
      <formula>15</formula>
    </cfRule>
    <cfRule type="cellIs" dxfId="8" priority="12" operator="between">
      <formula>4</formula>
      <formula>10</formula>
    </cfRule>
  </conditionalFormatting>
  <conditionalFormatting sqref="CE6:CG28">
    <cfRule type="cellIs" dxfId="7" priority="5" operator="between">
      <formula>23</formula>
      <formula>28</formula>
    </cfRule>
    <cfRule type="cellIs" dxfId="6" priority="6" operator="between">
      <formula>16</formula>
      <formula>22</formula>
    </cfRule>
    <cfRule type="cellIs" dxfId="5" priority="7" operator="between">
      <formula>11</formula>
      <formula>15</formula>
    </cfRule>
    <cfRule type="cellIs" dxfId="4" priority="8" operator="between">
      <formula>4</formula>
      <formula>10</formula>
    </cfRule>
  </conditionalFormatting>
  <conditionalFormatting sqref="CE6:CG28">
    <cfRule type="cellIs" dxfId="3" priority="1" operator="between">
      <formula>23</formula>
      <formula>28</formula>
    </cfRule>
    <cfRule type="cellIs" dxfId="2" priority="2" operator="between">
      <formula>16</formula>
      <formula>22</formula>
    </cfRule>
    <cfRule type="cellIs" dxfId="1" priority="3" operator="between">
      <formula>11</formula>
      <formula>15</formula>
    </cfRule>
    <cfRule type="cellIs" dxfId="0" priority="4" operator="between">
      <formula>4</formula>
      <formula>10</formula>
    </cfRule>
  </conditionalFormatting>
  <dataValidations count="2">
    <dataValidation type="list" allowBlank="1" showInputMessage="1" showErrorMessage="1" sqref="B34" xr:uid="{243452FE-AAE0-4CD2-A5DE-150FC6DF3599}">
      <formula1>$B$6:$B$21</formula1>
    </dataValidation>
    <dataValidation type="list" allowBlank="1" showInputMessage="1" showErrorMessage="1" sqref="C33" xr:uid="{6C8BDDF3-448F-4157-8ED2-8DFBCB5C4B89}">
      <formula1>$B$6:$B$28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WELLNESS DIARIO</vt:lpstr>
      <vt:lpstr>WELLNESS CRÓNICO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César Munilla</dc:creator>
  <cp:lastModifiedBy>César Munilla</cp:lastModifiedBy>
  <dcterms:created xsi:type="dcterms:W3CDTF">2022-10-06T07:45:23Z</dcterms:created>
  <dcterms:modified xsi:type="dcterms:W3CDTF">2022-11-14T10:56:01Z</dcterms:modified>
</cp:coreProperties>
</file>