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ANL252_Python_4_Biz\3_Lecturer\4_ECA\"/>
    </mc:Choice>
  </mc:AlternateContent>
  <xr:revisionPtr revIDLastSave="0" documentId="13_ncr:1_{D2179022-4D45-4248-A50B-68A6BF812BE5}" xr6:coauthVersionLast="47" xr6:coauthVersionMax="47" xr10:uidLastSave="{00000000-0000-0000-0000-000000000000}"/>
  <bookViews>
    <workbookView xWindow="13005" yWindow="2760" windowWidth="11400" windowHeight="12360" activeTab="2" xr2:uid="{00000000-000D-0000-FFFF-FFFF00000000}"/>
  </bookViews>
  <sheets>
    <sheet name="Sheet1" sheetId="1" r:id="rId1"/>
    <sheet name="Input Mark" sheetId="4" r:id="rId2"/>
    <sheet name="Marks" sheetId="5" r:id="rId3"/>
    <sheet name="Analytics per Qn" sheetId="3" r:id="rId4"/>
    <sheet name="Stats" sheetId="2" r:id="rId5"/>
    <sheet name="Bloom" sheetId="6" r:id="rId6"/>
  </sheets>
  <definedNames>
    <definedName name="_xlnm._FilterDatabase" localSheetId="2" hidden="1">Marks!$A$1:$L$33</definedName>
    <definedName name="_xlnm.Print_Titles" localSheetId="0">Sheet1!$18:$18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'Analytics per Qn'!$M$1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6" l="1"/>
  <c r="F6" i="6" s="1"/>
  <c r="E8" i="6"/>
  <c r="F8" i="6" s="1"/>
  <c r="E3" i="6"/>
  <c r="F3" i="6" s="1"/>
  <c r="E4" i="6"/>
  <c r="F4" i="6" s="1"/>
  <c r="E5" i="6"/>
  <c r="F5" i="6" s="1"/>
  <c r="E7" i="6"/>
  <c r="F7" i="6" s="1"/>
  <c r="H16" i="2"/>
  <c r="G16" i="2"/>
  <c r="F16" i="2"/>
  <c r="E16" i="2"/>
  <c r="D16" i="2"/>
  <c r="C16" i="2"/>
  <c r="B16" i="2"/>
  <c r="H15" i="2"/>
  <c r="G15" i="2"/>
  <c r="F15" i="2"/>
  <c r="E15" i="2"/>
  <c r="D15" i="2"/>
  <c r="C15" i="2"/>
  <c r="B15" i="2"/>
  <c r="H14" i="2"/>
  <c r="G14" i="2"/>
  <c r="F14" i="2"/>
  <c r="E14" i="2"/>
  <c r="D14" i="2"/>
  <c r="C14" i="2"/>
  <c r="B14" i="2"/>
  <c r="H13" i="2"/>
  <c r="G13" i="2"/>
  <c r="F13" i="2"/>
  <c r="E13" i="2"/>
  <c r="D13" i="2"/>
  <c r="C13" i="2"/>
  <c r="B13" i="2"/>
  <c r="H12" i="2"/>
  <c r="G12" i="2"/>
  <c r="F12" i="2"/>
  <c r="E12" i="2"/>
  <c r="D12" i="2"/>
  <c r="C12" i="2"/>
  <c r="B12" i="2"/>
  <c r="H11" i="2"/>
  <c r="G11" i="2"/>
  <c r="F11" i="2"/>
  <c r="E11" i="2"/>
  <c r="D11" i="2"/>
  <c r="C11" i="2"/>
  <c r="B11" i="2"/>
  <c r="H10" i="2"/>
  <c r="G10" i="2"/>
  <c r="F10" i="2"/>
  <c r="E10" i="2"/>
  <c r="D10" i="2"/>
  <c r="C10" i="2"/>
  <c r="B10" i="2"/>
  <c r="H9" i="2"/>
  <c r="G9" i="2"/>
  <c r="F9" i="2"/>
  <c r="E9" i="2"/>
  <c r="D9" i="2"/>
  <c r="C9" i="2"/>
  <c r="B9" i="2"/>
  <c r="H8" i="2"/>
  <c r="G8" i="2"/>
  <c r="F8" i="2"/>
  <c r="E8" i="2"/>
  <c r="D8" i="2"/>
  <c r="C8" i="2"/>
  <c r="B8" i="2"/>
  <c r="H7" i="2"/>
  <c r="G7" i="2"/>
  <c r="F7" i="2"/>
  <c r="E7" i="2"/>
  <c r="D7" i="2"/>
  <c r="C7" i="2"/>
  <c r="B7" i="2"/>
  <c r="H6" i="2"/>
  <c r="G6" i="2"/>
  <c r="F6" i="2"/>
  <c r="E6" i="2"/>
  <c r="D6" i="2"/>
  <c r="C6" i="2"/>
  <c r="B6" i="2"/>
  <c r="H5" i="2"/>
  <c r="G5" i="2"/>
  <c r="F5" i="2"/>
  <c r="E5" i="2"/>
  <c r="D5" i="2"/>
  <c r="C5" i="2"/>
  <c r="B5" i="2"/>
  <c r="H4" i="2"/>
  <c r="G4" i="2"/>
  <c r="F4" i="2"/>
  <c r="E4" i="2"/>
  <c r="D4" i="2"/>
  <c r="C4" i="2"/>
  <c r="B4" i="2"/>
  <c r="H3" i="2"/>
  <c r="G3" i="2"/>
  <c r="F3" i="2"/>
  <c r="E3" i="2"/>
  <c r="D3" i="2"/>
  <c r="C3" i="2"/>
  <c r="B3" i="2"/>
  <c r="E2" i="2"/>
  <c r="D2" i="2"/>
  <c r="C2" i="2"/>
  <c r="R1" i="3"/>
  <c r="M1" i="3"/>
  <c r="AF2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1" i="3"/>
  <c r="AA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1" i="3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1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1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1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1" i="3"/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1" i="3"/>
  <c r="W18" i="4"/>
  <c r="V18" i="4"/>
  <c r="U18" i="4"/>
  <c r="T18" i="4"/>
  <c r="S18" i="4"/>
  <c r="R18" i="4"/>
  <c r="Q18" i="4"/>
  <c r="P18" i="4"/>
  <c r="O18" i="4"/>
  <c r="N18" i="4"/>
  <c r="M18" i="4"/>
  <c r="J18" i="4"/>
  <c r="J17" i="4"/>
  <c r="J16" i="4"/>
  <c r="J15" i="4"/>
  <c r="J14" i="4"/>
  <c r="J13" i="4"/>
  <c r="J12" i="4"/>
  <c r="J11" i="4"/>
  <c r="J10" i="4"/>
  <c r="J9" i="4"/>
  <c r="J8" i="4"/>
  <c r="E10" i="5"/>
  <c r="D10" i="5"/>
  <c r="E13" i="5"/>
  <c r="D13" i="5"/>
  <c r="E23" i="5"/>
  <c r="D23" i="5"/>
  <c r="E22" i="5"/>
  <c r="D22" i="5"/>
  <c r="E15" i="5"/>
  <c r="E14" i="5"/>
  <c r="D14" i="5"/>
  <c r="E4" i="5"/>
  <c r="D4" i="5"/>
  <c r="E9" i="5"/>
  <c r="D9" i="5"/>
  <c r="E6" i="5"/>
  <c r="D6" i="5"/>
  <c r="D15" i="5"/>
  <c r="E2" i="5"/>
  <c r="D2" i="5"/>
  <c r="D29" i="5"/>
  <c r="E24" i="5"/>
  <c r="D24" i="5"/>
  <c r="E21" i="5"/>
  <c r="D21" i="5"/>
  <c r="E20" i="5"/>
  <c r="D20" i="5"/>
  <c r="E19" i="5"/>
  <c r="D19" i="5"/>
  <c r="E25" i="5"/>
  <c r="D25" i="5"/>
  <c r="E3" i="5"/>
  <c r="D3" i="5"/>
  <c r="E27" i="5"/>
  <c r="D27" i="5"/>
  <c r="E17" i="5" l="1"/>
  <c r="D17" i="5"/>
  <c r="E7" i="5"/>
  <c r="D7" i="5"/>
  <c r="E12" i="5"/>
  <c r="D12" i="5"/>
  <c r="E31" i="5"/>
  <c r="D31" i="5"/>
  <c r="E32" i="5"/>
  <c r="D32" i="5"/>
  <c r="E8" i="5"/>
  <c r="D8" i="5"/>
  <c r="E18" i="5"/>
  <c r="D18" i="5"/>
  <c r="E26" i="5" l="1"/>
  <c r="D26" i="5"/>
  <c r="E5" i="5"/>
  <c r="D5" i="5"/>
  <c r="E11" i="5"/>
  <c r="D11" i="5"/>
  <c r="E33" i="5"/>
  <c r="D33" i="5"/>
  <c r="E28" i="5" l="1"/>
  <c r="D28" i="5"/>
  <c r="E30" i="5"/>
  <c r="D30" i="5"/>
  <c r="E34" i="5"/>
  <c r="D34" i="5"/>
  <c r="D16" i="5" l="1"/>
  <c r="E16" i="5" l="1"/>
  <c r="K15" i="5"/>
  <c r="B15" i="4" s="1"/>
  <c r="K14" i="5"/>
  <c r="B14" i="4" s="1"/>
  <c r="K11" i="5"/>
  <c r="B11" i="4" s="1"/>
  <c r="K21" i="5"/>
  <c r="B21" i="4" s="1"/>
  <c r="K5" i="5"/>
  <c r="B5" i="4" s="1"/>
  <c r="K4" i="5"/>
  <c r="B4" i="4" s="1"/>
  <c r="K34" i="5"/>
  <c r="B34" i="4" s="1"/>
  <c r="K33" i="5"/>
  <c r="B33" i="4" s="1"/>
  <c r="K32" i="5"/>
  <c r="B32" i="4" s="1"/>
  <c r="K9" i="5"/>
  <c r="B9" i="4" s="1"/>
  <c r="K31" i="5"/>
  <c r="B31" i="4" s="1"/>
  <c r="K25" i="5"/>
  <c r="B25" i="4" s="1"/>
  <c r="K24" i="5"/>
  <c r="B24" i="4" s="1"/>
  <c r="K20" i="5"/>
  <c r="B20" i="4" s="1"/>
  <c r="K19" i="5"/>
  <c r="B19" i="4" s="1"/>
  <c r="K28" i="5"/>
  <c r="B28" i="4" s="1"/>
  <c r="K23" i="5"/>
  <c r="B23" i="4" s="1"/>
  <c r="K17" i="5"/>
  <c r="B17" i="4" s="1"/>
  <c r="K6" i="5"/>
  <c r="B6" i="4" s="1"/>
  <c r="K22" i="5"/>
  <c r="B22" i="4" s="1"/>
  <c r="K2" i="5"/>
  <c r="K27" i="5"/>
  <c r="B27" i="4" s="1"/>
  <c r="K3" i="5"/>
  <c r="B3" i="4" s="1"/>
  <c r="L29" i="5"/>
  <c r="K29" i="5"/>
  <c r="B29" i="4" s="1"/>
  <c r="K18" i="5"/>
  <c r="B18" i="4" s="1"/>
  <c r="K13" i="5"/>
  <c r="B13" i="4" s="1"/>
  <c r="K8" i="5"/>
  <c r="B8" i="4" s="1"/>
  <c r="K30" i="5"/>
  <c r="B30" i="4" s="1"/>
  <c r="K26" i="5"/>
  <c r="B26" i="4" s="1"/>
  <c r="K12" i="5"/>
  <c r="B12" i="4" s="1"/>
  <c r="K10" i="5"/>
  <c r="B10" i="4" s="1"/>
  <c r="K7" i="5"/>
  <c r="B7" i="4" s="1"/>
  <c r="B2" i="4" l="1"/>
  <c r="K16" i="5"/>
  <c r="B16" i="4" l="1"/>
  <c r="F3" i="4" s="1"/>
  <c r="I18" i="4" s="1"/>
  <c r="I4" i="1"/>
  <c r="I11" i="4" l="1"/>
  <c r="F5" i="4"/>
  <c r="I16" i="4"/>
  <c r="I8" i="4"/>
  <c r="I12" i="4"/>
  <c r="I14" i="4"/>
  <c r="F4" i="4"/>
  <c r="I10" i="4"/>
  <c r="I15" i="4"/>
  <c r="I9" i="4"/>
  <c r="I17" i="4"/>
  <c r="I13" i="4"/>
</calcChain>
</file>

<file path=xl/sharedStrings.xml><?xml version="1.0" encoding="utf-8"?>
<sst xmlns="http://schemas.openxmlformats.org/spreadsheetml/2006/main" count="425" uniqueCount="221">
  <si>
    <t>S/N</t>
  </si>
  <si>
    <t>Student PI</t>
  </si>
  <si>
    <t>Name</t>
  </si>
  <si>
    <t>ECA MARKER'S SCORE SUMMARY SHEET</t>
  </si>
  <si>
    <t>Course:</t>
  </si>
  <si>
    <t>ECA cut-off date:</t>
  </si>
  <si>
    <t>ECA return date:</t>
  </si>
  <si>
    <t>Tutorial Group:</t>
  </si>
  <si>
    <t>Remarks</t>
  </si>
  <si>
    <t>Marker:</t>
  </si>
  <si>
    <t>Total of marked scripts:</t>
  </si>
  <si>
    <t>Tutor PI:</t>
  </si>
  <si>
    <t>Please do not re-format or delete any column from the score sheet.</t>
  </si>
  <si>
    <t>Report
100%</t>
  </si>
  <si>
    <t>Mr AA</t>
  </si>
  <si>
    <t>Mr BB</t>
  </si>
  <si>
    <t>Mr CC</t>
  </si>
  <si>
    <t>X1234567</t>
  </si>
  <si>
    <t>Y1234567</t>
  </si>
  <si>
    <t>Z1234567</t>
  </si>
  <si>
    <t>Example: Marker is only required to fill in cells highlighted in yellow. Scores computed in orange cells are to be keyed into SUSS gradebook.</t>
  </si>
  <si>
    <t>ANL252 Python for Data Analytics</t>
  </si>
  <si>
    <t>T09</t>
  </si>
  <si>
    <t>M2090099</t>
  </si>
  <si>
    <t>Munish Kumar</t>
  </si>
  <si>
    <t>OWEN ONG KAI SHENG</t>
  </si>
  <si>
    <t>B1710596</t>
  </si>
  <si>
    <t>NEO HUI YING JOEY</t>
  </si>
  <si>
    <t>B1882288</t>
  </si>
  <si>
    <t>HO QI-WEI</t>
  </si>
  <si>
    <t>B1972075</t>
  </si>
  <si>
    <t>CHENG MICHAEL LEE BENG</t>
  </si>
  <si>
    <t>B1981656</t>
  </si>
  <si>
    <t>GADAMSETTI AMRUTHA LAKSHMI</t>
  </si>
  <si>
    <t>B1981700</t>
  </si>
  <si>
    <t>TIA KANG JUN</t>
  </si>
  <si>
    <t>B2070385</t>
  </si>
  <si>
    <t>AMIR HAMZAH BIN ABDUL KHALID</t>
  </si>
  <si>
    <t>B2110864</t>
  </si>
  <si>
    <t>LEE MIN KANG, BRYAN</t>
  </si>
  <si>
    <t>E1771573</t>
  </si>
  <si>
    <t>YEO JAN</t>
  </si>
  <si>
    <t>E1881560</t>
  </si>
  <si>
    <t>TONG YEW TIONG ALEX (TANG YAOZHONG ALEX)</t>
  </si>
  <si>
    <t>H0914367</t>
  </si>
  <si>
    <t>MUHAMMAD FARHAN BIN SA'AD</t>
  </si>
  <si>
    <t>H1771425</t>
  </si>
  <si>
    <t>PEH HONG WEI, DYAN</t>
  </si>
  <si>
    <t>H1870791</t>
  </si>
  <si>
    <t>CHIA WEI HAO, TERRY</t>
  </si>
  <si>
    <t>H1870852</t>
  </si>
  <si>
    <t>TAN YI HAO</t>
  </si>
  <si>
    <t>H2070659</t>
  </si>
  <si>
    <t>LU KAI WEN</t>
  </si>
  <si>
    <t>J1911368</t>
  </si>
  <si>
    <t>REUBEN S/O MARK</t>
  </si>
  <si>
    <t>J2110271</t>
  </si>
  <si>
    <t>MICHELLE TAN MING HUI</t>
  </si>
  <si>
    <t>J2110299</t>
  </si>
  <si>
    <t>FOK JIAJUN, SAMUEL</t>
  </si>
  <si>
    <t>J2111086</t>
  </si>
  <si>
    <t>CHIU LI WEN RENEE</t>
  </si>
  <si>
    <t>K1981620</t>
  </si>
  <si>
    <t>ELIJAH SONG MING FU</t>
  </si>
  <si>
    <t>K2070438</t>
  </si>
  <si>
    <t>ONG GUO LUN (WANG GUOLUN)</t>
  </si>
  <si>
    <t>M1072994</t>
  </si>
  <si>
    <t>TEE JIA LEONG</t>
  </si>
  <si>
    <t>M2110660</t>
  </si>
  <si>
    <t>CHEONG SANDRAS JIA EN</t>
  </si>
  <si>
    <t>N1981099</t>
  </si>
  <si>
    <t>ANG CHUNG SIONG DEREK</t>
  </si>
  <si>
    <t>N2072594</t>
  </si>
  <si>
    <t>TAN ZHI HAO</t>
  </si>
  <si>
    <t>Q1711184</t>
  </si>
  <si>
    <t>TAN MEI PING</t>
  </si>
  <si>
    <t>Q1872131</t>
  </si>
  <si>
    <t>TAN JING JIE</t>
  </si>
  <si>
    <t>Q1882541</t>
  </si>
  <si>
    <t>OON EE HAI</t>
  </si>
  <si>
    <t>Q2011729</t>
  </si>
  <si>
    <t>TAN HWEE KHENG, KAREN (CHEN HUIQING)</t>
  </si>
  <si>
    <t>Q2070319</t>
  </si>
  <si>
    <t xml:space="preserve">GEEKGER EE </t>
  </si>
  <si>
    <t>W2071283</t>
  </si>
  <si>
    <t>ONG YEOW HWEE, GLEN</t>
  </si>
  <si>
    <t>W2110804</t>
  </si>
  <si>
    <t>BRANDON TAN XUAN MING</t>
  </si>
  <si>
    <t>Y1970855</t>
  </si>
  <si>
    <t>DANIAL LOKE</t>
  </si>
  <si>
    <t>Y1981340</t>
  </si>
  <si>
    <t>CHUNG WEI TAT</t>
  </si>
  <si>
    <t>Y2070638</t>
  </si>
  <si>
    <t>LOO CHENKAI</t>
  </si>
  <si>
    <t>Y2071132</t>
  </si>
  <si>
    <t>MUHAMMAD SYAIRAZI BIN MAHDHAR</t>
  </si>
  <si>
    <t>Z1970078</t>
  </si>
  <si>
    <t>TAN SHI HAO</t>
  </si>
  <si>
    <t>Z2011226</t>
  </si>
  <si>
    <t>ISABEL LOH LI JUN</t>
  </si>
  <si>
    <t>Z2070330</t>
  </si>
  <si>
    <t>TMA/GBA/ECA Submission</t>
  </si>
  <si>
    <t>Mark</t>
  </si>
  <si>
    <t>* Please input your marks in the grey cells</t>
  </si>
  <si>
    <t># of Submissions</t>
  </si>
  <si>
    <t>Mean</t>
  </si>
  <si>
    <t>Std</t>
  </si>
  <si>
    <t>Honours</t>
  </si>
  <si>
    <t>Letter Grade</t>
  </si>
  <si>
    <t>GPV</t>
  </si>
  <si>
    <t>Range</t>
  </si>
  <si>
    <t>%</t>
  </si>
  <si>
    <t>1st Class</t>
  </si>
  <si>
    <t>A+</t>
  </si>
  <si>
    <t>85-100</t>
  </si>
  <si>
    <t>A</t>
  </si>
  <si>
    <t>80-84</t>
  </si>
  <si>
    <t>A-</t>
  </si>
  <si>
    <t>75-79</t>
  </si>
  <si>
    <t>2nd Upper</t>
  </si>
  <si>
    <t>B+</t>
  </si>
  <si>
    <t>70-74</t>
  </si>
  <si>
    <t>2nd Lower</t>
  </si>
  <si>
    <t>B</t>
  </si>
  <si>
    <t>65-69</t>
  </si>
  <si>
    <t>3rd Class</t>
  </si>
  <si>
    <t>B-</t>
  </si>
  <si>
    <t>60-64</t>
  </si>
  <si>
    <t>Pass</t>
  </si>
  <si>
    <t>C+</t>
  </si>
  <si>
    <t>55-59</t>
  </si>
  <si>
    <t>C</t>
  </si>
  <si>
    <t>50-54</t>
  </si>
  <si>
    <t>Fail</t>
  </si>
  <si>
    <t>D+</t>
  </si>
  <si>
    <t>45-49</t>
  </si>
  <si>
    <t>D</t>
  </si>
  <si>
    <t>40-44</t>
  </si>
  <si>
    <t>F</t>
  </si>
  <si>
    <t>&lt;40</t>
  </si>
  <si>
    <t xml:space="preserve">
</t>
  </si>
  <si>
    <t>Sortable name</t>
  </si>
  <si>
    <t>Email</t>
  </si>
  <si>
    <t>SIS Id</t>
  </si>
  <si>
    <t>Question 1a</t>
  </si>
  <si>
    <t>Question 1c</t>
  </si>
  <si>
    <t>Question 1d</t>
  </si>
  <si>
    <t>Question2a</t>
  </si>
  <si>
    <t>Question 2b</t>
  </si>
  <si>
    <t>Question 2c</t>
  </si>
  <si>
    <t>Sum</t>
  </si>
  <si>
    <t>Total</t>
  </si>
  <si>
    <t>reneechiu001@suss.edu.sg</t>
  </si>
  <si>
    <t>elijahsong001@suss.edu.sg</t>
  </si>
  <si>
    <t>GEEKGER EE</t>
  </si>
  <si>
    <t>geekgeree001@suss.edu.sg</t>
  </si>
  <si>
    <t>dyanpeh001@suss.edu.sg</t>
  </si>
  <si>
    <t>yhtan030@suss.edu.sg</t>
  </si>
  <si>
    <t>wtchung001@suss.edu.sg</t>
  </si>
  <si>
    <t>qwho001@suss.edu.sg</t>
  </si>
  <si>
    <t>MICHAEL CHENG LEE BENG</t>
  </si>
  <si>
    <t>michaelcheng001@suss.edu.sg</t>
  </si>
  <si>
    <t>shtan077@suss.edu.sg</t>
  </si>
  <si>
    <t>ANG CHUNG SIONG, DEREK</t>
  </si>
  <si>
    <t>derekang002@suss.edu.sg</t>
  </si>
  <si>
    <t>jjtan014@suss.edu.sg</t>
  </si>
  <si>
    <t>amirhamzah006@suss.edu.sg</t>
  </si>
  <si>
    <t>ckloo001@suss.edu.sg</t>
  </si>
  <si>
    <t>joeyneo002@suss.edu.sg</t>
  </si>
  <si>
    <t>terrychia001@suss.edu.sg</t>
  </si>
  <si>
    <t>kwlu001@suss.edu.sg</t>
  </si>
  <si>
    <t>glong002@suss.edu.sg</t>
  </si>
  <si>
    <t>mptan004@suss.edu.sg</t>
  </si>
  <si>
    <t>michelletan013@suss.edu.sg</t>
  </si>
  <si>
    <t>farhan036@suss.edu.sg</t>
  </si>
  <si>
    <t>glenong001@suss.edu.sg</t>
  </si>
  <si>
    <t>ehoon002@suss.edu.sg</t>
  </si>
  <si>
    <t>jltee002@suss.edu.sg</t>
  </si>
  <si>
    <t>danialloke001@suss.edu.sg</t>
  </si>
  <si>
    <t>kjtia001@suss.edu.sg</t>
  </si>
  <si>
    <t>alextong001@suss.edu.sg</t>
  </si>
  <si>
    <t>YEO KER WOON, JAN</t>
  </si>
  <si>
    <t>janyeo001@suss.edu.sg</t>
  </si>
  <si>
    <t>brandontan006@suss.edu.sg</t>
  </si>
  <si>
    <t>CHEONG JIA EN, SANDRAS</t>
  </si>
  <si>
    <t>syairazi001@suss.edu.sg</t>
  </si>
  <si>
    <t>samuelfok001@suss.edu.sg</t>
  </si>
  <si>
    <t>isabelloh001@suss.edu.sg</t>
  </si>
  <si>
    <t>bryanlee004@suss.edu.sg</t>
  </si>
  <si>
    <t xml:space="preserve"> Learning Outcomes </t>
  </si>
  <si>
    <t>Bloom’s Level</t>
  </si>
  <si>
    <t>Question Number</t>
  </si>
  <si>
    <t>2a</t>
  </si>
  <si>
    <t>1c</t>
  </si>
  <si>
    <t>1a</t>
  </si>
  <si>
    <t>2c</t>
  </si>
  <si>
    <t>2b</t>
  </si>
  <si>
    <t>Pass Rate</t>
  </si>
  <si>
    <t>Count</t>
  </si>
  <si>
    <t>Column1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</si>
  <si>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</si>
  <si>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</si>
  <si>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</si>
  <si>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</si>
  <si>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</si>
  <si>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</si>
  <si>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</si>
  <si>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</si>
  <si>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</si>
  <si>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Confidence Level(95.0%)</t>
  </si>
  <si>
    <t>1b</t>
  </si>
  <si>
    <t>1d</t>
  </si>
  <si>
    <t>Prepare data for analysis using
Python programming.</t>
  </si>
  <si>
    <t>Design Python programmes for
performing data analytics.</t>
  </si>
  <si>
    <t>Explain the operations on arrays
and datasets.</t>
  </si>
  <si>
    <t>Discuss how Python manages
packages, modules, functions, etc.</t>
  </si>
  <si>
    <t>Analyse data using appropriate
tools and techniques with Python
programming.</t>
  </si>
  <si>
    <t>Employ logic control flows in
Python programmes.</t>
  </si>
  <si>
    <t>Differentiate the various aspects
of Python programming.</t>
  </si>
  <si>
    <t>Mean Score</t>
  </si>
  <si>
    <t>No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</si>
</sst>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#,##0.0_ ;\-#,##0.0\ "/>
    <numFmt numFmtId="166" formatCode="0.0%"/>
    <numFmt numFmtId="167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u/>
      <sz val="10"/>
      <color indexed="8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1"/>
      <name val="Calibri"/>
      <family val="2"/>
    </font>
    <font>
      <b/>
      <sz val="9"/>
      <color rgb="FF000000"/>
      <name val="Verdana"/>
      <family val="2"/>
    </font>
    <font>
      <sz val="9"/>
      <color rgb="FF000000"/>
      <name val="Arial Narrow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0" borderId="0" xfId="0" applyProtection="1">
      <protection locked="0"/>
    </xf>
    <xf numFmtId="15" fontId="2" fillId="2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 applyProtection="1"/>
    <xf numFmtId="0" fontId="0" fillId="0" borderId="0" xfId="0" applyProtection="1"/>
    <xf numFmtId="0" fontId="2" fillId="0" borderId="0" xfId="0" applyFont="1" applyBorder="1" applyAlignment="1" applyProtection="1">
      <alignment horizontal="left"/>
    </xf>
    <xf numFmtId="0" fontId="5" fillId="0" borderId="0" xfId="0" applyFont="1" applyProtection="1"/>
    <xf numFmtId="0" fontId="0" fillId="0" borderId="3" xfId="0" applyBorder="1" applyAlignment="1" applyProtection="1">
      <alignment horizontal="left"/>
    </xf>
    <xf numFmtId="0" fontId="0" fillId="0" borderId="3" xfId="0" applyBorder="1" applyAlignment="1" applyProtection="1"/>
    <xf numFmtId="0" fontId="0" fillId="0" borderId="3" xfId="0" applyBorder="1" applyProtection="1"/>
    <xf numFmtId="0" fontId="0" fillId="0" borderId="0" xfId="0" applyBorder="1" applyAlignment="1" applyProtection="1">
      <alignment horizontal="center"/>
    </xf>
    <xf numFmtId="0" fontId="2" fillId="0" borderId="1" xfId="0" applyFont="1" applyBorder="1" applyAlignment="1" applyProtection="1"/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0" fillId="0" borderId="0" xfId="0" applyAlignment="1" applyProtection="1">
      <alignment wrapText="1"/>
    </xf>
    <xf numFmtId="0" fontId="2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/>
    </xf>
    <xf numFmtId="0" fontId="7" fillId="0" borderId="0" xfId="0" applyFont="1" applyBorder="1" applyAlignment="1" applyProtection="1">
      <alignment horizontal="center" wrapText="1"/>
      <protection locked="0"/>
    </xf>
    <xf numFmtId="0" fontId="7" fillId="0" borderId="0" xfId="0" applyFont="1" applyBorder="1" applyAlignment="1" applyProtection="1">
      <alignment horizontal="center" wrapText="1"/>
    </xf>
    <xf numFmtId="1" fontId="7" fillId="0" borderId="0" xfId="0" applyNumberFormat="1" applyFont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wrapText="1"/>
      <protection locked="0"/>
    </xf>
    <xf numFmtId="0" fontId="8" fillId="0" borderId="0" xfId="0" applyFont="1" applyFill="1" applyBorder="1" applyAlignment="1" applyProtection="1">
      <alignment horizontal="center" wrapText="1"/>
      <protection locked="0"/>
    </xf>
    <xf numFmtId="0" fontId="7" fillId="0" borderId="0" xfId="0" applyFont="1" applyFill="1" applyBorder="1" applyAlignment="1" applyProtection="1">
      <alignment horizontal="center" wrapText="1"/>
    </xf>
    <xf numFmtId="49" fontId="7" fillId="0" borderId="0" xfId="0" applyNumberFormat="1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center"/>
      <protection locked="0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0" fontId="2" fillId="4" borderId="0" xfId="0" applyFont="1" applyFill="1" applyBorder="1" applyAlignment="1" applyProtection="1"/>
    <xf numFmtId="0" fontId="0" fillId="4" borderId="0" xfId="0" applyFill="1" applyBorder="1" applyProtection="1"/>
    <xf numFmtId="0" fontId="2" fillId="0" borderId="1" xfId="0" applyFont="1" applyFill="1" applyBorder="1" applyAlignment="1" applyProtection="1"/>
    <xf numFmtId="0" fontId="0" fillId="0" borderId="0" xfId="0" applyFill="1" applyProtection="1"/>
    <xf numFmtId="49" fontId="7" fillId="0" borderId="4" xfId="0" applyNumberFormat="1" applyFont="1" applyBorder="1" applyAlignment="1" applyProtection="1">
      <alignment horizontal="left"/>
      <protection locked="0"/>
    </xf>
    <xf numFmtId="49" fontId="7" fillId="0" borderId="5" xfId="0" applyNumberFormat="1" applyFont="1" applyBorder="1" applyAlignment="1" applyProtection="1">
      <alignment horizontal="left"/>
      <protection locked="0"/>
    </xf>
    <xf numFmtId="0" fontId="8" fillId="0" borderId="5" xfId="0" applyFont="1" applyFill="1" applyBorder="1" applyAlignment="1" applyProtection="1">
      <alignment horizontal="center" wrapText="1"/>
      <protection locked="0"/>
    </xf>
    <xf numFmtId="0" fontId="7" fillId="0" borderId="2" xfId="0" applyFont="1" applyFill="1" applyBorder="1" applyAlignment="1" applyProtection="1">
      <alignment wrapText="1"/>
      <protection locked="0"/>
    </xf>
    <xf numFmtId="0" fontId="6" fillId="3" borderId="2" xfId="0" applyFont="1" applyFill="1" applyBorder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 wrapText="1"/>
    </xf>
    <xf numFmtId="49" fontId="7" fillId="0" borderId="7" xfId="0" applyNumberFormat="1" applyFont="1" applyBorder="1" applyAlignment="1" applyProtection="1">
      <alignment horizontal="left"/>
      <protection locked="0"/>
    </xf>
    <xf numFmtId="49" fontId="7" fillId="0" borderId="8" xfId="0" applyNumberFormat="1" applyFont="1" applyBorder="1" applyAlignment="1" applyProtection="1">
      <alignment horizontal="left"/>
      <protection locked="0"/>
    </xf>
    <xf numFmtId="49" fontId="7" fillId="0" borderId="9" xfId="0" applyNumberFormat="1" applyFont="1" applyBorder="1" applyAlignment="1" applyProtection="1">
      <protection locked="0"/>
    </xf>
    <xf numFmtId="49" fontId="7" fillId="0" borderId="10" xfId="0" applyNumberFormat="1" applyFont="1" applyBorder="1" applyAlignment="1" applyProtection="1">
      <protection locked="0"/>
    </xf>
    <xf numFmtId="0" fontId="7" fillId="0" borderId="2" xfId="0" applyFont="1" applyFill="1" applyBorder="1" applyAlignment="1" applyProtection="1">
      <alignment wrapText="1"/>
      <protection locked="0"/>
    </xf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9" fillId="5" borderId="1" xfId="0" applyFont="1" applyFill="1" applyBorder="1" applyAlignment="1" applyProtection="1">
      <alignment vertical="center"/>
      <protection locked="0"/>
    </xf>
    <xf numFmtId="0" fontId="10" fillId="0" borderId="0" xfId="0" applyFont="1" applyBorder="1" applyAlignment="1" applyProtection="1">
      <alignment horizontal="left" vertical="center"/>
      <protection locked="0"/>
    </xf>
    <xf numFmtId="15" fontId="2" fillId="0" borderId="11" xfId="0" applyNumberFormat="1" applyFont="1" applyBorder="1" applyAlignment="1" applyProtection="1">
      <alignment horizontal="left" vertical="center"/>
      <protection locked="0"/>
    </xf>
    <xf numFmtId="0" fontId="12" fillId="0" borderId="1" xfId="0" applyNumberFormat="1" applyFont="1" applyFill="1" applyBorder="1" applyAlignment="1">
      <alignment horizontal="left" vertical="center" wrapText="1"/>
    </xf>
    <xf numFmtId="0" fontId="7" fillId="6" borderId="2" xfId="0" applyFont="1" applyFill="1" applyBorder="1" applyAlignment="1" applyProtection="1">
      <alignment horizontal="center" wrapText="1"/>
      <protection locked="0"/>
    </xf>
    <xf numFmtId="0" fontId="13" fillId="0" borderId="2" xfId="0" applyNumberFormat="1" applyFont="1" applyFill="1" applyBorder="1" applyAlignment="1">
      <alignment vertical="top" wrapText="1" readingOrder="1"/>
    </xf>
    <xf numFmtId="0" fontId="14" fillId="0" borderId="2" xfId="0" applyFont="1" applyFill="1" applyBorder="1" applyAlignment="1"/>
    <xf numFmtId="0" fontId="16" fillId="0" borderId="12" xfId="1" applyFont="1" applyBorder="1"/>
    <xf numFmtId="0" fontId="16" fillId="0" borderId="12" xfId="1" applyFont="1" applyBorder="1" applyAlignment="1">
      <alignment horizontal="right"/>
    </xf>
    <xf numFmtId="0" fontId="1" fillId="0" borderId="0" xfId="1"/>
    <xf numFmtId="0" fontId="17" fillId="0" borderId="0" xfId="1" applyFont="1"/>
    <xf numFmtId="0" fontId="1" fillId="0" borderId="0" xfId="1" applyBorder="1" applyAlignment="1">
      <alignment horizontal="left"/>
    </xf>
    <xf numFmtId="0" fontId="1" fillId="7" borderId="0" xfId="1" applyFill="1" applyBorder="1"/>
    <xf numFmtId="0" fontId="18" fillId="0" borderId="12" xfId="1" applyFont="1" applyBorder="1"/>
    <xf numFmtId="0" fontId="1" fillId="0" borderId="12" xfId="1" applyBorder="1"/>
    <xf numFmtId="0" fontId="16" fillId="0" borderId="0" xfId="1" applyFont="1" applyBorder="1"/>
    <xf numFmtId="164" fontId="19" fillId="0" borderId="0" xfId="2" applyNumberFormat="1" applyFont="1" applyFill="1" applyBorder="1"/>
    <xf numFmtId="43" fontId="19" fillId="0" borderId="0" xfId="2" applyFont="1" applyFill="1" applyBorder="1"/>
    <xf numFmtId="43" fontId="19" fillId="0" borderId="12" xfId="2" applyFont="1" applyFill="1" applyBorder="1"/>
    <xf numFmtId="0" fontId="16" fillId="0" borderId="12" xfId="1" applyFont="1" applyFill="1" applyBorder="1" applyAlignment="1">
      <alignment horizontal="right"/>
    </xf>
    <xf numFmtId="165" fontId="0" fillId="0" borderId="0" xfId="2" applyNumberFormat="1" applyFont="1" applyAlignment="1">
      <alignment horizontal="left"/>
    </xf>
    <xf numFmtId="0" fontId="19" fillId="0" borderId="0" xfId="3" applyNumberFormat="1" applyFont="1" applyFill="1"/>
    <xf numFmtId="166" fontId="19" fillId="0" borderId="0" xfId="3" applyNumberFormat="1" applyFont="1" applyFill="1"/>
    <xf numFmtId="165" fontId="0" fillId="0" borderId="12" xfId="2" applyNumberFormat="1" applyFont="1" applyBorder="1" applyAlignment="1">
      <alignment horizontal="left"/>
    </xf>
    <xf numFmtId="166" fontId="19" fillId="0" borderId="12" xfId="3" applyNumberFormat="1" applyFont="1" applyFill="1" applyBorder="1"/>
    <xf numFmtId="0" fontId="1" fillId="0" borderId="12" xfId="1" applyBorder="1" applyAlignment="1">
      <alignment horizontal="left"/>
    </xf>
    <xf numFmtId="0" fontId="1" fillId="7" borderId="12" xfId="1" applyFill="1" applyBorder="1"/>
    <xf numFmtId="0" fontId="20" fillId="0" borderId="0" xfId="1" applyFont="1" applyAlignment="1">
      <alignment horizontal="center" vertical="center"/>
    </xf>
    <xf numFmtId="0" fontId="20" fillId="8" borderId="13" xfId="1" applyFont="1" applyFill="1" applyBorder="1" applyAlignment="1">
      <alignment horizontal="center" vertical="center"/>
    </xf>
    <xf numFmtId="0" fontId="20" fillId="8" borderId="14" xfId="1" applyFont="1" applyFill="1" applyBorder="1" applyAlignment="1">
      <alignment horizontal="center" vertical="center"/>
    </xf>
    <xf numFmtId="0" fontId="20" fillId="8" borderId="15" xfId="1" applyFont="1" applyFill="1" applyBorder="1" applyAlignment="1">
      <alignment horizontal="center" vertical="center"/>
    </xf>
    <xf numFmtId="0" fontId="20" fillId="6" borderId="13" xfId="1" applyFont="1" applyFill="1" applyBorder="1" applyAlignment="1">
      <alignment horizontal="center" vertical="center"/>
    </xf>
    <xf numFmtId="0" fontId="21" fillId="9" borderId="16" xfId="1" applyFont="1" applyFill="1" applyBorder="1" applyAlignment="1">
      <alignment horizontal="center"/>
    </xf>
    <xf numFmtId="0" fontId="20" fillId="0" borderId="0" xfId="1" applyFont="1" applyAlignment="1">
      <alignment horizontal="center"/>
    </xf>
    <xf numFmtId="0" fontId="20" fillId="0" borderId="0" xfId="1" applyFont="1"/>
    <xf numFmtId="0" fontId="20" fillId="5" borderId="17" xfId="1" applyFont="1" applyFill="1" applyBorder="1" applyAlignment="1">
      <alignment horizontal="center" vertical="center"/>
    </xf>
    <xf numFmtId="0" fontId="20" fillId="5" borderId="18" xfId="1" applyFont="1" applyFill="1" applyBorder="1" applyAlignment="1">
      <alignment horizontal="center" vertical="center"/>
    </xf>
    <xf numFmtId="0" fontId="20" fillId="5" borderId="19" xfId="1" applyFont="1" applyFill="1" applyBorder="1" applyAlignment="1">
      <alignment horizontal="center" vertical="center"/>
    </xf>
    <xf numFmtId="0" fontId="20" fillId="0" borderId="17" xfId="1" applyFont="1" applyBorder="1" applyAlignment="1">
      <alignment horizontal="center"/>
    </xf>
    <xf numFmtId="0" fontId="20" fillId="0" borderId="20" xfId="1" applyFont="1" applyBorder="1" applyAlignment="1">
      <alignment horizontal="center"/>
    </xf>
    <xf numFmtId="0" fontId="20" fillId="0" borderId="21" xfId="1" applyFont="1" applyBorder="1" applyAlignment="1">
      <alignment horizontal="center"/>
    </xf>
    <xf numFmtId="0" fontId="20" fillId="5" borderId="22" xfId="1" applyFont="1" applyFill="1" applyBorder="1" applyAlignment="1">
      <alignment horizontal="center" vertical="center"/>
    </xf>
    <xf numFmtId="0" fontId="20" fillId="5" borderId="2" xfId="1" applyFont="1" applyFill="1" applyBorder="1" applyAlignment="1">
      <alignment horizontal="center" vertical="center"/>
    </xf>
    <xf numFmtId="0" fontId="20" fillId="5" borderId="23" xfId="1" applyFont="1" applyFill="1" applyBorder="1" applyAlignment="1">
      <alignment horizontal="center" vertical="center"/>
    </xf>
    <xf numFmtId="0" fontId="20" fillId="0" borderId="22" xfId="1" applyFont="1" applyBorder="1" applyAlignment="1">
      <alignment horizontal="center"/>
    </xf>
    <xf numFmtId="0" fontId="20" fillId="0" borderId="24" xfId="1" applyFont="1" applyBorder="1" applyAlignment="1">
      <alignment horizontal="center"/>
    </xf>
    <xf numFmtId="0" fontId="20" fillId="0" borderId="25" xfId="1" applyFont="1" applyBorder="1" applyAlignment="1">
      <alignment horizontal="center"/>
    </xf>
    <xf numFmtId="0" fontId="20" fillId="5" borderId="26" xfId="1" applyFont="1" applyFill="1" applyBorder="1" applyAlignment="1">
      <alignment horizontal="center" vertical="center"/>
    </xf>
    <xf numFmtId="0" fontId="20" fillId="5" borderId="27" xfId="1" applyFont="1" applyFill="1" applyBorder="1" applyAlignment="1">
      <alignment horizontal="center" vertical="center"/>
    </xf>
    <xf numFmtId="0" fontId="20" fillId="5" borderId="28" xfId="1" applyFont="1" applyFill="1" applyBorder="1" applyAlignment="1">
      <alignment horizontal="center" vertical="center"/>
    </xf>
    <xf numFmtId="0" fontId="20" fillId="0" borderId="26" xfId="1" applyFont="1" applyBorder="1" applyAlignment="1">
      <alignment horizontal="center"/>
    </xf>
    <xf numFmtId="0" fontId="20" fillId="0" borderId="29" xfId="1" applyFont="1" applyBorder="1" applyAlignment="1">
      <alignment horizontal="center"/>
    </xf>
    <xf numFmtId="0" fontId="20" fillId="0" borderId="30" xfId="1" applyFont="1" applyBorder="1" applyAlignment="1">
      <alignment horizontal="center"/>
    </xf>
    <xf numFmtId="0" fontId="20" fillId="5" borderId="31" xfId="1" applyFont="1" applyFill="1" applyBorder="1" applyAlignment="1">
      <alignment horizontal="center" vertical="center"/>
    </xf>
    <xf numFmtId="0" fontId="20" fillId="5" borderId="32" xfId="1" applyFont="1" applyFill="1" applyBorder="1" applyAlignment="1">
      <alignment horizontal="center" vertical="center"/>
    </xf>
    <xf numFmtId="0" fontId="20" fillId="5" borderId="33" xfId="1" applyFont="1" applyFill="1" applyBorder="1" applyAlignment="1">
      <alignment horizontal="center" vertical="center"/>
    </xf>
    <xf numFmtId="0" fontId="20" fillId="0" borderId="31" xfId="1" applyFont="1" applyBorder="1" applyAlignment="1">
      <alignment horizontal="center"/>
    </xf>
    <xf numFmtId="0" fontId="20" fillId="0" borderId="34" xfId="1" applyFont="1" applyBorder="1" applyAlignment="1">
      <alignment horizontal="center"/>
    </xf>
    <xf numFmtId="0" fontId="20" fillId="0" borderId="35" xfId="1" applyFont="1" applyBorder="1" applyAlignment="1">
      <alignment horizontal="center"/>
    </xf>
    <xf numFmtId="0" fontId="20" fillId="0" borderId="22" xfId="1" applyFont="1" applyBorder="1" applyAlignment="1">
      <alignment horizontal="center" vertical="center"/>
    </xf>
    <xf numFmtId="0" fontId="20" fillId="0" borderId="2" xfId="1" applyFont="1" applyBorder="1" applyAlignment="1">
      <alignment horizontal="center" vertical="center"/>
    </xf>
    <xf numFmtId="0" fontId="20" fillId="0" borderId="23" xfId="1" applyFont="1" applyBorder="1" applyAlignment="1">
      <alignment horizontal="center" vertical="center"/>
    </xf>
    <xf numFmtId="0" fontId="20" fillId="0" borderId="24" xfId="1" applyFont="1" applyBorder="1" applyAlignment="1">
      <alignment horizontal="center" vertical="center"/>
    </xf>
    <xf numFmtId="0" fontId="20" fillId="0" borderId="25" xfId="1" applyFont="1" applyBorder="1" applyAlignment="1">
      <alignment horizontal="center" vertical="center"/>
    </xf>
    <xf numFmtId="0" fontId="20" fillId="5" borderId="36" xfId="1" applyFont="1" applyFill="1" applyBorder="1" applyAlignment="1">
      <alignment horizontal="center" vertical="center"/>
    </xf>
    <xf numFmtId="0" fontId="20" fillId="5" borderId="37" xfId="1" applyFont="1" applyFill="1" applyBorder="1" applyAlignment="1">
      <alignment horizontal="center" vertical="center"/>
    </xf>
    <xf numFmtId="0" fontId="20" fillId="5" borderId="38" xfId="1" applyFont="1" applyFill="1" applyBorder="1" applyAlignment="1">
      <alignment horizontal="center" vertical="center"/>
    </xf>
    <xf numFmtId="0" fontId="20" fillId="0" borderId="36" xfId="1" applyFont="1" applyBorder="1" applyAlignment="1">
      <alignment horizontal="center"/>
    </xf>
    <xf numFmtId="0" fontId="20" fillId="0" borderId="39" xfId="1" applyFont="1" applyBorder="1" applyAlignment="1">
      <alignment horizontal="center"/>
    </xf>
    <xf numFmtId="0" fontId="20" fillId="0" borderId="40" xfId="1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 applyProtection="1">
      <alignment horizontal="center" vertical="center"/>
    </xf>
    <xf numFmtId="0" fontId="19" fillId="0" borderId="0" xfId="3" applyNumberFormat="1" applyFont="1" applyFill="1" applyAlignment="1">
      <alignment horizontal="center" vertical="center"/>
    </xf>
    <xf numFmtId="0" fontId="19" fillId="0" borderId="12" xfId="3" applyNumberFormat="1" applyFont="1" applyFill="1" applyBorder="1" applyAlignment="1">
      <alignment horizontal="center" vertical="center"/>
    </xf>
    <xf numFmtId="0" fontId="16" fillId="0" borderId="12" xfId="1" applyFont="1" applyFill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6" fillId="0" borderId="26" xfId="1" applyFont="1" applyFill="1" applyBorder="1" applyAlignment="1">
      <alignment horizontal="center" vertical="center"/>
    </xf>
    <xf numFmtId="0" fontId="19" fillId="0" borderId="27" xfId="3" applyNumberFormat="1" applyFont="1" applyFill="1" applyBorder="1" applyAlignment="1">
      <alignment horizontal="center" vertical="center"/>
    </xf>
    <xf numFmtId="0" fontId="19" fillId="0" borderId="28" xfId="3" applyNumberFormat="1" applyFont="1" applyFill="1" applyBorder="1" applyAlignment="1">
      <alignment horizontal="center" vertical="center"/>
    </xf>
    <xf numFmtId="0" fontId="22" fillId="0" borderId="4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0" fontId="7" fillId="0" borderId="2" xfId="0" applyFont="1" applyFill="1" applyBorder="1" applyAlignment="1" applyProtection="1">
      <alignment horizontal="center" wrapText="1"/>
      <protection locked="0"/>
    </xf>
    <xf numFmtId="0" fontId="0" fillId="5" borderId="2" xfId="0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167" fontId="0" fillId="5" borderId="2" xfId="0" applyNumberForma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0" fontId="3" fillId="0" borderId="0" xfId="0" applyFont="1" applyAlignment="1" applyProtection="1">
      <alignment horizont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1" xfId="0" applyFont="1" applyBorder="1" applyAlignment="1" applyProtection="1">
      <alignment horizontal="left"/>
      <protection locked="0"/>
    </xf>
    <xf numFmtId="0" fontId="6" fillId="3" borderId="6" xfId="0" applyFont="1" applyFill="1" applyBorder="1" applyAlignment="1" applyProtection="1">
      <alignment horizontal="left"/>
    </xf>
    <xf numFmtId="0" fontId="6" fillId="3" borderId="2" xfId="0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right" vertical="center" wrapText="1"/>
    </xf>
    <xf numFmtId="0" fontId="2" fillId="0" borderId="0" xfId="0" applyFont="1" applyBorder="1" applyAlignment="1" applyProtection="1">
      <alignment horizontal="right"/>
    </xf>
    <xf numFmtId="0" fontId="1" fillId="5" borderId="0" xfId="1" applyFill="1" applyBorder="1" applyAlignment="1">
      <alignment horizontal="left" wrapText="1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Percent 2" xfId="3" xr:uid="{00000000-0005-0000-0000-000003000000}"/>
  </cellStyles>
  <dxfs count="1"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Mark'!$I$8:$I$18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6.0606060606060608E-2</c:v>
                </c:pt>
                <c:pt idx="2">
                  <c:v>0.21212121212121213</c:v>
                </c:pt>
                <c:pt idx="3">
                  <c:v>0.15151515151515152</c:v>
                </c:pt>
                <c:pt idx="4">
                  <c:v>0.18181818181818182</c:v>
                </c:pt>
                <c:pt idx="5">
                  <c:v>0.24242424242424243</c:v>
                </c:pt>
                <c:pt idx="6">
                  <c:v>0</c:v>
                </c:pt>
                <c:pt idx="7">
                  <c:v>0.12121212121212122</c:v>
                </c:pt>
                <c:pt idx="8">
                  <c:v>0</c:v>
                </c:pt>
                <c:pt idx="9">
                  <c:v>0</c:v>
                </c:pt>
                <c:pt idx="10">
                  <c:v>3.0303030303030304E-2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73B-BEE7-83D83E187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98100912"/>
        <c:axId val="398098168"/>
      </c:barChart>
      <c:catAx>
        <c:axId val="3981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98168"/>
        <c:crosses val="autoZero"/>
        <c:auto val="1"/>
        <c:lblAlgn val="ctr"/>
        <c:lblOffset val="100"/>
        <c:noMultiLvlLbl val="0"/>
      </c:catAx>
      <c:valAx>
        <c:axId val="398098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1009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Mark'!$J$8:$J$18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7-421E-B39A-23244B585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98100912"/>
        <c:axId val="398098168"/>
      </c:barChart>
      <c:catAx>
        <c:axId val="3981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98168"/>
        <c:crosses val="autoZero"/>
        <c:auto val="1"/>
        <c:lblAlgn val="ctr"/>
        <c:lblOffset val="100"/>
        <c:noMultiLvlLbl val="0"/>
      </c:catAx>
      <c:valAx>
        <c:axId val="398098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1009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581025</xdr:colOff>
      <xdr:row>31</xdr:row>
      <xdr:rowOff>28575</xdr:rowOff>
    </xdr:from>
    <xdr:to>
      <xdr:col>9</xdr:col>
      <xdr:colOff>28575</xdr:colOff>
      <xdr:row>42</xdr:row>
      <xdr:rowOff>166688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1BE650-EF16-465A-BE26-70D5DA7551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6"/>
  <sheetViews>
    <sheetView topLeftCell="A16" zoomScale="85" zoomScaleNormal="85" workbookViewId="0">
      <selection activeCell="M46" sqref="M46"/>
    </sheetView>
  </sheetViews>
  <sheetFormatPr defaultColWidth="9.140625" defaultRowHeight="12.75" x14ac:dyDescent="0.2"/>
  <cols>
    <col min="1" max="1" width="4.85546875" style="7" customWidth="1"/>
    <col min="2" max="2" width="22.7109375" style="7" customWidth="1"/>
    <col min="3" max="4" width="11.42578125" style="7" customWidth="1"/>
    <col min="5" max="5" width="9.42578125" style="7" customWidth="1"/>
    <col min="6" max="6" width="9.140625" style="7" bestFit="1" customWidth="1"/>
    <col min="7" max="7" width="8.42578125" style="7" customWidth="1"/>
    <col min="8" max="8" width="7.42578125" style="7" customWidth="1"/>
    <col min="9" max="12" width="9.85546875" style="7" customWidth="1"/>
    <col min="13" max="13" width="18" style="7" customWidth="1"/>
    <col min="14" max="16384" width="9.140625" style="7"/>
  </cols>
  <sheetData>
    <row r="1" spans="1:18" ht="15" x14ac:dyDescent="0.25">
      <c r="A1" s="149" t="s">
        <v>3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6"/>
    </row>
    <row r="3" spans="1:18" ht="20.100000000000001" customHeight="1" x14ac:dyDescent="0.2">
      <c r="A3" s="151" t="s">
        <v>4</v>
      </c>
      <c r="B3" s="151"/>
      <c r="C3" s="152" t="s">
        <v>21</v>
      </c>
      <c r="D3" s="152"/>
      <c r="E3" s="152"/>
      <c r="F3" s="152"/>
      <c r="G3" s="152"/>
      <c r="H3" s="152"/>
      <c r="I3" s="8"/>
      <c r="J3" s="8"/>
      <c r="K3" s="8"/>
      <c r="L3" s="8"/>
      <c r="O3" s="9"/>
    </row>
    <row r="4" spans="1:18" ht="24.95" customHeight="1" x14ac:dyDescent="0.2">
      <c r="A4" s="151" t="s">
        <v>5</v>
      </c>
      <c r="B4" s="151"/>
      <c r="C4" s="54">
        <v>44452</v>
      </c>
      <c r="D4" s="10"/>
      <c r="E4" s="11"/>
      <c r="F4" s="12"/>
      <c r="G4" s="150" t="s">
        <v>6</v>
      </c>
      <c r="H4" s="150"/>
      <c r="I4" s="2">
        <f>C4+14</f>
        <v>44466</v>
      </c>
    </row>
    <row r="5" spans="1:18" ht="24.95" customHeight="1" x14ac:dyDescent="0.2">
      <c r="A5" s="151" t="s">
        <v>9</v>
      </c>
      <c r="B5" s="151"/>
      <c r="C5" s="52" t="s">
        <v>24</v>
      </c>
      <c r="D5" s="14"/>
      <c r="E5" s="14"/>
      <c r="F5" s="14"/>
      <c r="G5" s="156" t="s">
        <v>7</v>
      </c>
      <c r="H5" s="156"/>
      <c r="I5" s="3" t="s">
        <v>22</v>
      </c>
    </row>
    <row r="6" spans="1:18" ht="7.5" customHeight="1" x14ac:dyDescent="0.2">
      <c r="A6" s="15"/>
      <c r="B6" s="15"/>
      <c r="C6" s="53"/>
      <c r="D6" s="12"/>
      <c r="G6" s="16"/>
      <c r="H6" s="16"/>
      <c r="I6" s="1"/>
    </row>
    <row r="7" spans="1:18" ht="24.95" customHeight="1" x14ac:dyDescent="0.2">
      <c r="A7" s="17" t="s">
        <v>11</v>
      </c>
      <c r="B7" s="17"/>
      <c r="C7" s="55" t="s">
        <v>23</v>
      </c>
      <c r="D7" s="18"/>
      <c r="E7" s="18"/>
      <c r="G7" s="155" t="s">
        <v>10</v>
      </c>
      <c r="H7" s="155"/>
      <c r="I7" s="4"/>
    </row>
    <row r="8" spans="1:18" ht="24.95" customHeight="1" x14ac:dyDescent="0.2">
      <c r="A8" s="21"/>
      <c r="B8" s="21"/>
      <c r="C8" s="30"/>
      <c r="D8" s="18"/>
      <c r="E8" s="18"/>
      <c r="G8" s="20"/>
      <c r="H8" s="20"/>
      <c r="I8" s="13"/>
      <c r="J8" s="13"/>
      <c r="K8" s="13"/>
      <c r="L8" s="13"/>
      <c r="M8" s="31"/>
    </row>
    <row r="10" spans="1:18" x14ac:dyDescent="0.2">
      <c r="A10" s="35" t="s">
        <v>20</v>
      </c>
      <c r="B10" s="35"/>
      <c r="C10" s="35"/>
      <c r="D10" s="35"/>
      <c r="E10" s="35"/>
      <c r="F10" s="36"/>
      <c r="G10" s="36"/>
      <c r="H10" s="36"/>
      <c r="I10" s="36"/>
      <c r="J10" s="36"/>
      <c r="K10" s="36"/>
      <c r="L10" s="36"/>
      <c r="M10" s="36"/>
    </row>
    <row r="11" spans="1:18" ht="31.5" customHeight="1" x14ac:dyDescent="0.2">
      <c r="A11" s="41" t="s">
        <v>0</v>
      </c>
      <c r="B11" s="153" t="s">
        <v>2</v>
      </c>
      <c r="C11" s="153"/>
      <c r="D11" s="41" t="s">
        <v>1</v>
      </c>
      <c r="E11" s="42" t="s">
        <v>13</v>
      </c>
      <c r="F11" s="43" t="s">
        <v>8</v>
      </c>
    </row>
    <row r="12" spans="1:18" s="19" customFormat="1" ht="15" customHeight="1" x14ac:dyDescent="0.2">
      <c r="A12" s="44">
        <v>1</v>
      </c>
      <c r="B12" s="45" t="s">
        <v>14</v>
      </c>
      <c r="C12" s="46"/>
      <c r="D12" s="39" t="s">
        <v>17</v>
      </c>
      <c r="E12" s="56">
        <v>53</v>
      </c>
      <c r="F12" s="40"/>
      <c r="G12" s="5"/>
      <c r="H12" s="5"/>
      <c r="I12" s="5"/>
      <c r="J12" s="5"/>
      <c r="K12" s="5"/>
    </row>
    <row r="13" spans="1:18" s="19" customFormat="1" ht="15" customHeight="1" x14ac:dyDescent="0.2">
      <c r="A13" s="44">
        <v>2</v>
      </c>
      <c r="B13" s="37" t="s">
        <v>15</v>
      </c>
      <c r="C13" s="38"/>
      <c r="D13" s="39" t="s">
        <v>18</v>
      </c>
      <c r="E13" s="56">
        <v>44</v>
      </c>
      <c r="F13" s="40"/>
      <c r="G13" s="5"/>
      <c r="H13" s="5"/>
      <c r="I13" s="5"/>
      <c r="J13" s="5"/>
      <c r="K13" s="5"/>
    </row>
    <row r="14" spans="1:18" s="19" customFormat="1" ht="15" customHeight="1" x14ac:dyDescent="0.2">
      <c r="A14" s="44">
        <v>3</v>
      </c>
      <c r="B14" s="47" t="s">
        <v>16</v>
      </c>
      <c r="C14" s="48"/>
      <c r="D14" s="39" t="s">
        <v>19</v>
      </c>
      <c r="E14" s="56">
        <v>51</v>
      </c>
      <c r="F14" s="40"/>
      <c r="G14" s="5"/>
      <c r="H14" s="5"/>
      <c r="I14" s="5"/>
      <c r="J14" s="5"/>
      <c r="K14" s="5"/>
    </row>
    <row r="15" spans="1:18" s="19" customFormat="1" ht="15" customHeight="1" x14ac:dyDescent="0.2">
      <c r="A15" s="27"/>
      <c r="B15" s="28"/>
      <c r="C15" s="28"/>
      <c r="D15" s="26"/>
      <c r="E15" s="29"/>
      <c r="F15" s="29"/>
      <c r="G15" s="29"/>
      <c r="H15" s="23"/>
      <c r="I15" s="24"/>
      <c r="J15" s="24"/>
      <c r="K15" s="24"/>
      <c r="L15" s="24"/>
      <c r="M15" s="25"/>
      <c r="N15" s="5"/>
      <c r="O15" s="5"/>
      <c r="P15" s="5"/>
      <c r="Q15" s="5"/>
      <c r="R15" s="5"/>
    </row>
    <row r="16" spans="1:18" s="19" customFormat="1" ht="15" customHeight="1" x14ac:dyDescent="0.2">
      <c r="A16" s="27"/>
      <c r="B16" s="32"/>
      <c r="C16" s="32"/>
      <c r="D16" s="26"/>
      <c r="E16" s="29"/>
      <c r="F16" s="29"/>
      <c r="G16" s="22"/>
      <c r="H16" s="23"/>
      <c r="I16" s="24"/>
      <c r="J16" s="24"/>
      <c r="K16" s="24"/>
      <c r="L16" s="24"/>
      <c r="M16" s="25"/>
      <c r="N16" s="5"/>
      <c r="O16" s="5"/>
      <c r="P16" s="5"/>
      <c r="Q16" s="5"/>
      <c r="R16" s="5"/>
    </row>
    <row r="17" spans="1:11" x14ac:dyDescent="0.2">
      <c r="A17" s="33" t="s">
        <v>12</v>
      </c>
      <c r="B17" s="33"/>
      <c r="C17" s="33"/>
      <c r="D17" s="33"/>
      <c r="E17" s="33"/>
      <c r="F17" s="34"/>
    </row>
    <row r="18" spans="1:11" ht="31.5" customHeight="1" x14ac:dyDescent="0.2">
      <c r="A18" s="41" t="s">
        <v>0</v>
      </c>
      <c r="B18" s="154" t="s">
        <v>2</v>
      </c>
      <c r="C18" s="154"/>
      <c r="D18" s="41" t="s">
        <v>1</v>
      </c>
      <c r="E18" s="50" t="s">
        <v>13</v>
      </c>
      <c r="F18" s="51" t="s">
        <v>8</v>
      </c>
    </row>
    <row r="19" spans="1:11" s="19" customFormat="1" ht="15" customHeight="1" x14ac:dyDescent="0.25">
      <c r="A19" s="44">
        <v>1</v>
      </c>
      <c r="B19" s="57" t="s">
        <v>37</v>
      </c>
      <c r="C19" s="58"/>
      <c r="D19" s="57" t="s">
        <v>38</v>
      </c>
      <c r="E19" s="124">
        <v>50</v>
      </c>
      <c r="F19" s="49"/>
      <c r="G19" s="5"/>
      <c r="H19" s="5"/>
      <c r="I19" s="5"/>
      <c r="J19" s="5"/>
      <c r="K19" s="5"/>
    </row>
    <row r="20" spans="1:11" s="19" customFormat="1" ht="15" customHeight="1" x14ac:dyDescent="0.25">
      <c r="A20" s="44">
        <v>2</v>
      </c>
      <c r="B20" s="57" t="s">
        <v>71</v>
      </c>
      <c r="C20" s="58"/>
      <c r="D20" s="57" t="s">
        <v>72</v>
      </c>
      <c r="E20" s="125">
        <v>67</v>
      </c>
      <c r="F20" s="49"/>
      <c r="G20" s="5"/>
      <c r="H20" s="5"/>
      <c r="I20" s="5"/>
      <c r="J20" s="5"/>
      <c r="K20" s="5"/>
    </row>
    <row r="21" spans="1:11" s="19" customFormat="1" ht="15" customHeight="1" x14ac:dyDescent="0.25">
      <c r="A21" s="44">
        <v>3</v>
      </c>
      <c r="B21" s="57" t="s">
        <v>87</v>
      </c>
      <c r="C21" s="58"/>
      <c r="D21" s="57" t="s">
        <v>88</v>
      </c>
      <c r="E21" s="125">
        <v>50</v>
      </c>
      <c r="F21" s="49"/>
      <c r="G21" s="5"/>
      <c r="H21" s="5"/>
      <c r="I21" s="5"/>
      <c r="J21" s="5"/>
      <c r="K21" s="5"/>
    </row>
    <row r="22" spans="1:11" s="19" customFormat="1" ht="15" customHeight="1" x14ac:dyDescent="0.25">
      <c r="A22" s="44">
        <v>4</v>
      </c>
      <c r="B22" s="57" t="s">
        <v>31</v>
      </c>
      <c r="C22" s="58"/>
      <c r="D22" s="57" t="s">
        <v>32</v>
      </c>
      <c r="E22" s="124">
        <v>60</v>
      </c>
      <c r="F22" s="49"/>
      <c r="G22" s="5"/>
      <c r="H22" s="5"/>
      <c r="I22" s="5"/>
      <c r="J22" s="5"/>
      <c r="K22" s="5"/>
    </row>
    <row r="23" spans="1:11" s="19" customFormat="1" ht="15" customHeight="1" x14ac:dyDescent="0.25">
      <c r="A23" s="44">
        <v>5</v>
      </c>
      <c r="B23" s="57" t="s">
        <v>69</v>
      </c>
      <c r="C23" s="58"/>
      <c r="D23" s="57" t="s">
        <v>70</v>
      </c>
      <c r="E23" s="124">
        <v>78</v>
      </c>
      <c r="F23" s="49"/>
      <c r="G23" s="5"/>
      <c r="H23" s="5"/>
      <c r="I23" s="5"/>
      <c r="J23" s="5"/>
      <c r="K23" s="5"/>
    </row>
    <row r="24" spans="1:11" s="19" customFormat="1" ht="15" customHeight="1" x14ac:dyDescent="0.25">
      <c r="A24" s="44">
        <v>6</v>
      </c>
      <c r="B24" s="57" t="s">
        <v>49</v>
      </c>
      <c r="C24" s="58"/>
      <c r="D24" s="57" t="s">
        <v>50</v>
      </c>
      <c r="E24" s="124">
        <v>63</v>
      </c>
      <c r="F24" s="49"/>
      <c r="G24" s="5"/>
      <c r="H24" s="5"/>
      <c r="I24" s="5"/>
      <c r="J24" s="5"/>
      <c r="K24" s="5"/>
    </row>
    <row r="25" spans="1:11" s="19" customFormat="1" ht="15" customHeight="1" x14ac:dyDescent="0.25">
      <c r="A25" s="44">
        <v>7</v>
      </c>
      <c r="B25" s="57" t="s">
        <v>61</v>
      </c>
      <c r="C25" s="58"/>
      <c r="D25" s="57" t="s">
        <v>62</v>
      </c>
      <c r="E25" s="124">
        <v>70</v>
      </c>
      <c r="F25" s="49"/>
      <c r="G25" s="5"/>
      <c r="H25" s="5"/>
      <c r="I25" s="5"/>
      <c r="J25" s="5"/>
      <c r="K25" s="5"/>
    </row>
    <row r="26" spans="1:11" s="19" customFormat="1" ht="15" customHeight="1" x14ac:dyDescent="0.25">
      <c r="A26" s="44">
        <v>8</v>
      </c>
      <c r="B26" s="57" t="s">
        <v>91</v>
      </c>
      <c r="C26" s="58"/>
      <c r="D26" s="57" t="s">
        <v>92</v>
      </c>
      <c r="E26" s="124">
        <v>70</v>
      </c>
      <c r="F26" s="49"/>
      <c r="G26" s="5"/>
      <c r="H26" s="5"/>
      <c r="I26" s="5"/>
      <c r="J26" s="5"/>
      <c r="K26" s="5"/>
    </row>
    <row r="27" spans="1:11" ht="15" x14ac:dyDescent="0.25">
      <c r="A27" s="44">
        <v>9</v>
      </c>
      <c r="B27" s="57" t="s">
        <v>89</v>
      </c>
      <c r="C27" s="58"/>
      <c r="D27" s="57" t="s">
        <v>90</v>
      </c>
      <c r="E27" s="124">
        <v>82</v>
      </c>
      <c r="F27" s="49"/>
    </row>
    <row r="28" spans="1:11" ht="15" x14ac:dyDescent="0.25">
      <c r="A28" s="44">
        <v>10</v>
      </c>
      <c r="B28" s="57" t="s">
        <v>63</v>
      </c>
      <c r="C28" s="58"/>
      <c r="D28" s="57" t="s">
        <v>64</v>
      </c>
      <c r="E28" s="124">
        <v>60</v>
      </c>
      <c r="F28" s="49"/>
    </row>
    <row r="29" spans="1:11" ht="15" x14ac:dyDescent="0.25">
      <c r="A29" s="44">
        <v>11</v>
      </c>
      <c r="B29" s="57" t="s">
        <v>59</v>
      </c>
      <c r="C29" s="58"/>
      <c r="D29" s="57" t="s">
        <v>60</v>
      </c>
      <c r="E29" s="124">
        <v>84</v>
      </c>
      <c r="F29" s="49"/>
    </row>
    <row r="30" spans="1:11" ht="33" x14ac:dyDescent="0.25">
      <c r="A30" s="44">
        <v>12</v>
      </c>
      <c r="B30" s="57" t="s">
        <v>33</v>
      </c>
      <c r="C30" s="58"/>
      <c r="D30" s="57" t="s">
        <v>34</v>
      </c>
      <c r="E30" s="124">
        <v>0</v>
      </c>
      <c r="F30" s="144" t="s">
        <v>220</v>
      </c>
    </row>
    <row r="31" spans="1:11" ht="15" x14ac:dyDescent="0.25">
      <c r="A31" s="44">
        <v>13</v>
      </c>
      <c r="B31" s="57" t="s">
        <v>83</v>
      </c>
      <c r="C31" s="58"/>
      <c r="D31" s="57" t="s">
        <v>84</v>
      </c>
      <c r="E31" s="124">
        <v>75</v>
      </c>
      <c r="F31" s="49"/>
    </row>
    <row r="32" spans="1:11" ht="15" x14ac:dyDescent="0.25">
      <c r="A32" s="44">
        <v>14</v>
      </c>
      <c r="B32" s="57" t="s">
        <v>29</v>
      </c>
      <c r="C32" s="58"/>
      <c r="D32" s="57" t="s">
        <v>30</v>
      </c>
      <c r="E32" s="124">
        <v>62</v>
      </c>
      <c r="F32" s="49"/>
    </row>
    <row r="33" spans="1:6" ht="15" x14ac:dyDescent="0.25">
      <c r="A33" s="44">
        <v>15</v>
      </c>
      <c r="B33" s="57" t="s">
        <v>99</v>
      </c>
      <c r="C33" s="58"/>
      <c r="D33" s="57" t="s">
        <v>100</v>
      </c>
      <c r="E33" s="124">
        <v>75</v>
      </c>
      <c r="F33" s="49"/>
    </row>
    <row r="34" spans="1:6" ht="15" x14ac:dyDescent="0.25">
      <c r="A34" s="44">
        <v>16</v>
      </c>
      <c r="B34" s="57" t="s">
        <v>39</v>
      </c>
      <c r="C34" s="58"/>
      <c r="D34" s="57" t="s">
        <v>40</v>
      </c>
      <c r="E34" s="124">
        <v>74</v>
      </c>
      <c r="F34" s="49"/>
    </row>
    <row r="35" spans="1:6" ht="15" x14ac:dyDescent="0.25">
      <c r="A35" s="44">
        <v>17</v>
      </c>
      <c r="B35" s="57" t="s">
        <v>93</v>
      </c>
      <c r="C35" s="58"/>
      <c r="D35" s="57" t="s">
        <v>94</v>
      </c>
      <c r="E35" s="124">
        <v>61</v>
      </c>
      <c r="F35" s="49"/>
    </row>
    <row r="36" spans="1:6" ht="15" x14ac:dyDescent="0.25">
      <c r="A36" s="44">
        <v>18</v>
      </c>
      <c r="B36" s="57" t="s">
        <v>53</v>
      </c>
      <c r="C36" s="58"/>
      <c r="D36" s="57" t="s">
        <v>54</v>
      </c>
      <c r="E36" s="124">
        <v>64</v>
      </c>
      <c r="F36" s="49"/>
    </row>
    <row r="37" spans="1:6" ht="15" x14ac:dyDescent="0.25">
      <c r="A37" s="44">
        <v>19</v>
      </c>
      <c r="B37" s="57" t="s">
        <v>57</v>
      </c>
      <c r="C37" s="58"/>
      <c r="D37" s="57" t="s">
        <v>58</v>
      </c>
      <c r="E37" s="124">
        <v>53</v>
      </c>
      <c r="F37" s="49"/>
    </row>
    <row r="38" spans="1:6" ht="27" x14ac:dyDescent="0.25">
      <c r="A38" s="44">
        <v>20</v>
      </c>
      <c r="B38" s="57" t="s">
        <v>45</v>
      </c>
      <c r="C38" s="58"/>
      <c r="D38" s="57" t="s">
        <v>46</v>
      </c>
      <c r="E38" s="124">
        <v>68</v>
      </c>
      <c r="F38" s="49"/>
    </row>
    <row r="39" spans="1:6" ht="27" x14ac:dyDescent="0.25">
      <c r="A39" s="44">
        <v>21</v>
      </c>
      <c r="B39" s="57" t="s">
        <v>95</v>
      </c>
      <c r="C39" s="58"/>
      <c r="D39" s="57" t="s">
        <v>96</v>
      </c>
      <c r="E39" s="124">
        <v>74</v>
      </c>
      <c r="F39" s="49"/>
    </row>
    <row r="40" spans="1:6" ht="15" x14ac:dyDescent="0.25">
      <c r="A40" s="44">
        <v>22</v>
      </c>
      <c r="B40" s="57" t="s">
        <v>27</v>
      </c>
      <c r="C40" s="58"/>
      <c r="D40" s="57" t="s">
        <v>28</v>
      </c>
      <c r="E40" s="124">
        <v>67</v>
      </c>
      <c r="F40" s="49"/>
    </row>
    <row r="41" spans="1:6" ht="27" x14ac:dyDescent="0.25">
      <c r="A41" s="44">
        <v>23</v>
      </c>
      <c r="B41" s="57" t="s">
        <v>65</v>
      </c>
      <c r="C41" s="58"/>
      <c r="D41" s="57" t="s">
        <v>66</v>
      </c>
      <c r="E41" s="124">
        <v>68</v>
      </c>
      <c r="F41" s="49"/>
    </row>
    <row r="42" spans="1:6" ht="15" x14ac:dyDescent="0.25">
      <c r="A42" s="44">
        <v>24</v>
      </c>
      <c r="B42" s="57" t="s">
        <v>85</v>
      </c>
      <c r="C42" s="58"/>
      <c r="D42" s="57" t="s">
        <v>86</v>
      </c>
      <c r="E42" s="124">
        <v>78</v>
      </c>
      <c r="F42" s="49"/>
    </row>
    <row r="43" spans="1:6" ht="15" x14ac:dyDescent="0.25">
      <c r="A43" s="44">
        <v>25</v>
      </c>
      <c r="B43" s="57" t="s">
        <v>79</v>
      </c>
      <c r="C43" s="58"/>
      <c r="D43" s="57" t="s">
        <v>80</v>
      </c>
      <c r="E43" s="124">
        <v>67</v>
      </c>
      <c r="F43" s="49"/>
    </row>
    <row r="44" spans="1:6" ht="33" x14ac:dyDescent="0.25">
      <c r="A44" s="44">
        <v>26</v>
      </c>
      <c r="B44" s="57" t="s">
        <v>25</v>
      </c>
      <c r="C44" s="58"/>
      <c r="D44" s="57" t="s">
        <v>26</v>
      </c>
      <c r="E44" s="124">
        <v>0</v>
      </c>
      <c r="F44" s="144" t="s">
        <v>220</v>
      </c>
    </row>
    <row r="45" spans="1:6" ht="15" x14ac:dyDescent="0.25">
      <c r="A45" s="44">
        <v>27</v>
      </c>
      <c r="B45" s="57" t="s">
        <v>47</v>
      </c>
      <c r="C45" s="58"/>
      <c r="D45" s="57" t="s">
        <v>48</v>
      </c>
      <c r="E45" s="124">
        <v>61</v>
      </c>
      <c r="F45" s="49"/>
    </row>
    <row r="46" spans="1:6" ht="33" x14ac:dyDescent="0.25">
      <c r="A46" s="44">
        <v>28</v>
      </c>
      <c r="B46" s="57" t="s">
        <v>55</v>
      </c>
      <c r="C46" s="58"/>
      <c r="D46" s="57" t="s">
        <v>56</v>
      </c>
      <c r="E46" s="124">
        <v>0</v>
      </c>
      <c r="F46" s="144" t="s">
        <v>220</v>
      </c>
    </row>
    <row r="47" spans="1:6" ht="33" x14ac:dyDescent="0.25">
      <c r="A47" s="44">
        <v>29</v>
      </c>
      <c r="B47" s="57" t="s">
        <v>81</v>
      </c>
      <c r="C47" s="58"/>
      <c r="D47" s="57" t="s">
        <v>82</v>
      </c>
      <c r="E47" s="124">
        <v>0</v>
      </c>
      <c r="F47" s="144" t="s">
        <v>220</v>
      </c>
    </row>
    <row r="48" spans="1:6" ht="15" x14ac:dyDescent="0.25">
      <c r="A48" s="44">
        <v>30</v>
      </c>
      <c r="B48" s="57" t="s">
        <v>77</v>
      </c>
      <c r="C48" s="58"/>
      <c r="D48" s="57" t="s">
        <v>78</v>
      </c>
      <c r="E48" s="124">
        <v>73</v>
      </c>
      <c r="F48" s="49"/>
    </row>
    <row r="49" spans="1:6" ht="15" x14ac:dyDescent="0.25">
      <c r="A49" s="44">
        <v>31</v>
      </c>
      <c r="B49" s="57" t="s">
        <v>75</v>
      </c>
      <c r="C49" s="58"/>
      <c r="D49" s="57" t="s">
        <v>76</v>
      </c>
      <c r="E49" s="124">
        <v>54</v>
      </c>
      <c r="F49" s="49"/>
    </row>
    <row r="50" spans="1:6" ht="15" x14ac:dyDescent="0.25">
      <c r="A50" s="44">
        <v>32</v>
      </c>
      <c r="B50" s="57" t="s">
        <v>97</v>
      </c>
      <c r="C50" s="58"/>
      <c r="D50" s="57" t="s">
        <v>98</v>
      </c>
      <c r="E50" s="124">
        <v>8</v>
      </c>
      <c r="F50" s="49"/>
    </row>
    <row r="51" spans="1:6" ht="15" x14ac:dyDescent="0.25">
      <c r="A51" s="44">
        <v>33</v>
      </c>
      <c r="B51" s="57" t="s">
        <v>51</v>
      </c>
      <c r="C51" s="58"/>
      <c r="D51" s="57" t="s">
        <v>52</v>
      </c>
      <c r="E51" s="124">
        <v>69</v>
      </c>
      <c r="F51" s="49"/>
    </row>
    <row r="52" spans="1:6" ht="33" x14ac:dyDescent="0.25">
      <c r="A52" s="44">
        <v>34</v>
      </c>
      <c r="B52" s="57" t="s">
        <v>73</v>
      </c>
      <c r="C52" s="58"/>
      <c r="D52" s="57" t="s">
        <v>74</v>
      </c>
      <c r="E52" s="124">
        <v>0</v>
      </c>
      <c r="F52" s="144" t="s">
        <v>220</v>
      </c>
    </row>
    <row r="53" spans="1:6" ht="15" x14ac:dyDescent="0.25">
      <c r="A53" s="44">
        <v>35</v>
      </c>
      <c r="B53" s="57" t="s">
        <v>67</v>
      </c>
      <c r="C53" s="58"/>
      <c r="D53" s="57" t="s">
        <v>68</v>
      </c>
      <c r="E53" s="124">
        <v>78</v>
      </c>
      <c r="F53" s="49"/>
    </row>
    <row r="54" spans="1:6" ht="15" x14ac:dyDescent="0.25">
      <c r="A54" s="44">
        <v>36</v>
      </c>
      <c r="B54" s="57" t="s">
        <v>35</v>
      </c>
      <c r="C54" s="58"/>
      <c r="D54" s="57" t="s">
        <v>36</v>
      </c>
      <c r="E54" s="124">
        <v>77</v>
      </c>
      <c r="F54" s="49"/>
    </row>
    <row r="55" spans="1:6" ht="27" x14ac:dyDescent="0.25">
      <c r="A55" s="44">
        <v>37</v>
      </c>
      <c r="B55" s="57" t="s">
        <v>43</v>
      </c>
      <c r="C55" s="58"/>
      <c r="D55" s="57" t="s">
        <v>44</v>
      </c>
      <c r="E55" s="124">
        <v>76</v>
      </c>
      <c r="F55" s="49"/>
    </row>
    <row r="56" spans="1:6" ht="15" x14ac:dyDescent="0.25">
      <c r="A56" s="44">
        <v>38</v>
      </c>
      <c r="B56" s="57" t="s">
        <v>41</v>
      </c>
      <c r="C56" s="58"/>
      <c r="D56" s="57" t="s">
        <v>42</v>
      </c>
      <c r="E56" s="124">
        <v>63</v>
      </c>
      <c r="F56" s="49"/>
    </row>
  </sheetData>
  <sheetProtection password="B1E5" sheet="1" formatCells="0" formatColumns="0" formatRows="0" insertColumns="0" insertRows="0" deleteColumns="0" deleteRows="0"/>
  <protectedRanges>
    <protectedRange sqref="E19:E56" name="Range1"/>
  </protectedRanges>
  <sortState xmlns:xlrd2="http://schemas.microsoft.com/office/spreadsheetml/2017/richdata2" ref="B19:D56">
    <sortCondition ref="B19:B56"/>
  </sortState>
  <mergeCells count="10">
    <mergeCell ref="B11:C11"/>
    <mergeCell ref="B18:C18"/>
    <mergeCell ref="G7:H7"/>
    <mergeCell ref="A5:B5"/>
    <mergeCell ref="G5:H5"/>
    <mergeCell ref="A1:M1"/>
    <mergeCell ref="G4:H4"/>
    <mergeCell ref="A3:B3"/>
    <mergeCell ref="A4:B4"/>
    <mergeCell ref="C3:H3"/>
  </mergeCells>
  <phoneticPr fontId="4" type="noConversion"/>
  <dataValidations xWindow="511" yWindow="802" count="1">
    <dataValidation type="whole" allowBlank="1" showInputMessage="1" showErrorMessage="1" prompt="Score for report is between 0 to 100_x000a_" sqref="E19:E56" xr:uid="{00000000-0002-0000-0000-000000000000}">
      <formula1>0</formula1>
      <formula2>100</formula2>
    </dataValidation>
  </dataValidations>
  <pageMargins left="0.5" right="0.5" top="0.511811023622047" bottom="0.23622047244094499" header="0.511811023622047" footer="0.511811023622047"/>
  <pageSetup paperSize="9"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1"/>
  <sheetViews>
    <sheetView showGridLines="0" topLeftCell="K1" workbookViewId="0">
      <selection activeCell="L17" sqref="L17:W18"/>
    </sheetView>
  </sheetViews>
  <sheetFormatPr defaultRowHeight="15" x14ac:dyDescent="0.25"/>
  <cols>
    <col min="1" max="1" width="25.140625" style="61" bestFit="1" customWidth="1"/>
    <col min="2" max="2" width="5.5703125" style="61" bestFit="1" customWidth="1"/>
    <col min="3" max="4" width="9.140625" style="61"/>
    <col min="5" max="5" width="16.5703125" style="61" customWidth="1"/>
    <col min="6" max="6" width="13.28515625" style="61" customWidth="1"/>
    <col min="7" max="7" width="12.5703125" style="61" customWidth="1"/>
    <col min="8" max="8" width="15.140625" style="61" customWidth="1"/>
    <col min="9" max="9" width="7.7109375" style="61" bestFit="1" customWidth="1"/>
    <col min="10" max="10" width="12" style="61" bestFit="1" customWidth="1"/>
    <col min="11" max="11" width="15.140625" style="61" bestFit="1" customWidth="1"/>
    <col min="12" max="12" width="6.42578125" style="61" bestFit="1" customWidth="1"/>
    <col min="13" max="13" width="6.7109375" style="61" bestFit="1" customWidth="1"/>
    <col min="14" max="22" width="5.7109375" style="61" bestFit="1" customWidth="1"/>
    <col min="23" max="23" width="4" style="61" bestFit="1" customWidth="1"/>
    <col min="24" max="16384" width="9.140625" style="61"/>
  </cols>
  <sheetData>
    <row r="1" spans="1:10" ht="21.75" thickBot="1" x14ac:dyDescent="0.4">
      <c r="A1" s="59" t="s">
        <v>101</v>
      </c>
      <c r="B1" s="60" t="s">
        <v>102</v>
      </c>
      <c r="E1" s="62" t="s">
        <v>103</v>
      </c>
    </row>
    <row r="2" spans="1:10" ht="21.75" thickBot="1" x14ac:dyDescent="0.4">
      <c r="A2" s="63">
        <v>1</v>
      </c>
      <c r="B2" s="64">
        <f>Marks!K2</f>
        <v>50</v>
      </c>
      <c r="E2" s="65"/>
      <c r="F2" s="66"/>
    </row>
    <row r="3" spans="1:10" x14ac:dyDescent="0.25">
      <c r="A3" s="63">
        <v>2</v>
      </c>
      <c r="B3" s="64">
        <f>Marks!K3</f>
        <v>67</v>
      </c>
      <c r="E3" s="67" t="s">
        <v>104</v>
      </c>
      <c r="F3" s="68">
        <f>COUNTIF($B$2:$B$61,"&gt;=0")</f>
        <v>33</v>
      </c>
    </row>
    <row r="4" spans="1:10" x14ac:dyDescent="0.25">
      <c r="A4" s="63">
        <v>3</v>
      </c>
      <c r="B4" s="64">
        <f>Marks!K4</f>
        <v>50</v>
      </c>
      <c r="E4" s="67" t="s">
        <v>105</v>
      </c>
      <c r="F4" s="69">
        <f>IF(F3&gt;0,AVERAGE($B$2:$B$61),"")</f>
        <v>66.030303030303031</v>
      </c>
    </row>
    <row r="5" spans="1:10" ht="15.75" thickBot="1" x14ac:dyDescent="0.3">
      <c r="A5" s="63">
        <v>4</v>
      </c>
      <c r="B5" s="64">
        <f>Marks!K5</f>
        <v>78</v>
      </c>
      <c r="E5" s="59" t="s">
        <v>106</v>
      </c>
      <c r="F5" s="70">
        <f>IF(F3&gt;1,STDEV($B$2:$B$61),"")</f>
        <v>13.662185148441775</v>
      </c>
    </row>
    <row r="6" spans="1:10" ht="15.75" thickBot="1" x14ac:dyDescent="0.3">
      <c r="A6" s="63">
        <v>5</v>
      </c>
      <c r="B6" s="64">
        <f>Marks!K6</f>
        <v>63</v>
      </c>
      <c r="E6" s="66"/>
      <c r="F6" s="66"/>
      <c r="G6" s="66"/>
      <c r="H6" s="66"/>
      <c r="I6" s="66"/>
    </row>
    <row r="7" spans="1:10" ht="15.75" thickBot="1" x14ac:dyDescent="0.3">
      <c r="A7" s="63">
        <v>6</v>
      </c>
      <c r="B7" s="64">
        <f>Marks!K7</f>
        <v>70</v>
      </c>
      <c r="E7" s="59" t="s">
        <v>107</v>
      </c>
      <c r="F7" s="59" t="s">
        <v>108</v>
      </c>
      <c r="G7" s="59" t="s">
        <v>109</v>
      </c>
      <c r="H7" s="59" t="s">
        <v>110</v>
      </c>
      <c r="I7" s="71" t="s">
        <v>111</v>
      </c>
      <c r="J7" s="128" t="s">
        <v>198</v>
      </c>
    </row>
    <row r="8" spans="1:10" x14ac:dyDescent="0.25">
      <c r="A8" s="63">
        <v>7</v>
      </c>
      <c r="B8" s="64">
        <f>Marks!K8</f>
        <v>70</v>
      </c>
      <c r="E8" s="61" t="s">
        <v>112</v>
      </c>
      <c r="F8" s="61" t="s">
        <v>113</v>
      </c>
      <c r="G8" s="72">
        <v>5</v>
      </c>
      <c r="H8" s="61" t="s">
        <v>114</v>
      </c>
      <c r="I8" s="73">
        <f>IF($F$3&gt;0,(COUNTIF($B$2:$B$61,"&lt;101")-COUNTIF($B$2:$B$61,"&lt;85"))/$F$3,"")</f>
        <v>0</v>
      </c>
      <c r="J8" s="126">
        <f>IF($F$3&gt;0,(COUNTIF($B$2:$B$61,"&lt;101")-COUNTIF($B$2:$B$61,"&lt;85")),"")</f>
        <v>0</v>
      </c>
    </row>
    <row r="9" spans="1:10" x14ac:dyDescent="0.25">
      <c r="A9" s="63">
        <v>8</v>
      </c>
      <c r="B9" s="64">
        <f>Marks!K9</f>
        <v>82</v>
      </c>
      <c r="E9" s="61" t="s">
        <v>112</v>
      </c>
      <c r="F9" s="61" t="s">
        <v>115</v>
      </c>
      <c r="G9" s="72">
        <v>5</v>
      </c>
      <c r="H9" s="61" t="s">
        <v>116</v>
      </c>
      <c r="I9" s="74">
        <f>IF($F$3&gt;0,(COUNTIF($B$2:$B$61,"&lt;85")-COUNTIF($B$2:$B$61,"&lt;80"))/$F$3,"")</f>
        <v>6.0606060606060608E-2</v>
      </c>
      <c r="J9" s="126">
        <f>IF($F$3&gt;0,(COUNTIF($B$2:$B$61,"&lt;85")-COUNTIF($B$2:$B$61,"&lt;80")),"")</f>
        <v>2</v>
      </c>
    </row>
    <row r="10" spans="1:10" x14ac:dyDescent="0.25">
      <c r="A10" s="63">
        <v>9</v>
      </c>
      <c r="B10" s="64">
        <f>Marks!K10</f>
        <v>60</v>
      </c>
      <c r="E10" s="61" t="s">
        <v>112</v>
      </c>
      <c r="F10" s="61" t="s">
        <v>117</v>
      </c>
      <c r="G10" s="72">
        <v>4.5</v>
      </c>
      <c r="H10" s="61" t="s">
        <v>118</v>
      </c>
      <c r="I10" s="74">
        <f>IF($F$3&gt;0,(COUNTIF($B$2:$B$61,"&lt;80")-COUNTIF($B$2:$B$61,"&lt;75"))/$F$3,"")</f>
        <v>0.21212121212121213</v>
      </c>
      <c r="J10" s="126">
        <f>IF($F$3&gt;0,(COUNTIF($B$2:$B$61,"&lt;80")-COUNTIF($B$2:$B$61,"&lt;75")),"")</f>
        <v>7</v>
      </c>
    </row>
    <row r="11" spans="1:10" x14ac:dyDescent="0.25">
      <c r="A11" s="63">
        <v>10</v>
      </c>
      <c r="B11" s="64">
        <f>Marks!K11</f>
        <v>84</v>
      </c>
      <c r="E11" s="61" t="s">
        <v>119</v>
      </c>
      <c r="F11" s="61" t="s">
        <v>120</v>
      </c>
      <c r="G11" s="72">
        <v>4</v>
      </c>
      <c r="H11" s="61" t="s">
        <v>121</v>
      </c>
      <c r="I11" s="74">
        <f>IF($F$3&gt;0,(COUNTIF($B$2:$B$61,"&lt;75")-COUNTIF($B$2:$B$61,"&lt;70"))/$F$3,"")</f>
        <v>0.15151515151515152</v>
      </c>
      <c r="J11" s="126">
        <f>IF($F$3&gt;0,(COUNTIF($B$2:$B$61,"&lt;75")-COUNTIF($B$2:$B$61,"&lt;70")),"")</f>
        <v>5</v>
      </c>
    </row>
    <row r="12" spans="1:10" x14ac:dyDescent="0.25">
      <c r="A12" s="63">
        <v>11</v>
      </c>
      <c r="B12" s="64">
        <f>Marks!K12</f>
        <v>75</v>
      </c>
      <c r="E12" s="61" t="s">
        <v>122</v>
      </c>
      <c r="F12" s="61" t="s">
        <v>123</v>
      </c>
      <c r="G12" s="72">
        <v>3.5</v>
      </c>
      <c r="H12" s="61" t="s">
        <v>124</v>
      </c>
      <c r="I12" s="74">
        <f>IF($F$3&gt;0,(COUNTIF($B$2:$B$61,"&lt;70")-COUNTIF($B$2:$B$61,"&lt;65"))/$F$3,"")</f>
        <v>0.18181818181818182</v>
      </c>
      <c r="J12" s="126">
        <f>IF($F$3&gt;0,(COUNTIF($B$2:$B$61,"&lt;70")-COUNTIF($B$2:$B$61,"&lt;65")),"")</f>
        <v>6</v>
      </c>
    </row>
    <row r="13" spans="1:10" x14ac:dyDescent="0.25">
      <c r="A13" s="63">
        <v>12</v>
      </c>
      <c r="B13" s="64">
        <f>Marks!K13</f>
        <v>62</v>
      </c>
      <c r="E13" s="61" t="s">
        <v>125</v>
      </c>
      <c r="F13" s="61" t="s">
        <v>126</v>
      </c>
      <c r="G13" s="72">
        <v>3</v>
      </c>
      <c r="H13" s="61" t="s">
        <v>127</v>
      </c>
      <c r="I13" s="74">
        <f>IF($F$3&gt;0,(COUNTIF($B$2:$B$61,"&lt;65")-COUNTIF($B$2:$B$61,"&lt;60"))/$F$3,"")</f>
        <v>0.24242424242424243</v>
      </c>
      <c r="J13" s="126">
        <f>IF($F$3&gt;0,(COUNTIF($B$2:$B$61,"&lt;65")-COUNTIF($B$2:$B$61,"&lt;60")),"")</f>
        <v>8</v>
      </c>
    </row>
    <row r="14" spans="1:10" x14ac:dyDescent="0.25">
      <c r="A14" s="63">
        <v>13</v>
      </c>
      <c r="B14" s="64">
        <f>Marks!K14</f>
        <v>75</v>
      </c>
      <c r="E14" s="61" t="s">
        <v>128</v>
      </c>
      <c r="F14" s="61" t="s">
        <v>129</v>
      </c>
      <c r="G14" s="72">
        <v>2.5</v>
      </c>
      <c r="H14" s="61" t="s">
        <v>130</v>
      </c>
      <c r="I14" s="74">
        <f>IF($F$3&gt;0,(COUNTIF($B$2:$B$61,"&lt;60")-COUNTIF($B$2:$B$61,"&lt;55"))/$F$3,"")</f>
        <v>0</v>
      </c>
      <c r="J14" s="126">
        <f>IF($F$3&gt;0,(COUNTIF($B$2:$B$61,"&lt;60")-COUNTIF($B$2:$B$61,"&lt;55")),"")</f>
        <v>0</v>
      </c>
    </row>
    <row r="15" spans="1:10" x14ac:dyDescent="0.25">
      <c r="A15" s="63">
        <v>14</v>
      </c>
      <c r="B15" s="64">
        <f>Marks!K15</f>
        <v>74</v>
      </c>
      <c r="E15" s="61" t="s">
        <v>128</v>
      </c>
      <c r="F15" s="61" t="s">
        <v>131</v>
      </c>
      <c r="G15" s="72">
        <v>2</v>
      </c>
      <c r="H15" s="61" t="s">
        <v>132</v>
      </c>
      <c r="I15" s="74">
        <f>IF($F$3&gt;0,(COUNTIF($B$2:$B$61,"&lt;55")-COUNTIF($B$2:$B$61,"&lt;50"))/$F$3,"")</f>
        <v>0.12121212121212122</v>
      </c>
      <c r="J15" s="126">
        <f>IF($F$3&gt;0,(COUNTIF($B$2:$B$61,"&lt;55")-COUNTIF($B$2:$B$61,"&lt;50")),"")</f>
        <v>4</v>
      </c>
    </row>
    <row r="16" spans="1:10" ht="15.75" thickBot="1" x14ac:dyDescent="0.3">
      <c r="A16" s="63">
        <v>15</v>
      </c>
      <c r="B16" s="64">
        <f>Marks!K16</f>
        <v>61</v>
      </c>
      <c r="E16" s="61" t="s">
        <v>133</v>
      </c>
      <c r="F16" s="61" t="s">
        <v>134</v>
      </c>
      <c r="G16" s="72">
        <v>1.5</v>
      </c>
      <c r="H16" s="61" t="s">
        <v>135</v>
      </c>
      <c r="I16" s="74">
        <f>IF($F$3&gt;0,(COUNTIF($B$2:$B$61,"&lt;50")-COUNTIF($B$2:$B$61,"&lt;45"))/$F$3,"")</f>
        <v>0</v>
      </c>
      <c r="J16" s="126">
        <f>IF($F$3&gt;0,(COUNTIF($B$2:$B$61,"&lt;50")-COUNTIF($B$2:$B$61,"&lt;45")),"")</f>
        <v>0</v>
      </c>
    </row>
    <row r="17" spans="1:23" x14ac:dyDescent="0.25">
      <c r="A17" s="63">
        <v>16</v>
      </c>
      <c r="B17" s="64">
        <f>Marks!K17</f>
        <v>64</v>
      </c>
      <c r="E17" s="61" t="s">
        <v>133</v>
      </c>
      <c r="F17" s="61" t="s">
        <v>136</v>
      </c>
      <c r="G17" s="72">
        <v>1</v>
      </c>
      <c r="H17" s="61" t="s">
        <v>137</v>
      </c>
      <c r="I17" s="74">
        <f>IF($F$3&gt;0,(COUNTIF($B$2:$B$61,"&lt;45")-COUNTIF($B$2:$B$61,"&lt;40"))/$F$3,"")</f>
        <v>0</v>
      </c>
      <c r="J17" s="126">
        <f>IF($F$3&gt;0,(COUNTIF($B$2:$B$61,"&lt;45")-COUNTIF($B$2:$B$61,"&lt;40")),"")</f>
        <v>0</v>
      </c>
      <c r="L17" s="129" t="s">
        <v>110</v>
      </c>
      <c r="M17" s="130" t="s">
        <v>114</v>
      </c>
      <c r="N17" s="130" t="s">
        <v>116</v>
      </c>
      <c r="O17" s="130" t="s">
        <v>118</v>
      </c>
      <c r="P17" s="130" t="s">
        <v>121</v>
      </c>
      <c r="Q17" s="130" t="s">
        <v>124</v>
      </c>
      <c r="R17" s="130" t="s">
        <v>127</v>
      </c>
      <c r="S17" s="130" t="s">
        <v>130</v>
      </c>
      <c r="T17" s="130" t="s">
        <v>132</v>
      </c>
      <c r="U17" s="130" t="s">
        <v>135</v>
      </c>
      <c r="V17" s="130" t="s">
        <v>137</v>
      </c>
      <c r="W17" s="131" t="s">
        <v>139</v>
      </c>
    </row>
    <row r="18" spans="1:23" ht="15.75" thickBot="1" x14ac:dyDescent="0.3">
      <c r="A18" s="63">
        <v>17</v>
      </c>
      <c r="B18" s="64">
        <f>Marks!K18</f>
        <v>60</v>
      </c>
      <c r="E18" s="66" t="s">
        <v>133</v>
      </c>
      <c r="F18" s="66" t="s">
        <v>138</v>
      </c>
      <c r="G18" s="75">
        <v>0</v>
      </c>
      <c r="H18" s="66" t="s">
        <v>139</v>
      </c>
      <c r="I18" s="76">
        <f>IF($F$3&gt;0,COUNTIF($B$2:$B$61,"&lt;40")/COUNTIF($B$2:$B$61,"&gt;0"),"")</f>
        <v>3.0303030303030304E-2</v>
      </c>
      <c r="J18" s="127">
        <f>IF($F$3&gt;0,COUNTIF($B$2:$B$61,"&lt;40"),"")</f>
        <v>1</v>
      </c>
      <c r="L18" s="132" t="s">
        <v>198</v>
      </c>
      <c r="M18" s="133">
        <f>IF($F$3&gt;0,(COUNTIF($B$2:$B$61,"&lt;101")-COUNTIF($B$2:$B$61,"&lt;85")),"")</f>
        <v>0</v>
      </c>
      <c r="N18" s="133">
        <f>IF($F$3&gt;0,(COUNTIF($B$2:$B$61,"&lt;85")-COUNTIF($B$2:$B$61,"&lt;80")),"")</f>
        <v>2</v>
      </c>
      <c r="O18" s="133">
        <f>IF($F$3&gt;0,(COUNTIF($B$2:$B$61,"&lt;80")-COUNTIF($B$2:$B$61,"&lt;75")),"")</f>
        <v>7</v>
      </c>
      <c r="P18" s="133">
        <f>IF($F$3&gt;0,(COUNTIF($B$2:$B$61,"&lt;75")-COUNTIF($B$2:$B$61,"&lt;70")),"")</f>
        <v>5</v>
      </c>
      <c r="Q18" s="133">
        <f>IF($F$3&gt;0,(COUNTIF($B$2:$B$61,"&lt;70")-COUNTIF($B$2:$B$61,"&lt;65")),"")</f>
        <v>6</v>
      </c>
      <c r="R18" s="133">
        <f>IF($F$3&gt;0,(COUNTIF($B$2:$B$61,"&lt;65")-COUNTIF($B$2:$B$61,"&lt;60")),"")</f>
        <v>8</v>
      </c>
      <c r="S18" s="133">
        <f>IF($F$3&gt;0,(COUNTIF($B$2:$B$61,"&lt;60")-COUNTIF($B$2:$B$61,"&lt;55")),"")</f>
        <v>0</v>
      </c>
      <c r="T18" s="133">
        <f>IF($F$3&gt;0,(COUNTIF($B$2:$B$61,"&lt;55")-COUNTIF($B$2:$B$61,"&lt;50")),"")</f>
        <v>4</v>
      </c>
      <c r="U18" s="133">
        <f>IF($F$3&gt;0,(COUNTIF($B$2:$B$61,"&lt;50")-COUNTIF($B$2:$B$61,"&lt;45")),"")</f>
        <v>0</v>
      </c>
      <c r="V18" s="133">
        <f>IF($F$3&gt;0,(COUNTIF($B$2:$B$61,"&lt;45")-COUNTIF($B$2:$B$61,"&lt;40")),"")</f>
        <v>0</v>
      </c>
      <c r="W18" s="134">
        <f>IF($F$3&gt;0,COUNTIF($B$2:$B$61,"&lt;40"),"")</f>
        <v>1</v>
      </c>
    </row>
    <row r="19" spans="1:23" x14ac:dyDescent="0.25">
      <c r="A19" s="63">
        <v>18</v>
      </c>
      <c r="B19" s="64">
        <f>Marks!K19</f>
        <v>53</v>
      </c>
    </row>
    <row r="20" spans="1:23" x14ac:dyDescent="0.25">
      <c r="A20" s="63">
        <v>19</v>
      </c>
      <c r="B20" s="64">
        <f>Marks!K20</f>
        <v>68</v>
      </c>
    </row>
    <row r="21" spans="1:23" x14ac:dyDescent="0.25">
      <c r="A21" s="63">
        <v>20</v>
      </c>
      <c r="B21" s="64">
        <f>Marks!K21</f>
        <v>74</v>
      </c>
    </row>
    <row r="22" spans="1:23" x14ac:dyDescent="0.25">
      <c r="A22" s="63">
        <v>21</v>
      </c>
      <c r="B22" s="64">
        <f>Marks!K22</f>
        <v>67</v>
      </c>
    </row>
    <row r="23" spans="1:23" x14ac:dyDescent="0.25">
      <c r="A23" s="63">
        <v>22</v>
      </c>
      <c r="B23" s="64">
        <f>Marks!K23</f>
        <v>68</v>
      </c>
    </row>
    <row r="24" spans="1:23" x14ac:dyDescent="0.25">
      <c r="A24" s="63">
        <v>23</v>
      </c>
      <c r="B24" s="64">
        <f>Marks!K24</f>
        <v>78</v>
      </c>
    </row>
    <row r="25" spans="1:23" x14ac:dyDescent="0.25">
      <c r="A25" s="63">
        <v>24</v>
      </c>
      <c r="B25" s="64">
        <f>Marks!K25</f>
        <v>67</v>
      </c>
    </row>
    <row r="26" spans="1:23" x14ac:dyDescent="0.25">
      <c r="A26" s="63">
        <v>25</v>
      </c>
      <c r="B26" s="64">
        <f>Marks!K26</f>
        <v>61</v>
      </c>
    </row>
    <row r="27" spans="1:23" x14ac:dyDescent="0.25">
      <c r="A27" s="63">
        <v>26</v>
      </c>
      <c r="B27" s="64">
        <f>Marks!K27</f>
        <v>73</v>
      </c>
    </row>
    <row r="28" spans="1:23" x14ac:dyDescent="0.25">
      <c r="A28" s="63">
        <v>27</v>
      </c>
      <c r="B28" s="64">
        <f>Marks!K28</f>
        <v>54</v>
      </c>
    </row>
    <row r="29" spans="1:23" x14ac:dyDescent="0.25">
      <c r="A29" s="63">
        <v>28</v>
      </c>
      <c r="B29" s="64">
        <f>Marks!K29</f>
        <v>8</v>
      </c>
    </row>
    <row r="30" spans="1:23" x14ac:dyDescent="0.25">
      <c r="A30" s="63">
        <v>29</v>
      </c>
      <c r="B30" s="64">
        <f>Marks!K30</f>
        <v>69</v>
      </c>
    </row>
    <row r="31" spans="1:23" x14ac:dyDescent="0.25">
      <c r="A31" s="63">
        <v>30</v>
      </c>
      <c r="B31" s="64">
        <f>Marks!K31</f>
        <v>78</v>
      </c>
    </row>
    <row r="32" spans="1:23" x14ac:dyDescent="0.25">
      <c r="A32" s="63">
        <v>31</v>
      </c>
      <c r="B32" s="64">
        <f>Marks!K32</f>
        <v>77</v>
      </c>
    </row>
    <row r="33" spans="1:11" x14ac:dyDescent="0.25">
      <c r="A33" s="63">
        <v>32</v>
      </c>
      <c r="B33" s="64">
        <f>Marks!K33</f>
        <v>76</v>
      </c>
    </row>
    <row r="34" spans="1:11" x14ac:dyDescent="0.25">
      <c r="A34" s="63">
        <v>33</v>
      </c>
      <c r="B34" s="64">
        <f>Marks!K34</f>
        <v>63</v>
      </c>
      <c r="D34" s="157" t="s">
        <v>140</v>
      </c>
      <c r="E34" s="157"/>
      <c r="F34" s="157"/>
      <c r="G34" s="157"/>
      <c r="H34" s="157"/>
      <c r="I34" s="157"/>
      <c r="J34" s="157"/>
      <c r="K34" s="157"/>
    </row>
    <row r="35" spans="1:11" x14ac:dyDescent="0.25">
      <c r="A35" s="63">
        <v>34</v>
      </c>
      <c r="B35" s="64"/>
    </row>
    <row r="36" spans="1:11" x14ac:dyDescent="0.25">
      <c r="A36" s="63">
        <v>35</v>
      </c>
      <c r="B36" s="64"/>
    </row>
    <row r="37" spans="1:11" x14ac:dyDescent="0.25">
      <c r="A37" s="63">
        <v>36</v>
      </c>
      <c r="B37" s="64"/>
    </row>
    <row r="38" spans="1:11" x14ac:dyDescent="0.25">
      <c r="A38" s="63">
        <v>37</v>
      </c>
      <c r="B38" s="64"/>
    </row>
    <row r="39" spans="1:11" x14ac:dyDescent="0.25">
      <c r="A39" s="63">
        <v>38</v>
      </c>
      <c r="B39" s="64"/>
    </row>
    <row r="40" spans="1:11" x14ac:dyDescent="0.25">
      <c r="A40" s="63">
        <v>39</v>
      </c>
      <c r="B40" s="64"/>
    </row>
    <row r="41" spans="1:11" x14ac:dyDescent="0.25">
      <c r="A41" s="63">
        <v>40</v>
      </c>
      <c r="B41" s="64"/>
    </row>
    <row r="42" spans="1:11" x14ac:dyDescent="0.25">
      <c r="A42" s="63">
        <v>41</v>
      </c>
      <c r="B42" s="64"/>
    </row>
    <row r="43" spans="1:11" x14ac:dyDescent="0.25">
      <c r="A43" s="63">
        <v>42</v>
      </c>
      <c r="B43" s="64"/>
    </row>
    <row r="44" spans="1:11" x14ac:dyDescent="0.25">
      <c r="A44" s="63">
        <v>43</v>
      </c>
      <c r="B44" s="64"/>
    </row>
    <row r="45" spans="1:11" x14ac:dyDescent="0.25">
      <c r="A45" s="63">
        <v>44</v>
      </c>
      <c r="B45" s="64"/>
    </row>
    <row r="46" spans="1:11" x14ac:dyDescent="0.25">
      <c r="A46" s="63">
        <v>45</v>
      </c>
      <c r="B46" s="64"/>
    </row>
    <row r="47" spans="1:11" x14ac:dyDescent="0.25">
      <c r="A47" s="63">
        <v>46</v>
      </c>
      <c r="B47" s="64"/>
    </row>
    <row r="48" spans="1:11" x14ac:dyDescent="0.25">
      <c r="A48" s="63">
        <v>47</v>
      </c>
      <c r="B48" s="64"/>
    </row>
    <row r="49" spans="1:2" x14ac:dyDescent="0.25">
      <c r="A49" s="63">
        <v>48</v>
      </c>
      <c r="B49" s="64"/>
    </row>
    <row r="50" spans="1:2" x14ac:dyDescent="0.25">
      <c r="A50" s="63">
        <v>49</v>
      </c>
      <c r="B50" s="64"/>
    </row>
    <row r="51" spans="1:2" x14ac:dyDescent="0.25">
      <c r="A51" s="63">
        <v>50</v>
      </c>
      <c r="B51" s="64"/>
    </row>
    <row r="52" spans="1:2" x14ac:dyDescent="0.25">
      <c r="A52" s="63">
        <v>51</v>
      </c>
      <c r="B52" s="64"/>
    </row>
    <row r="53" spans="1:2" x14ac:dyDescent="0.25">
      <c r="A53" s="63">
        <v>52</v>
      </c>
      <c r="B53" s="64"/>
    </row>
    <row r="54" spans="1:2" x14ac:dyDescent="0.25">
      <c r="A54" s="63">
        <v>53</v>
      </c>
      <c r="B54" s="64"/>
    </row>
    <row r="55" spans="1:2" x14ac:dyDescent="0.25">
      <c r="A55" s="63">
        <v>54</v>
      </c>
      <c r="B55" s="64"/>
    </row>
    <row r="56" spans="1:2" x14ac:dyDescent="0.25">
      <c r="A56" s="63">
        <v>55</v>
      </c>
      <c r="B56" s="64"/>
    </row>
    <row r="57" spans="1:2" x14ac:dyDescent="0.25">
      <c r="A57" s="63">
        <v>56</v>
      </c>
      <c r="B57" s="64"/>
    </row>
    <row r="58" spans="1:2" x14ac:dyDescent="0.25">
      <c r="A58" s="63">
        <v>57</v>
      </c>
      <c r="B58" s="64"/>
    </row>
    <row r="59" spans="1:2" x14ac:dyDescent="0.25">
      <c r="A59" s="63">
        <v>58</v>
      </c>
      <c r="B59" s="64"/>
    </row>
    <row r="60" spans="1:2" x14ac:dyDescent="0.25">
      <c r="A60" s="63">
        <v>59</v>
      </c>
      <c r="B60" s="64"/>
    </row>
    <row r="61" spans="1:2" ht="15.75" thickBot="1" x14ac:dyDescent="0.3">
      <c r="A61" s="77">
        <v>60</v>
      </c>
      <c r="B61" s="78"/>
    </row>
  </sheetData>
  <dataConsolidate/>
  <mergeCells count="1">
    <mergeCell ref="D34:K34"/>
  </mergeCells>
  <conditionalFormatting sqref="F4">
    <cfRule type="expression" dxfId="0" priority="1">
      <formula>"or(""&lt;60"",""&gt;64"")"</formula>
    </cfRule>
  </conditionalFormatting>
  <dataValidations count="2">
    <dataValidation errorStyle="warning" allowBlank="1" showInputMessage="1" showErrorMessage="1" errorTitle="Mean is outside target range!!" sqref="F4" xr:uid="{00000000-0002-0000-0100-000000000000}"/>
    <dataValidation type="decimal" allowBlank="1" showInputMessage="1" showErrorMessage="1" errorTitle="Error!" error="Please input numerical value between 0 to 100!" sqref="B2:B61" xr:uid="{00000000-0002-0000-0100-000001000000}">
      <formula1>0</formula1>
      <formula2>100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abSelected="1" zoomScaleNormal="100" workbookViewId="0">
      <pane ySplit="1" topLeftCell="A2" activePane="bottomLeft" state="frozen"/>
      <selection activeCell="B1" sqref="B1"/>
      <selection pane="bottomLeft" activeCell="E1" sqref="E1"/>
    </sheetView>
  </sheetViews>
  <sheetFormatPr defaultRowHeight="12.75" outlineLevelCol="2" x14ac:dyDescent="0.2"/>
  <cols>
    <col min="1" max="1" width="40.7109375" style="86" bestFit="1" customWidth="1"/>
    <col min="2" max="2" width="26.140625" style="86" bestFit="1" customWidth="1"/>
    <col min="3" max="3" width="10" style="86" bestFit="1" customWidth="1"/>
    <col min="4" max="7" width="13.5703125" style="85" hidden="1" customWidth="1" outlineLevel="2"/>
    <col min="8" max="10" width="13.5703125" style="85" hidden="1" customWidth="1" outlineLevel="1"/>
    <col min="11" max="11" width="13.5703125" style="85" customWidth="1" collapsed="1"/>
    <col min="12" max="12" width="9.140625" style="85"/>
    <col min="13" max="13" width="42.7109375" style="79" bestFit="1" customWidth="1"/>
    <col min="14" max="14" width="9.140625" style="79"/>
    <col min="15" max="16384" width="9.140625" style="86"/>
  </cols>
  <sheetData>
    <row r="1" spans="1:12" ht="13.5" thickBot="1" x14ac:dyDescent="0.25">
      <c r="A1" s="80" t="s">
        <v>141</v>
      </c>
      <c r="B1" s="81" t="s">
        <v>142</v>
      </c>
      <c r="C1" s="82" t="s">
        <v>143</v>
      </c>
      <c r="D1" s="83" t="s">
        <v>144</v>
      </c>
      <c r="E1" s="83"/>
      <c r="F1" s="83" t="s">
        <v>145</v>
      </c>
      <c r="G1" s="83" t="s">
        <v>146</v>
      </c>
      <c r="H1" s="83" t="s">
        <v>147</v>
      </c>
      <c r="I1" s="83" t="s">
        <v>148</v>
      </c>
      <c r="J1" s="83" t="s">
        <v>149</v>
      </c>
      <c r="K1" s="84" t="s">
        <v>150</v>
      </c>
      <c r="L1" s="85" t="s">
        <v>151</v>
      </c>
    </row>
    <row r="2" spans="1:12" x14ac:dyDescent="0.2">
      <c r="A2" s="87" t="s">
        <v>37</v>
      </c>
      <c r="B2" s="88" t="s">
        <v>166</v>
      </c>
      <c r="C2" s="89" t="s">
        <v>38</v>
      </c>
      <c r="D2" s="90">
        <f>3+6+5+3+2</f>
        <v>19</v>
      </c>
      <c r="E2" s="91">
        <f>3+4+3</f>
        <v>10</v>
      </c>
      <c r="F2" s="91">
        <v>0</v>
      </c>
      <c r="G2" s="91">
        <v>11</v>
      </c>
      <c r="H2" s="91">
        <v>2</v>
      </c>
      <c r="I2" s="91">
        <v>8</v>
      </c>
      <c r="J2" s="91">
        <v>0</v>
      </c>
      <c r="K2" s="92">
        <f t="shared" ref="K2:K34" si="0">SUM(D2:J2)</f>
        <v>50</v>
      </c>
    </row>
    <row r="3" spans="1:12" x14ac:dyDescent="0.2">
      <c r="A3" s="93" t="s">
        <v>163</v>
      </c>
      <c r="B3" s="94" t="s">
        <v>164</v>
      </c>
      <c r="C3" s="95" t="s">
        <v>72</v>
      </c>
      <c r="D3" s="96">
        <f>3+5+2+11+2</f>
        <v>23</v>
      </c>
      <c r="E3" s="97">
        <f>4+5+4</f>
        <v>13</v>
      </c>
      <c r="F3" s="97">
        <v>3</v>
      </c>
      <c r="G3" s="97">
        <v>9</v>
      </c>
      <c r="H3" s="97">
        <v>8</v>
      </c>
      <c r="I3" s="97">
        <v>6</v>
      </c>
      <c r="J3" s="97">
        <v>5</v>
      </c>
      <c r="K3" s="98">
        <f t="shared" si="0"/>
        <v>67</v>
      </c>
    </row>
    <row r="4" spans="1:12" x14ac:dyDescent="0.2">
      <c r="A4" s="93" t="s">
        <v>87</v>
      </c>
      <c r="B4" s="94" t="s">
        <v>183</v>
      </c>
      <c r="C4" s="95" t="s">
        <v>88</v>
      </c>
      <c r="D4" s="96">
        <f>3+5+4+12+1</f>
        <v>25</v>
      </c>
      <c r="E4" s="97">
        <f>4+4+5</f>
        <v>13</v>
      </c>
      <c r="F4" s="97">
        <v>2</v>
      </c>
      <c r="G4" s="97">
        <v>10</v>
      </c>
      <c r="H4" s="97">
        <v>0</v>
      </c>
      <c r="I4" s="97">
        <v>0</v>
      </c>
      <c r="J4" s="97">
        <v>0</v>
      </c>
      <c r="K4" s="98">
        <f t="shared" si="0"/>
        <v>50</v>
      </c>
    </row>
    <row r="5" spans="1:12" x14ac:dyDescent="0.2">
      <c r="A5" s="111" t="s">
        <v>184</v>
      </c>
      <c r="B5" s="112"/>
      <c r="C5" s="113" t="s">
        <v>70</v>
      </c>
      <c r="D5" s="111">
        <f>3+5+5+9+2</f>
        <v>24</v>
      </c>
      <c r="E5" s="114">
        <f>5+3+4</f>
        <v>12</v>
      </c>
      <c r="F5" s="114">
        <v>3</v>
      </c>
      <c r="G5" s="114">
        <v>14</v>
      </c>
      <c r="H5" s="114">
        <v>8</v>
      </c>
      <c r="I5" s="114">
        <v>9</v>
      </c>
      <c r="J5" s="114">
        <v>8</v>
      </c>
      <c r="K5" s="115">
        <f t="shared" si="0"/>
        <v>78</v>
      </c>
      <c r="L5" s="79"/>
    </row>
    <row r="6" spans="1:12" ht="13.5" thickBot="1" x14ac:dyDescent="0.25">
      <c r="A6" s="99" t="s">
        <v>49</v>
      </c>
      <c r="B6" s="100" t="s">
        <v>169</v>
      </c>
      <c r="C6" s="101" t="s">
        <v>50</v>
      </c>
      <c r="D6" s="102">
        <f>3+6+6+12+2</f>
        <v>29</v>
      </c>
      <c r="E6" s="103">
        <f>5+2+4</f>
        <v>11</v>
      </c>
      <c r="F6" s="103">
        <v>3</v>
      </c>
      <c r="G6" s="103">
        <v>9</v>
      </c>
      <c r="H6" s="103">
        <v>2</v>
      </c>
      <c r="I6" s="103">
        <v>7</v>
      </c>
      <c r="J6" s="103">
        <v>2</v>
      </c>
      <c r="K6" s="98">
        <f t="shared" si="0"/>
        <v>63</v>
      </c>
    </row>
    <row r="7" spans="1:12" x14ac:dyDescent="0.2">
      <c r="A7" s="87" t="s">
        <v>61</v>
      </c>
      <c r="B7" s="88" t="s">
        <v>152</v>
      </c>
      <c r="C7" s="89" t="s">
        <v>62</v>
      </c>
      <c r="D7" s="90">
        <f>3+6+5+11+2</f>
        <v>27</v>
      </c>
      <c r="E7" s="91">
        <f>5+3+4</f>
        <v>12</v>
      </c>
      <c r="F7" s="91">
        <v>1</v>
      </c>
      <c r="G7" s="91">
        <v>9</v>
      </c>
      <c r="H7" s="91">
        <v>6</v>
      </c>
      <c r="I7" s="91">
        <v>8</v>
      </c>
      <c r="J7" s="91">
        <v>7</v>
      </c>
      <c r="K7" s="92">
        <f t="shared" si="0"/>
        <v>70</v>
      </c>
    </row>
    <row r="8" spans="1:12" x14ac:dyDescent="0.2">
      <c r="A8" s="93" t="s">
        <v>91</v>
      </c>
      <c r="B8" s="94" t="s">
        <v>158</v>
      </c>
      <c r="C8" s="95" t="s">
        <v>92</v>
      </c>
      <c r="D8" s="96">
        <f>4+6+5+12+2</f>
        <v>29</v>
      </c>
      <c r="E8" s="97">
        <f>3+4+4</f>
        <v>11</v>
      </c>
      <c r="F8" s="97">
        <v>4</v>
      </c>
      <c r="G8" s="97">
        <v>13</v>
      </c>
      <c r="H8" s="97">
        <v>6</v>
      </c>
      <c r="I8" s="97">
        <v>7</v>
      </c>
      <c r="J8" s="97">
        <v>0</v>
      </c>
      <c r="K8" s="98">
        <f t="shared" si="0"/>
        <v>70</v>
      </c>
    </row>
    <row r="9" spans="1:12" x14ac:dyDescent="0.2">
      <c r="A9" s="93" t="s">
        <v>89</v>
      </c>
      <c r="B9" s="94" t="s">
        <v>178</v>
      </c>
      <c r="C9" s="95" t="s">
        <v>90</v>
      </c>
      <c r="D9" s="96">
        <f>3+6+6+12+2</f>
        <v>29</v>
      </c>
      <c r="E9" s="97">
        <f>3+4+5</f>
        <v>12</v>
      </c>
      <c r="F9" s="97">
        <v>3</v>
      </c>
      <c r="G9" s="97">
        <v>14</v>
      </c>
      <c r="H9" s="97">
        <v>8</v>
      </c>
      <c r="I9" s="97">
        <v>8</v>
      </c>
      <c r="J9" s="97">
        <v>8</v>
      </c>
      <c r="K9" s="98">
        <f t="shared" si="0"/>
        <v>82</v>
      </c>
    </row>
    <row r="10" spans="1:12" ht="13.5" thickBot="1" x14ac:dyDescent="0.25">
      <c r="A10" s="99" t="s">
        <v>63</v>
      </c>
      <c r="B10" s="100" t="s">
        <v>153</v>
      </c>
      <c r="C10" s="101" t="s">
        <v>64</v>
      </c>
      <c r="D10" s="102">
        <f>2+6+3+7+1</f>
        <v>19</v>
      </c>
      <c r="E10" s="103">
        <f>4+3+5</f>
        <v>12</v>
      </c>
      <c r="F10" s="103">
        <v>3</v>
      </c>
      <c r="G10" s="103">
        <v>10</v>
      </c>
      <c r="H10" s="103">
        <v>2</v>
      </c>
      <c r="I10" s="103">
        <v>6</v>
      </c>
      <c r="J10" s="103">
        <v>8</v>
      </c>
      <c r="K10" s="104">
        <f t="shared" si="0"/>
        <v>60</v>
      </c>
    </row>
    <row r="11" spans="1:12" x14ac:dyDescent="0.2">
      <c r="A11" s="105" t="s">
        <v>59</v>
      </c>
      <c r="B11" s="106" t="s">
        <v>186</v>
      </c>
      <c r="C11" s="107" t="s">
        <v>60</v>
      </c>
      <c r="D11" s="108">
        <f>3+5+5+13+2</f>
        <v>28</v>
      </c>
      <c r="E11" s="109">
        <f>5+4+5</f>
        <v>14</v>
      </c>
      <c r="F11" s="109">
        <v>4</v>
      </c>
      <c r="G11" s="109">
        <v>14</v>
      </c>
      <c r="H11" s="109">
        <v>7</v>
      </c>
      <c r="I11" s="109">
        <v>10</v>
      </c>
      <c r="J11" s="109">
        <v>7</v>
      </c>
      <c r="K11" s="110">
        <f t="shared" si="0"/>
        <v>84</v>
      </c>
    </row>
    <row r="12" spans="1:12" s="79" customFormat="1" ht="13.5" thickBot="1" x14ac:dyDescent="0.25">
      <c r="A12" s="99" t="s">
        <v>154</v>
      </c>
      <c r="B12" s="100" t="s">
        <v>155</v>
      </c>
      <c r="C12" s="101" t="s">
        <v>84</v>
      </c>
      <c r="D12" s="102">
        <f>4+6+6+11+2</f>
        <v>29</v>
      </c>
      <c r="E12" s="103">
        <f>5+4+5</f>
        <v>14</v>
      </c>
      <c r="F12" s="103">
        <v>2</v>
      </c>
      <c r="G12" s="103">
        <v>9</v>
      </c>
      <c r="H12" s="103">
        <v>6</v>
      </c>
      <c r="I12" s="103">
        <v>8</v>
      </c>
      <c r="J12" s="103">
        <v>7</v>
      </c>
      <c r="K12" s="104">
        <f t="shared" si="0"/>
        <v>75</v>
      </c>
      <c r="L12" s="85"/>
    </row>
    <row r="13" spans="1:12" x14ac:dyDescent="0.2">
      <c r="A13" s="87" t="s">
        <v>29</v>
      </c>
      <c r="B13" s="88" t="s">
        <v>159</v>
      </c>
      <c r="C13" s="89" t="s">
        <v>30</v>
      </c>
      <c r="D13" s="90">
        <f>3+6+6+9+2</f>
        <v>26</v>
      </c>
      <c r="E13" s="91">
        <f>1+4+3</f>
        <v>8</v>
      </c>
      <c r="F13" s="91">
        <v>2</v>
      </c>
      <c r="G13" s="91">
        <v>9</v>
      </c>
      <c r="H13" s="91">
        <v>4</v>
      </c>
      <c r="I13" s="91">
        <v>5</v>
      </c>
      <c r="J13" s="91">
        <v>8</v>
      </c>
      <c r="K13" s="92">
        <f t="shared" si="0"/>
        <v>62</v>
      </c>
    </row>
    <row r="14" spans="1:12" x14ac:dyDescent="0.2">
      <c r="A14" s="93" t="s">
        <v>99</v>
      </c>
      <c r="B14" s="94" t="s">
        <v>187</v>
      </c>
      <c r="C14" s="95" t="s">
        <v>100</v>
      </c>
      <c r="D14" s="96">
        <f>4+6+6+12+2</f>
        <v>30</v>
      </c>
      <c r="E14" s="97">
        <f>3+3+5</f>
        <v>11</v>
      </c>
      <c r="F14" s="97">
        <v>2</v>
      </c>
      <c r="G14" s="97">
        <v>9</v>
      </c>
      <c r="H14" s="97">
        <v>9</v>
      </c>
      <c r="I14" s="97">
        <v>7</v>
      </c>
      <c r="J14" s="97">
        <v>7</v>
      </c>
      <c r="K14" s="98">
        <f t="shared" si="0"/>
        <v>75</v>
      </c>
    </row>
    <row r="15" spans="1:12" ht="13.5" thickBot="1" x14ac:dyDescent="0.25">
      <c r="A15" s="99" t="s">
        <v>39</v>
      </c>
      <c r="B15" s="100" t="s">
        <v>188</v>
      </c>
      <c r="C15" s="101" t="s">
        <v>40</v>
      </c>
      <c r="D15" s="102">
        <f>2+5+6+13+2</f>
        <v>28</v>
      </c>
      <c r="E15" s="103">
        <f>4+3+4</f>
        <v>11</v>
      </c>
      <c r="F15" s="103">
        <v>3</v>
      </c>
      <c r="G15" s="103">
        <v>10</v>
      </c>
      <c r="H15" s="103">
        <v>6</v>
      </c>
      <c r="I15" s="103">
        <v>8</v>
      </c>
      <c r="J15" s="103">
        <v>8</v>
      </c>
      <c r="K15" s="104">
        <f t="shared" si="0"/>
        <v>74</v>
      </c>
    </row>
    <row r="16" spans="1:12" x14ac:dyDescent="0.2">
      <c r="A16" s="87" t="s">
        <v>93</v>
      </c>
      <c r="B16" s="88" t="s">
        <v>167</v>
      </c>
      <c r="C16" s="89" t="s">
        <v>94</v>
      </c>
      <c r="D16" s="90">
        <f>2+0+3+13+2</f>
        <v>20</v>
      </c>
      <c r="E16" s="91">
        <f>3+3+3</f>
        <v>9</v>
      </c>
      <c r="F16" s="91">
        <v>4</v>
      </c>
      <c r="G16" s="91">
        <v>10</v>
      </c>
      <c r="H16" s="91">
        <v>4</v>
      </c>
      <c r="I16" s="91">
        <v>7</v>
      </c>
      <c r="J16" s="91">
        <v>7</v>
      </c>
      <c r="K16" s="92">
        <f t="shared" si="0"/>
        <v>61</v>
      </c>
    </row>
    <row r="17" spans="1:12" x14ac:dyDescent="0.2">
      <c r="A17" s="93" t="s">
        <v>53</v>
      </c>
      <c r="B17" s="94" t="s">
        <v>170</v>
      </c>
      <c r="C17" s="95" t="s">
        <v>54</v>
      </c>
      <c r="D17" s="96">
        <f>3+5+6+11+1</f>
        <v>26</v>
      </c>
      <c r="E17" s="97">
        <f>4+4+3</f>
        <v>11</v>
      </c>
      <c r="F17" s="97">
        <v>2</v>
      </c>
      <c r="G17" s="97">
        <v>10</v>
      </c>
      <c r="H17" s="97">
        <v>8</v>
      </c>
      <c r="I17" s="97">
        <v>6</v>
      </c>
      <c r="J17" s="97">
        <v>1</v>
      </c>
      <c r="K17" s="98">
        <f t="shared" si="0"/>
        <v>64</v>
      </c>
    </row>
    <row r="18" spans="1:12" x14ac:dyDescent="0.2">
      <c r="A18" s="93" t="s">
        <v>160</v>
      </c>
      <c r="B18" s="94" t="s">
        <v>161</v>
      </c>
      <c r="C18" s="95" t="s">
        <v>32</v>
      </c>
      <c r="D18" s="96">
        <f>2+9+6+5+2</f>
        <v>24</v>
      </c>
      <c r="E18" s="97">
        <f>4+3+4</f>
        <v>11</v>
      </c>
      <c r="F18" s="97">
        <v>4</v>
      </c>
      <c r="G18" s="97">
        <v>4</v>
      </c>
      <c r="H18" s="97">
        <v>5</v>
      </c>
      <c r="I18" s="97">
        <v>6</v>
      </c>
      <c r="J18" s="97">
        <v>6</v>
      </c>
      <c r="K18" s="98">
        <f t="shared" si="0"/>
        <v>60</v>
      </c>
    </row>
    <row r="19" spans="1:12" ht="13.5" thickBot="1" x14ac:dyDescent="0.25">
      <c r="A19" s="99" t="s">
        <v>57</v>
      </c>
      <c r="B19" s="100" t="s">
        <v>173</v>
      </c>
      <c r="C19" s="101" t="s">
        <v>58</v>
      </c>
      <c r="D19" s="102">
        <f>3+4+4+9+1</f>
        <v>21</v>
      </c>
      <c r="E19" s="103">
        <f>3+2+5</f>
        <v>10</v>
      </c>
      <c r="F19" s="103">
        <v>4</v>
      </c>
      <c r="G19" s="103">
        <v>12</v>
      </c>
      <c r="H19" s="103">
        <v>3</v>
      </c>
      <c r="I19" s="103">
        <v>3</v>
      </c>
      <c r="J19" s="103">
        <v>0</v>
      </c>
      <c r="K19" s="104">
        <f t="shared" si="0"/>
        <v>53</v>
      </c>
    </row>
    <row r="20" spans="1:12" x14ac:dyDescent="0.2">
      <c r="A20" s="87" t="s">
        <v>45</v>
      </c>
      <c r="B20" s="88" t="s">
        <v>174</v>
      </c>
      <c r="C20" s="89" t="s">
        <v>46</v>
      </c>
      <c r="D20" s="90">
        <f>2+3+5+11+2</f>
        <v>23</v>
      </c>
      <c r="E20" s="91">
        <f>4+4+5</f>
        <v>13</v>
      </c>
      <c r="F20" s="91">
        <v>1</v>
      </c>
      <c r="G20" s="91">
        <v>11</v>
      </c>
      <c r="H20" s="91">
        <v>4</v>
      </c>
      <c r="I20" s="91">
        <v>8</v>
      </c>
      <c r="J20" s="91">
        <v>8</v>
      </c>
      <c r="K20" s="92">
        <f t="shared" si="0"/>
        <v>68</v>
      </c>
    </row>
    <row r="21" spans="1:12" x14ac:dyDescent="0.2">
      <c r="A21" s="93" t="s">
        <v>95</v>
      </c>
      <c r="B21" s="94" t="s">
        <v>185</v>
      </c>
      <c r="C21" s="95" t="s">
        <v>96</v>
      </c>
      <c r="D21" s="96">
        <f>3+6+6+13+2</f>
        <v>30</v>
      </c>
      <c r="E21" s="97">
        <f>5+3+5</f>
        <v>13</v>
      </c>
      <c r="F21" s="97">
        <v>3</v>
      </c>
      <c r="G21" s="97">
        <v>11</v>
      </c>
      <c r="H21" s="97">
        <v>4</v>
      </c>
      <c r="I21" s="97">
        <v>7</v>
      </c>
      <c r="J21" s="97">
        <v>6</v>
      </c>
      <c r="K21" s="98">
        <f t="shared" si="0"/>
        <v>74</v>
      </c>
    </row>
    <row r="22" spans="1:12" x14ac:dyDescent="0.2">
      <c r="A22" s="93" t="s">
        <v>27</v>
      </c>
      <c r="B22" s="94" t="s">
        <v>168</v>
      </c>
      <c r="C22" s="95" t="s">
        <v>28</v>
      </c>
      <c r="D22" s="96">
        <f>3+6+5+11+2</f>
        <v>27</v>
      </c>
      <c r="E22" s="97">
        <f>4+4+5</f>
        <v>13</v>
      </c>
      <c r="F22" s="97">
        <v>2</v>
      </c>
      <c r="G22" s="97">
        <v>9</v>
      </c>
      <c r="H22" s="97">
        <v>4</v>
      </c>
      <c r="I22" s="97">
        <v>7</v>
      </c>
      <c r="J22" s="97">
        <v>5</v>
      </c>
      <c r="K22" s="98">
        <f t="shared" si="0"/>
        <v>67</v>
      </c>
    </row>
    <row r="23" spans="1:12" x14ac:dyDescent="0.2">
      <c r="A23" s="93" t="s">
        <v>65</v>
      </c>
      <c r="B23" s="94" t="s">
        <v>171</v>
      </c>
      <c r="C23" s="95" t="s">
        <v>66</v>
      </c>
      <c r="D23" s="96">
        <f>3+5+5+13+2</f>
        <v>28</v>
      </c>
      <c r="E23" s="97">
        <f>5+4+4</f>
        <v>13</v>
      </c>
      <c r="F23" s="97">
        <v>2</v>
      </c>
      <c r="G23" s="97">
        <v>10</v>
      </c>
      <c r="H23" s="97">
        <v>4</v>
      </c>
      <c r="I23" s="97">
        <v>7</v>
      </c>
      <c r="J23" s="97">
        <v>4</v>
      </c>
      <c r="K23" s="98">
        <f t="shared" si="0"/>
        <v>68</v>
      </c>
    </row>
    <row r="24" spans="1:12" ht="13.5" thickBot="1" x14ac:dyDescent="0.25">
      <c r="A24" s="99" t="s">
        <v>85</v>
      </c>
      <c r="B24" s="100" t="s">
        <v>175</v>
      </c>
      <c r="C24" s="101" t="s">
        <v>86</v>
      </c>
      <c r="D24" s="102">
        <f>11+5+5+3+2</f>
        <v>26</v>
      </c>
      <c r="E24" s="103">
        <f>5+4+5</f>
        <v>14</v>
      </c>
      <c r="F24" s="103">
        <v>5</v>
      </c>
      <c r="G24" s="103">
        <v>11</v>
      </c>
      <c r="H24" s="103">
        <v>7</v>
      </c>
      <c r="I24" s="103">
        <v>7</v>
      </c>
      <c r="J24" s="103">
        <v>8</v>
      </c>
      <c r="K24" s="104">
        <f t="shared" si="0"/>
        <v>78</v>
      </c>
    </row>
    <row r="25" spans="1:12" x14ac:dyDescent="0.2">
      <c r="A25" s="87" t="s">
        <v>79</v>
      </c>
      <c r="B25" s="88" t="s">
        <v>176</v>
      </c>
      <c r="C25" s="89" t="s">
        <v>80</v>
      </c>
      <c r="D25" s="90">
        <f>3+5+5+13+2</f>
        <v>28</v>
      </c>
      <c r="E25" s="91">
        <f>5+4+5</f>
        <v>14</v>
      </c>
      <c r="F25" s="91">
        <v>2</v>
      </c>
      <c r="G25" s="91">
        <v>10</v>
      </c>
      <c r="H25" s="91">
        <v>4</v>
      </c>
      <c r="I25" s="91">
        <v>3</v>
      </c>
      <c r="J25" s="91">
        <v>6</v>
      </c>
      <c r="K25" s="92">
        <f t="shared" si="0"/>
        <v>67</v>
      </c>
    </row>
    <row r="26" spans="1:12" x14ac:dyDescent="0.2">
      <c r="A26" s="93" t="s">
        <v>47</v>
      </c>
      <c r="B26" s="94" t="s">
        <v>156</v>
      </c>
      <c r="C26" s="95" t="s">
        <v>48</v>
      </c>
      <c r="D26" s="96">
        <f>4+2+7+2</f>
        <v>15</v>
      </c>
      <c r="E26" s="97">
        <f>5+3+2</f>
        <v>10</v>
      </c>
      <c r="F26" s="97">
        <v>3</v>
      </c>
      <c r="G26" s="97">
        <v>9</v>
      </c>
      <c r="H26" s="97">
        <v>12</v>
      </c>
      <c r="I26" s="97">
        <v>7</v>
      </c>
      <c r="J26" s="97">
        <v>5</v>
      </c>
      <c r="K26" s="98">
        <f t="shared" si="0"/>
        <v>61</v>
      </c>
    </row>
    <row r="27" spans="1:12" x14ac:dyDescent="0.2">
      <c r="A27" s="93" t="s">
        <v>77</v>
      </c>
      <c r="B27" s="94" t="s">
        <v>165</v>
      </c>
      <c r="C27" s="95" t="s">
        <v>78</v>
      </c>
      <c r="D27" s="96">
        <f>4+4+6+11+2</f>
        <v>27</v>
      </c>
      <c r="E27" s="97">
        <f>5+4+3</f>
        <v>12</v>
      </c>
      <c r="F27" s="97">
        <v>3</v>
      </c>
      <c r="G27" s="97">
        <v>10</v>
      </c>
      <c r="H27" s="97">
        <v>7</v>
      </c>
      <c r="I27" s="97">
        <v>6</v>
      </c>
      <c r="J27" s="97">
        <v>8</v>
      </c>
      <c r="K27" s="98">
        <f t="shared" si="0"/>
        <v>73</v>
      </c>
    </row>
    <row r="28" spans="1:12" ht="13.5" thickBot="1" x14ac:dyDescent="0.25">
      <c r="A28" s="99" t="s">
        <v>75</v>
      </c>
      <c r="B28" s="100" t="s">
        <v>172</v>
      </c>
      <c r="C28" s="101" t="s">
        <v>76</v>
      </c>
      <c r="D28" s="102">
        <f>3+6+3+6+2</f>
        <v>20</v>
      </c>
      <c r="E28" s="103">
        <f>4+4+4</f>
        <v>12</v>
      </c>
      <c r="F28" s="103">
        <v>2</v>
      </c>
      <c r="G28" s="103">
        <v>9</v>
      </c>
      <c r="H28" s="103">
        <v>5</v>
      </c>
      <c r="I28" s="103">
        <v>3</v>
      </c>
      <c r="J28" s="103">
        <v>3</v>
      </c>
      <c r="K28" s="104">
        <f t="shared" si="0"/>
        <v>54</v>
      </c>
    </row>
    <row r="29" spans="1:12" x14ac:dyDescent="0.2">
      <c r="A29" s="87" t="s">
        <v>97</v>
      </c>
      <c r="B29" s="88" t="s">
        <v>162</v>
      </c>
      <c r="C29" s="89" t="s">
        <v>98</v>
      </c>
      <c r="D29" s="90">
        <f>2+5+1</f>
        <v>8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2">
        <f t="shared" si="0"/>
        <v>8</v>
      </c>
      <c r="L29" s="85">
        <f>1+15+4+15+10+25+15+15</f>
        <v>100</v>
      </c>
    </row>
    <row r="30" spans="1:12" x14ac:dyDescent="0.2">
      <c r="A30" s="93" t="s">
        <v>51</v>
      </c>
      <c r="B30" s="94" t="s">
        <v>157</v>
      </c>
      <c r="C30" s="95" t="s">
        <v>52</v>
      </c>
      <c r="D30" s="96">
        <f>3+6+6+11+2</f>
        <v>28</v>
      </c>
      <c r="E30" s="97">
        <f>4+3+4</f>
        <v>11</v>
      </c>
      <c r="F30" s="97">
        <v>3</v>
      </c>
      <c r="G30" s="97">
        <v>10</v>
      </c>
      <c r="H30" s="97">
        <v>7</v>
      </c>
      <c r="I30" s="97">
        <v>5</v>
      </c>
      <c r="J30" s="97">
        <v>5</v>
      </c>
      <c r="K30" s="98">
        <f t="shared" si="0"/>
        <v>69</v>
      </c>
    </row>
    <row r="31" spans="1:12" ht="13.5" thickBot="1" x14ac:dyDescent="0.25">
      <c r="A31" s="99" t="s">
        <v>67</v>
      </c>
      <c r="B31" s="100" t="s">
        <v>177</v>
      </c>
      <c r="C31" s="101" t="s">
        <v>68</v>
      </c>
      <c r="D31" s="102">
        <f>3+6+5+11+2</f>
        <v>27</v>
      </c>
      <c r="E31" s="103">
        <f>5+4+3</f>
        <v>12</v>
      </c>
      <c r="F31" s="103">
        <v>4</v>
      </c>
      <c r="G31" s="103">
        <v>13</v>
      </c>
      <c r="H31" s="103">
        <v>6</v>
      </c>
      <c r="I31" s="103">
        <v>9</v>
      </c>
      <c r="J31" s="103">
        <v>7</v>
      </c>
      <c r="K31" s="104">
        <f t="shared" si="0"/>
        <v>78</v>
      </c>
    </row>
    <row r="32" spans="1:12" x14ac:dyDescent="0.2">
      <c r="A32" s="105" t="s">
        <v>35</v>
      </c>
      <c r="B32" s="106" t="s">
        <v>179</v>
      </c>
      <c r="C32" s="107" t="s">
        <v>36</v>
      </c>
      <c r="D32" s="108">
        <f>3+2+6+13+2</f>
        <v>26</v>
      </c>
      <c r="E32" s="109">
        <f>5+4+5</f>
        <v>14</v>
      </c>
      <c r="F32" s="109">
        <v>4</v>
      </c>
      <c r="G32" s="109">
        <v>9</v>
      </c>
      <c r="H32" s="109">
        <v>7</v>
      </c>
      <c r="I32" s="109">
        <v>8</v>
      </c>
      <c r="J32" s="109">
        <v>9</v>
      </c>
      <c r="K32" s="110">
        <f t="shared" si="0"/>
        <v>77</v>
      </c>
    </row>
    <row r="33" spans="1:11" x14ac:dyDescent="0.2">
      <c r="A33" s="93" t="s">
        <v>43</v>
      </c>
      <c r="B33" s="94" t="s">
        <v>180</v>
      </c>
      <c r="C33" s="95" t="s">
        <v>44</v>
      </c>
      <c r="D33" s="96">
        <f>3+6+5+8+2</f>
        <v>24</v>
      </c>
      <c r="E33" s="97">
        <f>4+4+3</f>
        <v>11</v>
      </c>
      <c r="F33" s="97">
        <v>4</v>
      </c>
      <c r="G33" s="97">
        <v>14</v>
      </c>
      <c r="H33" s="97">
        <v>7</v>
      </c>
      <c r="I33" s="97">
        <v>7</v>
      </c>
      <c r="J33" s="97">
        <v>9</v>
      </c>
      <c r="K33" s="98">
        <f t="shared" si="0"/>
        <v>76</v>
      </c>
    </row>
    <row r="34" spans="1:11" ht="13.5" thickBot="1" x14ac:dyDescent="0.25">
      <c r="A34" s="116" t="s">
        <v>181</v>
      </c>
      <c r="B34" s="117" t="s">
        <v>182</v>
      </c>
      <c r="C34" s="118" t="s">
        <v>42</v>
      </c>
      <c r="D34" s="119">
        <f>3+5+5+8+2</f>
        <v>23</v>
      </c>
      <c r="E34" s="120">
        <f>3+2+4</f>
        <v>9</v>
      </c>
      <c r="F34" s="120">
        <v>4</v>
      </c>
      <c r="G34" s="120">
        <v>10</v>
      </c>
      <c r="H34" s="120">
        <v>5</v>
      </c>
      <c r="I34" s="120">
        <v>6</v>
      </c>
      <c r="J34" s="120">
        <v>6</v>
      </c>
      <c r="K34" s="121">
        <f t="shared" si="0"/>
        <v>63</v>
      </c>
    </row>
  </sheetData>
  <autoFilter ref="A1:L33" xr:uid="{00000000-0009-0000-0000-000002000000}"/>
  <sortState xmlns:xlrd2="http://schemas.microsoft.com/office/spreadsheetml/2017/richdata2" ref="A2:L34">
    <sortCondition ref="A2:A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C36" sqref="C36:J50"/>
    </sheetView>
  </sheetViews>
  <sheetFormatPr defaultColWidth="8.85546875" defaultRowHeight="12.75" x14ac:dyDescent="0.2"/>
  <cols>
    <col min="1" max="2" width="3" style="123" bestFit="1" customWidth="1"/>
    <col min="3" max="3" width="21.7109375" style="123" bestFit="1" customWidth="1"/>
    <col min="4" max="4" width="12.5703125" style="123" bestFit="1" customWidth="1"/>
    <col min="5" max="5" width="5.5703125" style="136" bestFit="1" customWidth="1"/>
    <col min="6" max="6" width="4.5703125" style="123" bestFit="1" customWidth="1"/>
    <col min="7" max="7" width="5.5703125" style="123" bestFit="1" customWidth="1"/>
    <col min="8" max="8" width="21.85546875" style="123" bestFit="1" customWidth="1"/>
    <col min="9" max="9" width="12.7109375" style="123" bestFit="1" customWidth="1"/>
    <col min="10" max="10" width="12.5703125" style="136" bestFit="1" customWidth="1"/>
    <col min="11" max="11" width="3" style="123" bestFit="1" customWidth="1"/>
    <col min="12" max="12" width="2" style="123" bestFit="1" customWidth="1"/>
    <col min="13" max="13" width="21.7109375" style="123" bestFit="1" customWidth="1"/>
    <col min="14" max="14" width="12.5703125" style="123" bestFit="1" customWidth="1"/>
    <col min="15" max="15" width="8.85546875" style="136"/>
    <col min="16" max="17" width="3" style="123" bestFit="1" customWidth="1"/>
    <col min="18" max="18" width="21.7109375" style="123" bestFit="1" customWidth="1"/>
    <col min="19" max="19" width="12" style="123" bestFit="1" customWidth="1"/>
    <col min="20" max="20" width="8.85546875" style="136"/>
    <col min="21" max="22" width="3" style="123" bestFit="1" customWidth="1"/>
    <col min="23" max="23" width="21.7109375" style="123" bestFit="1" customWidth="1"/>
    <col min="24" max="24" width="12.5703125" style="123" bestFit="1" customWidth="1"/>
    <col min="25" max="25" width="8.85546875" style="136"/>
    <col min="26" max="27" width="3" style="123" bestFit="1" customWidth="1"/>
    <col min="28" max="28" width="21.7109375" style="123" bestFit="1" customWidth="1"/>
    <col min="29" max="29" width="12.5703125" style="123" bestFit="1" customWidth="1"/>
    <col min="30" max="30" width="8.85546875" style="136"/>
    <col min="31" max="31" width="3" style="123" bestFit="1" customWidth="1"/>
    <col min="32" max="32" width="2" style="123" bestFit="1" customWidth="1"/>
    <col min="33" max="33" width="21.7109375" style="123" bestFit="1" customWidth="1"/>
    <col min="34" max="34" width="12.5703125" style="123" bestFit="1" customWidth="1"/>
    <col min="35" max="16384" width="8.85546875" style="123"/>
  </cols>
  <sheetData>
    <row r="1" spans="1:34" x14ac:dyDescent="0.2">
      <c r="A1" s="122" t="s">
        <v>194</v>
      </c>
      <c r="B1" s="123">
        <f>Marks!D2</f>
        <v>19</v>
      </c>
      <c r="C1" s="122" t="s">
        <v>194</v>
      </c>
      <c r="D1" s="135"/>
      <c r="F1" s="122" t="s">
        <v>210</v>
      </c>
      <c r="G1" s="123">
        <f>Marks!E2</f>
        <v>10</v>
      </c>
      <c r="H1" s="122" t="s">
        <v>210</v>
      </c>
      <c r="I1" s="135"/>
      <c r="K1" s="122" t="s">
        <v>193</v>
      </c>
      <c r="L1" s="123">
        <f>Marks!F2</f>
        <v>0</v>
      </c>
      <c r="M1" s="135" t="str">
        <f>K1</f>
        <v>1c</v>
      </c>
      <c r="N1" s="135"/>
      <c r="P1" s="122" t="s">
        <v>211</v>
      </c>
      <c r="Q1" s="123">
        <f>Marks!G2</f>
        <v>11</v>
      </c>
      <c r="R1" s="135" t="str">
        <f>P1</f>
        <v>1d</v>
      </c>
      <c r="S1" s="135"/>
      <c r="U1" s="122" t="s">
        <v>192</v>
      </c>
      <c r="V1" s="123">
        <f>Marks!H2</f>
        <v>2</v>
      </c>
      <c r="W1" s="135" t="s">
        <v>199</v>
      </c>
      <c r="X1" s="135"/>
      <c r="Z1" s="122" t="s">
        <v>196</v>
      </c>
      <c r="AA1" s="123">
        <f>Marks!I2</f>
        <v>8</v>
      </c>
      <c r="AB1" s="135" t="s">
        <v>199</v>
      </c>
      <c r="AC1" s="135"/>
      <c r="AE1" s="122" t="s">
        <v>195</v>
      </c>
      <c r="AF1" s="123">
        <f>Marks!J2</f>
        <v>0</v>
      </c>
      <c r="AG1" s="135" t="s">
        <v>199</v>
      </c>
      <c r="AH1" s="135"/>
    </row>
    <row r="2" spans="1:34" x14ac:dyDescent="0.2">
      <c r="B2" s="123">
        <f>Marks!D3</f>
        <v>23</v>
      </c>
      <c r="C2" s="137"/>
      <c r="D2" s="137"/>
      <c r="G2" s="123">
        <f>Marks!E3</f>
        <v>13</v>
      </c>
      <c r="H2" s="137"/>
      <c r="I2" s="137"/>
      <c r="L2" s="123">
        <f>Marks!F3</f>
        <v>3</v>
      </c>
      <c r="M2" s="137"/>
      <c r="N2" s="137"/>
      <c r="Q2" s="123">
        <f>Marks!G3</f>
        <v>9</v>
      </c>
      <c r="R2" s="137"/>
      <c r="S2" s="137"/>
      <c r="V2" s="123">
        <f>Marks!H3</f>
        <v>8</v>
      </c>
      <c r="W2" s="137"/>
      <c r="X2" s="137"/>
      <c r="AA2" s="123">
        <f>Marks!I3</f>
        <v>6</v>
      </c>
      <c r="AB2" s="137"/>
      <c r="AC2" s="137"/>
      <c r="AF2" s="123">
        <f>Marks!J3</f>
        <v>5</v>
      </c>
      <c r="AG2" s="137"/>
      <c r="AH2" s="137"/>
    </row>
    <row r="3" spans="1:34" x14ac:dyDescent="0.2">
      <c r="B3" s="123">
        <f>Marks!D4</f>
        <v>25</v>
      </c>
      <c r="C3" s="137" t="s">
        <v>105</v>
      </c>
      <c r="D3" s="137">
        <v>24.727272727272727</v>
      </c>
      <c r="G3" s="123">
        <f>Marks!E4</f>
        <v>13</v>
      </c>
      <c r="H3" s="137" t="s">
        <v>105</v>
      </c>
      <c r="I3" s="137">
        <v>11.393939393939394</v>
      </c>
      <c r="L3" s="123">
        <f>Marks!F4</f>
        <v>2</v>
      </c>
      <c r="M3" s="137" t="s">
        <v>105</v>
      </c>
      <c r="N3" s="137">
        <v>2.7575757575757578</v>
      </c>
      <c r="Q3" s="123">
        <f>Marks!G4</f>
        <v>10</v>
      </c>
      <c r="R3" s="137" t="s">
        <v>105</v>
      </c>
      <c r="S3" s="137">
        <v>10.060606060606061</v>
      </c>
      <c r="V3" s="123">
        <f>Marks!H4</f>
        <v>0</v>
      </c>
      <c r="W3" s="137" t="s">
        <v>105</v>
      </c>
      <c r="X3" s="137">
        <v>5.3636363636363633</v>
      </c>
      <c r="AA3" s="123">
        <f>Marks!I4</f>
        <v>0</v>
      </c>
      <c r="AB3" s="137" t="s">
        <v>105</v>
      </c>
      <c r="AC3" s="137">
        <v>6.333333333333333</v>
      </c>
      <c r="AF3" s="123">
        <f>Marks!J4</f>
        <v>0</v>
      </c>
      <c r="AG3" s="137" t="s">
        <v>105</v>
      </c>
      <c r="AH3" s="137">
        <v>5.3939393939393936</v>
      </c>
    </row>
    <row r="4" spans="1:34" x14ac:dyDescent="0.2">
      <c r="B4" s="123">
        <f>Marks!D5</f>
        <v>24</v>
      </c>
      <c r="C4" s="137" t="s">
        <v>200</v>
      </c>
      <c r="D4" s="137">
        <v>0.8248883387161341</v>
      </c>
      <c r="G4" s="123">
        <f>Marks!E5</f>
        <v>12</v>
      </c>
      <c r="H4" s="137" t="s">
        <v>200</v>
      </c>
      <c r="I4" s="137">
        <v>0.44793168179074205</v>
      </c>
      <c r="L4" s="123">
        <f>Marks!F5</f>
        <v>3</v>
      </c>
      <c r="M4" s="137" t="s">
        <v>200</v>
      </c>
      <c r="N4" s="137">
        <v>0.2088492235165185</v>
      </c>
      <c r="Q4" s="123">
        <f>Marks!G5</f>
        <v>14</v>
      </c>
      <c r="R4" s="137" t="s">
        <v>200</v>
      </c>
      <c r="S4" s="137">
        <v>0.47262042304491592</v>
      </c>
      <c r="V4" s="123">
        <f>Marks!H5</f>
        <v>8</v>
      </c>
      <c r="W4" s="137" t="s">
        <v>200</v>
      </c>
      <c r="X4" s="137">
        <v>0.44978568511507261</v>
      </c>
      <c r="AA4" s="123">
        <f>Marks!I5</f>
        <v>9</v>
      </c>
      <c r="AB4" s="137" t="s">
        <v>200</v>
      </c>
      <c r="AC4" s="137">
        <v>0.40044167534553055</v>
      </c>
      <c r="AF4" s="123">
        <f>Marks!J5</f>
        <v>8</v>
      </c>
      <c r="AG4" s="137" t="s">
        <v>200</v>
      </c>
      <c r="AH4" s="137">
        <v>0.51665333671598523</v>
      </c>
    </row>
    <row r="5" spans="1:34" x14ac:dyDescent="0.2">
      <c r="B5" s="123">
        <f>Marks!D6</f>
        <v>29</v>
      </c>
      <c r="C5" s="137" t="s">
        <v>201</v>
      </c>
      <c r="D5" s="137">
        <v>26</v>
      </c>
      <c r="G5" s="123">
        <f>Marks!E6</f>
        <v>11</v>
      </c>
      <c r="H5" s="137" t="s">
        <v>201</v>
      </c>
      <c r="I5" s="137">
        <v>12</v>
      </c>
      <c r="L5" s="123">
        <f>Marks!F6</f>
        <v>3</v>
      </c>
      <c r="M5" s="137" t="s">
        <v>201</v>
      </c>
      <c r="N5" s="137">
        <v>3</v>
      </c>
      <c r="Q5" s="123">
        <f>Marks!G6</f>
        <v>9</v>
      </c>
      <c r="R5" s="137" t="s">
        <v>201</v>
      </c>
      <c r="S5" s="137">
        <v>10</v>
      </c>
      <c r="V5" s="123">
        <f>Marks!H6</f>
        <v>2</v>
      </c>
      <c r="W5" s="137" t="s">
        <v>201</v>
      </c>
      <c r="X5" s="137">
        <v>6</v>
      </c>
      <c r="AA5" s="123">
        <f>Marks!I6</f>
        <v>7</v>
      </c>
      <c r="AB5" s="137" t="s">
        <v>201</v>
      </c>
      <c r="AC5" s="137">
        <v>7</v>
      </c>
      <c r="AF5" s="123">
        <f>Marks!J6</f>
        <v>2</v>
      </c>
      <c r="AG5" s="137" t="s">
        <v>201</v>
      </c>
      <c r="AH5" s="137">
        <v>6</v>
      </c>
    </row>
    <row r="6" spans="1:34" x14ac:dyDescent="0.2">
      <c r="B6" s="123">
        <f>Marks!D7</f>
        <v>27</v>
      </c>
      <c r="C6" s="137" t="s">
        <v>202</v>
      </c>
      <c r="D6" s="137">
        <v>28</v>
      </c>
      <c r="G6" s="123">
        <f>Marks!E7</f>
        <v>12</v>
      </c>
      <c r="H6" s="137" t="s">
        <v>202</v>
      </c>
      <c r="I6" s="137">
        <v>11</v>
      </c>
      <c r="L6" s="123">
        <f>Marks!F7</f>
        <v>1</v>
      </c>
      <c r="M6" s="137" t="s">
        <v>202</v>
      </c>
      <c r="N6" s="137">
        <v>3</v>
      </c>
      <c r="Q6" s="123">
        <f>Marks!G7</f>
        <v>9</v>
      </c>
      <c r="R6" s="137" t="s">
        <v>202</v>
      </c>
      <c r="S6" s="137">
        <v>9</v>
      </c>
      <c r="V6" s="123">
        <f>Marks!H7</f>
        <v>6</v>
      </c>
      <c r="W6" s="137" t="s">
        <v>202</v>
      </c>
      <c r="X6" s="137">
        <v>4</v>
      </c>
      <c r="AA6" s="123">
        <f>Marks!I7</f>
        <v>8</v>
      </c>
      <c r="AB6" s="137" t="s">
        <v>202</v>
      </c>
      <c r="AC6" s="137">
        <v>7</v>
      </c>
      <c r="AF6" s="123">
        <f>Marks!J7</f>
        <v>7</v>
      </c>
      <c r="AG6" s="137" t="s">
        <v>202</v>
      </c>
      <c r="AH6" s="137">
        <v>8</v>
      </c>
    </row>
    <row r="7" spans="1:34" x14ac:dyDescent="0.2">
      <c r="B7" s="123">
        <f>Marks!D8</f>
        <v>29</v>
      </c>
      <c r="C7" s="137" t="s">
        <v>203</v>
      </c>
      <c r="D7" s="137">
        <v>4.7386227381535129</v>
      </c>
      <c r="G7" s="123">
        <f>Marks!E8</f>
        <v>11</v>
      </c>
      <c r="H7" s="137" t="s">
        <v>203</v>
      </c>
      <c r="I7" s="137">
        <v>2.5731716074160551</v>
      </c>
      <c r="L7" s="123">
        <f>Marks!F8</f>
        <v>4</v>
      </c>
      <c r="M7" s="137" t="s">
        <v>203</v>
      </c>
      <c r="N7" s="137">
        <v>1.1997474481714638</v>
      </c>
      <c r="Q7" s="123">
        <f>Marks!G8</f>
        <v>13</v>
      </c>
      <c r="R7" s="137" t="s">
        <v>203</v>
      </c>
      <c r="S7" s="137">
        <v>2.7149976282148249</v>
      </c>
      <c r="V7" s="123">
        <f>Marks!H8</f>
        <v>6</v>
      </c>
      <c r="W7" s="137" t="s">
        <v>203</v>
      </c>
      <c r="X7" s="137">
        <v>2.583822045659562</v>
      </c>
      <c r="AA7" s="123">
        <f>Marks!I8</f>
        <v>7</v>
      </c>
      <c r="AB7" s="137" t="s">
        <v>203</v>
      </c>
      <c r="AC7" s="137">
        <v>2.3003622903070431</v>
      </c>
      <c r="AF7" s="123">
        <f>Marks!J8</f>
        <v>0</v>
      </c>
      <c r="AG7" s="137" t="s">
        <v>203</v>
      </c>
      <c r="AH7" s="137">
        <v>2.9679474593078834</v>
      </c>
    </row>
    <row r="8" spans="1:34" x14ac:dyDescent="0.2">
      <c r="B8" s="123">
        <f>Marks!D9</f>
        <v>29</v>
      </c>
      <c r="C8" s="137" t="s">
        <v>204</v>
      </c>
      <c r="D8" s="137">
        <v>22.454545454545496</v>
      </c>
      <c r="G8" s="123">
        <f>Marks!E9</f>
        <v>12</v>
      </c>
      <c r="H8" s="137" t="s">
        <v>204</v>
      </c>
      <c r="I8" s="137">
        <v>6.6212121212121247</v>
      </c>
      <c r="L8" s="123">
        <f>Marks!F9</f>
        <v>3</v>
      </c>
      <c r="M8" s="137" t="s">
        <v>204</v>
      </c>
      <c r="N8" s="137">
        <v>1.4393939393939394</v>
      </c>
      <c r="Q8" s="123">
        <f>Marks!G9</f>
        <v>14</v>
      </c>
      <c r="R8" s="137" t="s">
        <v>204</v>
      </c>
      <c r="S8" s="137">
        <v>7.3712121212121247</v>
      </c>
      <c r="V8" s="123">
        <f>Marks!H9</f>
        <v>8</v>
      </c>
      <c r="W8" s="137" t="s">
        <v>204</v>
      </c>
      <c r="X8" s="137">
        <v>6.6761363636363633</v>
      </c>
      <c r="AA8" s="123">
        <f>Marks!I9</f>
        <v>8</v>
      </c>
      <c r="AB8" s="137" t="s">
        <v>204</v>
      </c>
      <c r="AC8" s="137">
        <v>5.2916666666666643</v>
      </c>
      <c r="AF8" s="123">
        <f>Marks!J9</f>
        <v>8</v>
      </c>
      <c r="AG8" s="137" t="s">
        <v>204</v>
      </c>
      <c r="AH8" s="137">
        <v>8.8087121212121211</v>
      </c>
    </row>
    <row r="9" spans="1:34" x14ac:dyDescent="0.2">
      <c r="B9" s="123">
        <f>Marks!D10</f>
        <v>19</v>
      </c>
      <c r="C9" s="137" t="s">
        <v>205</v>
      </c>
      <c r="D9" s="137">
        <v>3.739222610730621</v>
      </c>
      <c r="G9" s="123">
        <f>Marks!E10</f>
        <v>12</v>
      </c>
      <c r="H9" s="137" t="s">
        <v>205</v>
      </c>
      <c r="I9" s="137">
        <v>11.604491727165991</v>
      </c>
      <c r="L9" s="123">
        <f>Marks!F10</f>
        <v>3</v>
      </c>
      <c r="M9" s="137" t="s">
        <v>205</v>
      </c>
      <c r="N9" s="137">
        <v>5.3444017514072684E-2</v>
      </c>
      <c r="Q9" s="123">
        <f>Marks!G10</f>
        <v>10</v>
      </c>
      <c r="R9" s="137" t="s">
        <v>205</v>
      </c>
      <c r="S9" s="137">
        <v>5.5342276747179664</v>
      </c>
      <c r="V9" s="123">
        <f>Marks!H10</f>
        <v>2</v>
      </c>
      <c r="W9" s="137" t="s">
        <v>205</v>
      </c>
      <c r="X9" s="137">
        <v>0.45783285386760664</v>
      </c>
      <c r="AA9" s="123">
        <f>Marks!I10</f>
        <v>6</v>
      </c>
      <c r="AB9" s="137" t="s">
        <v>205</v>
      </c>
      <c r="AC9" s="137">
        <v>1.9914279828559631</v>
      </c>
      <c r="AF9" s="123">
        <f>Marks!J10</f>
        <v>8</v>
      </c>
      <c r="AG9" s="137" t="s">
        <v>205</v>
      </c>
      <c r="AH9" s="137">
        <v>-0.6200257219571359</v>
      </c>
    </row>
    <row r="10" spans="1:34" x14ac:dyDescent="0.2">
      <c r="B10" s="123">
        <f>Marks!D11</f>
        <v>28</v>
      </c>
      <c r="C10" s="137" t="s">
        <v>206</v>
      </c>
      <c r="D10" s="137">
        <v>-1.6946483221985815</v>
      </c>
      <c r="G10" s="123">
        <f>Marks!E11</f>
        <v>14</v>
      </c>
      <c r="H10" s="137" t="s">
        <v>206</v>
      </c>
      <c r="I10" s="137">
        <v>-2.8104990510446641</v>
      </c>
      <c r="L10" s="123">
        <f>Marks!F11</f>
        <v>4</v>
      </c>
      <c r="M10" s="137" t="s">
        <v>206</v>
      </c>
      <c r="N10" s="137">
        <v>-0.53997640510012967</v>
      </c>
      <c r="Q10" s="123">
        <f>Marks!G11</f>
        <v>14</v>
      </c>
      <c r="R10" s="137" t="s">
        <v>206</v>
      </c>
      <c r="S10" s="137">
        <v>-1.5739663799897878</v>
      </c>
      <c r="V10" s="123">
        <f>Marks!H11</f>
        <v>7</v>
      </c>
      <c r="W10" s="137" t="s">
        <v>206</v>
      </c>
      <c r="X10" s="137">
        <v>-2.4384874795082574E-2</v>
      </c>
      <c r="AA10" s="123">
        <f>Marks!I11</f>
        <v>10</v>
      </c>
      <c r="AB10" s="137" t="s">
        <v>206</v>
      </c>
      <c r="AC10" s="137">
        <v>-1.3706690112928934</v>
      </c>
      <c r="AF10" s="123">
        <f>Marks!J11</f>
        <v>7</v>
      </c>
      <c r="AG10" s="137" t="s">
        <v>206</v>
      </c>
      <c r="AH10" s="137">
        <v>-0.8450799689116959</v>
      </c>
    </row>
    <row r="11" spans="1:34" x14ac:dyDescent="0.2">
      <c r="B11" s="123">
        <f>Marks!D12</f>
        <v>29</v>
      </c>
      <c r="C11" s="137" t="s">
        <v>110</v>
      </c>
      <c r="D11" s="137">
        <v>22</v>
      </c>
      <c r="G11" s="123">
        <f>Marks!E12</f>
        <v>14</v>
      </c>
      <c r="H11" s="137" t="s">
        <v>110</v>
      </c>
      <c r="I11" s="137">
        <v>14</v>
      </c>
      <c r="L11" s="123">
        <f>Marks!F12</f>
        <v>2</v>
      </c>
      <c r="M11" s="137" t="s">
        <v>110</v>
      </c>
      <c r="N11" s="137">
        <v>5</v>
      </c>
      <c r="Q11" s="123">
        <f>Marks!G12</f>
        <v>9</v>
      </c>
      <c r="R11" s="137" t="s">
        <v>110</v>
      </c>
      <c r="S11" s="137">
        <v>14</v>
      </c>
      <c r="V11" s="123">
        <f>Marks!H12</f>
        <v>6</v>
      </c>
      <c r="W11" s="137" t="s">
        <v>110</v>
      </c>
      <c r="X11" s="137">
        <v>12</v>
      </c>
      <c r="AA11" s="123">
        <f>Marks!I12</f>
        <v>8</v>
      </c>
      <c r="AB11" s="137" t="s">
        <v>110</v>
      </c>
      <c r="AC11" s="137">
        <v>10</v>
      </c>
      <c r="AF11" s="123">
        <f>Marks!J12</f>
        <v>7</v>
      </c>
      <c r="AG11" s="137" t="s">
        <v>110</v>
      </c>
      <c r="AH11" s="137">
        <v>9</v>
      </c>
    </row>
    <row r="12" spans="1:34" x14ac:dyDescent="0.2">
      <c r="B12" s="123">
        <f>Marks!D13</f>
        <v>26</v>
      </c>
      <c r="C12" s="137" t="s">
        <v>207</v>
      </c>
      <c r="D12" s="137">
        <v>8</v>
      </c>
      <c r="G12" s="123">
        <f>Marks!E13</f>
        <v>8</v>
      </c>
      <c r="H12" s="137" t="s">
        <v>207</v>
      </c>
      <c r="I12" s="137">
        <v>0</v>
      </c>
      <c r="L12" s="123">
        <f>Marks!F13</f>
        <v>2</v>
      </c>
      <c r="M12" s="137" t="s">
        <v>207</v>
      </c>
      <c r="N12" s="137">
        <v>0</v>
      </c>
      <c r="Q12" s="123">
        <f>Marks!G13</f>
        <v>9</v>
      </c>
      <c r="R12" s="137" t="s">
        <v>207</v>
      </c>
      <c r="S12" s="137">
        <v>0</v>
      </c>
      <c r="V12" s="123">
        <f>Marks!H13</f>
        <v>4</v>
      </c>
      <c r="W12" s="137" t="s">
        <v>207</v>
      </c>
      <c r="X12" s="137">
        <v>0</v>
      </c>
      <c r="AA12" s="123">
        <f>Marks!I13</f>
        <v>5</v>
      </c>
      <c r="AB12" s="137" t="s">
        <v>207</v>
      </c>
      <c r="AC12" s="137">
        <v>0</v>
      </c>
      <c r="AF12" s="123">
        <f>Marks!J13</f>
        <v>8</v>
      </c>
      <c r="AG12" s="137" t="s">
        <v>207</v>
      </c>
      <c r="AH12" s="137">
        <v>0</v>
      </c>
    </row>
    <row r="13" spans="1:34" x14ac:dyDescent="0.2">
      <c r="B13" s="123">
        <f>Marks!D14</f>
        <v>30</v>
      </c>
      <c r="C13" s="137" t="s">
        <v>208</v>
      </c>
      <c r="D13" s="137">
        <v>30</v>
      </c>
      <c r="G13" s="123">
        <f>Marks!E14</f>
        <v>11</v>
      </c>
      <c r="H13" s="137" t="s">
        <v>208</v>
      </c>
      <c r="I13" s="137">
        <v>14</v>
      </c>
      <c r="L13" s="123">
        <f>Marks!F14</f>
        <v>2</v>
      </c>
      <c r="M13" s="137" t="s">
        <v>208</v>
      </c>
      <c r="N13" s="137">
        <v>5</v>
      </c>
      <c r="Q13" s="123">
        <f>Marks!G14</f>
        <v>9</v>
      </c>
      <c r="R13" s="137" t="s">
        <v>208</v>
      </c>
      <c r="S13" s="137">
        <v>14</v>
      </c>
      <c r="V13" s="123">
        <f>Marks!H14</f>
        <v>9</v>
      </c>
      <c r="W13" s="137" t="s">
        <v>208</v>
      </c>
      <c r="X13" s="137">
        <v>12</v>
      </c>
      <c r="AA13" s="123">
        <f>Marks!I14</f>
        <v>7</v>
      </c>
      <c r="AB13" s="137" t="s">
        <v>208</v>
      </c>
      <c r="AC13" s="137">
        <v>10</v>
      </c>
      <c r="AF13" s="123">
        <f>Marks!J14</f>
        <v>7</v>
      </c>
      <c r="AG13" s="137" t="s">
        <v>208</v>
      </c>
      <c r="AH13" s="137">
        <v>9</v>
      </c>
    </row>
    <row r="14" spans="1:34" x14ac:dyDescent="0.2">
      <c r="B14" s="123">
        <f>Marks!D15</f>
        <v>28</v>
      </c>
      <c r="C14" s="137" t="s">
        <v>150</v>
      </c>
      <c r="D14" s="137">
        <v>816</v>
      </c>
      <c r="G14" s="123">
        <f>Marks!E15</f>
        <v>11</v>
      </c>
      <c r="H14" s="137" t="s">
        <v>150</v>
      </c>
      <c r="I14" s="137">
        <v>376</v>
      </c>
      <c r="L14" s="123">
        <f>Marks!F15</f>
        <v>3</v>
      </c>
      <c r="M14" s="137" t="s">
        <v>150</v>
      </c>
      <c r="N14" s="137">
        <v>91</v>
      </c>
      <c r="Q14" s="123">
        <f>Marks!G15</f>
        <v>10</v>
      </c>
      <c r="R14" s="137" t="s">
        <v>150</v>
      </c>
      <c r="S14" s="137">
        <v>332</v>
      </c>
      <c r="V14" s="123">
        <f>Marks!H15</f>
        <v>6</v>
      </c>
      <c r="W14" s="137" t="s">
        <v>150</v>
      </c>
      <c r="X14" s="137">
        <v>177</v>
      </c>
      <c r="AA14" s="123">
        <f>Marks!I15</f>
        <v>8</v>
      </c>
      <c r="AB14" s="137" t="s">
        <v>150</v>
      </c>
      <c r="AC14" s="137">
        <v>209</v>
      </c>
      <c r="AF14" s="123">
        <f>Marks!J15</f>
        <v>8</v>
      </c>
      <c r="AG14" s="137" t="s">
        <v>150</v>
      </c>
      <c r="AH14" s="137">
        <v>178</v>
      </c>
    </row>
    <row r="15" spans="1:34" x14ac:dyDescent="0.2">
      <c r="B15" s="123">
        <f>Marks!D16</f>
        <v>20</v>
      </c>
      <c r="C15" s="137" t="s">
        <v>198</v>
      </c>
      <c r="D15" s="137">
        <v>33</v>
      </c>
      <c r="G15" s="123">
        <f>Marks!E16</f>
        <v>9</v>
      </c>
      <c r="H15" s="137" t="s">
        <v>198</v>
      </c>
      <c r="I15" s="137">
        <v>33</v>
      </c>
      <c r="L15" s="123">
        <f>Marks!F16</f>
        <v>4</v>
      </c>
      <c r="M15" s="137" t="s">
        <v>198</v>
      </c>
      <c r="N15" s="137">
        <v>33</v>
      </c>
      <c r="Q15" s="123">
        <f>Marks!G16</f>
        <v>10</v>
      </c>
      <c r="R15" s="137" t="s">
        <v>198</v>
      </c>
      <c r="S15" s="137">
        <v>33</v>
      </c>
      <c r="V15" s="123">
        <f>Marks!H16</f>
        <v>4</v>
      </c>
      <c r="W15" s="137" t="s">
        <v>198</v>
      </c>
      <c r="X15" s="137">
        <v>33</v>
      </c>
      <c r="AA15" s="123">
        <f>Marks!I16</f>
        <v>7</v>
      </c>
      <c r="AB15" s="137" t="s">
        <v>198</v>
      </c>
      <c r="AC15" s="137">
        <v>33</v>
      </c>
      <c r="AF15" s="123">
        <f>Marks!J16</f>
        <v>7</v>
      </c>
      <c r="AG15" s="137" t="s">
        <v>198</v>
      </c>
      <c r="AH15" s="137">
        <v>33</v>
      </c>
    </row>
    <row r="16" spans="1:34" ht="13.5" thickBot="1" x14ac:dyDescent="0.25">
      <c r="B16" s="123">
        <f>Marks!D17</f>
        <v>26</v>
      </c>
      <c r="C16" s="138" t="s">
        <v>209</v>
      </c>
      <c r="D16" s="138">
        <v>1.6802425617623034</v>
      </c>
      <c r="G16" s="123">
        <f>Marks!E17</f>
        <v>11</v>
      </c>
      <c r="H16" s="138" t="s">
        <v>209</v>
      </c>
      <c r="I16" s="138">
        <v>0.91240697823172234</v>
      </c>
      <c r="L16" s="123">
        <f>Marks!F17</f>
        <v>2</v>
      </c>
      <c r="M16" s="138" t="s">
        <v>209</v>
      </c>
      <c r="N16" s="138">
        <v>0.42541194713654801</v>
      </c>
      <c r="Q16" s="123">
        <f>Marks!G17</f>
        <v>10</v>
      </c>
      <c r="R16" s="138" t="s">
        <v>209</v>
      </c>
      <c r="S16" s="138">
        <v>0.96269629850040805</v>
      </c>
      <c r="V16" s="123">
        <f>Marks!H17</f>
        <v>8</v>
      </c>
      <c r="W16" s="138" t="s">
        <v>209</v>
      </c>
      <c r="X16" s="138">
        <v>0.91618345942193713</v>
      </c>
      <c r="AA16" s="123">
        <f>Marks!I17</f>
        <v>6</v>
      </c>
      <c r="AB16" s="138" t="s">
        <v>209</v>
      </c>
      <c r="AC16" s="138">
        <v>0.81567300062233583</v>
      </c>
      <c r="AF16" s="123">
        <f>Marks!J17</f>
        <v>1</v>
      </c>
      <c r="AG16" s="138" t="s">
        <v>209</v>
      </c>
      <c r="AH16" s="138">
        <v>1.0523884085667092</v>
      </c>
    </row>
    <row r="17" spans="2:32" x14ac:dyDescent="0.2">
      <c r="B17" s="123">
        <f>Marks!D18</f>
        <v>24</v>
      </c>
      <c r="G17" s="123">
        <f>Marks!E18</f>
        <v>11</v>
      </c>
      <c r="L17" s="123">
        <f>Marks!F18</f>
        <v>4</v>
      </c>
      <c r="Q17" s="123">
        <f>Marks!G18</f>
        <v>4</v>
      </c>
      <c r="V17" s="123">
        <f>Marks!H18</f>
        <v>5</v>
      </c>
      <c r="AA17" s="123">
        <f>Marks!I18</f>
        <v>6</v>
      </c>
      <c r="AF17" s="123">
        <f>Marks!J18</f>
        <v>6</v>
      </c>
    </row>
    <row r="18" spans="2:32" x14ac:dyDescent="0.2">
      <c r="B18" s="123">
        <f>Marks!D19</f>
        <v>21</v>
      </c>
      <c r="G18" s="123">
        <f>Marks!E19</f>
        <v>10</v>
      </c>
      <c r="L18" s="123">
        <f>Marks!F19</f>
        <v>4</v>
      </c>
      <c r="Q18" s="123">
        <f>Marks!G19</f>
        <v>12</v>
      </c>
      <c r="V18" s="123">
        <f>Marks!H19</f>
        <v>3</v>
      </c>
      <c r="AA18" s="123">
        <f>Marks!I19</f>
        <v>3</v>
      </c>
      <c r="AF18" s="123">
        <f>Marks!J19</f>
        <v>0</v>
      </c>
    </row>
    <row r="19" spans="2:32" x14ac:dyDescent="0.2">
      <c r="B19" s="123">
        <f>Marks!D20</f>
        <v>23</v>
      </c>
      <c r="G19" s="123">
        <f>Marks!E20</f>
        <v>13</v>
      </c>
      <c r="L19" s="123">
        <f>Marks!F20</f>
        <v>1</v>
      </c>
      <c r="Q19" s="123">
        <f>Marks!G20</f>
        <v>11</v>
      </c>
      <c r="V19" s="123">
        <f>Marks!H20</f>
        <v>4</v>
      </c>
      <c r="AA19" s="123">
        <f>Marks!I20</f>
        <v>8</v>
      </c>
      <c r="AF19" s="123">
        <f>Marks!J20</f>
        <v>8</v>
      </c>
    </row>
    <row r="20" spans="2:32" x14ac:dyDescent="0.2">
      <c r="B20" s="123">
        <f>Marks!D21</f>
        <v>30</v>
      </c>
      <c r="G20" s="123">
        <f>Marks!E21</f>
        <v>13</v>
      </c>
      <c r="L20" s="123">
        <f>Marks!F21</f>
        <v>3</v>
      </c>
      <c r="Q20" s="123">
        <f>Marks!G21</f>
        <v>11</v>
      </c>
      <c r="V20" s="123">
        <f>Marks!H21</f>
        <v>4</v>
      </c>
      <c r="AA20" s="123">
        <f>Marks!I21</f>
        <v>7</v>
      </c>
      <c r="AF20" s="123">
        <f>Marks!J21</f>
        <v>6</v>
      </c>
    </row>
    <row r="21" spans="2:32" x14ac:dyDescent="0.2">
      <c r="B21" s="123">
        <f>Marks!D22</f>
        <v>27</v>
      </c>
      <c r="G21" s="123">
        <f>Marks!E22</f>
        <v>13</v>
      </c>
      <c r="L21" s="123">
        <f>Marks!F22</f>
        <v>2</v>
      </c>
      <c r="Q21" s="123">
        <f>Marks!G22</f>
        <v>9</v>
      </c>
      <c r="V21" s="123">
        <f>Marks!H22</f>
        <v>4</v>
      </c>
      <c r="AA21" s="123">
        <f>Marks!I22</f>
        <v>7</v>
      </c>
      <c r="AF21" s="123">
        <f>Marks!J22</f>
        <v>5</v>
      </c>
    </row>
    <row r="22" spans="2:32" x14ac:dyDescent="0.2">
      <c r="B22" s="123">
        <f>Marks!D23</f>
        <v>28</v>
      </c>
      <c r="G22" s="123">
        <f>Marks!E23</f>
        <v>13</v>
      </c>
      <c r="L22" s="123">
        <f>Marks!F23</f>
        <v>2</v>
      </c>
      <c r="Q22" s="123">
        <f>Marks!G23</f>
        <v>10</v>
      </c>
      <c r="V22" s="123">
        <f>Marks!H23</f>
        <v>4</v>
      </c>
      <c r="AA22" s="123">
        <f>Marks!I23</f>
        <v>7</v>
      </c>
      <c r="AF22" s="123">
        <f>Marks!J23</f>
        <v>4</v>
      </c>
    </row>
    <row r="23" spans="2:32" x14ac:dyDescent="0.2">
      <c r="B23" s="123">
        <f>Marks!D24</f>
        <v>26</v>
      </c>
      <c r="G23" s="123">
        <f>Marks!E24</f>
        <v>14</v>
      </c>
      <c r="L23" s="123">
        <f>Marks!F24</f>
        <v>5</v>
      </c>
      <c r="Q23" s="123">
        <f>Marks!G24</f>
        <v>11</v>
      </c>
      <c r="V23" s="123">
        <f>Marks!H24</f>
        <v>7</v>
      </c>
      <c r="AA23" s="123">
        <f>Marks!I24</f>
        <v>7</v>
      </c>
      <c r="AF23" s="123">
        <f>Marks!J24</f>
        <v>8</v>
      </c>
    </row>
    <row r="24" spans="2:32" x14ac:dyDescent="0.2">
      <c r="B24" s="123">
        <f>Marks!D25</f>
        <v>28</v>
      </c>
      <c r="G24" s="123">
        <f>Marks!E25</f>
        <v>14</v>
      </c>
      <c r="L24" s="123">
        <f>Marks!F25</f>
        <v>2</v>
      </c>
      <c r="Q24" s="123">
        <f>Marks!G25</f>
        <v>10</v>
      </c>
      <c r="V24" s="123">
        <f>Marks!H25</f>
        <v>4</v>
      </c>
      <c r="AA24" s="123">
        <f>Marks!I25</f>
        <v>3</v>
      </c>
      <c r="AF24" s="123">
        <f>Marks!J25</f>
        <v>6</v>
      </c>
    </row>
    <row r="25" spans="2:32" x14ac:dyDescent="0.2">
      <c r="B25" s="123">
        <f>Marks!D26</f>
        <v>15</v>
      </c>
      <c r="G25" s="123">
        <f>Marks!E26</f>
        <v>10</v>
      </c>
      <c r="L25" s="123">
        <f>Marks!F26</f>
        <v>3</v>
      </c>
      <c r="Q25" s="123">
        <f>Marks!G26</f>
        <v>9</v>
      </c>
      <c r="V25" s="123">
        <f>Marks!H26</f>
        <v>12</v>
      </c>
      <c r="AA25" s="123">
        <f>Marks!I26</f>
        <v>7</v>
      </c>
      <c r="AF25" s="123">
        <f>Marks!J26</f>
        <v>5</v>
      </c>
    </row>
    <row r="26" spans="2:32" x14ac:dyDescent="0.2">
      <c r="B26" s="123">
        <f>Marks!D27</f>
        <v>27</v>
      </c>
      <c r="G26" s="123">
        <f>Marks!E27</f>
        <v>12</v>
      </c>
      <c r="L26" s="123">
        <f>Marks!F27</f>
        <v>3</v>
      </c>
      <c r="Q26" s="123">
        <f>Marks!G27</f>
        <v>10</v>
      </c>
      <c r="V26" s="123">
        <f>Marks!H27</f>
        <v>7</v>
      </c>
      <c r="AA26" s="123">
        <f>Marks!I27</f>
        <v>6</v>
      </c>
      <c r="AF26" s="123">
        <f>Marks!J27</f>
        <v>8</v>
      </c>
    </row>
    <row r="27" spans="2:32" x14ac:dyDescent="0.2">
      <c r="B27" s="123">
        <f>Marks!D28</f>
        <v>20</v>
      </c>
      <c r="G27" s="123">
        <f>Marks!E28</f>
        <v>12</v>
      </c>
      <c r="L27" s="123">
        <f>Marks!F28</f>
        <v>2</v>
      </c>
      <c r="Q27" s="123">
        <f>Marks!G28</f>
        <v>9</v>
      </c>
      <c r="V27" s="123">
        <f>Marks!H28</f>
        <v>5</v>
      </c>
      <c r="AA27" s="123">
        <f>Marks!I28</f>
        <v>3</v>
      </c>
      <c r="AF27" s="123">
        <f>Marks!J28</f>
        <v>3</v>
      </c>
    </row>
    <row r="28" spans="2:32" x14ac:dyDescent="0.2">
      <c r="B28" s="123">
        <f>Marks!D29</f>
        <v>8</v>
      </c>
      <c r="G28" s="123">
        <f>Marks!E29</f>
        <v>0</v>
      </c>
      <c r="L28" s="123">
        <f>Marks!F29</f>
        <v>0</v>
      </c>
      <c r="Q28" s="123">
        <f>Marks!G29</f>
        <v>0</v>
      </c>
      <c r="V28" s="123">
        <f>Marks!H29</f>
        <v>0</v>
      </c>
      <c r="AA28" s="123">
        <f>Marks!I29</f>
        <v>0</v>
      </c>
      <c r="AF28" s="123">
        <f>Marks!J29</f>
        <v>0</v>
      </c>
    </row>
    <row r="29" spans="2:32" x14ac:dyDescent="0.2">
      <c r="B29" s="123">
        <f>Marks!D30</f>
        <v>28</v>
      </c>
      <c r="G29" s="123">
        <f>Marks!E30</f>
        <v>11</v>
      </c>
      <c r="L29" s="123">
        <f>Marks!F30</f>
        <v>3</v>
      </c>
      <c r="Q29" s="123">
        <f>Marks!G30</f>
        <v>10</v>
      </c>
      <c r="V29" s="123">
        <f>Marks!H30</f>
        <v>7</v>
      </c>
      <c r="AA29" s="123">
        <f>Marks!I30</f>
        <v>5</v>
      </c>
      <c r="AF29" s="123">
        <f>Marks!J30</f>
        <v>5</v>
      </c>
    </row>
    <row r="30" spans="2:32" x14ac:dyDescent="0.2">
      <c r="B30" s="123">
        <f>Marks!D31</f>
        <v>27</v>
      </c>
      <c r="G30" s="123">
        <f>Marks!E31</f>
        <v>12</v>
      </c>
      <c r="L30" s="123">
        <f>Marks!F31</f>
        <v>4</v>
      </c>
      <c r="Q30" s="123">
        <f>Marks!G31</f>
        <v>13</v>
      </c>
      <c r="V30" s="123">
        <f>Marks!H31</f>
        <v>6</v>
      </c>
      <c r="AA30" s="123">
        <f>Marks!I31</f>
        <v>9</v>
      </c>
      <c r="AF30" s="123">
        <f>Marks!J31</f>
        <v>7</v>
      </c>
    </row>
    <row r="31" spans="2:32" x14ac:dyDescent="0.2">
      <c r="B31" s="123">
        <f>Marks!D32</f>
        <v>26</v>
      </c>
      <c r="G31" s="123">
        <f>Marks!E32</f>
        <v>14</v>
      </c>
      <c r="L31" s="123">
        <f>Marks!F32</f>
        <v>4</v>
      </c>
      <c r="Q31" s="123">
        <f>Marks!G32</f>
        <v>9</v>
      </c>
      <c r="V31" s="123">
        <f>Marks!H32</f>
        <v>7</v>
      </c>
      <c r="AA31" s="123">
        <f>Marks!I32</f>
        <v>8</v>
      </c>
      <c r="AF31" s="123">
        <f>Marks!J32</f>
        <v>9</v>
      </c>
    </row>
    <row r="32" spans="2:32" x14ac:dyDescent="0.2">
      <c r="B32" s="123">
        <f>Marks!D33</f>
        <v>24</v>
      </c>
      <c r="G32" s="123">
        <f>Marks!E33</f>
        <v>11</v>
      </c>
      <c r="L32" s="123">
        <f>Marks!F33</f>
        <v>4</v>
      </c>
      <c r="Q32" s="123">
        <f>Marks!G33</f>
        <v>14</v>
      </c>
      <c r="V32" s="123">
        <f>Marks!H33</f>
        <v>7</v>
      </c>
      <c r="AA32" s="123">
        <f>Marks!I33</f>
        <v>7</v>
      </c>
      <c r="AF32" s="123">
        <f>Marks!J33</f>
        <v>9</v>
      </c>
    </row>
    <row r="33" spans="2:32" x14ac:dyDescent="0.2">
      <c r="B33" s="123">
        <f>Marks!D34</f>
        <v>23</v>
      </c>
      <c r="G33" s="123">
        <f>Marks!E34</f>
        <v>9</v>
      </c>
      <c r="L33" s="123">
        <f>Marks!F34</f>
        <v>4</v>
      </c>
      <c r="Q33" s="123">
        <f>Marks!G34</f>
        <v>10</v>
      </c>
      <c r="V33" s="123">
        <f>Marks!H34</f>
        <v>5</v>
      </c>
      <c r="AA33" s="123">
        <f>Marks!I34</f>
        <v>6</v>
      </c>
      <c r="AF33" s="123">
        <f>Marks!J34</f>
        <v>6</v>
      </c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6"/>
  <sheetViews>
    <sheetView workbookViewId="0">
      <selection activeCell="A2" sqref="A2:H16"/>
    </sheetView>
  </sheetViews>
  <sheetFormatPr defaultColWidth="8.85546875" defaultRowHeight="12.75" x14ac:dyDescent="0.2"/>
  <cols>
    <col min="1" max="1" width="21.7109375" style="123" bestFit="1" customWidth="1"/>
    <col min="2" max="2" width="18.5703125" style="123" bestFit="1" customWidth="1"/>
    <col min="3" max="3" width="12.42578125" style="123" bestFit="1" customWidth="1"/>
    <col min="4" max="4" width="15.5703125" style="123" bestFit="1" customWidth="1"/>
    <col min="5" max="5" width="11" style="123" bestFit="1" customWidth="1"/>
    <col min="6" max="6" width="9.7109375" style="123" bestFit="1" customWidth="1"/>
    <col min="7" max="8" width="8.85546875" style="123"/>
    <col min="9" max="9" width="21.7109375" style="123" bestFit="1" customWidth="1"/>
    <col min="10" max="11" width="5.5703125" style="123" bestFit="1" customWidth="1"/>
    <col min="12" max="12" width="4.5703125" style="123" bestFit="1" customWidth="1"/>
    <col min="13" max="13" width="5.5703125" style="123" bestFit="1" customWidth="1"/>
    <col min="14" max="16" width="6.5703125" style="123" bestFit="1" customWidth="1"/>
    <col min="17" max="16384" width="8.85546875" style="123"/>
  </cols>
  <sheetData>
    <row r="2" spans="1:8" x14ac:dyDescent="0.2">
      <c r="A2" s="145"/>
      <c r="B2" s="146" t="s">
        <v>194</v>
      </c>
      <c r="C2" s="145" t="str">
        <f>'Analytics per Qn'!H1</f>
        <v>1b</v>
      </c>
      <c r="D2" s="145" t="str">
        <f>'Analytics per Qn'!M1</f>
        <v>1c</v>
      </c>
      <c r="E2" s="145" t="str">
        <f>'Analytics per Qn'!R1</f>
        <v>1d</v>
      </c>
      <c r="F2" s="146" t="s">
        <v>192</v>
      </c>
      <c r="G2" s="146" t="s">
        <v>196</v>
      </c>
      <c r="H2" s="146" t="s">
        <v>195</v>
      </c>
    </row>
    <row r="3" spans="1:8" x14ac:dyDescent="0.2">
      <c r="A3" s="145" t="s">
        <v>105</v>
      </c>
      <c r="B3" s="147">
        <f>'Analytics per Qn'!D3</f>
        <v>24.727272727272727</v>
      </c>
      <c r="C3" s="147">
        <f>'Analytics per Qn'!I3</f>
        <v>11.393939393939394</v>
      </c>
      <c r="D3" s="147">
        <f>'Analytics per Qn'!N3</f>
        <v>2.7575757575757578</v>
      </c>
      <c r="E3" s="147">
        <f>'Analytics per Qn'!S3</f>
        <v>10.060606060606061</v>
      </c>
      <c r="F3" s="148">
        <f>'Analytics per Qn'!X3</f>
        <v>5.3636363636363633</v>
      </c>
      <c r="G3" s="148">
        <f>'Analytics per Qn'!AC3</f>
        <v>6.333333333333333</v>
      </c>
      <c r="H3" s="148">
        <f>'Analytics per Qn'!AH3</f>
        <v>5.3939393939393936</v>
      </c>
    </row>
    <row r="4" spans="1:8" x14ac:dyDescent="0.2">
      <c r="A4" s="145" t="s">
        <v>200</v>
      </c>
      <c r="B4" s="147">
        <f>'Analytics per Qn'!D4</f>
        <v>0.8248883387161341</v>
      </c>
      <c r="C4" s="147">
        <f>'Analytics per Qn'!I4</f>
        <v>0.44793168179074205</v>
      </c>
      <c r="D4" s="147">
        <f>'Analytics per Qn'!N4</f>
        <v>0.2088492235165185</v>
      </c>
      <c r="E4" s="147">
        <f>'Analytics per Qn'!S4</f>
        <v>0.47262042304491592</v>
      </c>
      <c r="F4" s="148">
        <f>'Analytics per Qn'!X4</f>
        <v>0.44978568511507261</v>
      </c>
      <c r="G4" s="148">
        <f>'Analytics per Qn'!AC4</f>
        <v>0.40044167534553055</v>
      </c>
      <c r="H4" s="148">
        <f>'Analytics per Qn'!AH4</f>
        <v>0.51665333671598523</v>
      </c>
    </row>
    <row r="5" spans="1:8" x14ac:dyDescent="0.2">
      <c r="A5" s="145" t="s">
        <v>201</v>
      </c>
      <c r="B5" s="147">
        <f>'Analytics per Qn'!D5</f>
        <v>26</v>
      </c>
      <c r="C5" s="147">
        <f>'Analytics per Qn'!I5</f>
        <v>12</v>
      </c>
      <c r="D5" s="147">
        <f>'Analytics per Qn'!N5</f>
        <v>3</v>
      </c>
      <c r="E5" s="147">
        <f>'Analytics per Qn'!S5</f>
        <v>10</v>
      </c>
      <c r="F5" s="148">
        <f>'Analytics per Qn'!X5</f>
        <v>6</v>
      </c>
      <c r="G5" s="148">
        <f>'Analytics per Qn'!AC5</f>
        <v>7</v>
      </c>
      <c r="H5" s="148">
        <f>'Analytics per Qn'!AH5</f>
        <v>6</v>
      </c>
    </row>
    <row r="6" spans="1:8" x14ac:dyDescent="0.2">
      <c r="A6" s="145" t="s">
        <v>202</v>
      </c>
      <c r="B6" s="147">
        <f>'Analytics per Qn'!D6</f>
        <v>28</v>
      </c>
      <c r="C6" s="147">
        <f>'Analytics per Qn'!I6</f>
        <v>11</v>
      </c>
      <c r="D6" s="147">
        <f>'Analytics per Qn'!N6</f>
        <v>3</v>
      </c>
      <c r="E6" s="147">
        <f>'Analytics per Qn'!S6</f>
        <v>9</v>
      </c>
      <c r="F6" s="148">
        <f>'Analytics per Qn'!X6</f>
        <v>4</v>
      </c>
      <c r="G6" s="148">
        <f>'Analytics per Qn'!AC6</f>
        <v>7</v>
      </c>
      <c r="H6" s="148">
        <f>'Analytics per Qn'!AH6</f>
        <v>8</v>
      </c>
    </row>
    <row r="7" spans="1:8" x14ac:dyDescent="0.2">
      <c r="A7" s="145" t="s">
        <v>203</v>
      </c>
      <c r="B7" s="147">
        <f>'Analytics per Qn'!D7</f>
        <v>4.7386227381535129</v>
      </c>
      <c r="C7" s="147">
        <f>'Analytics per Qn'!I7</f>
        <v>2.5731716074160551</v>
      </c>
      <c r="D7" s="147">
        <f>'Analytics per Qn'!N7</f>
        <v>1.1997474481714638</v>
      </c>
      <c r="E7" s="147">
        <f>'Analytics per Qn'!S7</f>
        <v>2.7149976282148249</v>
      </c>
      <c r="F7" s="148">
        <f>'Analytics per Qn'!X7</f>
        <v>2.583822045659562</v>
      </c>
      <c r="G7" s="148">
        <f>'Analytics per Qn'!AC7</f>
        <v>2.3003622903070431</v>
      </c>
      <c r="H7" s="148">
        <f>'Analytics per Qn'!AH7</f>
        <v>2.9679474593078834</v>
      </c>
    </row>
    <row r="8" spans="1:8" x14ac:dyDescent="0.2">
      <c r="A8" s="145" t="s">
        <v>204</v>
      </c>
      <c r="B8" s="147">
        <f>'Analytics per Qn'!D8</f>
        <v>22.454545454545496</v>
      </c>
      <c r="C8" s="147">
        <f>'Analytics per Qn'!I8</f>
        <v>6.6212121212121247</v>
      </c>
      <c r="D8" s="147">
        <f>'Analytics per Qn'!N8</f>
        <v>1.4393939393939394</v>
      </c>
      <c r="E8" s="147">
        <f>'Analytics per Qn'!S8</f>
        <v>7.3712121212121247</v>
      </c>
      <c r="F8" s="148">
        <f>'Analytics per Qn'!X8</f>
        <v>6.6761363636363633</v>
      </c>
      <c r="G8" s="148">
        <f>'Analytics per Qn'!AC8</f>
        <v>5.2916666666666643</v>
      </c>
      <c r="H8" s="148">
        <f>'Analytics per Qn'!AH8</f>
        <v>8.8087121212121211</v>
      </c>
    </row>
    <row r="9" spans="1:8" x14ac:dyDescent="0.2">
      <c r="A9" s="145" t="s">
        <v>205</v>
      </c>
      <c r="B9" s="147">
        <f>'Analytics per Qn'!D9</f>
        <v>3.739222610730621</v>
      </c>
      <c r="C9" s="147">
        <f>'Analytics per Qn'!I9</f>
        <v>11.604491727165991</v>
      </c>
      <c r="D9" s="147">
        <f>'Analytics per Qn'!N9</f>
        <v>5.3444017514072684E-2</v>
      </c>
      <c r="E9" s="147">
        <f>'Analytics per Qn'!S9</f>
        <v>5.5342276747179664</v>
      </c>
      <c r="F9" s="148">
        <f>'Analytics per Qn'!X9</f>
        <v>0.45783285386760664</v>
      </c>
      <c r="G9" s="148">
        <f>'Analytics per Qn'!AC9</f>
        <v>1.9914279828559631</v>
      </c>
      <c r="H9" s="148">
        <f>'Analytics per Qn'!AH9</f>
        <v>-0.6200257219571359</v>
      </c>
    </row>
    <row r="10" spans="1:8" x14ac:dyDescent="0.2">
      <c r="A10" s="145" t="s">
        <v>206</v>
      </c>
      <c r="B10" s="147">
        <f>'Analytics per Qn'!D10</f>
        <v>-1.6946483221985815</v>
      </c>
      <c r="C10" s="147">
        <f>'Analytics per Qn'!I10</f>
        <v>-2.8104990510446641</v>
      </c>
      <c r="D10" s="147">
        <f>'Analytics per Qn'!N10</f>
        <v>-0.53997640510012967</v>
      </c>
      <c r="E10" s="147">
        <f>'Analytics per Qn'!S10</f>
        <v>-1.5739663799897878</v>
      </c>
      <c r="F10" s="148">
        <f>'Analytics per Qn'!X10</f>
        <v>-2.4384874795082574E-2</v>
      </c>
      <c r="G10" s="148">
        <f>'Analytics per Qn'!AC10</f>
        <v>-1.3706690112928934</v>
      </c>
      <c r="H10" s="148">
        <f>'Analytics per Qn'!AH10</f>
        <v>-0.8450799689116959</v>
      </c>
    </row>
    <row r="11" spans="1:8" x14ac:dyDescent="0.2">
      <c r="A11" s="145" t="s">
        <v>110</v>
      </c>
      <c r="B11" s="147">
        <f>'Analytics per Qn'!D11</f>
        <v>22</v>
      </c>
      <c r="C11" s="147">
        <f>'Analytics per Qn'!I11</f>
        <v>14</v>
      </c>
      <c r="D11" s="147">
        <f>'Analytics per Qn'!N11</f>
        <v>5</v>
      </c>
      <c r="E11" s="147">
        <f>'Analytics per Qn'!S11</f>
        <v>14</v>
      </c>
      <c r="F11" s="148">
        <f>'Analytics per Qn'!X11</f>
        <v>12</v>
      </c>
      <c r="G11" s="148">
        <f>'Analytics per Qn'!AC11</f>
        <v>10</v>
      </c>
      <c r="H11" s="148">
        <f>'Analytics per Qn'!AH11</f>
        <v>9</v>
      </c>
    </row>
    <row r="12" spans="1:8" x14ac:dyDescent="0.2">
      <c r="A12" s="145" t="s">
        <v>207</v>
      </c>
      <c r="B12" s="147">
        <f>'Analytics per Qn'!D12</f>
        <v>8</v>
      </c>
      <c r="C12" s="147">
        <f>'Analytics per Qn'!I12</f>
        <v>0</v>
      </c>
      <c r="D12" s="147">
        <f>'Analytics per Qn'!N12</f>
        <v>0</v>
      </c>
      <c r="E12" s="147">
        <f>'Analytics per Qn'!S12</f>
        <v>0</v>
      </c>
      <c r="F12" s="148">
        <f>'Analytics per Qn'!X12</f>
        <v>0</v>
      </c>
      <c r="G12" s="148">
        <f>'Analytics per Qn'!AC12</f>
        <v>0</v>
      </c>
      <c r="H12" s="148">
        <f>'Analytics per Qn'!AH12</f>
        <v>0</v>
      </c>
    </row>
    <row r="13" spans="1:8" x14ac:dyDescent="0.2">
      <c r="A13" s="145" t="s">
        <v>208</v>
      </c>
      <c r="B13" s="147">
        <f>'Analytics per Qn'!D13</f>
        <v>30</v>
      </c>
      <c r="C13" s="147">
        <f>'Analytics per Qn'!I13</f>
        <v>14</v>
      </c>
      <c r="D13" s="147">
        <f>'Analytics per Qn'!N13</f>
        <v>5</v>
      </c>
      <c r="E13" s="147">
        <f>'Analytics per Qn'!S13</f>
        <v>14</v>
      </c>
      <c r="F13" s="148">
        <f>'Analytics per Qn'!X13</f>
        <v>12</v>
      </c>
      <c r="G13" s="148">
        <f>'Analytics per Qn'!AC13</f>
        <v>10</v>
      </c>
      <c r="H13" s="148">
        <f>'Analytics per Qn'!AH13</f>
        <v>9</v>
      </c>
    </row>
    <row r="14" spans="1:8" x14ac:dyDescent="0.2">
      <c r="A14" s="145" t="s">
        <v>150</v>
      </c>
      <c r="B14" s="147">
        <f>'Analytics per Qn'!D14</f>
        <v>816</v>
      </c>
      <c r="C14" s="147">
        <f>'Analytics per Qn'!I14</f>
        <v>376</v>
      </c>
      <c r="D14" s="147">
        <f>'Analytics per Qn'!N14</f>
        <v>91</v>
      </c>
      <c r="E14" s="147">
        <f>'Analytics per Qn'!S14</f>
        <v>332</v>
      </c>
      <c r="F14" s="148">
        <f>'Analytics per Qn'!X14</f>
        <v>177</v>
      </c>
      <c r="G14" s="148">
        <f>'Analytics per Qn'!AC14</f>
        <v>209</v>
      </c>
      <c r="H14" s="148">
        <f>'Analytics per Qn'!AH14</f>
        <v>178</v>
      </c>
    </row>
    <row r="15" spans="1:8" x14ac:dyDescent="0.2">
      <c r="A15" s="145" t="s">
        <v>198</v>
      </c>
      <c r="B15" s="147">
        <f>'Analytics per Qn'!D15</f>
        <v>33</v>
      </c>
      <c r="C15" s="147">
        <f>'Analytics per Qn'!I15</f>
        <v>33</v>
      </c>
      <c r="D15" s="147">
        <f>'Analytics per Qn'!N15</f>
        <v>33</v>
      </c>
      <c r="E15" s="147">
        <f>'Analytics per Qn'!S15</f>
        <v>33</v>
      </c>
      <c r="F15" s="148">
        <f>'Analytics per Qn'!X15</f>
        <v>33</v>
      </c>
      <c r="G15" s="148">
        <f>'Analytics per Qn'!AC15</f>
        <v>33</v>
      </c>
      <c r="H15" s="148">
        <f>'Analytics per Qn'!AH15</f>
        <v>33</v>
      </c>
    </row>
    <row r="16" spans="1:8" x14ac:dyDescent="0.2">
      <c r="A16" s="145" t="s">
        <v>209</v>
      </c>
      <c r="B16" s="147">
        <f>'Analytics per Qn'!D16</f>
        <v>1.6802425617623034</v>
      </c>
      <c r="C16" s="147">
        <f>'Analytics per Qn'!I16</f>
        <v>0.91240697823172234</v>
      </c>
      <c r="D16" s="147">
        <f>'Analytics per Qn'!N16</f>
        <v>0.42541194713654801</v>
      </c>
      <c r="E16" s="147">
        <f>'Analytics per Qn'!S16</f>
        <v>0.96269629850040805</v>
      </c>
      <c r="F16" s="148">
        <f>'Analytics per Qn'!X16</f>
        <v>0.91618345942193713</v>
      </c>
      <c r="G16" s="148">
        <f>'Analytics per Qn'!AC16</f>
        <v>0.81567300062233583</v>
      </c>
      <c r="H16" s="148">
        <f>'Analytics per Qn'!AH16</f>
        <v>1.0523884085667092</v>
      </c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E1FD-B3E7-4836-BEB6-5505DAAA0FB7}">
  <dimension ref="A1:F8"/>
  <sheetViews>
    <sheetView workbookViewId="0">
      <selection sqref="A1:F8"/>
    </sheetView>
  </sheetViews>
  <sheetFormatPr defaultColWidth="8.85546875" defaultRowHeight="12.75" x14ac:dyDescent="0.2"/>
  <cols>
    <col min="1" max="1" width="4.140625" style="123" bestFit="1" customWidth="1"/>
    <col min="2" max="2" width="18.5703125" style="123" bestFit="1" customWidth="1"/>
    <col min="3" max="3" width="12.42578125" style="123" bestFit="1" customWidth="1"/>
    <col min="4" max="4" width="15.5703125" style="123" bestFit="1" customWidth="1"/>
    <col min="5" max="5" width="11" style="123" bestFit="1" customWidth="1"/>
    <col min="6" max="6" width="9.7109375" style="123" bestFit="1" customWidth="1"/>
    <col min="7" max="8" width="8.85546875" style="123"/>
    <col min="9" max="9" width="21.7109375" style="123" bestFit="1" customWidth="1"/>
    <col min="10" max="11" width="5.5703125" style="123" bestFit="1" customWidth="1"/>
    <col min="12" max="12" width="4.5703125" style="123" bestFit="1" customWidth="1"/>
    <col min="13" max="13" width="5.5703125" style="123" bestFit="1" customWidth="1"/>
    <col min="14" max="16" width="6.5703125" style="123" bestFit="1" customWidth="1"/>
    <col min="17" max="16384" width="8.85546875" style="123"/>
  </cols>
  <sheetData>
    <row r="1" spans="1:6" x14ac:dyDescent="0.2">
      <c r="A1" s="139" t="s">
        <v>0</v>
      </c>
      <c r="B1" s="139" t="s">
        <v>189</v>
      </c>
      <c r="C1" s="139" t="s">
        <v>190</v>
      </c>
      <c r="D1" s="139" t="s">
        <v>191</v>
      </c>
      <c r="E1" s="139" t="s">
        <v>219</v>
      </c>
      <c r="F1" s="139" t="s">
        <v>197</v>
      </c>
    </row>
    <row r="2" spans="1:6" ht="51" x14ac:dyDescent="0.2">
      <c r="A2" s="140">
        <v>1</v>
      </c>
      <c r="B2" s="141" t="s">
        <v>218</v>
      </c>
      <c r="C2" s="142"/>
      <c r="D2" s="142"/>
      <c r="E2" s="142"/>
      <c r="F2" s="142"/>
    </row>
    <row r="3" spans="1:6" ht="51" x14ac:dyDescent="0.2">
      <c r="A3" s="140">
        <v>2</v>
      </c>
      <c r="B3" s="141" t="s">
        <v>215</v>
      </c>
      <c r="C3" s="140">
        <v>2</v>
      </c>
      <c r="D3" s="139" t="s">
        <v>192</v>
      </c>
      <c r="E3" s="143">
        <f>'Analytics per Qn'!X3</f>
        <v>5.3636363636363633</v>
      </c>
      <c r="F3" s="143">
        <f>E3/10*100</f>
        <v>53.63636363636364</v>
      </c>
    </row>
    <row r="4" spans="1:6" ht="38.25" x14ac:dyDescent="0.2">
      <c r="A4" s="140">
        <v>3</v>
      </c>
      <c r="B4" s="141" t="s">
        <v>214</v>
      </c>
      <c r="C4" s="140">
        <v>2</v>
      </c>
      <c r="D4" s="139" t="s">
        <v>193</v>
      </c>
      <c r="E4" s="143">
        <f>'Analytics per Qn'!N3</f>
        <v>2.7575757575757578</v>
      </c>
      <c r="F4" s="143">
        <f>E4/8*100</f>
        <v>34.469696969696969</v>
      </c>
    </row>
    <row r="5" spans="1:6" ht="51" x14ac:dyDescent="0.2">
      <c r="A5" s="140">
        <v>4</v>
      </c>
      <c r="B5" s="141" t="s">
        <v>213</v>
      </c>
      <c r="C5" s="140">
        <v>5</v>
      </c>
      <c r="D5" s="139" t="s">
        <v>194</v>
      </c>
      <c r="E5" s="143">
        <f>'Analytics per Qn'!D3</f>
        <v>24.727272727272727</v>
      </c>
      <c r="F5" s="143">
        <f>E5/33*100</f>
        <v>74.931129476584019</v>
      </c>
    </row>
    <row r="6" spans="1:6" ht="38.25" x14ac:dyDescent="0.2">
      <c r="A6" s="140">
        <v>5</v>
      </c>
      <c r="B6" s="141" t="s">
        <v>217</v>
      </c>
      <c r="C6" s="140">
        <v>3</v>
      </c>
      <c r="D6" s="139" t="s">
        <v>195</v>
      </c>
      <c r="E6" s="143">
        <f>'Analytics per Qn'!AH3</f>
        <v>5.3939393939393936</v>
      </c>
      <c r="F6" s="143">
        <f>E6/10*100</f>
        <v>53.939393939393931</v>
      </c>
    </row>
    <row r="7" spans="1:6" ht="51" x14ac:dyDescent="0.2">
      <c r="A7" s="140">
        <v>6</v>
      </c>
      <c r="B7" s="141" t="s">
        <v>212</v>
      </c>
      <c r="C7" s="140">
        <v>5</v>
      </c>
      <c r="D7" s="140">
        <v>1</v>
      </c>
      <c r="E7" s="143">
        <f>'Analytics per Qn'!D3+'Analytics per Qn'!I3+'Analytics per Qn'!N3+'Analytics per Qn'!S3</f>
        <v>48.939393939393945</v>
      </c>
      <c r="F7" s="143">
        <f>E7/(33+14+8+15)*100</f>
        <v>69.913419913419915</v>
      </c>
    </row>
    <row r="8" spans="1:6" ht="63.75" x14ac:dyDescent="0.2">
      <c r="A8" s="140">
        <v>7</v>
      </c>
      <c r="B8" s="141" t="s">
        <v>216</v>
      </c>
      <c r="C8" s="140">
        <v>4</v>
      </c>
      <c r="D8" s="139" t="s">
        <v>196</v>
      </c>
      <c r="E8" s="143">
        <f>'Analytics per Qn'!AC3</f>
        <v>6.333333333333333</v>
      </c>
      <c r="F8" s="143">
        <f>E8/10*100</f>
        <v>63.333333333333329</v>
      </c>
    </row>
  </sheetData>
  <sortState xmlns:xlrd2="http://schemas.microsoft.com/office/spreadsheetml/2017/richdata2" ref="A2:F8">
    <sortCondition ref="A2:A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Input Mark</vt:lpstr>
      <vt:lpstr>Marks</vt:lpstr>
      <vt:lpstr>Analytics per Qn</vt:lpstr>
      <vt:lpstr>Stats</vt:lpstr>
      <vt:lpstr>Bloom</vt:lpstr>
      <vt:lpstr>Sheet1!Print_Titles</vt:lpstr>
    </vt:vector>
  </TitlesOfParts>
  <Company>SIM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Munish Kumar</cp:lastModifiedBy>
  <cp:lastPrinted>2015-08-31T07:19:41Z</cp:lastPrinted>
  <dcterms:created xsi:type="dcterms:W3CDTF">2009-03-07T07:52:50Z</dcterms:created>
  <dcterms:modified xsi:type="dcterms:W3CDTF">2021-09-17T15:33:59Z</dcterms:modified>
</cp:coreProperties>
</file>