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00" windowWidth="18855" windowHeight="9405"/>
  </bookViews>
  <sheets>
    <sheet name="craft &amp; coin cost" sheetId="1" r:id="rId1"/>
    <sheet name="OLD Recipies" sheetId="2" state="hidden" r:id="rId2"/>
  </sheets>
  <calcPr calcId="145621"/>
</workbook>
</file>

<file path=xl/calcChain.xml><?xml version="1.0" encoding="utf-8"?>
<calcChain xmlns="http://schemas.openxmlformats.org/spreadsheetml/2006/main">
  <c r="G92" i="1" l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91" i="1"/>
  <c r="H91" i="1" s="1"/>
  <c r="B63" i="2" l="1"/>
  <c r="F63" i="2" s="1"/>
  <c r="B62" i="2"/>
  <c r="F62" i="2" s="1"/>
  <c r="I60" i="2"/>
  <c r="F60" i="2"/>
  <c r="B60" i="2"/>
  <c r="U59" i="2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I59" i="2"/>
  <c r="B59" i="2"/>
  <c r="F59" i="2" s="1"/>
  <c r="I58" i="2"/>
  <c r="F58" i="2"/>
  <c r="B58" i="2"/>
  <c r="U57" i="2"/>
  <c r="U58" i="2" s="1"/>
  <c r="I57" i="2"/>
  <c r="B57" i="2"/>
  <c r="F57" i="2" s="1"/>
  <c r="U56" i="2"/>
  <c r="T56" i="2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I56" i="2"/>
  <c r="F56" i="2"/>
  <c r="B56" i="2"/>
  <c r="I55" i="2"/>
  <c r="B55" i="2"/>
  <c r="F55" i="2" s="1"/>
  <c r="I54" i="2"/>
  <c r="B54" i="2"/>
  <c r="F54" i="2" s="1"/>
  <c r="I53" i="2"/>
  <c r="F53" i="2"/>
  <c r="B53" i="2"/>
  <c r="N52" i="2"/>
  <c r="M52" i="2"/>
  <c r="L52" i="2"/>
  <c r="I52" i="2"/>
  <c r="F52" i="2"/>
  <c r="B52" i="2"/>
  <c r="I51" i="2"/>
  <c r="B51" i="2"/>
  <c r="F51" i="2" s="1"/>
  <c r="N50" i="2"/>
  <c r="I50" i="2"/>
  <c r="B50" i="2"/>
  <c r="F50" i="2" s="1"/>
  <c r="N49" i="2"/>
  <c r="I49" i="2"/>
  <c r="B49" i="2"/>
  <c r="F49" i="2" s="1"/>
  <c r="N48" i="2"/>
  <c r="N54" i="2" s="1"/>
  <c r="I48" i="2"/>
  <c r="B48" i="2"/>
  <c r="F48" i="2" s="1"/>
  <c r="I47" i="2"/>
  <c r="B47" i="2"/>
  <c r="F47" i="2" s="1"/>
  <c r="I46" i="2"/>
  <c r="F46" i="2"/>
  <c r="B46" i="2"/>
  <c r="P44" i="2"/>
  <c r="I44" i="2"/>
  <c r="F44" i="2"/>
  <c r="B44" i="2"/>
  <c r="P43" i="2"/>
  <c r="I43" i="2"/>
  <c r="F43" i="2"/>
  <c r="B43" i="2"/>
  <c r="P42" i="2"/>
  <c r="I42" i="2"/>
  <c r="F42" i="2"/>
  <c r="B42" i="2"/>
  <c r="P41" i="2"/>
  <c r="I41" i="2"/>
  <c r="F41" i="2"/>
  <c r="B41" i="2"/>
  <c r="P40" i="2"/>
  <c r="I40" i="2"/>
  <c r="F40" i="2"/>
  <c r="B40" i="2"/>
  <c r="P39" i="2"/>
  <c r="I39" i="2"/>
  <c r="F39" i="2"/>
  <c r="B39" i="2"/>
  <c r="P38" i="2"/>
  <c r="I38" i="2"/>
  <c r="F38" i="2"/>
  <c r="B38" i="2"/>
  <c r="P37" i="2"/>
  <c r="I37" i="2"/>
  <c r="F37" i="2"/>
  <c r="B37" i="2"/>
  <c r="P36" i="2"/>
  <c r="I36" i="2"/>
  <c r="F36" i="2"/>
  <c r="B36" i="2"/>
  <c r="P35" i="2"/>
  <c r="I35" i="2"/>
  <c r="F35" i="2"/>
  <c r="B35" i="2"/>
  <c r="F33" i="2"/>
  <c r="B33" i="2"/>
  <c r="F32" i="2"/>
  <c r="B32" i="2"/>
  <c r="F31" i="2"/>
  <c r="B31" i="2"/>
  <c r="F30" i="2"/>
  <c r="B30" i="2"/>
  <c r="F29" i="2"/>
  <c r="B29" i="2"/>
  <c r="F28" i="2"/>
  <c r="B28" i="2"/>
  <c r="AC27" i="2"/>
  <c r="B27" i="2"/>
  <c r="F27" i="2" s="1"/>
  <c r="AC26" i="2"/>
  <c r="F26" i="2"/>
  <c r="B26" i="2"/>
  <c r="AC25" i="2"/>
  <c r="B25" i="2"/>
  <c r="F25" i="2" s="1"/>
  <c r="AC24" i="2"/>
  <c r="F24" i="2"/>
  <c r="B24" i="2"/>
  <c r="AC23" i="2"/>
  <c r="B23" i="2"/>
  <c r="F23" i="2" s="1"/>
  <c r="AC22" i="2"/>
  <c r="F22" i="2"/>
  <c r="B22" i="2"/>
  <c r="AC21" i="2"/>
  <c r="B21" i="2"/>
  <c r="F21" i="2" s="1"/>
  <c r="B20" i="2"/>
  <c r="F20" i="2" s="1"/>
  <c r="B19" i="2"/>
  <c r="F19" i="2" s="1"/>
  <c r="B18" i="2"/>
  <c r="F18" i="2" s="1"/>
  <c r="B17" i="2"/>
  <c r="F17" i="2" s="1"/>
  <c r="B16" i="2"/>
  <c r="F16" i="2" s="1"/>
  <c r="B12" i="2"/>
  <c r="F12" i="2" s="1"/>
  <c r="F11" i="2"/>
  <c r="B11" i="2"/>
  <c r="O10" i="2"/>
  <c r="O11" i="2" s="1"/>
  <c r="B10" i="2"/>
  <c r="F10" i="2" s="1"/>
  <c r="B9" i="2"/>
  <c r="F9" i="2" s="1"/>
  <c r="B8" i="2"/>
  <c r="F8" i="2" s="1"/>
  <c r="B7" i="2"/>
  <c r="F7" i="2" s="1"/>
  <c r="B6" i="2"/>
  <c r="F6" i="2" s="1"/>
  <c r="B5" i="2"/>
  <c r="F5" i="2" s="1"/>
  <c r="B4" i="2"/>
  <c r="F4" i="2" s="1"/>
  <c r="F3" i="2"/>
  <c r="Q2" i="2"/>
  <c r="F2" i="2"/>
  <c r="B108" i="1"/>
  <c r="E108" i="1" s="1"/>
  <c r="B107" i="1"/>
  <c r="E107" i="1" s="1"/>
  <c r="B106" i="1"/>
  <c r="E106" i="1" s="1"/>
  <c r="B105" i="1"/>
  <c r="E105" i="1" s="1"/>
  <c r="B104" i="1"/>
  <c r="E104" i="1" s="1"/>
  <c r="B103" i="1"/>
  <c r="E103" i="1" s="1"/>
  <c r="B102" i="1"/>
  <c r="E102" i="1" s="1"/>
  <c r="B101" i="1"/>
  <c r="E101" i="1" s="1"/>
  <c r="B100" i="1"/>
  <c r="E100" i="1" s="1"/>
  <c r="B99" i="1"/>
  <c r="E99" i="1" s="1"/>
  <c r="B98" i="1"/>
  <c r="E98" i="1" s="1"/>
  <c r="B97" i="1"/>
  <c r="E97" i="1" s="1"/>
  <c r="E96" i="1"/>
  <c r="B96" i="1"/>
  <c r="B95" i="1"/>
  <c r="E95" i="1" s="1"/>
  <c r="B94" i="1"/>
  <c r="E94" i="1" s="1"/>
  <c r="B93" i="1"/>
  <c r="E93" i="1" s="1"/>
  <c r="B92" i="1"/>
  <c r="E92" i="1" s="1"/>
  <c r="B91" i="1"/>
  <c r="E91" i="1" s="1"/>
  <c r="B77" i="1"/>
  <c r="E77" i="1" s="1"/>
  <c r="B76" i="1"/>
  <c r="E76" i="1" s="1"/>
  <c r="B75" i="1"/>
  <c r="E75" i="1" s="1"/>
  <c r="B74" i="1"/>
  <c r="E74" i="1" s="1"/>
  <c r="B73" i="1"/>
  <c r="E73" i="1" s="1"/>
  <c r="B72" i="1"/>
  <c r="E72" i="1" s="1"/>
  <c r="B71" i="1"/>
  <c r="E71" i="1" s="1"/>
  <c r="B70" i="1"/>
  <c r="E70" i="1" s="1"/>
  <c r="B69" i="1"/>
  <c r="E69" i="1" s="1"/>
  <c r="B68" i="1"/>
  <c r="E68" i="1" s="1"/>
  <c r="B67" i="1"/>
  <c r="E67" i="1" s="1"/>
  <c r="B66" i="1"/>
  <c r="E66" i="1" s="1"/>
  <c r="B65" i="1"/>
  <c r="E65" i="1" s="1"/>
  <c r="B64" i="1"/>
  <c r="E64" i="1" s="1"/>
  <c r="B63" i="1"/>
  <c r="E63" i="1" s="1"/>
  <c r="B62" i="1"/>
  <c r="E62" i="1" s="1"/>
  <c r="B61" i="1"/>
  <c r="E61" i="1" s="1"/>
  <c r="B60" i="1"/>
  <c r="E60" i="1" s="1"/>
  <c r="B59" i="1"/>
  <c r="E59" i="1" s="1"/>
  <c r="B58" i="1"/>
  <c r="E58" i="1" s="1"/>
  <c r="B57" i="1"/>
  <c r="E57" i="1" s="1"/>
  <c r="B56" i="1"/>
  <c r="E56" i="1" s="1"/>
  <c r="B55" i="1"/>
  <c r="E55" i="1" s="1"/>
  <c r="B54" i="1"/>
  <c r="E54" i="1" s="1"/>
  <c r="B53" i="1"/>
  <c r="E53" i="1" s="1"/>
  <c r="B52" i="1"/>
  <c r="E52" i="1" s="1"/>
  <c r="B51" i="1"/>
  <c r="E51" i="1" s="1"/>
  <c r="B50" i="1"/>
  <c r="E50" i="1" s="1"/>
  <c r="B49" i="1"/>
  <c r="E49" i="1" s="1"/>
  <c r="B48" i="1"/>
  <c r="E48" i="1" s="1"/>
  <c r="B47" i="1"/>
  <c r="E47" i="1" s="1"/>
  <c r="B46" i="1"/>
  <c r="E46" i="1" s="1"/>
  <c r="B45" i="1"/>
  <c r="E45" i="1" s="1"/>
  <c r="B44" i="1"/>
  <c r="E44" i="1" s="1"/>
  <c r="B43" i="1"/>
  <c r="E43" i="1" s="1"/>
  <c r="B42" i="1"/>
  <c r="E42" i="1" s="1"/>
  <c r="B41" i="1"/>
  <c r="E41" i="1" s="1"/>
  <c r="B40" i="1"/>
  <c r="E40" i="1" s="1"/>
  <c r="B39" i="1"/>
  <c r="E39" i="1" s="1"/>
  <c r="B38" i="1"/>
  <c r="E38" i="1" s="1"/>
  <c r="B37" i="1"/>
  <c r="E37" i="1" s="1"/>
  <c r="B36" i="1"/>
  <c r="E36" i="1" s="1"/>
  <c r="B35" i="1"/>
  <c r="E35" i="1" s="1"/>
  <c r="B34" i="1"/>
  <c r="E34" i="1" s="1"/>
  <c r="B33" i="1"/>
  <c r="E33" i="1" s="1"/>
  <c r="B32" i="1"/>
  <c r="E32" i="1" s="1"/>
  <c r="B31" i="1"/>
  <c r="E31" i="1" s="1"/>
  <c r="B30" i="1"/>
  <c r="E30" i="1" s="1"/>
  <c r="B29" i="1"/>
  <c r="E29" i="1" s="1"/>
  <c r="B28" i="1"/>
  <c r="E28" i="1" s="1"/>
  <c r="B27" i="1"/>
  <c r="E27" i="1" s="1"/>
  <c r="B26" i="1"/>
  <c r="E26" i="1" s="1"/>
  <c r="B25" i="1"/>
  <c r="E25" i="1" s="1"/>
  <c r="B24" i="1"/>
  <c r="E24" i="1" s="1"/>
  <c r="B23" i="1"/>
  <c r="E23" i="1" s="1"/>
  <c r="B22" i="1"/>
  <c r="E22" i="1" s="1"/>
  <c r="B21" i="1"/>
  <c r="E21" i="1" s="1"/>
  <c r="B20" i="1"/>
  <c r="E20" i="1" s="1"/>
  <c r="B19" i="1"/>
  <c r="E19" i="1" s="1"/>
  <c r="B18" i="1"/>
  <c r="E18" i="1" s="1"/>
  <c r="B17" i="1"/>
  <c r="E17" i="1" s="1"/>
  <c r="E16" i="1"/>
  <c r="E15" i="1"/>
  <c r="B14" i="1"/>
  <c r="E14" i="1" s="1"/>
  <c r="B13" i="1"/>
  <c r="E13" i="1" s="1"/>
  <c r="B12" i="1"/>
  <c r="E12" i="1" s="1"/>
  <c r="B11" i="1"/>
  <c r="E11" i="1" s="1"/>
  <c r="B10" i="1"/>
  <c r="E10" i="1" s="1"/>
  <c r="B9" i="1"/>
  <c r="E9" i="1" s="1"/>
  <c r="B8" i="1"/>
  <c r="E8" i="1" s="1"/>
  <c r="B7" i="1"/>
  <c r="E7" i="1" s="1"/>
  <c r="B6" i="1"/>
  <c r="E6" i="1" s="1"/>
  <c r="B5" i="1"/>
  <c r="E5" i="1" s="1"/>
  <c r="B4" i="1"/>
  <c r="E4" i="1" s="1"/>
  <c r="B3" i="1"/>
  <c r="E3" i="1" s="1"/>
  <c r="E2" i="1"/>
  <c r="Q44" i="2" l="1"/>
  <c r="Q43" i="2"/>
  <c r="Q42" i="2"/>
  <c r="Q41" i="2"/>
  <c r="Q40" i="2"/>
  <c r="Q39" i="2"/>
  <c r="Q38" i="2"/>
  <c r="Q37" i="2"/>
  <c r="Q36" i="2"/>
  <c r="Q35" i="2"/>
  <c r="Q47" i="2" l="1"/>
  <c r="S37" i="2" s="1"/>
  <c r="S42" i="2" l="1"/>
  <c r="S38" i="2"/>
  <c r="S39" i="2"/>
  <c r="S41" i="2"/>
  <c r="S44" i="2"/>
  <c r="S40" i="2"/>
  <c r="S36" i="2"/>
  <c r="S35" i="2"/>
  <c r="S43" i="2"/>
</calcChain>
</file>

<file path=xl/sharedStrings.xml><?xml version="1.0" encoding="utf-8"?>
<sst xmlns="http://schemas.openxmlformats.org/spreadsheetml/2006/main" count="283" uniqueCount="225">
  <si>
    <t>Item</t>
  </si>
  <si>
    <t>prerequisites points</t>
  </si>
  <si>
    <t>crafting time in seconds</t>
  </si>
  <si>
    <t>craft amount</t>
  </si>
  <si>
    <t>base total</t>
  </si>
  <si>
    <t>rounded total</t>
  </si>
  <si>
    <t>coin value</t>
  </si>
  <si>
    <r>
      <rPr>
        <sz val="9"/>
        <rFont val="Arial"/>
      </rPr>
      <t>prerequsit poin</t>
    </r>
    <r>
      <rPr>
        <sz val="10"/>
        <color rgb="FF000000"/>
        <rFont val="Arial"/>
      </rPr>
      <t>ts</t>
    </r>
  </si>
  <si>
    <t>Ore (coal, iron, stone, copper)</t>
  </si>
  <si>
    <t>Times sent through machine</t>
  </si>
  <si>
    <t>final total</t>
  </si>
  <si>
    <t>instant</t>
  </si>
  <si>
    <t>payback</t>
  </si>
  <si>
    <t>Will owes</t>
  </si>
  <si>
    <t>Iron Ore</t>
  </si>
  <si>
    <t>tier 1 sub</t>
  </si>
  <si>
    <t>GUI MOCK UP</t>
  </si>
  <si>
    <t>Bankruptcy Limit</t>
  </si>
  <si>
    <t>copper Ore</t>
  </si>
  <si>
    <t>stone brick</t>
  </si>
  <si>
    <t>500 bits</t>
  </si>
  <si>
    <t>divends to chat</t>
  </si>
  <si>
    <t>54,000 (15,400,146)</t>
  </si>
  <si>
    <t>Iron Plate</t>
  </si>
  <si>
    <t>100 bits</t>
  </si>
  <si>
    <t>wages paid</t>
  </si>
  <si>
    <t>3,400 (6,100)</t>
  </si>
  <si>
    <t>Copper Plate</t>
  </si>
  <si>
    <t>workforce on shift</t>
  </si>
  <si>
    <t>5 (9)</t>
  </si>
  <si>
    <t>steel</t>
  </si>
  <si>
    <t>Steel</t>
  </si>
  <si>
    <t>wages is 250 coins per player per 10 mins</t>
  </si>
  <si>
    <t>game time</t>
  </si>
  <si>
    <t>44 hours. 50 mins</t>
  </si>
  <si>
    <t>Iron Gear Wheel</t>
  </si>
  <si>
    <t>TransportBelt</t>
  </si>
  <si>
    <t>Transport Belt</t>
  </si>
  <si>
    <t>Copper Cable</t>
  </si>
  <si>
    <t>Dry dock 1</t>
  </si>
  <si>
    <t>hull compont 1/2</t>
  </si>
  <si>
    <t>Green Chips</t>
  </si>
  <si>
    <t>Pipe</t>
  </si>
  <si>
    <t>subs during playthrough</t>
  </si>
  <si>
    <t>Dry dock 2</t>
  </si>
  <si>
    <t>fuel cell</t>
  </si>
  <si>
    <t>Steel Chest</t>
  </si>
  <si>
    <t>value</t>
  </si>
  <si>
    <t>Uranium U238</t>
  </si>
  <si>
    <t>......</t>
  </si>
  <si>
    <t>........</t>
  </si>
  <si>
    <t>pipe</t>
  </si>
  <si>
    <t>Uranium U235 (kovarex)</t>
  </si>
  <si>
    <t>View Investors (button)</t>
  </si>
  <si>
    <t>refinary products</t>
  </si>
  <si>
    <t>water</t>
  </si>
  <si>
    <t>boxing ingredient</t>
  </si>
  <si>
    <t>output</t>
  </si>
  <si>
    <t>Refinary Product</t>
  </si>
  <si>
    <t>time bonus</t>
  </si>
  <si>
    <t>6 hours deadline</t>
  </si>
  <si>
    <t>coins stack</t>
  </si>
  <si>
    <t>coin stack</t>
  </si>
  <si>
    <t>sulfer</t>
  </si>
  <si>
    <t>first 30mins +10%</t>
  </si>
  <si>
    <t>green</t>
  </si>
  <si>
    <t>compress</t>
  </si>
  <si>
    <t>10 wood box</t>
  </si>
  <si>
    <t>1 x wooden boxes of coins</t>
  </si>
  <si>
    <t>sendable</t>
  </si>
  <si>
    <t>acid</t>
  </si>
  <si>
    <t>finish in 2 hours noramly pay</t>
  </si>
  <si>
    <t>yellow</t>
  </si>
  <si>
    <t>10 iron box</t>
  </si>
  <si>
    <t>1 x iron boxes of coins</t>
  </si>
  <si>
    <t>Click open gui:</t>
  </si>
  <si>
    <t>battery</t>
  </si>
  <si>
    <t>every hour after 2 hours decrease pay by 10%</t>
  </si>
  <si>
    <t>more towards red</t>
  </si>
  <si>
    <t>10 steel box</t>
  </si>
  <si>
    <t>1 x steel boxes of coins</t>
  </si>
  <si>
    <t>lube</t>
  </si>
  <si>
    <t>plastic</t>
  </si>
  <si>
    <t>at 6 hours they abandon shipment</t>
  </si>
  <si>
    <t>last hour flashing red</t>
  </si>
  <si>
    <t>Game time-</t>
  </si>
  <si>
    <t>concreet</t>
  </si>
  <si>
    <t>red chips</t>
  </si>
  <si>
    <t>Investor</t>
  </si>
  <si>
    <t>Amount Invested</t>
  </si>
  <si>
    <t>Game time Invested</t>
  </si>
  <si>
    <t>Intrested Accrured</t>
  </si>
  <si>
    <t>Coins sent</t>
  </si>
  <si>
    <t>Total to repay</t>
  </si>
  <si>
    <t>blue chips</t>
  </si>
  <si>
    <t>coin stacks can be only made in special pre-placed machines</t>
  </si>
  <si>
    <t>Low density structure</t>
  </si>
  <si>
    <t>Hoefnix</t>
  </si>
  <si>
    <t>yellow engines</t>
  </si>
  <si>
    <t>pod costs same as satalite and is craftable</t>
  </si>
  <si>
    <t>Mojo</t>
  </si>
  <si>
    <t>Red engines</t>
  </si>
  <si>
    <t>the coins that are sendable are merged with a pod to make a coin delivery pod of that value</t>
  </si>
  <si>
    <t>Madzuri</t>
  </si>
  <si>
    <t>solid fuel</t>
  </si>
  <si>
    <t>rocket fuel</t>
  </si>
  <si>
    <t>5  of each coin processing machine will be placed randomly on the map</t>
  </si>
  <si>
    <t>Kaydee3</t>
  </si>
  <si>
    <t>Red engins</t>
  </si>
  <si>
    <t>Solar Panel</t>
  </si>
  <si>
    <t>Laser Turret</t>
  </si>
  <si>
    <t>Flying robot frames</t>
  </si>
  <si>
    <t>Module 1</t>
  </si>
  <si>
    <t>silos will be placed randomly on the map</t>
  </si>
  <si>
    <t>(using the silo construct mod, stage 1)</t>
  </si>
  <si>
    <t>Module 2</t>
  </si>
  <si>
    <t>Module 3</t>
  </si>
  <si>
    <t>Xterm</t>
  </si>
  <si>
    <t>RCU</t>
  </si>
  <si>
    <t>coins for deliveries are placed in the silo that did the delivery.</t>
  </si>
  <si>
    <t>JD</t>
  </si>
  <si>
    <t>uranium fuel cell</t>
  </si>
  <si>
    <r>
      <t xml:space="preserve">set rocket silo to have an inventory of </t>
    </r>
    <r>
      <rPr>
        <sz val="10"/>
        <color rgb="FFFF0000"/>
        <rFont val="Arial"/>
      </rPr>
      <t xml:space="preserve">25,000 </t>
    </r>
    <r>
      <rPr>
        <sz val="10"/>
        <color rgb="FF000000"/>
        <rFont val="Arial"/>
      </rPr>
      <t>to accomidate the best ship part value</t>
    </r>
  </si>
  <si>
    <t>Sunny</t>
  </si>
  <si>
    <t>Solar Pannel</t>
  </si>
  <si>
    <t>rocket</t>
  </si>
  <si>
    <t xml:space="preserve">Fire arm magazine </t>
  </si>
  <si>
    <t>Modual 1</t>
  </si>
  <si>
    <t>piercing ammo</t>
  </si>
  <si>
    <t>uranium ammo</t>
  </si>
  <si>
    <t>each sub/donation etc opens a new entry</t>
  </si>
  <si>
    <t>modual2</t>
  </si>
  <si>
    <t>explosive</t>
  </si>
  <si>
    <t>maybe set bits to min 100 or i can hard limit my twitch settings</t>
  </si>
  <si>
    <t>modual3</t>
  </si>
  <si>
    <t>weapon rocket</t>
  </si>
  <si>
    <t>gift subs, go to person sending and scales up from 1 sub to x</t>
  </si>
  <si>
    <t>explosive rocket weapon</t>
  </si>
  <si>
    <t>finial numbers</t>
  </si>
  <si>
    <t>explosive cannon shells</t>
  </si>
  <si>
    <t>chance of asking for multiple parts</t>
  </si>
  <si>
    <t>weighted value</t>
  </si>
  <si>
    <t>times per full request cycle</t>
  </si>
  <si>
    <t>percentage of total lanches per cycle</t>
  </si>
  <si>
    <t>can have each entry with a colour</t>
  </si>
  <si>
    <t>Hull Component</t>
  </si>
  <si>
    <t>radar</t>
  </si>
  <si>
    <t>artilarry shell</t>
  </si>
  <si>
    <t>can ask for 3 at a time</t>
  </si>
  <si>
    <t>60% for 1 item</t>
  </si>
  <si>
    <t>30% for 2</t>
  </si>
  <si>
    <t>10% for 3</t>
  </si>
  <si>
    <t>artillary gun</t>
  </si>
  <si>
    <t>nuclear reactor</t>
  </si>
  <si>
    <t>green = paid</t>
  </si>
  <si>
    <t>Spaceship Thruster</t>
  </si>
  <si>
    <t>gun turret</t>
  </si>
  <si>
    <t>combinator</t>
  </si>
  <si>
    <t>yellow= outstand with no intrest</t>
  </si>
  <si>
    <t>Fuel Cell</t>
  </si>
  <si>
    <t>red wire</t>
  </si>
  <si>
    <t>accumulator</t>
  </si>
  <si>
    <t>satalite</t>
  </si>
  <si>
    <t>red= intrest accruing</t>
  </si>
  <si>
    <t>Protection Field</t>
  </si>
  <si>
    <t>lab</t>
  </si>
  <si>
    <t>Heat Pipe</t>
  </si>
  <si>
    <t>should be easy to scroll down the list and see where we are at</t>
  </si>
  <si>
    <t>Fusion Reactor</t>
  </si>
  <si>
    <t>heat exchanger</t>
  </si>
  <si>
    <t>steam turbine</t>
  </si>
  <si>
    <t>Habitation</t>
  </si>
  <si>
    <t xml:space="preserve">grenade
</t>
  </si>
  <si>
    <t>cluster grenade</t>
  </si>
  <si>
    <t>Life Support</t>
  </si>
  <si>
    <t>inserter</t>
  </si>
  <si>
    <t>wall</t>
  </si>
  <si>
    <t>Command Center</t>
  </si>
  <si>
    <t>rail</t>
  </si>
  <si>
    <t>Mining Drills</t>
  </si>
  <si>
    <t>Astrometrics</t>
  </si>
  <si>
    <t>assembler 1</t>
  </si>
  <si>
    <t>assembler 2</t>
  </si>
  <si>
    <t>When within 20% of bankruptcy limit it turns orange</t>
  </si>
  <si>
    <t>FTL Propulsion System</t>
  </si>
  <si>
    <t xml:space="preserve">limit to 1 launch </t>
  </si>
  <si>
    <t>not apear in first 20 lanches</t>
  </si>
  <si>
    <t>OIL REFINERY</t>
  </si>
  <si>
    <t>When within 10% of bankruptcy limit it turns red</t>
  </si>
  <si>
    <t>estimated power armor cost</t>
  </si>
  <si>
    <t>Modular Armor</t>
  </si>
  <si>
    <t>electric furnace</t>
  </si>
  <si>
    <t>Automation science pack</t>
  </si>
  <si>
    <t>Logistic science pack</t>
  </si>
  <si>
    <t>Military science pack</t>
  </si>
  <si>
    <t>total lanches per cycle</t>
  </si>
  <si>
    <t>Power Armour 1</t>
  </si>
  <si>
    <t>Chemical science pack</t>
  </si>
  <si>
    <t>Production science pack</t>
  </si>
  <si>
    <t>Power Armour 2</t>
  </si>
  <si>
    <t>Utility science pack</t>
  </si>
  <si>
    <t>Space science pack</t>
  </si>
  <si>
    <t>Personal Solar</t>
  </si>
  <si>
    <t>all science</t>
  </si>
  <si>
    <t>Fusion Core</t>
  </si>
  <si>
    <t>Energy Sheild mk1</t>
  </si>
  <si>
    <t>Energy Sheild mk2</t>
  </si>
  <si>
    <t>Personal Bat 1</t>
  </si>
  <si>
    <t>Debt mockup</t>
  </si>
  <si>
    <t>Personal Bat 2</t>
  </si>
  <si>
    <t>hours</t>
  </si>
  <si>
    <t>debt no payoff</t>
  </si>
  <si>
    <t>5,000 coin p/m</t>
  </si>
  <si>
    <t>PLD</t>
  </si>
  <si>
    <t>start</t>
  </si>
  <si>
    <t>Exo leg</t>
  </si>
  <si>
    <t>Personal robo 1</t>
  </si>
  <si>
    <t>Personal robo 2</t>
  </si>
  <si>
    <t>Night vison</t>
  </si>
  <si>
    <t>Construction bot</t>
  </si>
  <si>
    <t>Storage Chest</t>
  </si>
  <si>
    <t>roboport</t>
  </si>
  <si>
    <t>Belt Immunity Equipment</t>
  </si>
  <si>
    <t>raw coin value</t>
  </si>
  <si>
    <t>Last Updated for 0.18.4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</si>
</sst>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>
    <font>
      <sz val="10"/>
      <color rgb="FF000000"/>
      <name val="Arial"/>
    </font>
    <font>
      <b/>
      <sz val="10"/>
      <name val="Arial"/>
    </font>
    <font>
      <b/>
      <sz val="11"/>
      <name val="Arial"/>
    </font>
    <font>
      <sz val="10"/>
      <name val="Arial"/>
    </font>
    <font>
      <sz val="11"/>
      <name val="Arial"/>
    </font>
    <font>
      <sz val="11"/>
      <color rgb="FFF7981D"/>
      <name val="Arial"/>
    </font>
    <font>
      <sz val="11"/>
      <color rgb="FF000000"/>
      <name val="Arial"/>
    </font>
    <font>
      <b/>
      <i/>
      <sz val="10"/>
      <name val="Arial"/>
    </font>
    <font>
      <sz val="11"/>
      <color rgb="FF222222"/>
      <name val="Verdana"/>
    </font>
    <font>
      <sz val="11"/>
      <name val="Calibri"/>
    </font>
    <font>
      <sz val="9"/>
      <name val="Arial"/>
    </font>
    <font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3" fontId="3" fillId="0" borderId="0" xfId="0" applyNumberFormat="1" applyFont="1" applyAlignment="1"/>
    <xf numFmtId="0" fontId="3" fillId="0" borderId="0" xfId="0" applyFont="1" applyAlignment="1">
      <alignment horizontal="right"/>
    </xf>
    <xf numFmtId="46" fontId="3" fillId="0" borderId="0" xfId="0" applyNumberFormat="1" applyFont="1" applyAlignme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/>
    <xf numFmtId="20" fontId="3" fillId="0" borderId="0" xfId="0" applyNumberFormat="1" applyFont="1" applyAlignment="1"/>
    <xf numFmtId="9" fontId="3" fillId="0" borderId="0" xfId="0" applyNumberFormat="1" applyFont="1" applyAlignment="1"/>
    <xf numFmtId="0" fontId="3" fillId="2" borderId="0" xfId="0" applyFont="1" applyFill="1" applyAlignment="1"/>
    <xf numFmtId="1" fontId="3" fillId="0" borderId="0" xfId="0" applyNumberFormat="1" applyFont="1" applyAlignment="1"/>
    <xf numFmtId="4" fontId="3" fillId="0" borderId="0" xfId="0" applyNumberFormat="1" applyFont="1"/>
    <xf numFmtId="3" fontId="3" fillId="0" borderId="0" xfId="0" applyNumberFormat="1" applyFont="1"/>
    <xf numFmtId="0" fontId="3" fillId="3" borderId="0" xfId="0" applyFont="1" applyFill="1"/>
    <xf numFmtId="0" fontId="3" fillId="3" borderId="0" xfId="0" applyFont="1" applyFill="1" applyAlignment="1"/>
    <xf numFmtId="0" fontId="8" fillId="0" borderId="0" xfId="0" applyFont="1" applyAlignment="1">
      <alignment horizontal="left" wrapText="1"/>
    </xf>
    <xf numFmtId="1" fontId="3" fillId="3" borderId="0" xfId="0" applyNumberFormat="1" applyFont="1" applyFill="1"/>
    <xf numFmtId="0" fontId="9" fillId="0" borderId="0" xfId="0" applyFont="1" applyAlignment="1">
      <alignment horizontal="left" wrapText="1"/>
    </xf>
    <xf numFmtId="164" fontId="3" fillId="0" borderId="0" xfId="0" applyNumberFormat="1" applyFont="1" applyAlignme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8"/>
  <sheetViews>
    <sheetView tabSelected="1" workbookViewId="0">
      <pane ySplit="1" topLeftCell="A2" activePane="bottomLeft" state="frozen"/>
      <selection pane="bottomLeft" activeCell="A14" sqref="A14"/>
    </sheetView>
  </sheetViews>
  <sheetFormatPr defaultColWidth="14.42578125" defaultRowHeight="15.75" customHeight="1"/>
  <cols>
    <col min="1" max="1" width="35.42578125" customWidth="1"/>
    <col min="2" max="2" width="20.140625" customWidth="1"/>
    <col min="3" max="3" width="24.5703125" customWidth="1"/>
    <col min="4" max="4" width="25.42578125" customWidth="1"/>
    <col min="5" max="5" width="20.85546875" customWidth="1"/>
    <col min="7" max="7" width="16.85546875" customWidth="1"/>
    <col min="8" max="8" width="19.7109375" customWidth="1"/>
    <col min="10" max="10" width="24.28515625" customWidth="1"/>
    <col min="11" max="11" width="16.28515625" customWidth="1"/>
    <col min="13" max="13" width="36" customWidth="1"/>
    <col min="23" max="23" width="16.7109375" customWidth="1"/>
    <col min="25" max="25" width="15.7109375" customWidth="1"/>
    <col min="26" max="26" width="18" customWidth="1"/>
    <col min="27" max="27" width="17" customWidth="1"/>
  </cols>
  <sheetData>
    <row r="1" spans="1:8" ht="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223</v>
      </c>
      <c r="H1" s="1" t="s">
        <v>6</v>
      </c>
    </row>
    <row r="2" spans="1:8" ht="12.75">
      <c r="A2" s="3" t="s">
        <v>8</v>
      </c>
      <c r="B2" s="3">
        <v>0</v>
      </c>
      <c r="C2" s="3">
        <v>3.5</v>
      </c>
      <c r="D2" s="3">
        <v>1</v>
      </c>
      <c r="E2">
        <f t="shared" ref="E2:E77" si="0">SUM(B2+10+C2)/D2</f>
        <v>13.5</v>
      </c>
      <c r="F2">
        <v>14</v>
      </c>
    </row>
    <row r="3" spans="1:8" ht="12.75">
      <c r="A3" s="3" t="s">
        <v>19</v>
      </c>
      <c r="B3" s="3">
        <f>(F2*2)</f>
        <v>28</v>
      </c>
      <c r="C3" s="3">
        <v>3.2</v>
      </c>
      <c r="D3" s="3">
        <v>1</v>
      </c>
      <c r="E3">
        <f t="shared" si="0"/>
        <v>41.2</v>
      </c>
      <c r="F3">
        <v>42</v>
      </c>
    </row>
    <row r="4" spans="1:8" ht="12.75">
      <c r="A4" s="3" t="s">
        <v>23</v>
      </c>
      <c r="B4">
        <f>F2</f>
        <v>14</v>
      </c>
      <c r="C4" s="3">
        <v>3.2</v>
      </c>
      <c r="D4" s="3">
        <v>1</v>
      </c>
      <c r="E4">
        <f t="shared" si="0"/>
        <v>27.2</v>
      </c>
      <c r="F4">
        <v>28</v>
      </c>
    </row>
    <row r="5" spans="1:8" ht="12.75">
      <c r="A5" s="3" t="s">
        <v>27</v>
      </c>
      <c r="B5" s="3">
        <f>F2</f>
        <v>14</v>
      </c>
      <c r="C5" s="3">
        <v>3.2</v>
      </c>
      <c r="D5" s="3">
        <v>1</v>
      </c>
      <c r="E5">
        <f t="shared" si="0"/>
        <v>27.2</v>
      </c>
      <c r="F5">
        <v>28</v>
      </c>
    </row>
    <row r="6" spans="1:8" ht="12.75">
      <c r="A6" s="3" t="s">
        <v>31</v>
      </c>
      <c r="B6">
        <f>SUM(F4*5 )</f>
        <v>140</v>
      </c>
      <c r="C6" s="3">
        <v>16</v>
      </c>
      <c r="D6" s="3">
        <v>1</v>
      </c>
      <c r="E6">
        <f t="shared" si="0"/>
        <v>166</v>
      </c>
      <c r="F6">
        <v>166</v>
      </c>
    </row>
    <row r="7" spans="1:8" ht="12.75">
      <c r="A7" s="3" t="s">
        <v>35</v>
      </c>
      <c r="B7">
        <f>SUM(F4*2)</f>
        <v>56</v>
      </c>
      <c r="C7" s="3">
        <v>0.5</v>
      </c>
      <c r="D7" s="3">
        <v>1</v>
      </c>
      <c r="E7">
        <f t="shared" si="0"/>
        <v>66.5</v>
      </c>
      <c r="F7">
        <v>67</v>
      </c>
    </row>
    <row r="8" spans="1:8" ht="12.75">
      <c r="A8" s="3" t="s">
        <v>37</v>
      </c>
      <c r="B8">
        <f>SUM(F4+F7)</f>
        <v>95</v>
      </c>
      <c r="C8" s="3">
        <v>0.5</v>
      </c>
      <c r="D8" s="3">
        <v>2</v>
      </c>
      <c r="E8">
        <f t="shared" si="0"/>
        <v>52.75</v>
      </c>
      <c r="F8">
        <v>53</v>
      </c>
    </row>
    <row r="9" spans="1:8" ht="12.75">
      <c r="A9" s="3" t="s">
        <v>38</v>
      </c>
      <c r="B9">
        <f>F5</f>
        <v>28</v>
      </c>
      <c r="C9" s="3">
        <v>0.5</v>
      </c>
      <c r="D9" s="3">
        <v>2</v>
      </c>
      <c r="E9">
        <f t="shared" si="0"/>
        <v>19.25</v>
      </c>
      <c r="F9">
        <v>20</v>
      </c>
    </row>
    <row r="10" spans="1:8" ht="12.75">
      <c r="A10" s="3" t="s">
        <v>41</v>
      </c>
      <c r="B10">
        <f>SUM(F4+(F9*3))</f>
        <v>88</v>
      </c>
      <c r="C10" s="3">
        <v>1</v>
      </c>
      <c r="D10" s="3">
        <v>1</v>
      </c>
      <c r="E10">
        <f t="shared" si="0"/>
        <v>99</v>
      </c>
      <c r="F10">
        <v>99</v>
      </c>
    </row>
    <row r="11" spans="1:8" ht="12.75">
      <c r="A11" s="3" t="s">
        <v>42</v>
      </c>
      <c r="B11">
        <f>F4</f>
        <v>28</v>
      </c>
      <c r="C11" s="3">
        <v>1</v>
      </c>
      <c r="D11" s="3">
        <v>1</v>
      </c>
      <c r="E11">
        <f t="shared" si="0"/>
        <v>39</v>
      </c>
      <c r="F11">
        <v>39</v>
      </c>
    </row>
    <row r="12" spans="1:8" ht="12.75">
      <c r="A12" s="3" t="s">
        <v>46</v>
      </c>
      <c r="B12">
        <f>SUM(F6*8)</f>
        <v>1328</v>
      </c>
      <c r="C12" s="3">
        <v>1</v>
      </c>
      <c r="D12" s="3">
        <v>1</v>
      </c>
      <c r="E12">
        <f t="shared" si="0"/>
        <v>1339</v>
      </c>
      <c r="F12">
        <v>1339</v>
      </c>
    </row>
    <row r="13" spans="1:8" ht="12.75">
      <c r="A13" s="3" t="s">
        <v>48</v>
      </c>
      <c r="B13">
        <f>(F18+F2)*10</f>
        <v>270</v>
      </c>
      <c r="C13" s="3">
        <v>7</v>
      </c>
      <c r="D13" s="3">
        <v>1</v>
      </c>
      <c r="E13">
        <f t="shared" si="0"/>
        <v>287</v>
      </c>
      <c r="F13">
        <v>287</v>
      </c>
    </row>
    <row r="14" spans="1:8" ht="12.75">
      <c r="A14" s="3" t="s">
        <v>52</v>
      </c>
      <c r="B14">
        <f>F13*3</f>
        <v>861</v>
      </c>
      <c r="C14" s="3">
        <v>60</v>
      </c>
      <c r="D14" s="3">
        <v>1</v>
      </c>
      <c r="E14">
        <f t="shared" si="0"/>
        <v>931</v>
      </c>
      <c r="F14">
        <v>931</v>
      </c>
    </row>
    <row r="15" spans="1:8" ht="12.75">
      <c r="A15" s="3" t="s">
        <v>54</v>
      </c>
      <c r="B15" s="3">
        <v>5</v>
      </c>
      <c r="C15" s="3">
        <v>0</v>
      </c>
      <c r="D15" s="3">
        <v>3</v>
      </c>
      <c r="E15">
        <f t="shared" si="0"/>
        <v>5</v>
      </c>
      <c r="F15">
        <v>5</v>
      </c>
    </row>
    <row r="16" spans="1:8" ht="12.75">
      <c r="A16" s="3" t="s">
        <v>55</v>
      </c>
      <c r="B16" s="3">
        <v>1</v>
      </c>
      <c r="C16" s="3">
        <v>0</v>
      </c>
      <c r="D16" s="3">
        <v>12</v>
      </c>
      <c r="E16">
        <f t="shared" si="0"/>
        <v>0.91666666666666663</v>
      </c>
      <c r="F16" s="8">
        <v>1</v>
      </c>
    </row>
    <row r="17" spans="1:10" ht="14.25">
      <c r="A17" s="3" t="s">
        <v>63</v>
      </c>
      <c r="B17" s="10">
        <f>SUM((F16*30)+(F15*30))</f>
        <v>180</v>
      </c>
      <c r="C17" s="3">
        <v>1</v>
      </c>
      <c r="D17" s="3">
        <v>2</v>
      </c>
      <c r="E17">
        <f t="shared" si="0"/>
        <v>95.5</v>
      </c>
      <c r="F17">
        <v>96</v>
      </c>
    </row>
    <row r="18" spans="1:10" ht="14.25">
      <c r="A18" s="3" t="s">
        <v>70</v>
      </c>
      <c r="B18" s="10">
        <f>SUM((F17*5)+F4+(F16*100))</f>
        <v>608</v>
      </c>
      <c r="C18" s="3">
        <v>1</v>
      </c>
      <c r="D18" s="3">
        <v>50</v>
      </c>
      <c r="E18">
        <f t="shared" si="0"/>
        <v>12.38</v>
      </c>
      <c r="F18">
        <v>13</v>
      </c>
    </row>
    <row r="19" spans="1:10" ht="12.75">
      <c r="A19" s="3" t="s">
        <v>76</v>
      </c>
      <c r="B19">
        <f>SUM(F4+F5)+(F18*20)</f>
        <v>316</v>
      </c>
      <c r="C19" s="3">
        <v>4</v>
      </c>
      <c r="D19" s="3">
        <v>1</v>
      </c>
      <c r="E19">
        <f t="shared" si="0"/>
        <v>330</v>
      </c>
      <c r="F19">
        <v>330</v>
      </c>
    </row>
    <row r="20" spans="1:10" ht="14.25">
      <c r="A20" s="3" t="s">
        <v>81</v>
      </c>
      <c r="B20" s="10">
        <f>SUM(F15*10)</f>
        <v>50</v>
      </c>
      <c r="C20" s="3">
        <v>1</v>
      </c>
      <c r="D20" s="3">
        <v>10</v>
      </c>
      <c r="E20">
        <f t="shared" si="0"/>
        <v>6.1</v>
      </c>
      <c r="F20">
        <v>7</v>
      </c>
    </row>
    <row r="21" spans="1:10" ht="14.25">
      <c r="A21" s="3" t="s">
        <v>82</v>
      </c>
      <c r="B21" s="10">
        <f>SUM((F15*20)+14)</f>
        <v>114</v>
      </c>
      <c r="C21" s="3">
        <v>1</v>
      </c>
      <c r="D21" s="3">
        <v>2</v>
      </c>
      <c r="E21">
        <f t="shared" si="0"/>
        <v>62.5</v>
      </c>
      <c r="F21">
        <v>63</v>
      </c>
    </row>
    <row r="22" spans="1:10" ht="12.75">
      <c r="A22" s="3" t="s">
        <v>86</v>
      </c>
      <c r="B22">
        <f>((F3*5)+(F2)+(F16*100))</f>
        <v>324</v>
      </c>
      <c r="C22" s="3">
        <v>10</v>
      </c>
      <c r="D22" s="3">
        <v>10</v>
      </c>
      <c r="E22">
        <f t="shared" si="0"/>
        <v>34.4</v>
      </c>
      <c r="F22">
        <v>35</v>
      </c>
    </row>
    <row r="23" spans="1:10" ht="12.75">
      <c r="A23" s="3" t="s">
        <v>87</v>
      </c>
      <c r="B23">
        <f>SUM((F21*2)+(F10*2)+(F9*4))</f>
        <v>404</v>
      </c>
      <c r="C23" s="3">
        <v>6</v>
      </c>
      <c r="D23" s="3">
        <v>1</v>
      </c>
      <c r="E23">
        <f t="shared" si="0"/>
        <v>420</v>
      </c>
      <c r="F23">
        <v>420</v>
      </c>
    </row>
    <row r="24" spans="1:10" ht="12.75">
      <c r="A24" s="3" t="s">
        <v>94</v>
      </c>
      <c r="B24">
        <f>SUM((F10*20)+(F23*2)+(F18*5))</f>
        <v>2885</v>
      </c>
      <c r="C24" s="3">
        <v>10</v>
      </c>
      <c r="D24" s="3">
        <v>1</v>
      </c>
      <c r="E24">
        <f t="shared" si="0"/>
        <v>2905</v>
      </c>
      <c r="F24">
        <v>2905</v>
      </c>
      <c r="J24" s="13"/>
    </row>
    <row r="25" spans="1:10" ht="12.75">
      <c r="A25" s="3" t="s">
        <v>96</v>
      </c>
      <c r="B25">
        <f>SUM((F5*20)+(F21*5)+(F6*2))</f>
        <v>1207</v>
      </c>
      <c r="C25" s="3">
        <v>20</v>
      </c>
      <c r="D25" s="3">
        <v>1</v>
      </c>
      <c r="E25">
        <f t="shared" si="0"/>
        <v>1237</v>
      </c>
      <c r="F25">
        <v>1237</v>
      </c>
      <c r="J25" s="13"/>
    </row>
    <row r="26" spans="1:10" ht="12.75">
      <c r="A26" s="3" t="s">
        <v>98</v>
      </c>
      <c r="B26">
        <f>SUM(F6+F7+(F11*2))</f>
        <v>311</v>
      </c>
      <c r="C26" s="3">
        <v>10</v>
      </c>
      <c r="D26" s="3">
        <v>1</v>
      </c>
      <c r="E26">
        <f t="shared" si="0"/>
        <v>331</v>
      </c>
      <c r="F26">
        <v>331</v>
      </c>
    </row>
    <row r="27" spans="1:10" ht="12.75">
      <c r="A27" s="3" t="s">
        <v>101</v>
      </c>
      <c r="B27">
        <f>SUM((F10*2)+F26+(F20*15))</f>
        <v>634</v>
      </c>
      <c r="C27" s="3">
        <v>10</v>
      </c>
      <c r="D27" s="3">
        <v>1</v>
      </c>
      <c r="E27">
        <f t="shared" si="0"/>
        <v>654</v>
      </c>
      <c r="F27">
        <v>654</v>
      </c>
    </row>
    <row r="28" spans="1:10" ht="12.75">
      <c r="A28" s="3" t="s">
        <v>104</v>
      </c>
      <c r="B28">
        <f>SUM(F15*10)</f>
        <v>50</v>
      </c>
      <c r="C28" s="3">
        <v>2</v>
      </c>
      <c r="D28" s="3">
        <v>1</v>
      </c>
      <c r="E28">
        <f t="shared" si="0"/>
        <v>62</v>
      </c>
      <c r="F28">
        <v>62</v>
      </c>
    </row>
    <row r="29" spans="1:10" ht="12.75">
      <c r="A29" s="3" t="s">
        <v>105</v>
      </c>
      <c r="B29">
        <f>SUM(F28*10)</f>
        <v>620</v>
      </c>
      <c r="C29" s="3">
        <v>30</v>
      </c>
      <c r="D29" s="3">
        <v>1</v>
      </c>
      <c r="E29">
        <f t="shared" si="0"/>
        <v>660</v>
      </c>
      <c r="F29">
        <v>660</v>
      </c>
    </row>
    <row r="30" spans="1:10" ht="12.75">
      <c r="A30" s="3" t="s">
        <v>109</v>
      </c>
      <c r="B30">
        <f>SUM(F5*5)+(F6*5)+(F10*15)</f>
        <v>2455</v>
      </c>
      <c r="C30" s="3">
        <v>10</v>
      </c>
      <c r="D30" s="3">
        <v>1</v>
      </c>
      <c r="E30">
        <f t="shared" si="0"/>
        <v>2475</v>
      </c>
      <c r="F30">
        <v>2475</v>
      </c>
    </row>
    <row r="31" spans="1:10" ht="12.75">
      <c r="A31" s="3" t="s">
        <v>110</v>
      </c>
      <c r="B31">
        <f>SUM(F6*20)+(F19*12+(F10*20))</f>
        <v>9260</v>
      </c>
      <c r="C31" s="3">
        <v>20</v>
      </c>
      <c r="D31" s="3">
        <v>1</v>
      </c>
      <c r="E31">
        <f t="shared" si="0"/>
        <v>9290</v>
      </c>
      <c r="F31">
        <v>9290</v>
      </c>
    </row>
    <row r="32" spans="1:10" ht="12.75">
      <c r="A32" s="3" t="s">
        <v>111</v>
      </c>
      <c r="B32">
        <f>SUM(F27+F6+(F19*2)+(F10*3))</f>
        <v>1777</v>
      </c>
      <c r="C32" s="3">
        <v>20</v>
      </c>
      <c r="D32" s="3">
        <v>1</v>
      </c>
      <c r="E32">
        <f t="shared" si="0"/>
        <v>1807</v>
      </c>
      <c r="F32">
        <v>1807</v>
      </c>
    </row>
    <row r="33" spans="1:17" ht="12.75">
      <c r="A33" s="3" t="s">
        <v>112</v>
      </c>
      <c r="B33">
        <f>SUM(F10*5)+(F23*5)</f>
        <v>2595</v>
      </c>
      <c r="C33" s="3">
        <v>15</v>
      </c>
      <c r="D33" s="3">
        <v>1</v>
      </c>
      <c r="E33">
        <f t="shared" si="0"/>
        <v>2620</v>
      </c>
      <c r="F33">
        <v>2620</v>
      </c>
    </row>
    <row r="34" spans="1:17" ht="12.75">
      <c r="A34" s="3" t="s">
        <v>115</v>
      </c>
      <c r="B34">
        <f>SUM(F23*5)+(F33*4)+(F24*5)</f>
        <v>27105</v>
      </c>
      <c r="C34" s="3">
        <v>30</v>
      </c>
      <c r="D34" s="3">
        <v>1</v>
      </c>
      <c r="E34">
        <f t="shared" si="0"/>
        <v>27145</v>
      </c>
      <c r="F34">
        <v>27145</v>
      </c>
    </row>
    <row r="35" spans="1:17" ht="12.75">
      <c r="A35" s="3" t="s">
        <v>116</v>
      </c>
      <c r="B35">
        <f>SUM(F34*5)+(F23*5)+(F24*5)</f>
        <v>152350</v>
      </c>
      <c r="C35" s="3">
        <v>60</v>
      </c>
      <c r="D35" s="3">
        <v>1</v>
      </c>
      <c r="E35">
        <f t="shared" si="0"/>
        <v>152420</v>
      </c>
      <c r="F35">
        <v>152420</v>
      </c>
    </row>
    <row r="36" spans="1:17" ht="12.75">
      <c r="A36" s="3" t="s">
        <v>118</v>
      </c>
      <c r="B36">
        <f>(F24*1) + (F33*1)</f>
        <v>5525</v>
      </c>
      <c r="C36" s="3">
        <v>30</v>
      </c>
      <c r="D36" s="3">
        <v>1</v>
      </c>
      <c r="E36">
        <f t="shared" si="0"/>
        <v>5565</v>
      </c>
      <c r="F36">
        <v>5565</v>
      </c>
      <c r="H36" s="3"/>
      <c r="J36" s="3"/>
      <c r="N36" s="3"/>
      <c r="O36" s="3"/>
      <c r="Q36" s="3"/>
    </row>
    <row r="37" spans="1:17" ht="12.75">
      <c r="A37" s="3" t="s">
        <v>121</v>
      </c>
      <c r="B37">
        <f>((F4*10) + (F14*1) + (F13*19))</f>
        <v>6664</v>
      </c>
      <c r="C37" s="3">
        <v>10</v>
      </c>
      <c r="D37" s="3">
        <v>10</v>
      </c>
      <c r="E37">
        <f t="shared" si="0"/>
        <v>668.4</v>
      </c>
      <c r="F37">
        <v>669</v>
      </c>
      <c r="G37" s="15"/>
      <c r="H37" s="16"/>
      <c r="J37" s="3"/>
      <c r="N37" s="3"/>
      <c r="O37" s="3"/>
      <c r="Q37" s="3"/>
    </row>
    <row r="38" spans="1:17" ht="12.75">
      <c r="A38" s="3" t="s">
        <v>125</v>
      </c>
      <c r="B38">
        <f>(F36*10*100) + (F29*10*100) + (F25*10*100)</f>
        <v>7462000</v>
      </c>
      <c r="C38" s="3">
        <v>60</v>
      </c>
      <c r="D38" s="3">
        <v>1</v>
      </c>
      <c r="E38">
        <f t="shared" si="0"/>
        <v>7462070</v>
      </c>
      <c r="F38" s="17">
        <v>7462070</v>
      </c>
      <c r="G38" s="5"/>
      <c r="H38" s="17"/>
      <c r="J38" s="3"/>
      <c r="N38" s="3"/>
      <c r="O38" s="3"/>
      <c r="Q38" s="3"/>
    </row>
    <row r="39" spans="1:17" ht="12.75">
      <c r="A39" s="3" t="s">
        <v>126</v>
      </c>
      <c r="B39">
        <f>(F4*4)</f>
        <v>112</v>
      </c>
      <c r="C39" s="3">
        <v>1</v>
      </c>
      <c r="D39" s="3">
        <v>1</v>
      </c>
      <c r="E39">
        <f t="shared" si="0"/>
        <v>123</v>
      </c>
      <c r="F39">
        <v>123</v>
      </c>
      <c r="G39" s="17"/>
      <c r="H39" s="5"/>
      <c r="J39" s="3"/>
      <c r="N39" s="3"/>
      <c r="O39" s="3"/>
      <c r="Q39" s="3"/>
    </row>
    <row r="40" spans="1:17" ht="12.75">
      <c r="A40" s="3" t="s">
        <v>128</v>
      </c>
      <c r="B40">
        <f>(F5*5)+(F6)+(F39)</f>
        <v>429</v>
      </c>
      <c r="C40" s="3">
        <v>3</v>
      </c>
      <c r="D40" s="3">
        <v>1</v>
      </c>
      <c r="E40">
        <f t="shared" si="0"/>
        <v>442</v>
      </c>
      <c r="F40">
        <v>442</v>
      </c>
      <c r="G40" s="17"/>
      <c r="H40" s="5"/>
      <c r="J40" s="3"/>
      <c r="N40" s="3"/>
      <c r="O40" s="3"/>
      <c r="Q40" s="3"/>
    </row>
    <row r="41" spans="1:17" ht="12.75">
      <c r="A41" s="3" t="s">
        <v>129</v>
      </c>
      <c r="B41">
        <f>(F40)+(F13)</f>
        <v>729</v>
      </c>
      <c r="C41" s="3">
        <v>10</v>
      </c>
      <c r="D41" s="3">
        <v>1</v>
      </c>
      <c r="E41">
        <f t="shared" si="0"/>
        <v>749</v>
      </c>
      <c r="F41">
        <v>749</v>
      </c>
      <c r="G41" s="17"/>
      <c r="H41" s="5"/>
      <c r="J41" s="3"/>
      <c r="N41" s="3"/>
      <c r="O41" s="3"/>
      <c r="Q41" s="3"/>
    </row>
    <row r="42" spans="1:17" ht="12.75">
      <c r="A42" s="3" t="s">
        <v>132</v>
      </c>
      <c r="B42">
        <f>((F2)+(F17)+(F16*10))</f>
        <v>120</v>
      </c>
      <c r="C42" s="3">
        <v>4</v>
      </c>
      <c r="D42" s="3">
        <v>2</v>
      </c>
      <c r="E42">
        <f t="shared" si="0"/>
        <v>67</v>
      </c>
      <c r="F42">
        <v>67</v>
      </c>
      <c r="G42" s="17"/>
      <c r="H42" s="5"/>
      <c r="J42" s="3"/>
      <c r="N42" s="3"/>
      <c r="O42" s="3"/>
      <c r="Q42" s="3"/>
    </row>
    <row r="43" spans="1:17" ht="12.75">
      <c r="A43" s="3" t="s">
        <v>135</v>
      </c>
      <c r="B43">
        <f>((F42)+(F10)+(F4))*2</f>
        <v>388</v>
      </c>
      <c r="C43" s="3">
        <v>8</v>
      </c>
      <c r="D43" s="3">
        <v>1</v>
      </c>
      <c r="E43">
        <f t="shared" si="0"/>
        <v>406</v>
      </c>
      <c r="F43">
        <v>406</v>
      </c>
      <c r="G43" s="17"/>
      <c r="H43" s="5"/>
      <c r="J43" s="3"/>
      <c r="N43" s="3"/>
      <c r="O43" s="3"/>
      <c r="Q43" s="3"/>
    </row>
    <row r="44" spans="1:17" ht="12.75">
      <c r="A44" s="3" t="s">
        <v>137</v>
      </c>
      <c r="B44">
        <f>(F43)+(F42*2)</f>
        <v>540</v>
      </c>
      <c r="C44" s="3">
        <v>8</v>
      </c>
      <c r="D44" s="3">
        <v>1</v>
      </c>
      <c r="E44">
        <f t="shared" si="0"/>
        <v>558</v>
      </c>
      <c r="F44">
        <v>558</v>
      </c>
      <c r="G44" s="17"/>
      <c r="H44" s="5"/>
      <c r="J44" s="3"/>
      <c r="N44" s="3"/>
      <c r="O44" s="3"/>
      <c r="Q44" s="3"/>
    </row>
    <row r="45" spans="1:17" ht="12.75">
      <c r="A45" s="3" t="s">
        <v>139</v>
      </c>
      <c r="B45">
        <f>((F42)+(F6)+(F21))*2</f>
        <v>592</v>
      </c>
      <c r="C45" s="3">
        <v>8</v>
      </c>
      <c r="D45" s="3">
        <v>1</v>
      </c>
      <c r="E45">
        <f t="shared" si="0"/>
        <v>610</v>
      </c>
      <c r="F45">
        <v>610</v>
      </c>
      <c r="G45" s="17"/>
      <c r="H45" s="5"/>
      <c r="J45" s="3"/>
      <c r="N45" s="3"/>
      <c r="O45" s="3"/>
      <c r="Q45" s="3"/>
    </row>
    <row r="46" spans="1:17" ht="12.75">
      <c r="A46" s="3" t="s">
        <v>146</v>
      </c>
      <c r="B46">
        <f>(F4*10)+(F7*5)+(F10*5)</f>
        <v>1110</v>
      </c>
      <c r="C46" s="3">
        <v>0.5</v>
      </c>
      <c r="D46" s="3">
        <v>1</v>
      </c>
      <c r="E46">
        <f t="shared" si="0"/>
        <v>1120.5</v>
      </c>
      <c r="F46">
        <v>1121</v>
      </c>
      <c r="G46" s="17"/>
      <c r="H46" s="5"/>
      <c r="J46" s="3"/>
      <c r="N46" s="3"/>
      <c r="O46" s="3"/>
      <c r="Q46" s="3"/>
    </row>
    <row r="47" spans="1:17" ht="12.75">
      <c r="A47" s="3" t="s">
        <v>147</v>
      </c>
      <c r="B47">
        <f>(F46)+(F45*4)+(F42*8)</f>
        <v>4097</v>
      </c>
      <c r="C47" s="3">
        <v>15</v>
      </c>
      <c r="D47" s="3">
        <v>1</v>
      </c>
      <c r="E47">
        <f t="shared" si="0"/>
        <v>4122</v>
      </c>
      <c r="F47">
        <v>4122</v>
      </c>
      <c r="G47" s="17"/>
      <c r="H47" s="5"/>
      <c r="J47" s="3"/>
      <c r="N47" s="3"/>
      <c r="O47" s="3"/>
      <c r="Q47" s="3"/>
    </row>
    <row r="48" spans="1:17" ht="12.75">
      <c r="A48" s="3" t="s">
        <v>152</v>
      </c>
      <c r="B48">
        <f>(F23*20)+(F22*60)+(F6*60)+(F7*40)</f>
        <v>23140</v>
      </c>
      <c r="C48" s="3">
        <v>40</v>
      </c>
      <c r="D48" s="3">
        <v>1</v>
      </c>
      <c r="E48">
        <f t="shared" si="0"/>
        <v>23190</v>
      </c>
      <c r="F48">
        <v>23190</v>
      </c>
      <c r="G48" s="17"/>
      <c r="H48" s="5"/>
      <c r="J48" s="3"/>
      <c r="N48" s="3"/>
      <c r="O48" s="3"/>
      <c r="Q48" s="3"/>
    </row>
    <row r="49" spans="1:17" ht="12.75">
      <c r="A49" s="3" t="s">
        <v>153</v>
      </c>
      <c r="B49">
        <f>((F22)+(F23)+(F6)+(F5))*500</f>
        <v>324500</v>
      </c>
      <c r="C49" s="3">
        <v>1</v>
      </c>
      <c r="D49" s="3">
        <v>1</v>
      </c>
      <c r="E49">
        <f t="shared" si="0"/>
        <v>324511</v>
      </c>
      <c r="F49">
        <v>324511</v>
      </c>
      <c r="G49" s="17"/>
      <c r="H49" s="5"/>
      <c r="J49" s="3"/>
      <c r="N49" s="3"/>
      <c r="O49" s="3"/>
      <c r="Q49" s="3"/>
    </row>
    <row r="50" spans="1:17" ht="12.75">
      <c r="A50" s="3" t="s">
        <v>156</v>
      </c>
      <c r="B50">
        <f>(F4)*20+(F5)*10+(F7)*10</f>
        <v>1510</v>
      </c>
      <c r="C50" s="3">
        <v>8</v>
      </c>
      <c r="D50" s="3">
        <v>1</v>
      </c>
      <c r="E50">
        <f t="shared" si="0"/>
        <v>1528</v>
      </c>
      <c r="F50">
        <v>1528</v>
      </c>
      <c r="G50" s="17"/>
      <c r="H50" s="5"/>
      <c r="J50" s="3"/>
      <c r="N50" s="3"/>
      <c r="O50" s="3"/>
      <c r="Q50" s="3"/>
    </row>
    <row r="51" spans="1:17" ht="12.75">
      <c r="A51" s="3" t="s">
        <v>157</v>
      </c>
      <c r="B51">
        <f>(F9*5)+(F10*5)</f>
        <v>595</v>
      </c>
      <c r="C51" s="3">
        <v>0.5</v>
      </c>
      <c r="D51" s="3">
        <v>1</v>
      </c>
      <c r="E51">
        <f t="shared" si="0"/>
        <v>605.5</v>
      </c>
      <c r="F51">
        <v>606</v>
      </c>
      <c r="G51" s="17"/>
      <c r="H51" s="5"/>
      <c r="J51" s="3"/>
      <c r="N51" s="3"/>
      <c r="O51" s="3"/>
      <c r="Q51" s="3"/>
    </row>
    <row r="52" spans="1:17" ht="12.75">
      <c r="A52" s="3" t="s">
        <v>160</v>
      </c>
      <c r="B52">
        <f>(F9)+(F10)</f>
        <v>119</v>
      </c>
      <c r="C52" s="3">
        <v>0.5</v>
      </c>
      <c r="D52" s="3">
        <v>1</v>
      </c>
      <c r="E52">
        <f t="shared" si="0"/>
        <v>129.5</v>
      </c>
      <c r="F52">
        <v>130</v>
      </c>
      <c r="G52" s="17"/>
      <c r="H52" s="5"/>
      <c r="J52" s="3"/>
      <c r="N52" s="3"/>
      <c r="O52" s="3"/>
      <c r="Q52" s="3"/>
    </row>
    <row r="53" spans="1:17" ht="12.75">
      <c r="A53" s="3" t="s">
        <v>109</v>
      </c>
      <c r="B53">
        <f>(F5)*5+(F6)*5+(F10)*15</f>
        <v>2455</v>
      </c>
      <c r="C53" s="3">
        <v>10</v>
      </c>
      <c r="D53" s="3">
        <v>1</v>
      </c>
      <c r="E53">
        <f t="shared" si="0"/>
        <v>2475</v>
      </c>
      <c r="F53">
        <v>2475</v>
      </c>
      <c r="G53" s="17"/>
      <c r="H53" s="5"/>
      <c r="J53" s="3"/>
      <c r="N53" s="3"/>
      <c r="O53" s="3"/>
      <c r="Q53" s="3"/>
    </row>
    <row r="54" spans="1:17" ht="12.75">
      <c r="A54" s="3" t="s">
        <v>161</v>
      </c>
      <c r="B54">
        <f>(F4*2)+(F19*5)</f>
        <v>1706</v>
      </c>
      <c r="C54" s="3">
        <v>10</v>
      </c>
      <c r="D54" s="3">
        <v>1</v>
      </c>
      <c r="E54">
        <f t="shared" si="0"/>
        <v>1726</v>
      </c>
      <c r="F54">
        <v>1726</v>
      </c>
      <c r="G54" s="17"/>
      <c r="H54" s="5"/>
      <c r="J54" s="3"/>
      <c r="N54" s="3"/>
      <c r="O54" s="3"/>
      <c r="Q54" s="3"/>
    </row>
    <row r="55" spans="1:17" ht="12.75">
      <c r="A55" s="3" t="s">
        <v>162</v>
      </c>
      <c r="B55">
        <f>(F25*100)+(F53*100)+(F54*100)+(F2*100)+(F29*50)</f>
        <v>578200</v>
      </c>
      <c r="C55" s="3">
        <v>5</v>
      </c>
      <c r="D55" s="3">
        <v>1</v>
      </c>
      <c r="E55">
        <f t="shared" si="0"/>
        <v>578215</v>
      </c>
      <c r="F55">
        <v>578215</v>
      </c>
      <c r="G55" s="17"/>
      <c r="H55" s="5"/>
      <c r="J55" s="3"/>
      <c r="N55" s="3"/>
      <c r="O55" s="3"/>
      <c r="Q55" s="3"/>
    </row>
    <row r="56" spans="1:17" ht="12.75">
      <c r="A56" s="3" t="s">
        <v>165</v>
      </c>
      <c r="B56">
        <f>(F10*10)+(F7*10)+(F8*4)</f>
        <v>1872</v>
      </c>
      <c r="C56" s="3">
        <v>2</v>
      </c>
      <c r="D56" s="3">
        <v>1</v>
      </c>
      <c r="E56">
        <f t="shared" si="0"/>
        <v>1884</v>
      </c>
      <c r="F56">
        <v>1884</v>
      </c>
      <c r="G56" s="17"/>
      <c r="H56" s="5"/>
      <c r="J56" s="3"/>
      <c r="N56" s="3"/>
      <c r="O56" s="3"/>
      <c r="Q56" s="3"/>
    </row>
    <row r="57" spans="1:17" ht="12.75">
      <c r="A57" s="3" t="s">
        <v>166</v>
      </c>
      <c r="B57">
        <f>(F6)*10+(F5)*20</f>
        <v>2220</v>
      </c>
      <c r="C57" s="3">
        <v>1</v>
      </c>
      <c r="D57" s="3">
        <v>1</v>
      </c>
      <c r="E57">
        <f t="shared" si="0"/>
        <v>2231</v>
      </c>
      <c r="F57">
        <v>2231</v>
      </c>
      <c r="G57" s="17"/>
      <c r="H57" s="5"/>
      <c r="J57" s="3"/>
      <c r="N57" s="3"/>
      <c r="O57" s="3"/>
      <c r="Q57" s="3"/>
    </row>
    <row r="58" spans="1:17" ht="12.75">
      <c r="A58" s="3" t="s">
        <v>169</v>
      </c>
      <c r="B58">
        <f>(F6)*10+(F5)*100+(F10)*10</f>
        <v>5450</v>
      </c>
      <c r="C58" s="3">
        <v>3</v>
      </c>
      <c r="D58" s="3">
        <v>1</v>
      </c>
      <c r="E58">
        <f t="shared" si="0"/>
        <v>5463</v>
      </c>
      <c r="F58">
        <v>5463</v>
      </c>
      <c r="G58" s="17"/>
      <c r="H58" s="5"/>
      <c r="J58" s="3"/>
      <c r="N58" s="3"/>
      <c r="O58" s="3"/>
      <c r="Q58" s="3"/>
    </row>
    <row r="59" spans="1:17" ht="12.75">
      <c r="A59" s="3" t="s">
        <v>170</v>
      </c>
      <c r="B59">
        <f>(F7)*50+(F5)*50+(F11)*20</f>
        <v>5530</v>
      </c>
      <c r="C59" s="3">
        <v>3</v>
      </c>
      <c r="D59" s="3">
        <v>1</v>
      </c>
      <c r="E59">
        <f t="shared" si="0"/>
        <v>5543</v>
      </c>
      <c r="F59">
        <v>5543</v>
      </c>
      <c r="G59" s="17"/>
      <c r="H59" s="5"/>
      <c r="J59" s="3"/>
      <c r="N59" s="3"/>
      <c r="O59" s="3"/>
      <c r="Q59" s="3"/>
    </row>
    <row r="60" spans="1:17" ht="18" customHeight="1">
      <c r="A60" s="3" t="s">
        <v>172</v>
      </c>
      <c r="B60">
        <f>(F4)*5+(F2)*10</f>
        <v>280</v>
      </c>
      <c r="C60" s="3">
        <v>8</v>
      </c>
      <c r="D60" s="3">
        <v>1</v>
      </c>
      <c r="E60">
        <f t="shared" si="0"/>
        <v>298</v>
      </c>
      <c r="F60">
        <v>298</v>
      </c>
      <c r="G60" s="17"/>
      <c r="H60" s="5"/>
      <c r="J60" s="3"/>
      <c r="N60" s="3"/>
      <c r="O60" s="3"/>
      <c r="Q60" s="3"/>
    </row>
    <row r="61" spans="1:17" ht="12.75">
      <c r="A61" s="3" t="s">
        <v>173</v>
      </c>
      <c r="B61">
        <f>(F60)*7+(F42)*5+(F6)*5</f>
        <v>3251</v>
      </c>
      <c r="C61" s="3">
        <v>8</v>
      </c>
      <c r="D61" s="3">
        <v>1</v>
      </c>
      <c r="E61">
        <f t="shared" si="0"/>
        <v>3269</v>
      </c>
      <c r="F61">
        <v>3269</v>
      </c>
      <c r="G61" s="17"/>
      <c r="H61" s="5"/>
      <c r="J61" s="3"/>
      <c r="N61" s="3"/>
      <c r="O61" s="3"/>
      <c r="Q61" s="3"/>
    </row>
    <row r="62" spans="1:17" ht="12.75">
      <c r="A62" s="3" t="s">
        <v>175</v>
      </c>
      <c r="B62">
        <f>F4+F7+F10</f>
        <v>194</v>
      </c>
      <c r="C62" s="3">
        <v>1</v>
      </c>
      <c r="D62" s="3">
        <v>1</v>
      </c>
      <c r="E62">
        <f t="shared" si="0"/>
        <v>205</v>
      </c>
      <c r="F62">
        <v>205</v>
      </c>
      <c r="G62" s="17"/>
      <c r="H62" s="5"/>
      <c r="J62" s="3"/>
      <c r="N62" s="3"/>
      <c r="O62" s="3"/>
      <c r="Q62" s="3"/>
    </row>
    <row r="63" spans="1:17" ht="12.75">
      <c r="A63" s="3" t="s">
        <v>176</v>
      </c>
      <c r="B63">
        <f>F3*5</f>
        <v>210</v>
      </c>
      <c r="C63" s="3">
        <v>1</v>
      </c>
      <c r="D63" s="3">
        <v>1</v>
      </c>
      <c r="E63">
        <f t="shared" si="0"/>
        <v>221</v>
      </c>
      <c r="F63">
        <v>221</v>
      </c>
      <c r="G63" s="17"/>
      <c r="H63" s="5"/>
      <c r="J63" s="3"/>
      <c r="N63" s="3"/>
      <c r="O63" s="3"/>
      <c r="Q63" s="3"/>
    </row>
    <row r="64" spans="1:17" ht="12.75">
      <c r="A64" s="3" t="s">
        <v>178</v>
      </c>
      <c r="B64">
        <f>F6+F2+(F4)</f>
        <v>208</v>
      </c>
      <c r="C64" s="3">
        <v>1</v>
      </c>
      <c r="D64" s="3">
        <v>2</v>
      </c>
      <c r="E64">
        <f t="shared" si="0"/>
        <v>109.5</v>
      </c>
      <c r="F64">
        <v>110</v>
      </c>
      <c r="G64" s="17"/>
      <c r="H64" s="5"/>
      <c r="J64" s="3"/>
      <c r="N64" s="3"/>
      <c r="O64" s="3"/>
      <c r="Q64" s="3"/>
    </row>
    <row r="65" spans="1:17" ht="12.75">
      <c r="A65" s="3" t="s">
        <v>179</v>
      </c>
      <c r="B65">
        <f>(F7)*5+(F10)*3+(F4)*10</f>
        <v>912</v>
      </c>
      <c r="C65" s="3">
        <v>2</v>
      </c>
      <c r="D65" s="3">
        <v>1</v>
      </c>
      <c r="E65">
        <f t="shared" si="0"/>
        <v>924</v>
      </c>
      <c r="F65">
        <v>924</v>
      </c>
      <c r="G65" s="17"/>
      <c r="H65" s="5"/>
      <c r="J65" s="3"/>
      <c r="N65" s="3"/>
      <c r="O65" s="3"/>
      <c r="Q65" s="3"/>
    </row>
    <row r="66" spans="1:17" ht="12.75">
      <c r="A66" s="3" t="s">
        <v>181</v>
      </c>
      <c r="B66">
        <f>(F10)*3+(F7)*5+(F4)*9</f>
        <v>884</v>
      </c>
      <c r="C66" s="3">
        <v>0.5</v>
      </c>
      <c r="D66" s="3">
        <v>1</v>
      </c>
      <c r="E66">
        <f t="shared" si="0"/>
        <v>894.5</v>
      </c>
      <c r="F66">
        <v>895</v>
      </c>
      <c r="G66" s="17"/>
      <c r="H66" s="5"/>
      <c r="J66" s="3"/>
      <c r="N66" s="3"/>
      <c r="O66" s="3"/>
      <c r="Q66" s="3"/>
    </row>
    <row r="67" spans="1:17" ht="12.75">
      <c r="A67" s="3" t="s">
        <v>182</v>
      </c>
      <c r="B67">
        <f>(F6)*2+(F10)*3+(F7)*5+(F66)</f>
        <v>1859</v>
      </c>
      <c r="C67" s="3">
        <v>0.5</v>
      </c>
      <c r="D67" s="3">
        <v>1</v>
      </c>
      <c r="E67">
        <f t="shared" si="0"/>
        <v>1869.5</v>
      </c>
      <c r="F67">
        <v>1870</v>
      </c>
      <c r="G67" s="17"/>
      <c r="H67" s="5"/>
      <c r="J67" s="3"/>
      <c r="N67" s="3"/>
      <c r="O67" s="3"/>
      <c r="Q67" s="3"/>
    </row>
    <row r="68" spans="1:17" ht="12.75">
      <c r="A68" s="3" t="s">
        <v>187</v>
      </c>
      <c r="B68">
        <f>(F6)*15+(F7)*10+(F3)*10+(F10)*10+(F11)*10</f>
        <v>4960</v>
      </c>
      <c r="C68" s="3">
        <v>8</v>
      </c>
      <c r="D68" s="3">
        <v>1</v>
      </c>
      <c r="E68">
        <f t="shared" si="0"/>
        <v>4978</v>
      </c>
      <c r="F68">
        <v>4978</v>
      </c>
      <c r="G68" s="17"/>
      <c r="H68" s="5"/>
      <c r="J68" s="3"/>
      <c r="N68" s="3"/>
      <c r="O68" s="3"/>
      <c r="Q68" s="3"/>
    </row>
    <row r="69" spans="1:17" ht="12.75">
      <c r="A69" s="3" t="s">
        <v>191</v>
      </c>
      <c r="B69">
        <f>(F23*5) + (F6*10) + (F3*10)</f>
        <v>4180</v>
      </c>
      <c r="C69" s="3">
        <v>5</v>
      </c>
      <c r="D69" s="3">
        <v>1</v>
      </c>
      <c r="E69">
        <f t="shared" si="0"/>
        <v>4195</v>
      </c>
      <c r="F69">
        <v>4195</v>
      </c>
      <c r="G69" s="17"/>
      <c r="H69" s="5"/>
      <c r="J69" s="3"/>
      <c r="N69" s="3"/>
      <c r="O69" s="3"/>
      <c r="Q69" s="3"/>
    </row>
    <row r="70" spans="1:17" ht="12.75">
      <c r="A70" s="3" t="s">
        <v>192</v>
      </c>
      <c r="B70">
        <f>F5 + F7</f>
        <v>95</v>
      </c>
      <c r="C70" s="3">
        <v>5</v>
      </c>
      <c r="D70" s="3">
        <v>1</v>
      </c>
      <c r="E70">
        <f t="shared" si="0"/>
        <v>110</v>
      </c>
      <c r="F70">
        <v>110</v>
      </c>
      <c r="G70" s="17"/>
      <c r="H70" s="5"/>
      <c r="J70" s="3"/>
      <c r="N70" s="3"/>
      <c r="O70" s="3"/>
      <c r="Q70" s="3"/>
    </row>
    <row r="71" spans="1:17" ht="12.75">
      <c r="A71" s="3" t="s">
        <v>193</v>
      </c>
      <c r="B71">
        <f>F8 + F62</f>
        <v>258</v>
      </c>
      <c r="C71" s="3">
        <v>6</v>
      </c>
      <c r="D71" s="3">
        <v>1</v>
      </c>
      <c r="E71">
        <f t="shared" si="0"/>
        <v>274</v>
      </c>
      <c r="F71">
        <v>274</v>
      </c>
      <c r="G71" s="17"/>
      <c r="H71" s="5"/>
      <c r="J71" s="3"/>
      <c r="N71" s="3"/>
      <c r="O71" s="3"/>
      <c r="Q71" s="3"/>
    </row>
    <row r="72" spans="1:17" ht="12.75">
      <c r="A72" s="3" t="s">
        <v>194</v>
      </c>
      <c r="B72">
        <f>F60+F40+(F63*2)</f>
        <v>1182</v>
      </c>
      <c r="C72" s="3">
        <v>10</v>
      </c>
      <c r="D72" s="3">
        <v>2</v>
      </c>
      <c r="E72">
        <f t="shared" si="0"/>
        <v>601</v>
      </c>
      <c r="F72">
        <v>601</v>
      </c>
      <c r="G72" s="17"/>
      <c r="H72" s="5"/>
      <c r="J72" s="3"/>
      <c r="N72" s="3"/>
      <c r="O72" s="3"/>
      <c r="Q72" s="3"/>
    </row>
    <row r="73" spans="1:17" ht="12.75">
      <c r="A73" s="3" t="s">
        <v>197</v>
      </c>
      <c r="B73">
        <f>(F23*3) + (F26*2) + F28</f>
        <v>1984</v>
      </c>
      <c r="C73" s="3">
        <v>24</v>
      </c>
      <c r="D73" s="3">
        <v>2</v>
      </c>
      <c r="E73">
        <f t="shared" si="0"/>
        <v>1009</v>
      </c>
      <c r="F73">
        <v>1009</v>
      </c>
      <c r="G73" s="17"/>
      <c r="H73" s="5"/>
      <c r="J73" s="3"/>
      <c r="N73" s="3"/>
      <c r="O73" s="3"/>
      <c r="Q73" s="3"/>
    </row>
    <row r="74" spans="1:17" ht="12.75">
      <c r="A74" s="3" t="s">
        <v>198</v>
      </c>
      <c r="B74">
        <f>F33+F69+(F64*30)</f>
        <v>10115</v>
      </c>
      <c r="C74" s="3">
        <v>21</v>
      </c>
      <c r="D74" s="3">
        <v>3</v>
      </c>
      <c r="E74">
        <f t="shared" si="0"/>
        <v>3382</v>
      </c>
      <c r="F74">
        <v>3382</v>
      </c>
      <c r="G74" s="17"/>
      <c r="H74" s="5"/>
      <c r="J74" s="3"/>
      <c r="N74" s="3"/>
      <c r="O74" s="3"/>
      <c r="Q74" s="3"/>
    </row>
    <row r="75" spans="1:17" ht="12.75">
      <c r="A75" s="3" t="s">
        <v>200</v>
      </c>
      <c r="B75">
        <f>F32+(F25*3)+(F24*2)</f>
        <v>11328</v>
      </c>
      <c r="C75" s="3">
        <v>21</v>
      </c>
      <c r="D75" s="3">
        <v>3</v>
      </c>
      <c r="E75">
        <f t="shared" si="0"/>
        <v>3786.3333333333335</v>
      </c>
      <c r="F75">
        <v>3787</v>
      </c>
      <c r="G75" s="17"/>
      <c r="H75" s="5"/>
      <c r="J75" s="3"/>
      <c r="N75" s="3"/>
      <c r="O75" s="3"/>
      <c r="Q75" s="3"/>
    </row>
    <row r="76" spans="1:17" ht="12.75">
      <c r="A76" s="3" t="s">
        <v>201</v>
      </c>
      <c r="B76" s="17">
        <f>F38+F55</f>
        <v>8040285</v>
      </c>
      <c r="C76" s="3">
        <v>60</v>
      </c>
      <c r="D76" s="3">
        <v>1000</v>
      </c>
      <c r="E76">
        <f t="shared" si="0"/>
        <v>8040.3549999999996</v>
      </c>
      <c r="F76">
        <v>8041</v>
      </c>
      <c r="G76" s="17"/>
      <c r="H76" s="5"/>
      <c r="J76" s="3"/>
    </row>
    <row r="77" spans="1:17" ht="12.75">
      <c r="A77" s="3" t="s">
        <v>203</v>
      </c>
      <c r="B77">
        <f>SUM(F70:F76)</f>
        <v>17204</v>
      </c>
      <c r="C77" s="3">
        <v>0</v>
      </c>
      <c r="D77" s="3">
        <v>1</v>
      </c>
      <c r="E77">
        <f t="shared" si="0"/>
        <v>17214</v>
      </c>
      <c r="F77">
        <v>17214</v>
      </c>
      <c r="G77" s="5"/>
      <c r="H77" s="17"/>
      <c r="J77" s="3"/>
    </row>
    <row r="78" spans="1:17" ht="12.75">
      <c r="F78" s="17"/>
      <c r="G78" s="17"/>
      <c r="H78" s="5"/>
      <c r="J78" s="3"/>
    </row>
    <row r="79" spans="1:17" ht="12.75">
      <c r="F79" s="17"/>
      <c r="G79" s="17"/>
      <c r="H79" s="5"/>
      <c r="J79" s="3"/>
    </row>
    <row r="80" spans="1:17" ht="14.25">
      <c r="A80" s="20"/>
      <c r="F80" s="17"/>
      <c r="G80" s="5"/>
      <c r="H80" s="17"/>
      <c r="J80" s="3"/>
      <c r="K80" s="3"/>
      <c r="L80" s="3"/>
      <c r="N80" s="16"/>
      <c r="O80" s="16"/>
    </row>
    <row r="81" spans="1:15" ht="14.25">
      <c r="A81" s="20"/>
      <c r="F81" s="17"/>
      <c r="G81" s="5"/>
      <c r="H81" s="17"/>
      <c r="N81" s="16"/>
      <c r="O81" s="16"/>
    </row>
    <row r="82" spans="1:15" ht="14.25">
      <c r="A82" s="20" t="s">
        <v>224</v>
      </c>
      <c r="F82" s="17"/>
      <c r="G82" s="5"/>
      <c r="H82" s="17"/>
      <c r="J82" s="3"/>
      <c r="K82" s="3"/>
      <c r="L82" s="3"/>
      <c r="N82" s="16"/>
      <c r="O82" s="16"/>
    </row>
    <row r="83" spans="1:15" ht="14.25">
      <c r="A83" s="20"/>
      <c r="F83" s="17"/>
      <c r="G83" s="5"/>
      <c r="H83" s="17"/>
      <c r="J83" s="3"/>
      <c r="K83" s="3"/>
      <c r="L83" s="3"/>
      <c r="N83" s="16"/>
      <c r="O83" s="16"/>
    </row>
    <row r="84" spans="1:15" ht="14.25">
      <c r="A84" s="20"/>
      <c r="F84" s="17"/>
      <c r="G84" s="5"/>
      <c r="H84" s="17"/>
      <c r="N84" s="16"/>
      <c r="O84" s="16"/>
    </row>
    <row r="85" spans="1:15" ht="14.25">
      <c r="A85" s="20"/>
      <c r="F85" s="17"/>
      <c r="G85" s="5"/>
      <c r="H85" s="17"/>
      <c r="J85" s="3"/>
      <c r="K85" s="3"/>
      <c r="L85" s="3"/>
      <c r="N85" s="16"/>
      <c r="O85" s="16"/>
    </row>
    <row r="86" spans="1:15" ht="14.25">
      <c r="A86" s="20"/>
      <c r="F86" s="17"/>
      <c r="G86" s="5"/>
      <c r="H86" s="17"/>
      <c r="N86" s="16"/>
      <c r="O86" s="16"/>
    </row>
    <row r="87" spans="1:15" ht="14.25">
      <c r="A87" s="20"/>
      <c r="F87" s="17"/>
      <c r="G87" s="5"/>
      <c r="H87" s="17"/>
      <c r="N87" s="16"/>
      <c r="O87" s="16"/>
    </row>
    <row r="88" spans="1:15" ht="14.25">
      <c r="A88" s="20"/>
      <c r="F88" s="17"/>
      <c r="G88" s="5"/>
      <c r="H88" s="17"/>
      <c r="N88" s="16"/>
      <c r="O88" s="16"/>
    </row>
    <row r="89" spans="1:15" ht="14.25">
      <c r="A89" s="20"/>
      <c r="F89" s="17"/>
      <c r="G89" s="5"/>
      <c r="H89" s="17"/>
      <c r="N89" s="16"/>
      <c r="O89" s="16"/>
    </row>
    <row r="90" spans="1:15" ht="12.75">
      <c r="F90" s="17"/>
      <c r="G90" s="17"/>
      <c r="H90" s="17"/>
    </row>
    <row r="91" spans="1:15" ht="15">
      <c r="A91" s="22" t="s">
        <v>190</v>
      </c>
      <c r="B91">
        <f>(F6*50)+(F23*30)</f>
        <v>20900</v>
      </c>
      <c r="C91" s="3">
        <v>15</v>
      </c>
      <c r="D91" s="3">
        <v>1</v>
      </c>
      <c r="E91">
        <f t="shared" ref="E91:E108" si="1">SUM(B91+10+C91)/D91</f>
        <v>20925</v>
      </c>
      <c r="F91" s="17">
        <v>20925</v>
      </c>
      <c r="G91" s="5">
        <f>F91/100</f>
        <v>209.25</v>
      </c>
      <c r="H91" s="17">
        <f t="shared" ref="H91:H92" si="2">IF(G91 &lt; 1000, ROUND(G91,-1), IF(G91 &lt; 10000, ROUND(G91,-2), ROUND(G91,-3)))</f>
        <v>210</v>
      </c>
    </row>
    <row r="92" spans="1:15" ht="15">
      <c r="A92" s="22" t="s">
        <v>196</v>
      </c>
      <c r="B92">
        <f>(F6*40)+(F24*40)+(F27*20)</f>
        <v>135920</v>
      </c>
      <c r="C92" s="3">
        <v>20</v>
      </c>
      <c r="D92" s="3">
        <v>1</v>
      </c>
      <c r="E92">
        <f t="shared" si="1"/>
        <v>135950</v>
      </c>
      <c r="F92" s="17">
        <v>135950</v>
      </c>
      <c r="G92" s="5">
        <f t="shared" ref="G92:G108" si="3">F92/100</f>
        <v>1359.5</v>
      </c>
      <c r="H92" s="17">
        <f t="shared" si="2"/>
        <v>1400</v>
      </c>
    </row>
    <row r="93" spans="1:15" ht="15">
      <c r="A93" s="22" t="s">
        <v>199</v>
      </c>
      <c r="B93">
        <f>SUM(F34*50)+(F24*60)+(F27*40)+(F25*30)</f>
        <v>1594820</v>
      </c>
      <c r="C93" s="3">
        <v>25</v>
      </c>
      <c r="D93" s="3">
        <v>1</v>
      </c>
      <c r="E93">
        <f t="shared" si="1"/>
        <v>1594855</v>
      </c>
      <c r="F93" s="17">
        <v>1594855</v>
      </c>
      <c r="G93" s="5">
        <f t="shared" si="3"/>
        <v>15948.55</v>
      </c>
      <c r="H93" s="17">
        <f>IF(G93 &lt; 1000, ROUND(G93,-1), IF(G93 &lt; 10000, ROUND(G93,-2), ROUND(G93,-3)))</f>
        <v>16000</v>
      </c>
    </row>
    <row r="94" spans="1:15" ht="15">
      <c r="A94" s="22" t="s">
        <v>202</v>
      </c>
      <c r="B94">
        <f>(F6*5)+(F23*2)+F30</f>
        <v>4145</v>
      </c>
      <c r="C94" s="3">
        <v>10</v>
      </c>
      <c r="D94" s="3">
        <v>1</v>
      </c>
      <c r="E94">
        <f t="shared" si="1"/>
        <v>4165</v>
      </c>
      <c r="F94" s="17">
        <v>4165</v>
      </c>
      <c r="G94" s="5">
        <f t="shared" si="3"/>
        <v>41.65</v>
      </c>
      <c r="H94" s="17">
        <f t="shared" ref="H94:H96" si="4">IF(G94 &lt; 1000, ROUND(G94,-1), IF(G94 &lt; 10000, ROUND(G94,-2), ROUND(G94,-3)))</f>
        <v>40</v>
      </c>
    </row>
    <row r="95" spans="1:15" ht="15">
      <c r="A95" s="22" t="s">
        <v>204</v>
      </c>
      <c r="B95">
        <f>(F24*200)+(50*F25)</f>
        <v>642850</v>
      </c>
      <c r="C95" s="3">
        <v>10</v>
      </c>
      <c r="D95" s="3">
        <v>1</v>
      </c>
      <c r="E95">
        <f t="shared" si="1"/>
        <v>642870</v>
      </c>
      <c r="F95" s="17">
        <v>642870</v>
      </c>
      <c r="G95" s="5">
        <f t="shared" si="3"/>
        <v>6428.7</v>
      </c>
      <c r="H95" s="17">
        <f t="shared" si="4"/>
        <v>6400</v>
      </c>
    </row>
    <row r="96" spans="1:15" ht="15">
      <c r="A96" s="22" t="s">
        <v>205</v>
      </c>
      <c r="B96">
        <f>(F6*10)+(F23*5)</f>
        <v>3760</v>
      </c>
      <c r="C96" s="3">
        <v>10</v>
      </c>
      <c r="D96" s="3">
        <v>1</v>
      </c>
      <c r="E96">
        <f t="shared" si="1"/>
        <v>3780</v>
      </c>
      <c r="F96" s="17">
        <v>3780</v>
      </c>
      <c r="G96" s="5">
        <f t="shared" si="3"/>
        <v>37.799999999999997</v>
      </c>
      <c r="H96" s="17">
        <f t="shared" si="4"/>
        <v>40</v>
      </c>
    </row>
    <row r="97" spans="1:8" ht="15">
      <c r="A97" s="22" t="s">
        <v>206</v>
      </c>
      <c r="B97">
        <f>(F96*10)+(5*F24)+(F25*5)</f>
        <v>58510</v>
      </c>
      <c r="C97" s="3">
        <v>10</v>
      </c>
      <c r="D97" s="3">
        <v>1</v>
      </c>
      <c r="E97">
        <f t="shared" si="1"/>
        <v>58530</v>
      </c>
      <c r="F97" s="17">
        <v>58530</v>
      </c>
      <c r="G97" s="5">
        <f t="shared" si="3"/>
        <v>585.29999999999995</v>
      </c>
      <c r="H97" s="17">
        <f>IF(G97 &lt; 1000, ROUND(G97,-1), IF(G97 &lt; 10000, ROUND(G97,-2), ROUND(G97,-3)))</f>
        <v>590</v>
      </c>
    </row>
    <row r="98" spans="1:8" ht="15">
      <c r="A98" s="22" t="s">
        <v>207</v>
      </c>
      <c r="B98">
        <f>(F6*10)+(F19*5)</f>
        <v>3310</v>
      </c>
      <c r="C98" s="3">
        <v>10</v>
      </c>
      <c r="D98" s="3">
        <v>1</v>
      </c>
      <c r="E98">
        <f t="shared" si="1"/>
        <v>3330</v>
      </c>
      <c r="F98" s="17">
        <v>3330</v>
      </c>
      <c r="G98" s="5">
        <f t="shared" si="3"/>
        <v>33.299999999999997</v>
      </c>
      <c r="H98" s="17">
        <f t="shared" ref="H98:H108" si="5">IF(G98 &lt; 1000, ROUND(G98,-1), IF(G98 &lt; 10000, ROUND(G98,-2), ROUND(G98,-3)))</f>
        <v>30</v>
      </c>
    </row>
    <row r="99" spans="1:8" ht="15">
      <c r="A99" s="22" t="s">
        <v>209</v>
      </c>
      <c r="B99">
        <f>(F98*10)+(F24*15)+(F25*5)</f>
        <v>83060</v>
      </c>
      <c r="C99" s="3">
        <v>10</v>
      </c>
      <c r="D99" s="3">
        <v>1</v>
      </c>
      <c r="E99">
        <f t="shared" si="1"/>
        <v>83080</v>
      </c>
      <c r="F99" s="17">
        <v>83080</v>
      </c>
      <c r="G99" s="5">
        <f t="shared" si="3"/>
        <v>830.8</v>
      </c>
      <c r="H99" s="17">
        <f t="shared" si="5"/>
        <v>830</v>
      </c>
    </row>
    <row r="100" spans="1:8" ht="15">
      <c r="A100" s="22" t="s">
        <v>213</v>
      </c>
      <c r="B100">
        <f>(F24*20)+(F25*5)+(F31*5)</f>
        <v>110735</v>
      </c>
      <c r="C100" s="3">
        <v>10</v>
      </c>
      <c r="D100" s="3">
        <v>1</v>
      </c>
      <c r="E100">
        <f t="shared" si="1"/>
        <v>110755</v>
      </c>
      <c r="F100" s="17">
        <v>110755</v>
      </c>
      <c r="G100" s="5">
        <f t="shared" si="3"/>
        <v>1107.55</v>
      </c>
      <c r="H100" s="17">
        <f t="shared" si="5"/>
        <v>1100</v>
      </c>
    </row>
    <row r="101" spans="1:8" ht="15">
      <c r="A101" s="22" t="s">
        <v>215</v>
      </c>
      <c r="B101">
        <f>(F6*20)+(F24*10)+(F27*30)</f>
        <v>51990</v>
      </c>
      <c r="C101" s="3">
        <v>10</v>
      </c>
      <c r="D101" s="3">
        <v>1</v>
      </c>
      <c r="E101">
        <f t="shared" si="1"/>
        <v>52010</v>
      </c>
      <c r="F101" s="17">
        <v>52010</v>
      </c>
      <c r="G101" s="5">
        <f t="shared" si="3"/>
        <v>520.1</v>
      </c>
      <c r="H101" s="17">
        <f t="shared" si="5"/>
        <v>520</v>
      </c>
    </row>
    <row r="102" spans="1:8" ht="15">
      <c r="A102" s="22" t="s">
        <v>216</v>
      </c>
      <c r="B102">
        <f>SUM(F19*45)+(F7*40)+(F6*20)+(F23*10)</f>
        <v>25050</v>
      </c>
      <c r="C102" s="3">
        <v>10</v>
      </c>
      <c r="D102" s="3">
        <v>1</v>
      </c>
      <c r="E102">
        <f t="shared" si="1"/>
        <v>25070</v>
      </c>
      <c r="F102" s="17">
        <v>25070</v>
      </c>
      <c r="G102" s="5">
        <f t="shared" si="3"/>
        <v>250.7</v>
      </c>
      <c r="H102" s="17">
        <f t="shared" si="5"/>
        <v>250</v>
      </c>
    </row>
    <row r="103" spans="1:8" ht="15">
      <c r="A103" s="22" t="s">
        <v>217</v>
      </c>
      <c r="B103">
        <f>(100*F24)+(20*F25)+(F102*5)</f>
        <v>440590</v>
      </c>
      <c r="C103" s="3">
        <v>20</v>
      </c>
      <c r="D103" s="3">
        <v>1</v>
      </c>
      <c r="E103">
        <f t="shared" si="1"/>
        <v>440620</v>
      </c>
      <c r="F103" s="17">
        <v>440620</v>
      </c>
      <c r="G103" s="5">
        <f t="shared" si="3"/>
        <v>4406.2</v>
      </c>
      <c r="H103" s="17">
        <f t="shared" si="5"/>
        <v>4400</v>
      </c>
    </row>
    <row r="104" spans="1:8" ht="15">
      <c r="A104" s="22" t="s">
        <v>218</v>
      </c>
      <c r="B104">
        <f>(F6*10)+(F23*5)</f>
        <v>3760</v>
      </c>
      <c r="C104" s="3">
        <v>10</v>
      </c>
      <c r="D104" s="3">
        <v>1</v>
      </c>
      <c r="E104">
        <f t="shared" si="1"/>
        <v>3780</v>
      </c>
      <c r="F104" s="17">
        <v>3780</v>
      </c>
      <c r="G104" s="5">
        <f t="shared" si="3"/>
        <v>37.799999999999997</v>
      </c>
      <c r="H104" s="17">
        <f t="shared" si="5"/>
        <v>40</v>
      </c>
    </row>
    <row r="105" spans="1:8" ht="15">
      <c r="A105" s="22" t="s">
        <v>222</v>
      </c>
      <c r="B105">
        <f>(10*F6) + (5*F23)</f>
        <v>3760</v>
      </c>
      <c r="C105" s="3">
        <v>10</v>
      </c>
      <c r="D105" s="3">
        <v>1</v>
      </c>
      <c r="E105">
        <f t="shared" si="1"/>
        <v>3780</v>
      </c>
      <c r="F105" s="17">
        <v>3780</v>
      </c>
      <c r="G105" s="5">
        <f t="shared" si="3"/>
        <v>37.799999999999997</v>
      </c>
      <c r="H105" s="17">
        <f t="shared" si="5"/>
        <v>40</v>
      </c>
    </row>
    <row r="106" spans="1:8" ht="15">
      <c r="A106" s="22" t="s">
        <v>219</v>
      </c>
      <c r="B106">
        <f>F32+(F10*2)</f>
        <v>2005</v>
      </c>
      <c r="C106" s="3">
        <v>1</v>
      </c>
      <c r="D106" s="3">
        <v>1</v>
      </c>
      <c r="E106">
        <f t="shared" si="1"/>
        <v>2016</v>
      </c>
      <c r="F106" s="17">
        <v>2016</v>
      </c>
      <c r="G106" s="5">
        <f t="shared" si="3"/>
        <v>20.16</v>
      </c>
      <c r="H106" s="17">
        <f t="shared" si="5"/>
        <v>20</v>
      </c>
    </row>
    <row r="107" spans="1:8" ht="12.75">
      <c r="A107" s="3" t="s">
        <v>220</v>
      </c>
      <c r="B107">
        <f>SUM(F12+(F10*3)+F23)</f>
        <v>2056</v>
      </c>
      <c r="C107" s="3">
        <v>1</v>
      </c>
      <c r="D107" s="3">
        <v>1</v>
      </c>
      <c r="E107">
        <f t="shared" si="1"/>
        <v>2067</v>
      </c>
      <c r="F107" s="17">
        <v>2067</v>
      </c>
      <c r="G107" s="5">
        <f t="shared" si="3"/>
        <v>20.67</v>
      </c>
      <c r="H107" s="17">
        <f t="shared" si="5"/>
        <v>20</v>
      </c>
    </row>
    <row r="108" spans="1:8" ht="12.75">
      <c r="A108" s="3" t="s">
        <v>221</v>
      </c>
      <c r="B108">
        <f>SUM(F6*45)+(F7*45)+(F23*45)</f>
        <v>29385</v>
      </c>
      <c r="C108" s="3">
        <v>5</v>
      </c>
      <c r="D108" s="3">
        <v>1</v>
      </c>
      <c r="E108">
        <f t="shared" si="1"/>
        <v>29400</v>
      </c>
      <c r="F108" s="17">
        <v>29400</v>
      </c>
      <c r="G108" s="5">
        <f t="shared" si="3"/>
        <v>294</v>
      </c>
      <c r="H108" s="17">
        <f t="shared" si="5"/>
        <v>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76"/>
  <sheetViews>
    <sheetView workbookViewId="0"/>
  </sheetViews>
  <sheetFormatPr defaultColWidth="14.42578125" defaultRowHeight="15.75" customHeight="1"/>
  <cols>
    <col min="1" max="1" width="18.85546875" customWidth="1"/>
    <col min="2" max="2" width="14.5703125" customWidth="1"/>
    <col min="3" max="3" width="24.5703125" customWidth="1"/>
    <col min="4" max="5" width="20.85546875" customWidth="1"/>
    <col min="7" max="7" width="13.5703125" customWidth="1"/>
    <col min="11" max="11" width="24.28515625" customWidth="1"/>
    <col min="12" max="12" width="16.28515625" customWidth="1"/>
    <col min="14" max="14" width="36" customWidth="1"/>
    <col min="24" max="24" width="16.7109375" customWidth="1"/>
    <col min="26" max="26" width="15.7109375" customWidth="1"/>
    <col min="27" max="27" width="18" customWidth="1"/>
    <col min="28" max="28" width="17" customWidth="1"/>
  </cols>
  <sheetData>
    <row r="1" spans="1:27" ht="15.75" customHeight="1">
      <c r="A1" s="3" t="s">
        <v>0</v>
      </c>
      <c r="B1" s="4" t="s">
        <v>7</v>
      </c>
      <c r="C1" s="3" t="s">
        <v>9</v>
      </c>
      <c r="D1" s="3" t="s">
        <v>2</v>
      </c>
      <c r="E1" s="3" t="s">
        <v>3</v>
      </c>
      <c r="F1" s="3" t="s">
        <v>4</v>
      </c>
      <c r="G1" s="3" t="s">
        <v>10</v>
      </c>
      <c r="P1" s="3" t="s">
        <v>11</v>
      </c>
      <c r="Q1" s="3" t="s">
        <v>12</v>
      </c>
      <c r="X1" s="3" t="s">
        <v>13</v>
      </c>
      <c r="Y1" s="5">
        <v>10002700</v>
      </c>
    </row>
    <row r="2" spans="1:27" ht="15.75" customHeight="1">
      <c r="A2" s="3" t="s">
        <v>14</v>
      </c>
      <c r="B2" s="3">
        <v>0</v>
      </c>
      <c r="C2" s="3">
        <v>1</v>
      </c>
      <c r="D2" s="3">
        <v>3.5</v>
      </c>
      <c r="E2" s="3">
        <v>1</v>
      </c>
      <c r="F2">
        <f t="shared" ref="F2:F12" si="0">SUM(B2+(C2*10)+D2)</f>
        <v>13.5</v>
      </c>
      <c r="G2">
        <v>14</v>
      </c>
      <c r="O2" s="3" t="s">
        <v>15</v>
      </c>
      <c r="P2" s="3">
        <v>500</v>
      </c>
      <c r="Q2">
        <f>P2*20</f>
        <v>10000</v>
      </c>
      <c r="V2" s="3" t="s">
        <v>16</v>
      </c>
      <c r="X2" s="3" t="s">
        <v>17</v>
      </c>
      <c r="Y2" s="5">
        <v>15000000</v>
      </c>
    </row>
    <row r="3" spans="1:27" ht="15.75" customHeight="1">
      <c r="A3" s="3" t="s">
        <v>18</v>
      </c>
      <c r="B3" s="3">
        <v>0</v>
      </c>
      <c r="C3" s="3">
        <v>1</v>
      </c>
      <c r="D3" s="3">
        <v>3.5</v>
      </c>
      <c r="E3" s="3">
        <v>1</v>
      </c>
      <c r="F3">
        <f t="shared" si="0"/>
        <v>13.5</v>
      </c>
      <c r="G3">
        <v>14</v>
      </c>
      <c r="O3" s="3" t="s">
        <v>20</v>
      </c>
      <c r="P3" s="3">
        <v>500</v>
      </c>
      <c r="Q3" s="3">
        <v>10000</v>
      </c>
      <c r="X3" s="3" t="s">
        <v>21</v>
      </c>
      <c r="Y3" s="3" t="s">
        <v>22</v>
      </c>
      <c r="Z3" s="3"/>
    </row>
    <row r="4" spans="1:27" ht="15.75" customHeight="1">
      <c r="A4" s="3" t="s">
        <v>23</v>
      </c>
      <c r="B4">
        <f t="shared" ref="B4:B5" si="1">G2</f>
        <v>14</v>
      </c>
      <c r="C4" s="3">
        <v>1</v>
      </c>
      <c r="D4" s="3">
        <v>3.2</v>
      </c>
      <c r="E4" s="3">
        <v>1</v>
      </c>
      <c r="F4">
        <f t="shared" si="0"/>
        <v>27.2</v>
      </c>
      <c r="G4">
        <v>28</v>
      </c>
      <c r="O4" s="3" t="s">
        <v>24</v>
      </c>
      <c r="P4" s="3">
        <v>100</v>
      </c>
      <c r="Q4" s="3">
        <v>2000</v>
      </c>
      <c r="X4" s="3" t="s">
        <v>25</v>
      </c>
      <c r="Y4" s="6" t="s">
        <v>26</v>
      </c>
    </row>
    <row r="5" spans="1:27" ht="15.75" customHeight="1">
      <c r="A5" s="3" t="s">
        <v>27</v>
      </c>
      <c r="B5" s="3">
        <f t="shared" si="1"/>
        <v>14</v>
      </c>
      <c r="C5" s="3">
        <v>1</v>
      </c>
      <c r="D5" s="3">
        <v>3.2</v>
      </c>
      <c r="E5" s="3">
        <v>1</v>
      </c>
      <c r="F5">
        <f t="shared" si="0"/>
        <v>27.2</v>
      </c>
      <c r="G5">
        <v>28</v>
      </c>
      <c r="X5" s="3" t="s">
        <v>28</v>
      </c>
      <c r="Y5" s="6" t="s">
        <v>29</v>
      </c>
    </row>
    <row r="6" spans="1:27" ht="15.75" customHeight="1">
      <c r="A6" s="3" t="s">
        <v>30</v>
      </c>
      <c r="B6">
        <f>SUM(G4*5 )</f>
        <v>140</v>
      </c>
      <c r="C6" s="3">
        <v>1</v>
      </c>
      <c r="D6" s="3">
        <v>16</v>
      </c>
      <c r="E6" s="3">
        <v>1</v>
      </c>
      <c r="F6">
        <f t="shared" si="0"/>
        <v>166</v>
      </c>
      <c r="G6">
        <v>166</v>
      </c>
      <c r="N6" s="3" t="s">
        <v>32</v>
      </c>
      <c r="X6" s="3" t="s">
        <v>33</v>
      </c>
      <c r="Y6" s="3" t="s">
        <v>34</v>
      </c>
    </row>
    <row r="7" spans="1:27" ht="15.75" customHeight="1">
      <c r="A7" s="3" t="s">
        <v>35</v>
      </c>
      <c r="B7">
        <f>SUM(G4*2)</f>
        <v>56</v>
      </c>
      <c r="C7" s="3">
        <v>1</v>
      </c>
      <c r="E7" s="3">
        <v>1</v>
      </c>
      <c r="F7">
        <f t="shared" si="0"/>
        <v>66</v>
      </c>
      <c r="G7">
        <v>66</v>
      </c>
      <c r="AA7" s="3"/>
    </row>
    <row r="8" spans="1:27" ht="15.75" customHeight="1">
      <c r="A8" s="3" t="s">
        <v>36</v>
      </c>
      <c r="B8">
        <f>SUM((G4+G7)/E8)</f>
        <v>47</v>
      </c>
      <c r="C8" s="3">
        <v>0.5</v>
      </c>
      <c r="E8" s="3">
        <v>2</v>
      </c>
      <c r="F8">
        <f t="shared" si="0"/>
        <v>52</v>
      </c>
      <c r="G8">
        <v>52</v>
      </c>
      <c r="X8" s="3" t="s">
        <v>39</v>
      </c>
      <c r="Y8" s="3" t="s">
        <v>40</v>
      </c>
      <c r="Z8" s="7">
        <v>2.4895833333333335</v>
      </c>
    </row>
    <row r="9" spans="1:27" ht="15.75" customHeight="1">
      <c r="A9" s="3" t="s">
        <v>38</v>
      </c>
      <c r="B9">
        <f>G5/E9</f>
        <v>14</v>
      </c>
      <c r="C9" s="3">
        <v>0.5</v>
      </c>
      <c r="E9" s="3">
        <v>2</v>
      </c>
      <c r="F9">
        <f t="shared" si="0"/>
        <v>19</v>
      </c>
      <c r="G9">
        <v>19</v>
      </c>
      <c r="N9" s="3" t="s">
        <v>43</v>
      </c>
      <c r="O9" s="3">
        <v>500</v>
      </c>
      <c r="X9" s="3" t="s">
        <v>44</v>
      </c>
      <c r="Y9" s="3" t="s">
        <v>45</v>
      </c>
      <c r="Z9" s="7">
        <v>1.9479166666666667</v>
      </c>
    </row>
    <row r="10" spans="1:27" ht="15.75" customHeight="1">
      <c r="A10" s="3" t="s">
        <v>41</v>
      </c>
      <c r="B10">
        <f>SUM(G4+(G9*3))</f>
        <v>85</v>
      </c>
      <c r="C10" s="3">
        <v>1</v>
      </c>
      <c r="E10" s="3">
        <v>1</v>
      </c>
      <c r="F10">
        <f t="shared" si="0"/>
        <v>95</v>
      </c>
      <c r="G10">
        <v>95</v>
      </c>
      <c r="N10" s="3" t="s">
        <v>47</v>
      </c>
      <c r="O10">
        <f>O9*500</f>
        <v>250000</v>
      </c>
      <c r="X10" s="3" t="s">
        <v>49</v>
      </c>
      <c r="Y10" s="3" t="s">
        <v>50</v>
      </c>
      <c r="Z10" s="3" t="s">
        <v>50</v>
      </c>
    </row>
    <row r="11" spans="1:27" ht="15.75" customHeight="1">
      <c r="A11" s="3" t="s">
        <v>51</v>
      </c>
      <c r="B11">
        <f>G4</f>
        <v>28</v>
      </c>
      <c r="C11" s="3">
        <v>1</v>
      </c>
      <c r="E11" s="3">
        <v>1</v>
      </c>
      <c r="F11">
        <f t="shared" si="0"/>
        <v>38</v>
      </c>
      <c r="G11">
        <v>38</v>
      </c>
      <c r="N11" s="3" t="s">
        <v>12</v>
      </c>
      <c r="O11">
        <f>O10*20</f>
        <v>5000000</v>
      </c>
      <c r="X11" s="3" t="s">
        <v>53</v>
      </c>
    </row>
    <row r="12" spans="1:27" ht="15.75" customHeight="1">
      <c r="A12" s="3" t="s">
        <v>46</v>
      </c>
      <c r="B12">
        <f>SUM(G6*8)</f>
        <v>1328</v>
      </c>
      <c r="C12" s="3">
        <v>1</v>
      </c>
      <c r="E12" s="3">
        <v>1</v>
      </c>
      <c r="F12">
        <f t="shared" si="0"/>
        <v>1338</v>
      </c>
      <c r="G12">
        <v>1338</v>
      </c>
    </row>
    <row r="13" spans="1:27" ht="15.75" customHeight="1">
      <c r="R13" s="3" t="s">
        <v>56</v>
      </c>
      <c r="S13" s="3" t="s">
        <v>57</v>
      </c>
    </row>
    <row r="14" spans="1:27" ht="15.75" customHeight="1">
      <c r="A14" s="3" t="s">
        <v>58</v>
      </c>
      <c r="F14" s="3">
        <v>5</v>
      </c>
      <c r="G14" s="3">
        <v>5</v>
      </c>
      <c r="J14" s="3" t="s">
        <v>59</v>
      </c>
      <c r="K14" s="3" t="s">
        <v>60</v>
      </c>
      <c r="P14" s="3" t="s">
        <v>61</v>
      </c>
      <c r="Q14" s="3">
        <v>100</v>
      </c>
      <c r="S14" s="3" t="s">
        <v>62</v>
      </c>
    </row>
    <row r="15" spans="1:27" ht="15.75" customHeight="1">
      <c r="A15" s="3" t="s">
        <v>55</v>
      </c>
      <c r="B15" s="9"/>
      <c r="G15" s="3">
        <v>1</v>
      </c>
      <c r="K15" s="3" t="s">
        <v>64</v>
      </c>
      <c r="M15" s="3" t="s">
        <v>65</v>
      </c>
      <c r="P15" s="3" t="s">
        <v>66</v>
      </c>
      <c r="Q15" s="3">
        <v>1000</v>
      </c>
      <c r="R15" s="3" t="s">
        <v>67</v>
      </c>
      <c r="S15" s="3" t="s">
        <v>68</v>
      </c>
      <c r="U15" s="3" t="s">
        <v>69</v>
      </c>
    </row>
    <row r="16" spans="1:27" ht="15.75" customHeight="1">
      <c r="A16" s="3" t="s">
        <v>63</v>
      </c>
      <c r="B16" s="10">
        <f>SUM((G15*30)+(G14*5))/2</f>
        <v>27.5</v>
      </c>
      <c r="C16" s="3">
        <v>1</v>
      </c>
      <c r="D16" s="3">
        <v>1</v>
      </c>
      <c r="E16" s="3">
        <v>2</v>
      </c>
      <c r="F16">
        <f t="shared" ref="F16:F33" si="2">SUM(B16+(C16*10)+D16)</f>
        <v>38.5</v>
      </c>
      <c r="G16">
        <v>39</v>
      </c>
      <c r="K16" s="3" t="s">
        <v>71</v>
      </c>
      <c r="M16" s="3" t="s">
        <v>72</v>
      </c>
      <c r="Q16" s="3">
        <v>50000</v>
      </c>
      <c r="R16" s="3" t="s">
        <v>73</v>
      </c>
      <c r="S16" s="3" t="s">
        <v>74</v>
      </c>
      <c r="U16" s="3" t="s">
        <v>69</v>
      </c>
      <c r="X16" s="11" t="s">
        <v>75</v>
      </c>
    </row>
    <row r="17" spans="1:29" ht="15.75" customHeight="1">
      <c r="A17" s="3" t="s">
        <v>70</v>
      </c>
      <c r="B17" s="10">
        <f>SUM((G16*5)+G4+(G15*100))/50</f>
        <v>6.46</v>
      </c>
      <c r="C17" s="3">
        <v>1</v>
      </c>
      <c r="D17" s="3">
        <v>1</v>
      </c>
      <c r="E17" s="3">
        <v>50</v>
      </c>
      <c r="F17">
        <f t="shared" si="2"/>
        <v>17.46</v>
      </c>
      <c r="G17">
        <v>18</v>
      </c>
      <c r="K17" s="3" t="s">
        <v>77</v>
      </c>
      <c r="M17" s="3" t="s">
        <v>78</v>
      </c>
      <c r="Q17" s="5">
        <v>250000</v>
      </c>
      <c r="R17" s="3" t="s">
        <v>79</v>
      </c>
      <c r="S17" s="3" t="s">
        <v>80</v>
      </c>
      <c r="U17" s="3" t="s">
        <v>69</v>
      </c>
    </row>
    <row r="18" spans="1:29" ht="15.75" customHeight="1">
      <c r="A18" s="3" t="s">
        <v>76</v>
      </c>
      <c r="B18">
        <f>SUM(G4+G5)+(G17*20)</f>
        <v>416</v>
      </c>
      <c r="C18" s="3">
        <v>1</v>
      </c>
      <c r="D18" s="3">
        <v>4</v>
      </c>
      <c r="E18" s="3">
        <v>1</v>
      </c>
      <c r="F18">
        <f t="shared" si="2"/>
        <v>430</v>
      </c>
      <c r="G18">
        <v>430</v>
      </c>
      <c r="K18" s="3" t="s">
        <v>83</v>
      </c>
      <c r="M18" s="3" t="s">
        <v>84</v>
      </c>
      <c r="X18" s="3" t="s">
        <v>85</v>
      </c>
      <c r="Y18" s="12">
        <v>0.47222222222222221</v>
      </c>
    </row>
    <row r="19" spans="1:29" ht="15.75" customHeight="1">
      <c r="A19" s="3" t="s">
        <v>81</v>
      </c>
      <c r="B19" s="10">
        <f>SUM(G14*10)/10</f>
        <v>5</v>
      </c>
      <c r="C19" s="3">
        <v>1</v>
      </c>
      <c r="D19" s="3">
        <v>1</v>
      </c>
      <c r="E19" s="3">
        <v>10</v>
      </c>
      <c r="F19">
        <f t="shared" si="2"/>
        <v>16</v>
      </c>
      <c r="G19">
        <v>16</v>
      </c>
      <c r="X19" s="3" t="s">
        <v>88</v>
      </c>
      <c r="Y19" s="3" t="s">
        <v>89</v>
      </c>
      <c r="Z19" s="3" t="s">
        <v>90</v>
      </c>
      <c r="AA19" s="3" t="s">
        <v>91</v>
      </c>
      <c r="AB19" s="3" t="s">
        <v>92</v>
      </c>
      <c r="AC19" s="3" t="s">
        <v>93</v>
      </c>
    </row>
    <row r="20" spans="1:29" ht="15.75" customHeight="1">
      <c r="A20" s="3" t="s">
        <v>82</v>
      </c>
      <c r="B20" s="10">
        <f>SUM((G14*20)+14)/E20</f>
        <v>57</v>
      </c>
      <c r="C20" s="3">
        <v>0.5</v>
      </c>
      <c r="D20" s="3">
        <v>1</v>
      </c>
      <c r="E20" s="3">
        <v>2</v>
      </c>
      <c r="F20">
        <f t="shared" si="2"/>
        <v>63</v>
      </c>
      <c r="G20">
        <v>63</v>
      </c>
      <c r="Q20" s="3" t="s">
        <v>95</v>
      </c>
    </row>
    <row r="21" spans="1:29" ht="15.75" customHeight="1">
      <c r="A21" s="3" t="s">
        <v>87</v>
      </c>
      <c r="B21">
        <f>SUM((G20*2)+(G10*2)+(G9*4))</f>
        <v>392</v>
      </c>
      <c r="C21" s="3">
        <v>1</v>
      </c>
      <c r="D21" s="3">
        <v>6</v>
      </c>
      <c r="E21" s="3">
        <v>1</v>
      </c>
      <c r="F21">
        <f t="shared" si="2"/>
        <v>408</v>
      </c>
      <c r="G21">
        <v>408</v>
      </c>
      <c r="X21" s="3" t="s">
        <v>97</v>
      </c>
      <c r="Y21" s="3">
        <v>500</v>
      </c>
      <c r="Z21" s="12">
        <v>4.8611111111111112E-2</v>
      </c>
      <c r="AA21" s="3">
        <v>50</v>
      </c>
      <c r="AB21" s="3">
        <v>0</v>
      </c>
      <c r="AC21">
        <f t="shared" ref="AC21:AC27" si="3">(Y21*20)+AA21-AB21</f>
        <v>10050</v>
      </c>
    </row>
    <row r="22" spans="1:29" ht="15.75" customHeight="1">
      <c r="A22" s="3" t="s">
        <v>94</v>
      </c>
      <c r="B22">
        <f>SUM((G10*20)+(G21*2)+(G17*5))</f>
        <v>2806</v>
      </c>
      <c r="C22" s="3">
        <v>1</v>
      </c>
      <c r="D22" s="3">
        <v>10</v>
      </c>
      <c r="E22" s="3">
        <v>1</v>
      </c>
      <c r="F22">
        <f t="shared" si="2"/>
        <v>2826</v>
      </c>
      <c r="G22">
        <v>2826</v>
      </c>
      <c r="L22" s="13"/>
      <c r="Q22" s="3" t="s">
        <v>99</v>
      </c>
      <c r="X22" s="3" t="s">
        <v>100</v>
      </c>
      <c r="Y22" s="3">
        <v>500</v>
      </c>
      <c r="Z22" s="12">
        <v>0.10138888888888889</v>
      </c>
      <c r="AA22" s="3">
        <v>0</v>
      </c>
      <c r="AB22" s="3">
        <v>0</v>
      </c>
      <c r="AC22">
        <f t="shared" si="3"/>
        <v>10000</v>
      </c>
    </row>
    <row r="23" spans="1:29" ht="15.75" customHeight="1">
      <c r="A23" s="3" t="s">
        <v>96</v>
      </c>
      <c r="B23">
        <f>SUM((G5*20)+(G20*5)+(G6*2))</f>
        <v>1207</v>
      </c>
      <c r="C23" s="3">
        <v>1</v>
      </c>
      <c r="D23" s="3">
        <v>20</v>
      </c>
      <c r="E23" s="3">
        <v>1</v>
      </c>
      <c r="F23">
        <f t="shared" si="2"/>
        <v>1237</v>
      </c>
      <c r="G23">
        <v>1237</v>
      </c>
      <c r="L23" s="13"/>
      <c r="Q23" s="3" t="s">
        <v>102</v>
      </c>
      <c r="X23" s="3" t="s">
        <v>103</v>
      </c>
      <c r="Y23" s="3">
        <v>500</v>
      </c>
      <c r="Z23" s="12">
        <v>0.10277777777777777</v>
      </c>
      <c r="AA23" s="3">
        <v>0</v>
      </c>
      <c r="AB23" s="3">
        <v>0</v>
      </c>
      <c r="AC23">
        <f t="shared" si="3"/>
        <v>10000</v>
      </c>
    </row>
    <row r="24" spans="1:29" ht="12.75">
      <c r="A24" s="3" t="s">
        <v>98</v>
      </c>
      <c r="B24">
        <f>SUM(G6+G7+(G11*2))</f>
        <v>308</v>
      </c>
      <c r="C24" s="3">
        <v>1</v>
      </c>
      <c r="D24" s="3">
        <v>10</v>
      </c>
      <c r="E24" s="3">
        <v>1</v>
      </c>
      <c r="F24">
        <f t="shared" si="2"/>
        <v>328</v>
      </c>
      <c r="G24">
        <v>328</v>
      </c>
      <c r="Q24" s="3" t="s">
        <v>106</v>
      </c>
      <c r="X24" s="3" t="s">
        <v>107</v>
      </c>
      <c r="Y24" s="3">
        <v>1000</v>
      </c>
      <c r="Z24" s="12">
        <v>0.20694444444444443</v>
      </c>
      <c r="AA24" s="3">
        <v>0</v>
      </c>
      <c r="AB24" s="3">
        <v>0</v>
      </c>
      <c r="AC24">
        <f t="shared" si="3"/>
        <v>20000</v>
      </c>
    </row>
    <row r="25" spans="1:29" ht="12.75">
      <c r="A25" s="3" t="s">
        <v>108</v>
      </c>
      <c r="B25">
        <f>SUM((G10*2)+G24+(G19*15))</f>
        <v>758</v>
      </c>
      <c r="C25" s="3">
        <v>1</v>
      </c>
      <c r="D25" s="3">
        <v>10</v>
      </c>
      <c r="E25" s="3">
        <v>1</v>
      </c>
      <c r="F25">
        <f t="shared" si="2"/>
        <v>778</v>
      </c>
      <c r="G25">
        <v>778</v>
      </c>
      <c r="Q25" s="3" t="s">
        <v>113</v>
      </c>
      <c r="T25" s="14" t="s">
        <v>114</v>
      </c>
      <c r="X25" s="3" t="s">
        <v>117</v>
      </c>
      <c r="Y25" s="3">
        <v>200</v>
      </c>
      <c r="Z25" s="12">
        <v>0.2076388888888889</v>
      </c>
      <c r="AA25" s="3">
        <v>0</v>
      </c>
      <c r="AB25" s="3">
        <v>0</v>
      </c>
      <c r="AC25">
        <f t="shared" si="3"/>
        <v>4000</v>
      </c>
    </row>
    <row r="26" spans="1:29" ht="12.75">
      <c r="A26" s="3" t="s">
        <v>104</v>
      </c>
      <c r="B26">
        <f>SUM(G14*10)</f>
        <v>50</v>
      </c>
      <c r="C26" s="3">
        <v>1</v>
      </c>
      <c r="D26" s="3">
        <v>2</v>
      </c>
      <c r="E26" s="3">
        <v>1</v>
      </c>
      <c r="F26">
        <f t="shared" si="2"/>
        <v>62</v>
      </c>
      <c r="G26">
        <v>62</v>
      </c>
      <c r="Q26" s="3" t="s">
        <v>119</v>
      </c>
      <c r="X26" s="3" t="s">
        <v>120</v>
      </c>
      <c r="Y26" s="3">
        <v>500</v>
      </c>
      <c r="Z26" s="12">
        <v>0.32291666666666669</v>
      </c>
      <c r="AA26" s="3">
        <v>0</v>
      </c>
      <c r="AB26" s="3">
        <v>0</v>
      </c>
      <c r="AC26">
        <f t="shared" si="3"/>
        <v>10000</v>
      </c>
    </row>
    <row r="27" spans="1:29" ht="12.75">
      <c r="A27" s="3" t="s">
        <v>105</v>
      </c>
      <c r="B27">
        <f>SUM(G26*10)</f>
        <v>620</v>
      </c>
      <c r="C27" s="3">
        <v>1</v>
      </c>
      <c r="D27" s="3">
        <v>30</v>
      </c>
      <c r="E27" s="3">
        <v>1</v>
      </c>
      <c r="F27">
        <f t="shared" si="2"/>
        <v>660</v>
      </c>
      <c r="G27">
        <v>660</v>
      </c>
      <c r="Q27" s="3" t="s">
        <v>122</v>
      </c>
      <c r="X27" s="3" t="s">
        <v>123</v>
      </c>
      <c r="Y27" s="3">
        <v>10000</v>
      </c>
      <c r="Z27" s="12">
        <v>0.33333333333333331</v>
      </c>
      <c r="AA27" s="3">
        <v>0</v>
      </c>
      <c r="AB27" s="3">
        <v>0</v>
      </c>
      <c r="AC27">
        <f t="shared" si="3"/>
        <v>200000</v>
      </c>
    </row>
    <row r="28" spans="1:29" ht="12.75">
      <c r="A28" s="3" t="s">
        <v>124</v>
      </c>
      <c r="B28">
        <f>SUM(G5*5)+(G6*5)+(G10*15)</f>
        <v>2395</v>
      </c>
      <c r="C28" s="3">
        <v>1</v>
      </c>
      <c r="D28" s="3">
        <v>10</v>
      </c>
      <c r="E28" s="3">
        <v>1</v>
      </c>
      <c r="F28">
        <f t="shared" si="2"/>
        <v>2415</v>
      </c>
      <c r="G28">
        <v>2415</v>
      </c>
      <c r="Q28" s="3"/>
    </row>
    <row r="29" spans="1:29" ht="12.75">
      <c r="A29" s="3" t="s">
        <v>110</v>
      </c>
      <c r="B29">
        <f>SUM(G6*20)+(G18*12+(G10*20))</f>
        <v>10380</v>
      </c>
      <c r="C29" s="3">
        <v>1</v>
      </c>
      <c r="D29" s="3">
        <v>20</v>
      </c>
      <c r="E29" s="3">
        <v>1</v>
      </c>
      <c r="F29">
        <f t="shared" si="2"/>
        <v>10410</v>
      </c>
      <c r="G29">
        <v>10410</v>
      </c>
    </row>
    <row r="30" spans="1:29" ht="12.75">
      <c r="A30" s="3" t="s">
        <v>111</v>
      </c>
      <c r="B30">
        <f>SUM(G25+G6+(G18*2)+(G10*3))</f>
        <v>2089</v>
      </c>
      <c r="C30" s="3">
        <v>1</v>
      </c>
      <c r="D30" s="3">
        <v>20</v>
      </c>
      <c r="E30" s="3">
        <v>1</v>
      </c>
      <c r="F30">
        <f t="shared" si="2"/>
        <v>2119</v>
      </c>
      <c r="G30">
        <v>2119</v>
      </c>
    </row>
    <row r="31" spans="1:29" ht="12.75">
      <c r="A31" s="3" t="s">
        <v>127</v>
      </c>
      <c r="B31">
        <f>SUM(G10*5)+(G21*5)</f>
        <v>2515</v>
      </c>
      <c r="C31" s="3">
        <v>1</v>
      </c>
      <c r="D31" s="3">
        <v>15</v>
      </c>
      <c r="E31" s="3">
        <v>1</v>
      </c>
      <c r="F31">
        <f t="shared" si="2"/>
        <v>2540</v>
      </c>
      <c r="G31">
        <v>2540</v>
      </c>
      <c r="X31" s="3" t="s">
        <v>130</v>
      </c>
    </row>
    <row r="32" spans="1:29" ht="12.75">
      <c r="A32" s="3" t="s">
        <v>131</v>
      </c>
      <c r="B32">
        <f>SUM(G21*5)+(G31*4)+(G22*5)</f>
        <v>26330</v>
      </c>
      <c r="C32" s="3">
        <v>1</v>
      </c>
      <c r="D32" s="3">
        <v>30</v>
      </c>
      <c r="E32" s="3">
        <v>1</v>
      </c>
      <c r="F32">
        <f t="shared" si="2"/>
        <v>26370</v>
      </c>
      <c r="G32">
        <v>26370</v>
      </c>
      <c r="X32" s="3" t="s">
        <v>133</v>
      </c>
    </row>
    <row r="33" spans="1:24" ht="12.75">
      <c r="A33" s="3" t="s">
        <v>134</v>
      </c>
      <c r="B33">
        <f>SUM(G32*5)+(G21*5)+(G22*5)</f>
        <v>148020</v>
      </c>
      <c r="C33" s="3">
        <v>1</v>
      </c>
      <c r="D33" s="3">
        <v>60</v>
      </c>
      <c r="E33" s="3">
        <v>1</v>
      </c>
      <c r="F33">
        <f t="shared" si="2"/>
        <v>148090</v>
      </c>
      <c r="G33">
        <v>148090</v>
      </c>
      <c r="X33" s="3" t="s">
        <v>136</v>
      </c>
    </row>
    <row r="34" spans="1:24" ht="12.75">
      <c r="G34" s="18"/>
      <c r="H34" s="18"/>
      <c r="I34" s="19" t="s">
        <v>138</v>
      </c>
      <c r="J34" s="18"/>
      <c r="K34" s="18"/>
      <c r="L34" s="19" t="s">
        <v>140</v>
      </c>
      <c r="M34" s="18"/>
      <c r="N34" s="18"/>
      <c r="P34" s="3" t="s">
        <v>141</v>
      </c>
      <c r="Q34" s="3" t="s">
        <v>142</v>
      </c>
      <c r="S34" s="3" t="s">
        <v>143</v>
      </c>
      <c r="X34" s="3" t="s">
        <v>144</v>
      </c>
    </row>
    <row r="35" spans="1:24" ht="14.25">
      <c r="A35" s="20" t="s">
        <v>145</v>
      </c>
      <c r="B35">
        <f>SUM(G6*100)+(G23*250)</f>
        <v>325850</v>
      </c>
      <c r="C35" s="3">
        <v>1</v>
      </c>
      <c r="D35" s="3">
        <v>50</v>
      </c>
      <c r="E35" s="3">
        <v>1</v>
      </c>
      <c r="F35">
        <f t="shared" ref="F35:F44" si="4">SUM(B35+(C35*10)+D35)</f>
        <v>325910</v>
      </c>
      <c r="G35" s="16">
        <v>325910</v>
      </c>
      <c r="H35" s="15">
        <v>325000</v>
      </c>
      <c r="I35" s="16">
        <f t="shared" ref="I35:I44" si="5">H35/100</f>
        <v>3250</v>
      </c>
      <c r="J35" s="3" t="s">
        <v>148</v>
      </c>
      <c r="L35" s="3" t="s">
        <v>149</v>
      </c>
      <c r="M35" s="3" t="s">
        <v>150</v>
      </c>
      <c r="N35" s="3" t="s">
        <v>151</v>
      </c>
      <c r="P35" s="16">
        <f>((I35*60) + (I35*2*30) + (I35*3*10)) / 100</f>
        <v>4875</v>
      </c>
      <c r="Q35" s="16">
        <f t="shared" ref="Q35:Q44" si="6">$P$44/P35</f>
        <v>458.81025641025639</v>
      </c>
      <c r="S35">
        <f>Q35/Q47</f>
        <v>0.34085816041109984</v>
      </c>
      <c r="X35" s="3" t="s">
        <v>154</v>
      </c>
    </row>
    <row r="36" spans="1:24" ht="28.5">
      <c r="A36" s="20" t="s">
        <v>155</v>
      </c>
      <c r="B36">
        <f>SUM(G22*100)+(G25*100)+(G23*100)+(G11*100)+(G33*50)</f>
        <v>7892400</v>
      </c>
      <c r="C36" s="3">
        <v>1</v>
      </c>
      <c r="D36" s="3">
        <v>50</v>
      </c>
      <c r="E36" s="3">
        <v>1</v>
      </c>
      <c r="F36">
        <f t="shared" si="4"/>
        <v>7892460</v>
      </c>
      <c r="G36" s="16">
        <v>7892460</v>
      </c>
      <c r="H36" s="15">
        <v>8000000</v>
      </c>
      <c r="I36" s="16">
        <f t="shared" si="5"/>
        <v>80000</v>
      </c>
      <c r="P36" s="16">
        <f>I36</f>
        <v>80000</v>
      </c>
      <c r="Q36" s="16">
        <f t="shared" si="6"/>
        <v>27.958749999999998</v>
      </c>
      <c r="S36">
        <f>Q36/Q47</f>
        <v>2.0771044150051397E-2</v>
      </c>
      <c r="X36" s="3" t="s">
        <v>158</v>
      </c>
    </row>
    <row r="37" spans="1:24" ht="14.25">
      <c r="A37" s="20" t="s">
        <v>159</v>
      </c>
      <c r="B37">
        <f>SUM(G6*100)+(G22*100)+(G23*100)+(G27*500)</f>
        <v>752900</v>
      </c>
      <c r="C37" s="3">
        <v>1</v>
      </c>
      <c r="D37" s="3">
        <v>50</v>
      </c>
      <c r="E37" s="3">
        <v>1</v>
      </c>
      <c r="F37">
        <f t="shared" si="4"/>
        <v>752960</v>
      </c>
      <c r="G37" s="16">
        <v>752960</v>
      </c>
      <c r="H37" s="15">
        <v>750000</v>
      </c>
      <c r="I37" s="16">
        <f t="shared" si="5"/>
        <v>7500</v>
      </c>
      <c r="J37" s="3" t="s">
        <v>148</v>
      </c>
      <c r="L37" s="3" t="s">
        <v>149</v>
      </c>
      <c r="M37" s="3" t="s">
        <v>150</v>
      </c>
      <c r="N37" s="3" t="s">
        <v>151</v>
      </c>
      <c r="P37" s="16">
        <f t="shared" ref="P37:P38" si="7">((I37*60) + (I37*2*30) + (I37*3*10)) / 100</f>
        <v>11250</v>
      </c>
      <c r="Q37" s="16">
        <f t="shared" si="6"/>
        <v>198.81777777777779</v>
      </c>
      <c r="S37">
        <f>Q37/Q47</f>
        <v>0.14770520284480995</v>
      </c>
      <c r="X37" s="3" t="s">
        <v>163</v>
      </c>
    </row>
    <row r="38" spans="1:24" ht="14.25">
      <c r="A38" s="20" t="s">
        <v>164</v>
      </c>
      <c r="B38">
        <f>SUM(G52 * 100)</f>
        <v>5753500</v>
      </c>
      <c r="C38" s="3">
        <v>1</v>
      </c>
      <c r="D38" s="3">
        <v>100</v>
      </c>
      <c r="E38" s="3">
        <v>1</v>
      </c>
      <c r="F38">
        <f t="shared" si="4"/>
        <v>5753610</v>
      </c>
      <c r="G38" s="16">
        <v>5753610</v>
      </c>
      <c r="H38" s="15">
        <v>575000</v>
      </c>
      <c r="I38" s="16">
        <f t="shared" si="5"/>
        <v>5750</v>
      </c>
      <c r="J38" s="3" t="s">
        <v>148</v>
      </c>
      <c r="L38" s="3" t="s">
        <v>149</v>
      </c>
      <c r="M38" s="3" t="s">
        <v>150</v>
      </c>
      <c r="N38" s="3" t="s">
        <v>151</v>
      </c>
      <c r="P38" s="16">
        <f t="shared" si="7"/>
        <v>8625</v>
      </c>
      <c r="Q38" s="16">
        <f t="shared" si="6"/>
        <v>259.32753623188404</v>
      </c>
      <c r="S38">
        <f>Q38/Q47</f>
        <v>0.19265896023236079</v>
      </c>
      <c r="X38" s="3" t="s">
        <v>167</v>
      </c>
    </row>
    <row r="39" spans="1:24" ht="14.25">
      <c r="A39" s="20" t="s">
        <v>168</v>
      </c>
      <c r="B39">
        <f>SUM(G50 * 100)</f>
        <v>62707000</v>
      </c>
      <c r="C39" s="3">
        <v>1</v>
      </c>
      <c r="D39" s="3">
        <v>100</v>
      </c>
      <c r="E39" s="3">
        <v>1</v>
      </c>
      <c r="F39">
        <f t="shared" si="4"/>
        <v>62707110</v>
      </c>
      <c r="G39" s="16">
        <v>62707110</v>
      </c>
      <c r="H39" s="15">
        <v>62700000</v>
      </c>
      <c r="I39" s="16">
        <f t="shared" si="5"/>
        <v>627000</v>
      </c>
      <c r="P39" s="16">
        <f>I39</f>
        <v>627000</v>
      </c>
      <c r="Q39" s="16">
        <f t="shared" si="6"/>
        <v>3.5673046251993621</v>
      </c>
      <c r="S39">
        <f>Q39/Q47</f>
        <v>2.6502129697035279E-3</v>
      </c>
    </row>
    <row r="40" spans="1:24" ht="14.25">
      <c r="A40" s="20" t="s">
        <v>171</v>
      </c>
      <c r="B40">
        <f>SUM(G6*100)+(G20*500)+(100*G22)+(G23*100)</f>
        <v>454400</v>
      </c>
      <c r="C40" s="3">
        <v>1</v>
      </c>
      <c r="D40" s="3">
        <v>50</v>
      </c>
      <c r="E40" s="3">
        <v>1</v>
      </c>
      <c r="F40">
        <f t="shared" si="4"/>
        <v>454460</v>
      </c>
      <c r="G40" s="16">
        <v>454460</v>
      </c>
      <c r="H40" s="15">
        <v>450000</v>
      </c>
      <c r="I40" s="16">
        <f t="shared" si="5"/>
        <v>4500</v>
      </c>
      <c r="J40" s="3" t="s">
        <v>148</v>
      </c>
      <c r="L40" s="3" t="s">
        <v>149</v>
      </c>
      <c r="M40" s="3" t="s">
        <v>150</v>
      </c>
      <c r="N40" s="3" t="s">
        <v>151</v>
      </c>
      <c r="P40" s="16">
        <f>((I40*60) + (I40*2*30) + (I40*3*10)) / 100</f>
        <v>6750</v>
      </c>
      <c r="Q40" s="16">
        <f t="shared" si="6"/>
        <v>331.36296296296297</v>
      </c>
      <c r="S40">
        <f>Q40/Q47</f>
        <v>0.24617533807468325</v>
      </c>
    </row>
    <row r="41" spans="1:24" ht="14.25">
      <c r="A41" s="20" t="s">
        <v>174</v>
      </c>
      <c r="B41">
        <f>SUM(100*G22)+(G23*100)+(G11*200)+(50*G33)</f>
        <v>7818400</v>
      </c>
      <c r="C41" s="3">
        <v>1</v>
      </c>
      <c r="D41" s="3">
        <v>50</v>
      </c>
      <c r="E41" s="3">
        <v>1</v>
      </c>
      <c r="F41">
        <f t="shared" si="4"/>
        <v>7818460</v>
      </c>
      <c r="G41" s="16">
        <v>7818460</v>
      </c>
      <c r="H41" s="15">
        <v>7800000</v>
      </c>
      <c r="I41" s="16">
        <f t="shared" si="5"/>
        <v>78000</v>
      </c>
      <c r="P41" s="16">
        <f t="shared" ref="P41:P44" si="8">I41</f>
        <v>78000</v>
      </c>
      <c r="Q41" s="16">
        <f t="shared" si="6"/>
        <v>28.675641025641024</v>
      </c>
      <c r="S41">
        <f>Q41/Q47</f>
        <v>2.130363502569374E-2</v>
      </c>
    </row>
    <row r="42" spans="1:24" ht="28.5">
      <c r="A42" s="20" t="s">
        <v>177</v>
      </c>
      <c r="B42">
        <f>SUM(200*G20)+(100*G22)+(G23*100)+(G33*150)</f>
        <v>22632400</v>
      </c>
      <c r="C42" s="3">
        <v>1</v>
      </c>
      <c r="D42" s="3">
        <v>50</v>
      </c>
      <c r="E42" s="3">
        <v>1</v>
      </c>
      <c r="F42">
        <f t="shared" si="4"/>
        <v>22632460</v>
      </c>
      <c r="G42" s="16">
        <v>22632460</v>
      </c>
      <c r="H42" s="15">
        <v>22600000</v>
      </c>
      <c r="I42" s="16">
        <f t="shared" si="5"/>
        <v>226000</v>
      </c>
      <c r="P42" s="16">
        <f t="shared" si="8"/>
        <v>226000</v>
      </c>
      <c r="Q42" s="16">
        <f t="shared" si="6"/>
        <v>9.8969026548672563</v>
      </c>
      <c r="S42">
        <f>Q42/Q47</f>
        <v>7.3525820000181936E-3</v>
      </c>
    </row>
    <row r="43" spans="1:24" ht="14.25">
      <c r="A43" s="20" t="s">
        <v>180</v>
      </c>
      <c r="B43">
        <f>SUM(300*G22)+(G23*100)+(G33*50)</f>
        <v>8376000</v>
      </c>
      <c r="C43" s="3">
        <v>1</v>
      </c>
      <c r="D43" s="3">
        <v>50</v>
      </c>
      <c r="E43" s="3">
        <v>1</v>
      </c>
      <c r="F43">
        <f t="shared" si="4"/>
        <v>8376060</v>
      </c>
      <c r="G43" s="16">
        <v>8376060</v>
      </c>
      <c r="H43" s="15">
        <v>8400000</v>
      </c>
      <c r="I43" s="16">
        <f t="shared" si="5"/>
        <v>84000</v>
      </c>
      <c r="P43" s="16">
        <f t="shared" si="8"/>
        <v>84000</v>
      </c>
      <c r="Q43" s="16">
        <f t="shared" si="6"/>
        <v>26.627380952380953</v>
      </c>
      <c r="S43">
        <f>Q43/Q47</f>
        <v>1.9781946809572761E-2</v>
      </c>
      <c r="X43" s="3" t="s">
        <v>183</v>
      </c>
    </row>
    <row r="44" spans="1:24" ht="28.5">
      <c r="A44" s="20" t="s">
        <v>184</v>
      </c>
      <c r="B44">
        <f>SUM(G22*500)+(G23*100)+(G33*1500)</f>
        <v>223671700</v>
      </c>
      <c r="C44" s="3">
        <v>1</v>
      </c>
      <c r="D44" s="3">
        <v>50</v>
      </c>
      <c r="E44" s="3">
        <v>1</v>
      </c>
      <c r="F44">
        <f t="shared" si="4"/>
        <v>223671760</v>
      </c>
      <c r="G44" s="16">
        <v>223671760</v>
      </c>
      <c r="H44" s="15">
        <v>223670000</v>
      </c>
      <c r="I44" s="16">
        <f t="shared" si="5"/>
        <v>2236700</v>
      </c>
      <c r="J44" s="3" t="s">
        <v>185</v>
      </c>
      <c r="K44" s="3" t="s">
        <v>186</v>
      </c>
      <c r="P44" s="16">
        <f t="shared" si="8"/>
        <v>2236700</v>
      </c>
      <c r="Q44" s="16">
        <f t="shared" si="6"/>
        <v>1</v>
      </c>
      <c r="S44">
        <f>Q44/Q47</f>
        <v>7.429174820065775E-4</v>
      </c>
      <c r="X44" s="3" t="s">
        <v>188</v>
      </c>
    </row>
    <row r="45" spans="1:24" ht="12.75">
      <c r="G45" s="18"/>
      <c r="H45" s="21"/>
      <c r="I45" s="18"/>
      <c r="J45" s="18"/>
      <c r="K45" s="18"/>
      <c r="L45" s="18"/>
      <c r="M45" s="19" t="s">
        <v>189</v>
      </c>
      <c r="N45" s="18"/>
    </row>
    <row r="46" spans="1:24" ht="15">
      <c r="A46" s="22" t="s">
        <v>190</v>
      </c>
      <c r="B46">
        <f>(G6*50)+(G21*30)</f>
        <v>20540</v>
      </c>
      <c r="C46" s="3">
        <v>1</v>
      </c>
      <c r="D46" s="3">
        <v>15</v>
      </c>
      <c r="E46" s="3">
        <v>1</v>
      </c>
      <c r="F46">
        <f t="shared" ref="F46:F60" si="9">SUM(B46+(C46*10)+D46)</f>
        <v>20565</v>
      </c>
      <c r="G46" s="16">
        <v>20565</v>
      </c>
      <c r="H46" s="15">
        <v>20500</v>
      </c>
      <c r="I46">
        <f t="shared" ref="I46:I60" si="10">H46/100</f>
        <v>205</v>
      </c>
      <c r="L46" s="3">
        <v>205</v>
      </c>
      <c r="M46" s="3">
        <v>1350</v>
      </c>
      <c r="N46" s="3">
        <v>15000</v>
      </c>
      <c r="Q46" s="3" t="s">
        <v>195</v>
      </c>
    </row>
    <row r="47" spans="1:24" ht="15">
      <c r="A47" s="22" t="s">
        <v>196</v>
      </c>
      <c r="B47">
        <f>(G6*40)+(G22*40)+(G25*20)</f>
        <v>135240</v>
      </c>
      <c r="C47" s="3">
        <v>1</v>
      </c>
      <c r="D47" s="3">
        <v>20</v>
      </c>
      <c r="E47" s="3">
        <v>1</v>
      </c>
      <c r="F47">
        <f t="shared" si="9"/>
        <v>135270</v>
      </c>
      <c r="G47" s="16">
        <v>135270</v>
      </c>
      <c r="H47" s="15">
        <v>135000</v>
      </c>
      <c r="I47">
        <f t="shared" si="10"/>
        <v>1350</v>
      </c>
      <c r="L47" s="3">
        <v>600</v>
      </c>
      <c r="M47" s="3">
        <v>6250</v>
      </c>
      <c r="N47" s="3">
        <v>12500</v>
      </c>
      <c r="Q47" s="16">
        <f>SUM(Q35:Q44)</f>
        <v>1346.0445126409697</v>
      </c>
    </row>
    <row r="48" spans="1:24" ht="15">
      <c r="A48" s="22" t="s">
        <v>199</v>
      </c>
      <c r="B48">
        <f>SUM(G32*50)+(G22*60)+(G25*40)+(G23*30)</f>
        <v>1556290</v>
      </c>
      <c r="C48" s="3">
        <v>1</v>
      </c>
      <c r="D48" s="3">
        <v>25</v>
      </c>
      <c r="E48" s="3">
        <v>1</v>
      </c>
      <c r="F48">
        <f t="shared" si="9"/>
        <v>1556325</v>
      </c>
      <c r="G48" s="16">
        <v>1556325</v>
      </c>
      <c r="H48" s="15">
        <v>1500000</v>
      </c>
      <c r="I48">
        <f t="shared" si="10"/>
        <v>15000</v>
      </c>
      <c r="L48" s="3">
        <v>80</v>
      </c>
      <c r="M48" s="3">
        <v>550</v>
      </c>
      <c r="N48">
        <f>6*550</f>
        <v>3300</v>
      </c>
    </row>
    <row r="49" spans="1:21" ht="15">
      <c r="A49" s="22" t="s">
        <v>202</v>
      </c>
      <c r="B49">
        <f>(G6*5)+(G21*2)+G28</f>
        <v>4061</v>
      </c>
      <c r="C49" s="3">
        <v>1</v>
      </c>
      <c r="D49" s="3">
        <v>10</v>
      </c>
      <c r="E49" s="3">
        <v>1</v>
      </c>
      <c r="F49">
        <f t="shared" si="9"/>
        <v>4081</v>
      </c>
      <c r="G49" s="16">
        <v>4081</v>
      </c>
      <c r="H49" s="15">
        <v>4000</v>
      </c>
      <c r="I49">
        <f t="shared" si="10"/>
        <v>40</v>
      </c>
      <c r="L49" s="3">
        <v>400</v>
      </c>
      <c r="M49" s="3">
        <v>600</v>
      </c>
      <c r="N49">
        <f>3*4500</f>
        <v>13500</v>
      </c>
    </row>
    <row r="50" spans="1:21" ht="15">
      <c r="A50" s="22" t="s">
        <v>204</v>
      </c>
      <c r="B50">
        <f>(G22*200)+(50*G23)</f>
        <v>627050</v>
      </c>
      <c r="C50" s="3">
        <v>1</v>
      </c>
      <c r="D50" s="3">
        <v>10</v>
      </c>
      <c r="E50" s="3">
        <v>1</v>
      </c>
      <c r="F50">
        <f t="shared" si="9"/>
        <v>627070</v>
      </c>
      <c r="G50" s="16">
        <v>627070</v>
      </c>
      <c r="H50" s="15">
        <v>625000</v>
      </c>
      <c r="I50">
        <f t="shared" si="10"/>
        <v>6250</v>
      </c>
      <c r="L50" s="3">
        <v>400</v>
      </c>
      <c r="M50" s="3">
        <v>80</v>
      </c>
      <c r="N50">
        <f>75*20</f>
        <v>1500</v>
      </c>
    </row>
    <row r="51" spans="1:21" ht="15">
      <c r="A51" s="22" t="s">
        <v>205</v>
      </c>
      <c r="B51">
        <f>(G6*10)+(G21*5)</f>
        <v>3700</v>
      </c>
      <c r="C51" s="3">
        <v>1</v>
      </c>
      <c r="D51" s="3">
        <v>10</v>
      </c>
      <c r="E51" s="3">
        <v>1</v>
      </c>
      <c r="F51">
        <f t="shared" si="9"/>
        <v>3720</v>
      </c>
      <c r="G51" s="16">
        <v>3720</v>
      </c>
      <c r="H51" s="15">
        <v>4000</v>
      </c>
      <c r="I51">
        <f t="shared" si="10"/>
        <v>40</v>
      </c>
      <c r="N51" s="3">
        <v>40</v>
      </c>
    </row>
    <row r="52" spans="1:21" ht="15">
      <c r="A52" s="22" t="s">
        <v>206</v>
      </c>
      <c r="B52">
        <f>(G51*10)+(5*G22)+(G23*5)</f>
        <v>57515</v>
      </c>
      <c r="C52" s="3">
        <v>1</v>
      </c>
      <c r="D52" s="3">
        <v>10</v>
      </c>
      <c r="E52" s="3">
        <v>1</v>
      </c>
      <c r="F52">
        <f t="shared" si="9"/>
        <v>57535</v>
      </c>
      <c r="G52" s="16">
        <v>57535</v>
      </c>
      <c r="H52" s="15">
        <v>57500</v>
      </c>
      <c r="I52">
        <f t="shared" si="10"/>
        <v>575</v>
      </c>
      <c r="L52">
        <f t="shared" ref="L52:M52" si="11">SUM(L46:L50)</f>
        <v>1685</v>
      </c>
      <c r="M52">
        <f t="shared" si="11"/>
        <v>8830</v>
      </c>
      <c r="N52">
        <f>870*2</f>
        <v>1740</v>
      </c>
    </row>
    <row r="53" spans="1:21" ht="15">
      <c r="A53" s="22" t="s">
        <v>207</v>
      </c>
      <c r="B53">
        <f>(G6*10)+(G18*5)</f>
        <v>3810</v>
      </c>
      <c r="C53" s="3">
        <v>1</v>
      </c>
      <c r="D53" s="3">
        <v>10</v>
      </c>
      <c r="E53" s="3">
        <v>1</v>
      </c>
      <c r="F53">
        <f t="shared" si="9"/>
        <v>3830</v>
      </c>
      <c r="G53" s="16">
        <v>3830</v>
      </c>
      <c r="H53" s="15">
        <v>4000</v>
      </c>
      <c r="I53">
        <f t="shared" si="10"/>
        <v>40</v>
      </c>
      <c r="S53" s="3" t="s">
        <v>208</v>
      </c>
    </row>
    <row r="54" spans="1:21" ht="15">
      <c r="A54" s="22" t="s">
        <v>209</v>
      </c>
      <c r="B54">
        <f>(G53*10)+(G22*15)+(G23*5)</f>
        <v>86875</v>
      </c>
      <c r="C54" s="3">
        <v>1</v>
      </c>
      <c r="D54" s="3">
        <v>10</v>
      </c>
      <c r="E54" s="3">
        <v>1</v>
      </c>
      <c r="F54">
        <f t="shared" si="9"/>
        <v>86895</v>
      </c>
      <c r="G54" s="16">
        <v>86895</v>
      </c>
      <c r="H54" s="15">
        <v>87000</v>
      </c>
      <c r="I54">
        <f t="shared" si="10"/>
        <v>870</v>
      </c>
      <c r="N54">
        <f>SUM(N46:N52)</f>
        <v>47580</v>
      </c>
      <c r="S54" s="3" t="s">
        <v>210</v>
      </c>
      <c r="T54" s="3" t="s">
        <v>211</v>
      </c>
      <c r="U54" s="3" t="s">
        <v>212</v>
      </c>
    </row>
    <row r="55" spans="1:21" ht="15">
      <c r="A55" s="22" t="s">
        <v>213</v>
      </c>
      <c r="B55">
        <f>(G22*20)+(G23*5)+(G29*5)</f>
        <v>114755</v>
      </c>
      <c r="C55" s="3">
        <v>1</v>
      </c>
      <c r="D55" s="3">
        <v>10</v>
      </c>
      <c r="E55" s="3">
        <v>1</v>
      </c>
      <c r="F55">
        <f t="shared" si="9"/>
        <v>114775</v>
      </c>
      <c r="G55" s="16">
        <v>114775</v>
      </c>
      <c r="H55" s="15">
        <v>115000</v>
      </c>
      <c r="I55">
        <f t="shared" si="10"/>
        <v>1150</v>
      </c>
      <c r="S55" s="3" t="s">
        <v>214</v>
      </c>
      <c r="T55" s="23">
        <v>2000000</v>
      </c>
      <c r="U55" s="23">
        <v>2000000</v>
      </c>
    </row>
    <row r="56" spans="1:21" ht="15">
      <c r="A56" s="22" t="s">
        <v>215</v>
      </c>
      <c r="B56">
        <f>(G6*20)+(G22*10)+(G25*30)</f>
        <v>54920</v>
      </c>
      <c r="C56" s="3">
        <v>1</v>
      </c>
      <c r="D56" s="3">
        <v>10</v>
      </c>
      <c r="E56" s="3">
        <v>1</v>
      </c>
      <c r="F56">
        <f t="shared" si="9"/>
        <v>54940</v>
      </c>
      <c r="G56" s="16">
        <v>54940</v>
      </c>
      <c r="H56" s="15">
        <v>55000</v>
      </c>
      <c r="I56">
        <f t="shared" si="10"/>
        <v>550</v>
      </c>
      <c r="S56" s="3">
        <v>1</v>
      </c>
      <c r="T56" s="24">
        <f t="shared" ref="T56:T74" si="12">T55 + (T55 * 0.02) + (250*4*6)</f>
        <v>2046000</v>
      </c>
      <c r="U56" s="24">
        <f t="shared" ref="U56:U74" si="13">U55 + (U55 * 0.02) + (250*4*6) - (5000*60)</f>
        <v>1746000</v>
      </c>
    </row>
    <row r="57" spans="1:21" ht="15">
      <c r="A57" s="22" t="s">
        <v>216</v>
      </c>
      <c r="B57">
        <f>SUM(G18*45)+(G7*40)+(G6*20)+(G21*10)</f>
        <v>29390</v>
      </c>
      <c r="C57" s="3">
        <v>1</v>
      </c>
      <c r="D57" s="3">
        <v>10</v>
      </c>
      <c r="E57" s="3">
        <v>1</v>
      </c>
      <c r="F57">
        <f t="shared" si="9"/>
        <v>29410</v>
      </c>
      <c r="G57" s="16">
        <v>29410</v>
      </c>
      <c r="H57" s="15">
        <v>30000</v>
      </c>
      <c r="I57">
        <f t="shared" si="10"/>
        <v>300</v>
      </c>
      <c r="S57" s="3">
        <v>2</v>
      </c>
      <c r="T57" s="24">
        <f t="shared" si="12"/>
        <v>2092920</v>
      </c>
      <c r="U57" s="24">
        <f t="shared" si="13"/>
        <v>1486920</v>
      </c>
    </row>
    <row r="58" spans="1:21" ht="15">
      <c r="A58" s="22" t="s">
        <v>217</v>
      </c>
      <c r="B58">
        <f>(100*G22)+(20*G23)+(G57*5)</f>
        <v>454390</v>
      </c>
      <c r="C58" s="3">
        <v>1</v>
      </c>
      <c r="D58" s="3">
        <v>20</v>
      </c>
      <c r="E58" s="3">
        <v>1</v>
      </c>
      <c r="F58">
        <f t="shared" si="9"/>
        <v>454420</v>
      </c>
      <c r="G58" s="16">
        <v>454420</v>
      </c>
      <c r="H58" s="15">
        <v>450000</v>
      </c>
      <c r="I58">
        <f t="shared" si="10"/>
        <v>4500</v>
      </c>
      <c r="S58" s="3">
        <v>3</v>
      </c>
      <c r="T58" s="24">
        <f t="shared" si="12"/>
        <v>2140778.4</v>
      </c>
      <c r="U58" s="24">
        <f t="shared" si="13"/>
        <v>1222658.3999999999</v>
      </c>
    </row>
    <row r="59" spans="1:21" ht="15">
      <c r="A59" s="22" t="s">
        <v>218</v>
      </c>
      <c r="B59">
        <f>(G6*10)+(G21*5)</f>
        <v>3700</v>
      </c>
      <c r="C59" s="3">
        <v>1</v>
      </c>
      <c r="D59" s="3">
        <v>10</v>
      </c>
      <c r="E59" s="3">
        <v>1</v>
      </c>
      <c r="F59">
        <f t="shared" si="9"/>
        <v>3720</v>
      </c>
      <c r="G59" s="16">
        <v>3720</v>
      </c>
      <c r="H59" s="15">
        <v>4000</v>
      </c>
      <c r="I59">
        <f t="shared" si="10"/>
        <v>40</v>
      </c>
      <c r="S59" s="3">
        <v>4</v>
      </c>
      <c r="T59" s="24">
        <f t="shared" si="12"/>
        <v>2189593.9679999999</v>
      </c>
      <c r="U59" s="24">
        <f t="shared" si="13"/>
        <v>953111.56799999997</v>
      </c>
    </row>
    <row r="60" spans="1:21" ht="15">
      <c r="A60" s="22" t="s">
        <v>219</v>
      </c>
      <c r="B60">
        <f>G30+(G10*2)</f>
        <v>2309</v>
      </c>
      <c r="C60" s="3">
        <v>1</v>
      </c>
      <c r="E60" s="3">
        <v>1</v>
      </c>
      <c r="F60">
        <f t="shared" si="9"/>
        <v>2319</v>
      </c>
      <c r="G60" s="16">
        <v>2319</v>
      </c>
      <c r="H60" s="15">
        <v>2000</v>
      </c>
      <c r="I60">
        <f t="shared" si="10"/>
        <v>20</v>
      </c>
      <c r="S60" s="3">
        <v>5</v>
      </c>
      <c r="T60" s="24">
        <f t="shared" si="12"/>
        <v>2239385.84736</v>
      </c>
      <c r="U60" s="24">
        <f t="shared" si="13"/>
        <v>678173.79935999995</v>
      </c>
    </row>
    <row r="61" spans="1:21" ht="12.75">
      <c r="S61" s="3">
        <v>6</v>
      </c>
      <c r="T61" s="24">
        <f t="shared" si="12"/>
        <v>2290173.5643071998</v>
      </c>
      <c r="U61" s="24">
        <f t="shared" si="13"/>
        <v>397737.27534719999</v>
      </c>
    </row>
    <row r="62" spans="1:21" ht="12.75">
      <c r="A62" s="3" t="s">
        <v>220</v>
      </c>
      <c r="B62">
        <f>SUM(G12+(G10*3)+G21)</f>
        <v>2031</v>
      </c>
      <c r="C62" s="3">
        <v>1</v>
      </c>
      <c r="E62" s="3">
        <v>1</v>
      </c>
      <c r="F62">
        <f t="shared" ref="F62:F63" si="14">SUM(B62+(C62*10)+D62)</f>
        <v>2041</v>
      </c>
      <c r="G62">
        <v>2041</v>
      </c>
      <c r="H62" s="3">
        <v>2000</v>
      </c>
      <c r="I62" s="3">
        <v>20</v>
      </c>
      <c r="S62" s="3">
        <v>7</v>
      </c>
      <c r="T62" s="24">
        <f t="shared" si="12"/>
        <v>2341977.0355933439</v>
      </c>
      <c r="U62" s="24">
        <f t="shared" si="13"/>
        <v>111692.02085414401</v>
      </c>
    </row>
    <row r="63" spans="1:21" ht="12.75">
      <c r="A63" s="3" t="s">
        <v>221</v>
      </c>
      <c r="B63">
        <f>SUM(G6*45)+(G7*45)+(G21*45)</f>
        <v>28800</v>
      </c>
      <c r="C63" s="3">
        <v>1</v>
      </c>
      <c r="D63" s="3">
        <v>5</v>
      </c>
      <c r="E63" s="3">
        <v>1</v>
      </c>
      <c r="F63">
        <f t="shared" si="14"/>
        <v>28815</v>
      </c>
      <c r="G63">
        <v>28815</v>
      </c>
      <c r="H63" s="3">
        <v>29000</v>
      </c>
      <c r="I63" s="3">
        <v>290</v>
      </c>
      <c r="S63" s="3">
        <v>8</v>
      </c>
      <c r="T63" s="24">
        <f t="shared" si="12"/>
        <v>2394816.5763052106</v>
      </c>
      <c r="U63" s="24">
        <f t="shared" si="13"/>
        <v>-180074.1387287731</v>
      </c>
    </row>
    <row r="64" spans="1:21" ht="12.75">
      <c r="S64" s="3">
        <v>9</v>
      </c>
      <c r="T64" s="24">
        <f t="shared" si="12"/>
        <v>2448712.907831315</v>
      </c>
      <c r="U64" s="24">
        <f t="shared" si="13"/>
        <v>-477675.62150334858</v>
      </c>
    </row>
    <row r="65" spans="19:21" ht="12.75">
      <c r="S65" s="3">
        <v>10</v>
      </c>
      <c r="T65" s="24">
        <f t="shared" si="12"/>
        <v>2503687.1659879414</v>
      </c>
      <c r="U65" s="24">
        <f t="shared" si="13"/>
        <v>-781229.13393341564</v>
      </c>
    </row>
    <row r="66" spans="19:21" ht="12.75">
      <c r="S66" s="3">
        <v>11</v>
      </c>
      <c r="T66" s="24">
        <f t="shared" si="12"/>
        <v>2559760.9093077001</v>
      </c>
      <c r="U66" s="24">
        <f t="shared" si="13"/>
        <v>-1090853.7166120838</v>
      </c>
    </row>
    <row r="67" spans="19:21" ht="12.75">
      <c r="S67" s="3">
        <v>12</v>
      </c>
      <c r="T67" s="24">
        <f t="shared" si="12"/>
        <v>2616956.1274938541</v>
      </c>
      <c r="U67" s="24">
        <f t="shared" si="13"/>
        <v>-1406670.7909443255</v>
      </c>
    </row>
    <row r="68" spans="19:21" ht="12.75">
      <c r="S68" s="3">
        <v>13</v>
      </c>
      <c r="T68" s="24">
        <f t="shared" si="12"/>
        <v>2675295.2500437312</v>
      </c>
      <c r="U68" s="24">
        <f t="shared" si="13"/>
        <v>-1728804.2067632121</v>
      </c>
    </row>
    <row r="69" spans="19:21" ht="12.75">
      <c r="S69" s="3">
        <v>14</v>
      </c>
      <c r="T69" s="24">
        <f t="shared" si="12"/>
        <v>2734801.155044606</v>
      </c>
      <c r="U69" s="24">
        <f t="shared" si="13"/>
        <v>-2057380.2908984763</v>
      </c>
    </row>
    <row r="70" spans="19:21" ht="12.75">
      <c r="S70" s="3">
        <v>15</v>
      </c>
      <c r="T70" s="24">
        <f t="shared" si="12"/>
        <v>2795497.178145498</v>
      </c>
      <c r="U70" s="24">
        <f t="shared" si="13"/>
        <v>-2392527.8967164457</v>
      </c>
    </row>
    <row r="71" spans="19:21" ht="12.75">
      <c r="S71" s="3">
        <v>16</v>
      </c>
      <c r="T71" s="24">
        <f t="shared" si="12"/>
        <v>2857407.121708408</v>
      </c>
      <c r="U71" s="24">
        <f t="shared" si="13"/>
        <v>-2734378.4546507746</v>
      </c>
    </row>
    <row r="72" spans="19:21" ht="12.75">
      <c r="S72" s="3">
        <v>17</v>
      </c>
      <c r="T72" s="24">
        <f t="shared" si="12"/>
        <v>2920555.2641425761</v>
      </c>
      <c r="U72" s="24">
        <f t="shared" si="13"/>
        <v>-3083066.0237437901</v>
      </c>
    </row>
    <row r="73" spans="19:21" ht="12.75">
      <c r="S73" s="3">
        <v>18</v>
      </c>
      <c r="T73" s="24">
        <f t="shared" si="12"/>
        <v>2984966.3694254276</v>
      </c>
      <c r="U73" s="24">
        <f t="shared" si="13"/>
        <v>-3438727.3442186657</v>
      </c>
    </row>
    <row r="74" spans="19:21" ht="12.75">
      <c r="S74" s="3">
        <v>19</v>
      </c>
      <c r="T74" s="24">
        <f t="shared" si="12"/>
        <v>3050665.6968139363</v>
      </c>
      <c r="U74" s="24">
        <f t="shared" si="13"/>
        <v>-3801501.891103039</v>
      </c>
    </row>
    <row r="75" spans="19:21" ht="12.75">
      <c r="T75" s="24"/>
    </row>
    <row r="76" spans="19:21" ht="12.75">
      <c r="T76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craft &amp; coin cost</vt:lpstr>
      <vt:lpstr>OLD Recipies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2020-02-06T22:48:54Z</dcterms:created>
  <dcterms:modified xsi:type="dcterms:W3CDTF">2020-02-08T00:58:39Z</dcterms:modified>
</cp:coreProperties>
</file>