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atliviu/Desktop/verificare contorizare/"/>
    </mc:Choice>
  </mc:AlternateContent>
  <xr:revisionPtr revIDLastSave="0" documentId="13_ncr:1_{0AB31910-A71A-6B45-B0DD-BE0D47F86957}" xr6:coauthVersionLast="47" xr6:coauthVersionMax="47" xr10:uidLastSave="{00000000-0000-0000-0000-000000000000}"/>
  <bookViews>
    <workbookView xWindow="0" yWindow="680" windowWidth="30240" windowHeight="18960" activeTab="1" xr2:uid="{C96718D6-47D1-2A44-80B1-8743666CDF7D}"/>
  </bookViews>
  <sheets>
    <sheet name="Centralizator" sheetId="1" r:id="rId1"/>
    <sheet name="Sheet5" sheetId="7" r:id="rId2"/>
    <sheet name="Sheet6" sheetId="8" r:id="rId3"/>
    <sheet name="contoare" sheetId="3" r:id="rId4"/>
    <sheet name="Sheet2" sheetId="2" r:id="rId5"/>
  </sheets>
  <definedNames>
    <definedName name="_xlnm._FilterDatabase" localSheetId="1" hidden="1">Sheet5!$A$1:$D$29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9" i="1" l="1"/>
  <c r="Y238" i="1" s="1"/>
  <c r="O238" i="1"/>
  <c r="O239" i="1"/>
  <c r="Y217" i="1"/>
  <c r="Y213" i="1"/>
  <c r="O217" i="1"/>
  <c r="O213" i="1"/>
  <c r="Z207" i="1"/>
  <c r="AA207" i="1"/>
  <c r="Z200" i="1"/>
  <c r="AA200" i="1"/>
  <c r="T187" i="1"/>
  <c r="U187" i="1"/>
  <c r="V187" i="1"/>
  <c r="W187" i="1"/>
  <c r="T188" i="1"/>
  <c r="U188" i="1"/>
  <c r="V188" i="1"/>
  <c r="W188" i="1"/>
  <c r="Z165" i="1"/>
  <c r="AA165" i="1"/>
  <c r="O99" i="1"/>
  <c r="M63" i="1"/>
  <c r="L63" i="1"/>
  <c r="K63" i="1"/>
  <c r="J63" i="1"/>
  <c r="I63" i="1"/>
  <c r="H63" i="1"/>
  <c r="G63" i="1"/>
  <c r="F63" i="1"/>
  <c r="E63" i="1"/>
  <c r="D63" i="1"/>
  <c r="M61" i="1"/>
  <c r="L61" i="1"/>
  <c r="K61" i="1"/>
  <c r="J61" i="1"/>
  <c r="I61" i="1"/>
  <c r="H61" i="1"/>
  <c r="G61" i="1"/>
  <c r="F61" i="1"/>
  <c r="E61" i="1"/>
  <c r="D61" i="1"/>
  <c r="Y14" i="1"/>
  <c r="Y20" i="1"/>
  <c r="O14" i="1"/>
  <c r="O2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29" i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Y32" i="1"/>
  <c r="Y28" i="1"/>
  <c r="O32" i="1"/>
  <c r="O28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W253" i="1"/>
  <c r="V253" i="1"/>
  <c r="U253" i="1"/>
  <c r="T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M253" i="1"/>
  <c r="L253" i="1"/>
  <c r="K253" i="1"/>
  <c r="J253" i="1"/>
  <c r="I253" i="1"/>
  <c r="H253" i="1"/>
  <c r="G253" i="1"/>
  <c r="F253" i="1"/>
  <c r="E253" i="1"/>
  <c r="D253" i="1"/>
  <c r="Z224" i="1"/>
  <c r="AB224" i="1" s="1"/>
  <c r="AA224" i="1"/>
  <c r="T223" i="1"/>
  <c r="U223" i="1"/>
  <c r="V223" i="1"/>
  <c r="W223" i="1"/>
  <c r="T224" i="1"/>
  <c r="U224" i="1"/>
  <c r="V224" i="1"/>
  <c r="W224" i="1"/>
  <c r="R224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B130" i="2"/>
  <c r="C130" i="2"/>
  <c r="Z125" i="1"/>
  <c r="AB125" i="1" s="1"/>
  <c r="AA125" i="1"/>
  <c r="T124" i="1"/>
  <c r="U124" i="1"/>
  <c r="V124" i="1"/>
  <c r="W124" i="1"/>
  <c r="T125" i="1"/>
  <c r="U125" i="1"/>
  <c r="V125" i="1"/>
  <c r="W125" i="1"/>
  <c r="T123" i="1"/>
  <c r="T122" i="1"/>
  <c r="R125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C112" i="2"/>
  <c r="B112" i="2"/>
  <c r="Z107" i="1"/>
  <c r="AB107" i="1" s="1"/>
  <c r="AA107" i="1"/>
  <c r="T106" i="1"/>
  <c r="U106" i="1"/>
  <c r="V106" i="1"/>
  <c r="W106" i="1"/>
  <c r="T107" i="1"/>
  <c r="U107" i="1"/>
  <c r="V107" i="1"/>
  <c r="W107" i="1"/>
  <c r="R107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C107" i="1"/>
  <c r="C119" i="2"/>
  <c r="B120" i="2"/>
  <c r="C118" i="2"/>
  <c r="C117" i="2"/>
  <c r="Z77" i="1"/>
  <c r="AB77" i="1" s="1"/>
  <c r="AA77" i="1"/>
  <c r="T76" i="1"/>
  <c r="U76" i="1"/>
  <c r="V76" i="1"/>
  <c r="W76" i="1"/>
  <c r="T77" i="1"/>
  <c r="U77" i="1"/>
  <c r="V77" i="1"/>
  <c r="W77" i="1"/>
  <c r="R77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C77" i="1"/>
  <c r="C115" i="2"/>
  <c r="C114" i="2"/>
  <c r="C113" i="2"/>
  <c r="C116" i="2"/>
  <c r="B116" i="2"/>
  <c r="Z73" i="1"/>
  <c r="AB73" i="1" s="1"/>
  <c r="T72" i="1"/>
  <c r="U72" i="1"/>
  <c r="V72" i="1"/>
  <c r="W72" i="1"/>
  <c r="T73" i="1"/>
  <c r="U73" i="1"/>
  <c r="V73" i="1"/>
  <c r="W73" i="1"/>
  <c r="T74" i="1"/>
  <c r="U74" i="1"/>
  <c r="V74" i="1"/>
  <c r="W74" i="1"/>
  <c r="Q73" i="1"/>
  <c r="AA73" i="1" s="1"/>
  <c r="R73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C73" i="1"/>
  <c r="C131" i="2"/>
  <c r="C132" i="2"/>
  <c r="B134" i="2"/>
  <c r="C134" i="2"/>
  <c r="Z146" i="1"/>
  <c r="AB146" i="1" s="1"/>
  <c r="Z141" i="1"/>
  <c r="AB141" i="1" s="1"/>
  <c r="AA141" i="1"/>
  <c r="AA146" i="1"/>
  <c r="Z134" i="1"/>
  <c r="AA134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R146" i="1"/>
  <c r="R141" i="1"/>
  <c r="T146" i="1"/>
  <c r="U146" i="1"/>
  <c r="V146" i="1"/>
  <c r="W146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C146" i="1"/>
  <c r="C141" i="1"/>
  <c r="C71" i="2"/>
  <c r="C65" i="2"/>
  <c r="B71" i="2"/>
  <c r="B66" i="2"/>
  <c r="H53" i="2"/>
  <c r="C61" i="2"/>
  <c r="C69" i="2"/>
  <c r="C60" i="2"/>
  <c r="C62" i="2"/>
  <c r="C67" i="2"/>
  <c r="C68" i="2"/>
  <c r="Z229" i="1"/>
  <c r="AB229" i="1" s="1"/>
  <c r="AA229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R234" i="1"/>
  <c r="R229" i="1"/>
  <c r="B11" i="2"/>
  <c r="B6" i="2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C229" i="1"/>
  <c r="C234" i="1"/>
  <c r="C10" i="2"/>
  <c r="C5" i="2"/>
  <c r="C3" i="2"/>
  <c r="C2" i="2"/>
  <c r="C9" i="2"/>
  <c r="C7" i="2"/>
  <c r="C4" i="2"/>
  <c r="C8" i="2"/>
  <c r="Q223" i="1" l="1"/>
  <c r="AA223" i="1" s="1"/>
  <c r="Q124" i="1"/>
  <c r="AA124" i="1" s="1"/>
  <c r="P223" i="1"/>
  <c r="AA76" i="1"/>
  <c r="AA74" i="1"/>
  <c r="Z223" i="1"/>
  <c r="AB223" i="1" s="1"/>
  <c r="R223" i="1"/>
  <c r="Q76" i="1"/>
  <c r="P124" i="1"/>
  <c r="R124" i="1" s="1"/>
  <c r="Q106" i="1"/>
  <c r="Z76" i="1"/>
  <c r="AB76" i="1" s="1"/>
  <c r="Q232" i="1"/>
  <c r="P106" i="1"/>
  <c r="R106" i="1" s="1"/>
  <c r="V123" i="1"/>
  <c r="Z123" i="1" s="1"/>
  <c r="U123" i="1"/>
  <c r="V122" i="1"/>
  <c r="Z122" i="1" s="1"/>
  <c r="AB122" i="1" s="1"/>
  <c r="AC122" i="1" s="1"/>
  <c r="U122" i="1"/>
  <c r="Z74" i="1"/>
  <c r="AB74" i="1" s="1"/>
  <c r="AC74" i="1" s="1"/>
  <c r="P76" i="1"/>
  <c r="R76" i="1" s="1"/>
  <c r="Q226" i="1"/>
  <c r="P140" i="1"/>
  <c r="R140" i="1" s="1"/>
  <c r="AA145" i="1"/>
  <c r="AA142" i="1"/>
  <c r="AA139" i="1"/>
  <c r="Z144" i="1"/>
  <c r="Z138" i="1"/>
  <c r="AA143" i="1"/>
  <c r="AA140" i="1"/>
  <c r="AA137" i="1"/>
  <c r="Z143" i="1"/>
  <c r="Z140" i="1"/>
  <c r="AB140" i="1" s="1"/>
  <c r="Z137" i="1"/>
  <c r="P139" i="1"/>
  <c r="Z145" i="1"/>
  <c r="AB145" i="1" s="1"/>
  <c r="Z142" i="1"/>
  <c r="Z139" i="1"/>
  <c r="Q72" i="1"/>
  <c r="AA72" i="1" s="1"/>
  <c r="P72" i="1"/>
  <c r="P138" i="1"/>
  <c r="AA144" i="1"/>
  <c r="AA138" i="1"/>
  <c r="P142" i="1"/>
  <c r="P143" i="1"/>
  <c r="P231" i="1"/>
  <c r="Q138" i="1"/>
  <c r="P226" i="1"/>
  <c r="Z230" i="1"/>
  <c r="Z227" i="1"/>
  <c r="Q142" i="1"/>
  <c r="Q143" i="1"/>
  <c r="Q139" i="1"/>
  <c r="Q140" i="1"/>
  <c r="P232" i="1"/>
  <c r="Q230" i="1"/>
  <c r="AA228" i="1"/>
  <c r="AA225" i="1"/>
  <c r="Q231" i="1"/>
  <c r="Z225" i="1"/>
  <c r="P230" i="1"/>
  <c r="Z226" i="1"/>
  <c r="Q227" i="1"/>
  <c r="P227" i="1"/>
  <c r="Q228" i="1"/>
  <c r="AA230" i="1"/>
  <c r="AA227" i="1"/>
  <c r="AA226" i="1"/>
  <c r="Z228" i="1"/>
  <c r="AB228" i="1" s="1"/>
  <c r="P228" i="1"/>
  <c r="R228" i="1" s="1"/>
  <c r="Z124" i="1" l="1"/>
  <c r="AB124" i="1" s="1"/>
  <c r="R230" i="1"/>
  <c r="S230" i="1" s="1"/>
  <c r="R142" i="1"/>
  <c r="S142" i="1" s="1"/>
  <c r="R72" i="1"/>
  <c r="Z72" i="1"/>
  <c r="AB72" i="1" s="1"/>
  <c r="AB225" i="1"/>
  <c r="AC225" i="1" s="1"/>
  <c r="AB142" i="1"/>
  <c r="AC142" i="1" s="1"/>
  <c r="Z252" i="1" l="1"/>
  <c r="AB252" i="1" s="1"/>
  <c r="AA252" i="1"/>
  <c r="R252" i="1"/>
  <c r="T251" i="1"/>
  <c r="U251" i="1"/>
  <c r="V251" i="1"/>
  <c r="W251" i="1"/>
  <c r="T252" i="1"/>
  <c r="U252" i="1"/>
  <c r="V252" i="1"/>
  <c r="W252" i="1"/>
  <c r="D247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C240" i="2"/>
  <c r="C236" i="2"/>
  <c r="C238" i="2"/>
  <c r="C239" i="2"/>
  <c r="C235" i="2"/>
  <c r="C237" i="2"/>
  <c r="C234" i="2"/>
  <c r="Z244" i="1"/>
  <c r="AB244" i="1" s="1"/>
  <c r="R244" i="1"/>
  <c r="D243" i="1"/>
  <c r="E243" i="1"/>
  <c r="F243" i="1"/>
  <c r="G243" i="1"/>
  <c r="H243" i="1"/>
  <c r="I243" i="1"/>
  <c r="J243" i="1"/>
  <c r="K243" i="1"/>
  <c r="L243" i="1"/>
  <c r="M243" i="1"/>
  <c r="T243" i="1"/>
  <c r="U243" i="1"/>
  <c r="V243" i="1"/>
  <c r="W243" i="1"/>
  <c r="D244" i="1"/>
  <c r="E244" i="1"/>
  <c r="F244" i="1"/>
  <c r="G244" i="1"/>
  <c r="H244" i="1"/>
  <c r="I244" i="1"/>
  <c r="J244" i="1"/>
  <c r="K244" i="1"/>
  <c r="L244" i="1"/>
  <c r="M244" i="1"/>
  <c r="T244" i="1"/>
  <c r="U244" i="1"/>
  <c r="V244" i="1"/>
  <c r="W244" i="1"/>
  <c r="C136" i="2"/>
  <c r="C137" i="2"/>
  <c r="C135" i="2"/>
  <c r="Z239" i="1"/>
  <c r="AB239" i="1" s="1"/>
  <c r="AA239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R239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C239" i="1"/>
  <c r="C231" i="2"/>
  <c r="C229" i="2"/>
  <c r="C230" i="2"/>
  <c r="B233" i="2"/>
  <c r="T38" i="1"/>
  <c r="U38" i="1"/>
  <c r="V38" i="1"/>
  <c r="W38" i="1"/>
  <c r="T39" i="1"/>
  <c r="U39" i="1"/>
  <c r="V39" i="1"/>
  <c r="W39" i="1"/>
  <c r="Z39" i="1"/>
  <c r="AB39" i="1" s="1"/>
  <c r="AA39" i="1"/>
  <c r="T40" i="1"/>
  <c r="U40" i="1"/>
  <c r="V40" i="1"/>
  <c r="W40" i="1"/>
  <c r="T41" i="1"/>
  <c r="U41" i="1"/>
  <c r="V41" i="1"/>
  <c r="W41" i="1"/>
  <c r="T42" i="1"/>
  <c r="U42" i="1"/>
  <c r="V42" i="1"/>
  <c r="W42" i="1"/>
  <c r="Z42" i="1"/>
  <c r="AB42" i="1" s="1"/>
  <c r="AA42" i="1"/>
  <c r="T43" i="1"/>
  <c r="U43" i="1"/>
  <c r="V43" i="1"/>
  <c r="W43" i="1"/>
  <c r="T44" i="1"/>
  <c r="U44" i="1"/>
  <c r="V44" i="1"/>
  <c r="W44" i="1"/>
  <c r="T45" i="1"/>
  <c r="U45" i="1"/>
  <c r="V45" i="1"/>
  <c r="W45" i="1"/>
  <c r="Z45" i="1"/>
  <c r="AB45" i="1" s="1"/>
  <c r="AA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Z49" i="1"/>
  <c r="AB49" i="1" s="1"/>
  <c r="AA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Z53" i="1"/>
  <c r="AB53" i="1" s="1"/>
  <c r="AA53" i="1"/>
  <c r="R53" i="1"/>
  <c r="R49" i="1"/>
  <c r="R45" i="1"/>
  <c r="R42" i="1"/>
  <c r="R39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B151" i="2"/>
  <c r="B148" i="2"/>
  <c r="B145" i="2"/>
  <c r="B159" i="2"/>
  <c r="B155" i="2"/>
  <c r="C141" i="2"/>
  <c r="C157" i="2"/>
  <c r="C143" i="2"/>
  <c r="C149" i="2"/>
  <c r="C140" i="2"/>
  <c r="C146" i="2"/>
  <c r="C153" i="2"/>
  <c r="C152" i="2"/>
  <c r="C142" i="2"/>
  <c r="C156" i="2"/>
  <c r="Z170" i="1"/>
  <c r="AB170" i="1" s="1"/>
  <c r="AA170" i="1"/>
  <c r="Z176" i="1"/>
  <c r="AB176" i="1" s="1"/>
  <c r="AA176" i="1"/>
  <c r="Z183" i="1"/>
  <c r="AB183" i="1" s="1"/>
  <c r="AA183" i="1"/>
  <c r="AK178" i="1"/>
  <c r="AK179" i="1"/>
  <c r="AK180" i="1"/>
  <c r="AK181" i="1"/>
  <c r="AK177" i="1"/>
  <c r="AH180" i="1"/>
  <c r="R183" i="1"/>
  <c r="R176" i="1"/>
  <c r="R170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C105" i="2"/>
  <c r="C106" i="2"/>
  <c r="C100" i="2"/>
  <c r="C94" i="2"/>
  <c r="C107" i="2"/>
  <c r="C97" i="2"/>
  <c r="C103" i="2"/>
  <c r="C96" i="2"/>
  <c r="C92" i="2"/>
  <c r="C89" i="2"/>
  <c r="C93" i="2"/>
  <c r="C88" i="2"/>
  <c r="C102" i="2"/>
  <c r="C99" i="2"/>
  <c r="C98" i="2"/>
  <c r="C90" i="2"/>
  <c r="Q51" i="1" l="1"/>
  <c r="AA180" i="1"/>
  <c r="AA177" i="1"/>
  <c r="AA174" i="1"/>
  <c r="AA171" i="1"/>
  <c r="Z43" i="1"/>
  <c r="AB43" i="1" s="1"/>
  <c r="Q251" i="1"/>
  <c r="P243" i="1"/>
  <c r="R243" i="1" s="1"/>
  <c r="P182" i="1"/>
  <c r="R182" i="1" s="1"/>
  <c r="Z180" i="1"/>
  <c r="Z177" i="1"/>
  <c r="Z174" i="1"/>
  <c r="Z171" i="1"/>
  <c r="Z168" i="1"/>
  <c r="Q182" i="1"/>
  <c r="P251" i="1"/>
  <c r="R251" i="1" s="1"/>
  <c r="AA251" i="1"/>
  <c r="Z251" i="1"/>
  <c r="AB251" i="1" s="1"/>
  <c r="AA237" i="1"/>
  <c r="Z50" i="1"/>
  <c r="AB50" i="1" s="1"/>
  <c r="Q41" i="1"/>
  <c r="AA41" i="1" s="1"/>
  <c r="Q47" i="1"/>
  <c r="AA47" i="1" s="1"/>
  <c r="P41" i="1"/>
  <c r="R41" i="1" s="1"/>
  <c r="Q48" i="1"/>
  <c r="AA48" i="1" s="1"/>
  <c r="P50" i="1"/>
  <c r="R50" i="1" s="1"/>
  <c r="S50" i="1" s="1"/>
  <c r="P44" i="1"/>
  <c r="Z44" i="1" s="1"/>
  <c r="AB44" i="1" s="1"/>
  <c r="Z46" i="1"/>
  <c r="AB46" i="1" s="1"/>
  <c r="AC46" i="1" s="1"/>
  <c r="Q238" i="1"/>
  <c r="AA238" i="1" s="1"/>
  <c r="P238" i="1"/>
  <c r="R238" i="1" s="1"/>
  <c r="Q243" i="1"/>
  <c r="AA243" i="1" s="1"/>
  <c r="AA244" i="1"/>
  <c r="Z237" i="1"/>
  <c r="Q40" i="1"/>
  <c r="AA40" i="1" s="1"/>
  <c r="P40" i="1"/>
  <c r="R40" i="1" s="1"/>
  <c r="S40" i="1" s="1"/>
  <c r="P47" i="1"/>
  <c r="P179" i="1"/>
  <c r="Q174" i="1"/>
  <c r="AA181" i="1"/>
  <c r="AA178" i="1"/>
  <c r="AA175" i="1"/>
  <c r="P51" i="1"/>
  <c r="P173" i="1"/>
  <c r="P171" i="1"/>
  <c r="P180" i="1"/>
  <c r="P178" i="1"/>
  <c r="P174" i="1"/>
  <c r="P168" i="1"/>
  <c r="Z181" i="1"/>
  <c r="Z178" i="1"/>
  <c r="Z172" i="1"/>
  <c r="Z169" i="1"/>
  <c r="AB169" i="1" s="1"/>
  <c r="P43" i="1"/>
  <c r="R43" i="1" s="1"/>
  <c r="S43" i="1" s="1"/>
  <c r="Q181" i="1"/>
  <c r="Q175" i="1"/>
  <c r="Q169" i="1"/>
  <c r="Q50" i="1"/>
  <c r="AA50" i="1" s="1"/>
  <c r="Z51" i="1"/>
  <c r="Q52" i="1"/>
  <c r="AA52" i="1" s="1"/>
  <c r="AA182" i="1"/>
  <c r="AA179" i="1"/>
  <c r="P52" i="1"/>
  <c r="R52" i="1" s="1"/>
  <c r="AA173" i="1"/>
  <c r="AA167" i="1"/>
  <c r="Z40" i="1"/>
  <c r="AB40" i="1" s="1"/>
  <c r="AC40" i="1" s="1"/>
  <c r="Q46" i="1"/>
  <c r="AA46" i="1" s="1"/>
  <c r="P48" i="1"/>
  <c r="R48" i="1" s="1"/>
  <c r="P46" i="1"/>
  <c r="R46" i="1" s="1"/>
  <c r="S46" i="1" s="1"/>
  <c r="Q43" i="1"/>
  <c r="AA43" i="1" s="1"/>
  <c r="Q44" i="1"/>
  <c r="AA44" i="1" s="1"/>
  <c r="AC50" i="1"/>
  <c r="AC43" i="1"/>
  <c r="AA51" i="1"/>
  <c r="Z47" i="1"/>
  <c r="Z173" i="1"/>
  <c r="Z167" i="1"/>
  <c r="Q180" i="1"/>
  <c r="Q168" i="1"/>
  <c r="Z175" i="1"/>
  <c r="AB175" i="1" s="1"/>
  <c r="P181" i="1"/>
  <c r="P175" i="1"/>
  <c r="R175" i="1" s="1"/>
  <c r="P169" i="1"/>
  <c r="R169" i="1" s="1"/>
  <c r="AA172" i="1"/>
  <c r="AA169" i="1"/>
  <c r="AA168" i="1"/>
  <c r="Q178" i="1"/>
  <c r="Q172" i="1"/>
  <c r="P172" i="1"/>
  <c r="Z182" i="1"/>
  <c r="AB182" i="1" s="1"/>
  <c r="P177" i="1"/>
  <c r="Q177" i="1"/>
  <c r="Q173" i="1"/>
  <c r="Q171" i="1"/>
  <c r="Q179" i="1"/>
  <c r="Z243" i="1" l="1"/>
  <c r="AB243" i="1" s="1"/>
  <c r="AB177" i="1"/>
  <c r="AC177" i="1" s="1"/>
  <c r="Z41" i="1"/>
  <c r="AB41" i="1" s="1"/>
  <c r="Z238" i="1"/>
  <c r="AB238" i="1" s="1"/>
  <c r="R44" i="1"/>
  <c r="Z52" i="1"/>
  <c r="AB52" i="1" s="1"/>
  <c r="AB171" i="1"/>
  <c r="AC171" i="1" s="1"/>
  <c r="R177" i="1"/>
  <c r="S177" i="1" s="1"/>
  <c r="R171" i="1"/>
  <c r="S171" i="1" s="1"/>
  <c r="Z48" i="1"/>
  <c r="AB48" i="1" s="1"/>
  <c r="Z213" i="1" l="1"/>
  <c r="AB213" i="1" s="1"/>
  <c r="AA213" i="1"/>
  <c r="Z217" i="1"/>
  <c r="AB217" i="1" s="1"/>
  <c r="AA217" i="1"/>
  <c r="Z220" i="1"/>
  <c r="AB220" i="1" s="1"/>
  <c r="AA220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R220" i="1"/>
  <c r="R217" i="1"/>
  <c r="R213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C220" i="1"/>
  <c r="C218" i="1"/>
  <c r="C217" i="1"/>
  <c r="C213" i="1"/>
  <c r="D205" i="2"/>
  <c r="C200" i="2"/>
  <c r="C199" i="2"/>
  <c r="C195" i="2"/>
  <c r="C203" i="2"/>
  <c r="B203" i="2"/>
  <c r="C196" i="2"/>
  <c r="B205" i="2"/>
  <c r="B202" i="2"/>
  <c r="B198" i="2"/>
  <c r="Z209" i="1"/>
  <c r="AB209" i="1" s="1"/>
  <c r="AA209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R209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C209" i="1"/>
  <c r="C209" i="2"/>
  <c r="C210" i="2"/>
  <c r="C208" i="2"/>
  <c r="B212" i="2"/>
  <c r="AA202" i="1"/>
  <c r="AA204" i="1"/>
  <c r="Z202" i="1"/>
  <c r="AB202" i="1" s="1"/>
  <c r="Z204" i="1"/>
  <c r="AB204" i="1" s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R202" i="1"/>
  <c r="R204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C204" i="1"/>
  <c r="C202" i="1"/>
  <c r="C171" i="2"/>
  <c r="C170" i="2"/>
  <c r="C169" i="2"/>
  <c r="C167" i="2"/>
  <c r="C168" i="2"/>
  <c r="B175" i="2"/>
  <c r="B173" i="2"/>
  <c r="AA195" i="1"/>
  <c r="Z195" i="1"/>
  <c r="AB195" i="1" s="1"/>
  <c r="R195" i="1"/>
  <c r="D195" i="1"/>
  <c r="E195" i="1"/>
  <c r="F195" i="1"/>
  <c r="G195" i="1"/>
  <c r="H195" i="1"/>
  <c r="I195" i="1"/>
  <c r="J195" i="1"/>
  <c r="K195" i="1"/>
  <c r="L195" i="1"/>
  <c r="M195" i="1"/>
  <c r="C165" i="2"/>
  <c r="C160" i="2"/>
  <c r="C161" i="2"/>
  <c r="C163" i="2"/>
  <c r="C162" i="2"/>
  <c r="C164" i="2"/>
  <c r="Z188" i="1"/>
  <c r="AB188" i="1" s="1"/>
  <c r="AA188" i="1"/>
  <c r="AA187" i="1"/>
  <c r="Z187" i="1"/>
  <c r="AB187" i="1" s="1"/>
  <c r="R188" i="1"/>
  <c r="R187" i="1"/>
  <c r="N187" i="1"/>
  <c r="F187" i="1" s="1"/>
  <c r="D186" i="1"/>
  <c r="E186" i="1"/>
  <c r="F186" i="1"/>
  <c r="G186" i="1"/>
  <c r="H186" i="1"/>
  <c r="I186" i="1"/>
  <c r="J186" i="1"/>
  <c r="K186" i="1"/>
  <c r="L186" i="1"/>
  <c r="M186" i="1"/>
  <c r="D188" i="1"/>
  <c r="E188" i="1"/>
  <c r="F188" i="1"/>
  <c r="G188" i="1"/>
  <c r="H188" i="1"/>
  <c r="I188" i="1"/>
  <c r="J188" i="1"/>
  <c r="K188" i="1"/>
  <c r="L188" i="1"/>
  <c r="M188" i="1"/>
  <c r="AA222" i="1" l="1"/>
  <c r="Z222" i="1"/>
  <c r="Z214" i="1"/>
  <c r="AB214" i="1" s="1"/>
  <c r="AC214" i="1" s="1"/>
  <c r="Q208" i="1"/>
  <c r="AA208" i="1" s="1"/>
  <c r="P214" i="1"/>
  <c r="R214" i="1" s="1"/>
  <c r="S214" i="1" s="1"/>
  <c r="AA218" i="1"/>
  <c r="AA215" i="1"/>
  <c r="Z221" i="1"/>
  <c r="AB221" i="1" s="1"/>
  <c r="AC221" i="1" s="1"/>
  <c r="Z218" i="1"/>
  <c r="AB218" i="1" s="1"/>
  <c r="Z215" i="1"/>
  <c r="Z199" i="1"/>
  <c r="AC218" i="1"/>
  <c r="Q214" i="1"/>
  <c r="P208" i="1"/>
  <c r="Z208" i="1" s="1"/>
  <c r="AB208" i="1" s="1"/>
  <c r="Q215" i="1"/>
  <c r="P215" i="1"/>
  <c r="AA214" i="1"/>
  <c r="Q218" i="1"/>
  <c r="P218" i="1"/>
  <c r="R218" i="1" s="1"/>
  <c r="S218" i="1" s="1"/>
  <c r="P219" i="1"/>
  <c r="Q219" i="1"/>
  <c r="AA219" i="1" s="1"/>
  <c r="Q216" i="1"/>
  <c r="AA216" i="1" s="1"/>
  <c r="P216" i="1"/>
  <c r="H187" i="1"/>
  <c r="I187" i="1"/>
  <c r="AA199" i="1"/>
  <c r="Q201" i="1"/>
  <c r="AA201" i="1" s="1"/>
  <c r="G187" i="1"/>
  <c r="E187" i="1"/>
  <c r="Q203" i="1"/>
  <c r="AA203" i="1" s="1"/>
  <c r="P203" i="1"/>
  <c r="P201" i="1"/>
  <c r="D187" i="1"/>
  <c r="M187" i="1"/>
  <c r="K187" i="1"/>
  <c r="L187" i="1"/>
  <c r="X187" i="1" s="1"/>
  <c r="J187" i="1"/>
  <c r="R208" i="1" l="1"/>
  <c r="R216" i="1"/>
  <c r="Z216" i="1"/>
  <c r="AB216" i="1" s="1"/>
  <c r="R219" i="1"/>
  <c r="Z219" i="1"/>
  <c r="AB219" i="1" s="1"/>
  <c r="R203" i="1"/>
  <c r="Z203" i="1"/>
  <c r="AB203" i="1" s="1"/>
  <c r="R201" i="1"/>
  <c r="Z201" i="1"/>
  <c r="AB201" i="1" s="1"/>
  <c r="R162" i="1" l="1"/>
  <c r="R158" i="1"/>
  <c r="R155" i="1"/>
  <c r="R149" i="1"/>
  <c r="R134" i="1"/>
  <c r="R130" i="1"/>
  <c r="R101" i="1"/>
  <c r="R93" i="1"/>
  <c r="R88" i="1"/>
  <c r="R83" i="1"/>
  <c r="N68" i="1"/>
  <c r="Z68" i="1" s="1"/>
  <c r="AB61" i="1"/>
  <c r="N32" i="1"/>
  <c r="Z32" i="1" s="1"/>
  <c r="N28" i="1"/>
  <c r="Z28" i="1" s="1"/>
  <c r="U14" i="1"/>
  <c r="V14" i="1"/>
  <c r="W14" i="1"/>
  <c r="AA14" i="1"/>
  <c r="N20" i="1"/>
  <c r="Z20" i="1" s="1"/>
  <c r="N14" i="1"/>
  <c r="Z14" i="1" s="1"/>
  <c r="R21" i="1"/>
  <c r="R15" i="1"/>
  <c r="N8" i="1"/>
  <c r="Z8" i="1" s="1"/>
  <c r="AA8" i="1"/>
  <c r="AA9" i="1"/>
  <c r="AA15" i="1"/>
  <c r="AA20" i="1"/>
  <c r="AA21" i="1"/>
  <c r="AA28" i="1"/>
  <c r="AA29" i="1"/>
  <c r="AA32" i="1"/>
  <c r="AA33" i="1"/>
  <c r="AA60" i="1"/>
  <c r="AA61" i="1"/>
  <c r="AA62" i="1"/>
  <c r="AA63" i="1"/>
  <c r="AA68" i="1"/>
  <c r="AA69" i="1"/>
  <c r="AA83" i="1"/>
  <c r="AA88" i="1"/>
  <c r="AA93" i="1"/>
  <c r="AA101" i="1"/>
  <c r="AA103" i="1"/>
  <c r="AA110" i="1"/>
  <c r="AA116" i="1"/>
  <c r="AA119" i="1"/>
  <c r="AA121" i="1"/>
  <c r="AA130" i="1"/>
  <c r="AA149" i="1"/>
  <c r="AA155" i="1"/>
  <c r="AA158" i="1"/>
  <c r="AA162" i="1"/>
  <c r="Z9" i="1"/>
  <c r="AB9" i="1" s="1"/>
  <c r="Z15" i="1"/>
  <c r="AB15" i="1" s="1"/>
  <c r="Z21" i="1"/>
  <c r="AB21" i="1" s="1"/>
  <c r="Z29" i="1"/>
  <c r="Z33" i="1"/>
  <c r="Z60" i="1"/>
  <c r="Z61" i="1"/>
  <c r="Z62" i="1"/>
  <c r="Z63" i="1"/>
  <c r="Z69" i="1"/>
  <c r="Z83" i="1"/>
  <c r="AB83" i="1" s="1"/>
  <c r="Z88" i="1"/>
  <c r="AB88" i="1" s="1"/>
  <c r="Z93" i="1"/>
  <c r="AB93" i="1" s="1"/>
  <c r="Z101" i="1"/>
  <c r="AB101" i="1" s="1"/>
  <c r="Z103" i="1"/>
  <c r="AB103" i="1" s="1"/>
  <c r="Z110" i="1"/>
  <c r="AB110" i="1" s="1"/>
  <c r="Z116" i="1"/>
  <c r="AB116" i="1" s="1"/>
  <c r="Z119" i="1"/>
  <c r="AB119" i="1" s="1"/>
  <c r="Z121" i="1"/>
  <c r="AB121" i="1" s="1"/>
  <c r="Z130" i="1"/>
  <c r="AB130" i="1" s="1"/>
  <c r="AB134" i="1"/>
  <c r="Z149" i="1"/>
  <c r="AB149" i="1" s="1"/>
  <c r="Z155" i="1"/>
  <c r="AB155" i="1" s="1"/>
  <c r="Z158" i="1"/>
  <c r="AB158" i="1" s="1"/>
  <c r="Z162" i="1"/>
  <c r="AB162" i="1" s="1"/>
  <c r="T6" i="1"/>
  <c r="W5" i="1"/>
  <c r="T4" i="1"/>
  <c r="T3" i="1"/>
  <c r="W2" i="1"/>
  <c r="T2" i="1"/>
  <c r="U2" i="1"/>
  <c r="V2" i="1"/>
  <c r="U4" i="1"/>
  <c r="V4" i="1"/>
  <c r="W4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9" i="1"/>
  <c r="U29" i="1"/>
  <c r="V29" i="1"/>
  <c r="W29" i="1"/>
  <c r="T30" i="1"/>
  <c r="U30" i="1"/>
  <c r="V30" i="1"/>
  <c r="W30" i="1"/>
  <c r="T31" i="1"/>
  <c r="U31" i="1"/>
  <c r="V31" i="1"/>
  <c r="W31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1" i="1"/>
  <c r="U61" i="1"/>
  <c r="V61" i="1"/>
  <c r="W61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9" i="1"/>
  <c r="U69" i="1"/>
  <c r="V69" i="1"/>
  <c r="W69" i="1"/>
  <c r="T70" i="1"/>
  <c r="U70" i="1"/>
  <c r="V70" i="1"/>
  <c r="W70" i="1"/>
  <c r="T71" i="1"/>
  <c r="U71" i="1"/>
  <c r="V71" i="1"/>
  <c r="W71" i="1"/>
  <c r="T75" i="1"/>
  <c r="U75" i="1"/>
  <c r="V75" i="1"/>
  <c r="W75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4" i="1"/>
  <c r="U104" i="1"/>
  <c r="V104" i="1"/>
  <c r="W104" i="1"/>
  <c r="T105" i="1"/>
  <c r="U105" i="1"/>
  <c r="V105" i="1"/>
  <c r="W105" i="1"/>
  <c r="T108" i="1"/>
  <c r="U108" i="1"/>
  <c r="V108" i="1"/>
  <c r="W108" i="1"/>
  <c r="T109" i="1"/>
  <c r="U109" i="1"/>
  <c r="V109" i="1"/>
  <c r="W109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7" i="1"/>
  <c r="U117" i="1"/>
  <c r="V117" i="1"/>
  <c r="W117" i="1"/>
  <c r="T118" i="1"/>
  <c r="U118" i="1"/>
  <c r="V118" i="1"/>
  <c r="W118" i="1"/>
  <c r="T120" i="1"/>
  <c r="U120" i="1"/>
  <c r="V120" i="1"/>
  <c r="W120" i="1"/>
  <c r="T121" i="1"/>
  <c r="U121" i="1"/>
  <c r="V121" i="1"/>
  <c r="W121" i="1"/>
  <c r="W122" i="1"/>
  <c r="AA122" i="1" s="1"/>
  <c r="W123" i="1"/>
  <c r="AA123" i="1" s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205" i="1"/>
  <c r="U205" i="1"/>
  <c r="V205" i="1"/>
  <c r="W205" i="1"/>
  <c r="T206" i="1"/>
  <c r="U206" i="1"/>
  <c r="V206" i="1"/>
  <c r="W206" i="1"/>
  <c r="T210" i="1"/>
  <c r="U210" i="1"/>
  <c r="V210" i="1"/>
  <c r="W210" i="1"/>
  <c r="T211" i="1"/>
  <c r="U211" i="1"/>
  <c r="V211" i="1"/>
  <c r="W211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D151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Z78" i="1" l="1"/>
  <c r="AA75" i="1"/>
  <c r="Z75" i="1"/>
  <c r="AA246" i="1"/>
  <c r="AA242" i="1"/>
  <c r="AA159" i="1"/>
  <c r="AA156" i="1"/>
  <c r="AA153" i="1"/>
  <c r="AA248" i="1"/>
  <c r="AA245" i="1"/>
  <c r="AA166" i="1"/>
  <c r="AA135" i="1"/>
  <c r="Z246" i="1"/>
  <c r="Z135" i="1"/>
  <c r="AA136" i="1"/>
  <c r="Z136" i="1"/>
  <c r="AA150" i="1"/>
  <c r="AA147" i="1"/>
  <c r="AA127" i="1"/>
  <c r="AA118" i="1"/>
  <c r="AA114" i="1"/>
  <c r="AA111" i="1"/>
  <c r="Z248" i="1"/>
  <c r="Z245" i="1"/>
  <c r="Z247" i="1"/>
  <c r="Z242" i="1"/>
  <c r="Z250" i="1"/>
  <c r="Z249" i="1"/>
  <c r="AA249" i="1"/>
  <c r="AA250" i="1"/>
  <c r="AA247" i="1"/>
  <c r="Z198" i="1"/>
  <c r="Z194" i="1"/>
  <c r="AB194" i="1" s="1"/>
  <c r="Z191" i="1"/>
  <c r="Z186" i="1"/>
  <c r="Z231" i="1"/>
  <c r="Z159" i="1"/>
  <c r="AB159" i="1" s="1"/>
  <c r="AC159" i="1" s="1"/>
  <c r="Z166" i="1"/>
  <c r="Z156" i="1"/>
  <c r="AB156" i="1" s="1"/>
  <c r="AC156" i="1" s="1"/>
  <c r="Z36" i="1"/>
  <c r="AA37" i="1"/>
  <c r="Z37" i="1"/>
  <c r="AA36" i="1"/>
  <c r="AA198" i="1"/>
  <c r="Z211" i="1"/>
  <c r="Z153" i="1"/>
  <c r="Z150" i="1"/>
  <c r="Z147" i="1"/>
  <c r="AB147" i="1" s="1"/>
  <c r="AC147" i="1" s="1"/>
  <c r="Z133" i="1"/>
  <c r="AB133" i="1" s="1"/>
  <c r="AA197" i="1"/>
  <c r="AA17" i="1"/>
  <c r="AA211" i="1"/>
  <c r="AA210" i="1"/>
  <c r="Z210" i="1"/>
  <c r="AB210" i="1" s="1"/>
  <c r="AC210" i="1" s="1"/>
  <c r="Z205" i="1"/>
  <c r="Z58" i="1"/>
  <c r="Z55" i="1"/>
  <c r="Z25" i="1"/>
  <c r="Z22" i="1"/>
  <c r="Z127" i="1"/>
  <c r="Z118" i="1"/>
  <c r="AB118" i="1" s="1"/>
  <c r="Z114" i="1"/>
  <c r="Z111" i="1"/>
  <c r="Z106" i="1"/>
  <c r="AB106" i="1" s="1"/>
  <c r="Z96" i="1"/>
  <c r="Z90" i="1"/>
  <c r="Z87" i="1"/>
  <c r="AB87" i="1" s="1"/>
  <c r="Z84" i="1"/>
  <c r="Z81" i="1"/>
  <c r="AA196" i="1"/>
  <c r="AA25" i="1"/>
  <c r="AA22" i="1"/>
  <c r="Z19" i="1"/>
  <c r="AA4" i="1"/>
  <c r="AA30" i="1"/>
  <c r="AA26" i="1"/>
  <c r="AA23" i="1"/>
  <c r="AA96" i="1"/>
  <c r="AA90" i="1"/>
  <c r="AA87" i="1"/>
  <c r="AA84" i="1"/>
  <c r="AA81" i="1"/>
  <c r="AA78" i="1"/>
  <c r="AA54" i="1"/>
  <c r="AA31" i="1"/>
  <c r="AA27" i="1"/>
  <c r="AA18" i="1"/>
  <c r="AA161" i="1"/>
  <c r="AA152" i="1"/>
  <c r="AA59" i="1"/>
  <c r="Z152" i="1"/>
  <c r="Z16" i="1"/>
  <c r="AA56" i="1"/>
  <c r="AA58" i="1"/>
  <c r="AA55" i="1"/>
  <c r="AA19" i="1"/>
  <c r="AA16" i="1"/>
  <c r="AA12" i="1"/>
  <c r="AA157" i="1"/>
  <c r="AA154" i="1"/>
  <c r="AA151" i="1"/>
  <c r="AA148" i="1"/>
  <c r="AA131" i="1"/>
  <c r="AA128" i="1"/>
  <c r="AA120" i="1"/>
  <c r="AA112" i="1"/>
  <c r="AA108" i="1"/>
  <c r="AA97" i="1"/>
  <c r="AA94" i="1"/>
  <c r="AA91" i="1"/>
  <c r="AA85" i="1"/>
  <c r="AA82" i="1"/>
  <c r="AA79" i="1"/>
  <c r="AA66" i="1"/>
  <c r="AA65" i="1"/>
  <c r="Z35" i="1"/>
  <c r="Z24" i="1"/>
  <c r="Z18" i="1"/>
  <c r="AA11" i="1"/>
  <c r="AA57" i="1"/>
  <c r="AA24" i="1"/>
  <c r="AA129" i="1"/>
  <c r="AA126" i="1"/>
  <c r="AA117" i="1"/>
  <c r="AA113" i="1"/>
  <c r="AA109" i="1"/>
  <c r="AA98" i="1"/>
  <c r="AA95" i="1"/>
  <c r="AA92" i="1"/>
  <c r="AA89" i="1"/>
  <c r="AA86" i="1"/>
  <c r="AA80" i="1"/>
  <c r="AA67" i="1"/>
  <c r="AA64" i="1"/>
  <c r="AA13" i="1"/>
  <c r="AA10" i="1"/>
  <c r="AA7" i="1"/>
  <c r="AA2" i="1"/>
  <c r="Z13" i="1"/>
  <c r="Z7" i="1"/>
  <c r="Z6" i="1"/>
  <c r="AA133" i="1"/>
  <c r="AA132" i="1"/>
  <c r="Z232" i="1"/>
  <c r="Z206" i="1"/>
  <c r="Z192" i="1"/>
  <c r="Z189" i="1"/>
  <c r="Z184" i="1"/>
  <c r="Z163" i="1"/>
  <c r="Z157" i="1"/>
  <c r="AB157" i="1" s="1"/>
  <c r="Z154" i="1"/>
  <c r="AB154" i="1" s="1"/>
  <c r="Z151" i="1"/>
  <c r="Z148" i="1"/>
  <c r="AB148" i="1" s="1"/>
  <c r="Z131" i="1"/>
  <c r="Z128" i="1"/>
  <c r="Z120" i="1"/>
  <c r="Z112" i="1"/>
  <c r="Z104" i="1"/>
  <c r="AB104" i="1" s="1"/>
  <c r="AC104" i="1" s="1"/>
  <c r="Z97" i="1"/>
  <c r="Z94" i="1"/>
  <c r="Z91" i="1"/>
  <c r="Z85" i="1"/>
  <c r="Z82" i="1"/>
  <c r="AB82" i="1" s="1"/>
  <c r="Z79" i="1"/>
  <c r="Z66" i="1"/>
  <c r="Z65" i="1"/>
  <c r="Z233" i="1"/>
  <c r="AB233" i="1" s="1"/>
  <c r="Z190" i="1"/>
  <c r="Z64" i="1"/>
  <c r="Z185" i="1"/>
  <c r="Z164" i="1"/>
  <c r="Z161" i="1"/>
  <c r="AB161" i="1" s="1"/>
  <c r="Z105" i="1"/>
  <c r="Z67" i="1"/>
  <c r="Z4" i="1"/>
  <c r="Z59" i="1"/>
  <c r="Z56" i="1"/>
  <c r="Z34" i="1"/>
  <c r="Z30" i="1"/>
  <c r="Z26" i="1"/>
  <c r="Z23" i="1"/>
  <c r="Z17" i="1"/>
  <c r="Z11" i="1"/>
  <c r="Z2" i="1"/>
  <c r="Z132" i="1"/>
  <c r="Z129" i="1"/>
  <c r="AB129" i="1" s="1"/>
  <c r="Z126" i="1"/>
  <c r="Z117" i="1"/>
  <c r="Z113" i="1"/>
  <c r="Z109" i="1"/>
  <c r="AB109" i="1" s="1"/>
  <c r="Z98" i="1"/>
  <c r="Z95" i="1"/>
  <c r="Z92" i="1"/>
  <c r="AB92" i="1" s="1"/>
  <c r="Z89" i="1"/>
  <c r="Z80" i="1"/>
  <c r="Z57" i="1"/>
  <c r="Z54" i="1"/>
  <c r="Z31" i="1"/>
  <c r="Z27" i="1"/>
  <c r="Z10" i="1"/>
  <c r="Z12" i="1"/>
  <c r="V5" i="1"/>
  <c r="V3" i="1"/>
  <c r="Z3" i="1" s="1"/>
  <c r="U6" i="1"/>
  <c r="AA6" i="1" s="1"/>
  <c r="U3" i="1"/>
  <c r="W3" i="1"/>
  <c r="U5" i="1"/>
  <c r="AA5" i="1" s="1"/>
  <c r="T5" i="1"/>
  <c r="P153" i="1"/>
  <c r="P160" i="1"/>
  <c r="Q151" i="1"/>
  <c r="P154" i="1"/>
  <c r="R154" i="1" s="1"/>
  <c r="P157" i="1"/>
  <c r="R157" i="1" s="1"/>
  <c r="P151" i="1"/>
  <c r="P156" i="1"/>
  <c r="R156" i="1" s="1"/>
  <c r="S156" i="1" s="1"/>
  <c r="Q161" i="1"/>
  <c r="Q150" i="1"/>
  <c r="P150" i="1"/>
  <c r="R150" i="1" s="1"/>
  <c r="S150" i="1" s="1"/>
  <c r="P159" i="1"/>
  <c r="Q153" i="1"/>
  <c r="Q160" i="1"/>
  <c r="AA160" i="1" s="1"/>
  <c r="Q154" i="1"/>
  <c r="Q157" i="1"/>
  <c r="Q159" i="1"/>
  <c r="P161" i="1"/>
  <c r="R161" i="1" s="1"/>
  <c r="Q156" i="1"/>
  <c r="AB135" i="1" l="1"/>
  <c r="AC135" i="1" s="1"/>
  <c r="AB245" i="1"/>
  <c r="AB163" i="1"/>
  <c r="AC163" i="1" s="1"/>
  <c r="AB126" i="1"/>
  <c r="AC126" i="1" s="1"/>
  <c r="AB150" i="1"/>
  <c r="AC150" i="1" s="1"/>
  <c r="AB16" i="1"/>
  <c r="AB89" i="1"/>
  <c r="AC89" i="1" s="1"/>
  <c r="AB22" i="1"/>
  <c r="AB64" i="1"/>
  <c r="AB94" i="1"/>
  <c r="AC94" i="1" s="1"/>
  <c r="AB111" i="1"/>
  <c r="AB131" i="1"/>
  <c r="AC131" i="1" s="1"/>
  <c r="AB10" i="1"/>
  <c r="AB54" i="1"/>
  <c r="R159" i="1"/>
  <c r="S159" i="1" s="1"/>
  <c r="AA3" i="1"/>
  <c r="Z5" i="1"/>
  <c r="AB2" i="1" s="1"/>
  <c r="AC2" i="1" s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C24" i="2"/>
  <c r="C30" i="2"/>
  <c r="C37" i="2"/>
  <c r="C35" i="2"/>
  <c r="C27" i="2"/>
  <c r="C31" i="2"/>
  <c r="C36" i="2"/>
  <c r="C25" i="2"/>
  <c r="C26" i="2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C19" i="2"/>
  <c r="C22" i="2"/>
  <c r="C20" i="2"/>
  <c r="C21" i="2"/>
  <c r="C23" i="2"/>
  <c r="D19" i="1"/>
  <c r="E16" i="1"/>
  <c r="F17" i="1"/>
  <c r="G17" i="1"/>
  <c r="H17" i="1"/>
  <c r="I17" i="1"/>
  <c r="J17" i="1"/>
  <c r="K17" i="1"/>
  <c r="H18" i="1"/>
  <c r="I18" i="1"/>
  <c r="J18" i="1"/>
  <c r="K18" i="1"/>
  <c r="L18" i="1"/>
  <c r="M18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C15" i="1"/>
  <c r="P85" i="1" l="1"/>
  <c r="Q85" i="1"/>
  <c r="Q81" i="1"/>
  <c r="Q91" i="1"/>
  <c r="Q84" i="1"/>
  <c r="P91" i="1"/>
  <c r="P84" i="1"/>
  <c r="P131" i="1"/>
  <c r="Q90" i="1"/>
  <c r="Q82" i="1"/>
  <c r="P78" i="1"/>
  <c r="P90" i="1"/>
  <c r="P82" i="1"/>
  <c r="R82" i="1" s="1"/>
  <c r="Q79" i="1"/>
  <c r="Q89" i="1"/>
  <c r="P89" i="1"/>
  <c r="Q87" i="1"/>
  <c r="P87" i="1"/>
  <c r="R87" i="1" s="1"/>
  <c r="Q86" i="1"/>
  <c r="P86" i="1"/>
  <c r="Z86" i="1" s="1"/>
  <c r="Q92" i="1"/>
  <c r="P92" i="1"/>
  <c r="R92" i="1" s="1"/>
  <c r="P81" i="1"/>
  <c r="P79" i="1"/>
  <c r="Q80" i="1"/>
  <c r="Q78" i="1"/>
  <c r="P80" i="1"/>
  <c r="Q132" i="1"/>
  <c r="Q133" i="1"/>
  <c r="Q129" i="1"/>
  <c r="P132" i="1"/>
  <c r="Q131" i="1"/>
  <c r="P133" i="1"/>
  <c r="R133" i="1" s="1"/>
  <c r="P129" i="1"/>
  <c r="R129" i="1" s="1"/>
  <c r="I19" i="1"/>
  <c r="G18" i="1"/>
  <c r="E17" i="1"/>
  <c r="D17" i="1"/>
  <c r="G19" i="1"/>
  <c r="F19" i="1"/>
  <c r="D18" i="1"/>
  <c r="H19" i="1"/>
  <c r="F18" i="1"/>
  <c r="E18" i="1"/>
  <c r="E19" i="1"/>
  <c r="M17" i="1"/>
  <c r="Q17" i="1"/>
  <c r="L17" i="1"/>
  <c r="P17" i="1"/>
  <c r="M16" i="1"/>
  <c r="L16" i="1"/>
  <c r="I16" i="1"/>
  <c r="G16" i="1"/>
  <c r="D16" i="1"/>
  <c r="K16" i="1"/>
  <c r="J16" i="1"/>
  <c r="H16" i="1"/>
  <c r="F16" i="1"/>
  <c r="AB84" i="1" l="1"/>
  <c r="AC84" i="1" s="1"/>
  <c r="R131" i="1"/>
  <c r="S131" i="1" s="1"/>
  <c r="R84" i="1"/>
  <c r="S84" i="1" s="1"/>
  <c r="R89" i="1"/>
  <c r="S89" i="1" s="1"/>
  <c r="R78" i="1"/>
  <c r="S78" i="1" s="1"/>
  <c r="Q19" i="1"/>
  <c r="P18" i="1"/>
  <c r="P19" i="1"/>
  <c r="Q18" i="1"/>
  <c r="Q16" i="1"/>
  <c r="P16" i="1"/>
  <c r="R16" i="1" l="1"/>
  <c r="S16" i="1" s="1"/>
  <c r="C183" i="2"/>
  <c r="C182" i="2"/>
  <c r="C181" i="2"/>
  <c r="C177" i="2"/>
  <c r="C179" i="2"/>
  <c r="C180" i="2"/>
  <c r="C176" i="2"/>
  <c r="C178" i="2"/>
  <c r="Y121" i="1"/>
  <c r="Y119" i="1"/>
  <c r="Y115" i="1"/>
  <c r="AA115" i="1" s="1"/>
  <c r="Y116" i="1"/>
  <c r="R121" i="1"/>
  <c r="F121" i="1"/>
  <c r="G121" i="1"/>
  <c r="H121" i="1"/>
  <c r="I121" i="1"/>
  <c r="J121" i="1"/>
  <c r="K121" i="1"/>
  <c r="L121" i="1"/>
  <c r="M121" i="1"/>
  <c r="R119" i="1"/>
  <c r="C119" i="1"/>
  <c r="D118" i="1"/>
  <c r="E118" i="1"/>
  <c r="F118" i="1"/>
  <c r="G118" i="1"/>
  <c r="H118" i="1"/>
  <c r="I118" i="1"/>
  <c r="J118" i="1"/>
  <c r="K118" i="1"/>
  <c r="L118" i="1"/>
  <c r="M118" i="1"/>
  <c r="F119" i="1"/>
  <c r="G119" i="1"/>
  <c r="H119" i="1"/>
  <c r="I119" i="1"/>
  <c r="J119" i="1"/>
  <c r="K119" i="1"/>
  <c r="L119" i="1"/>
  <c r="M119" i="1"/>
  <c r="R116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F116" i="1"/>
  <c r="G116" i="1"/>
  <c r="H116" i="1"/>
  <c r="I116" i="1"/>
  <c r="J116" i="1"/>
  <c r="K116" i="1"/>
  <c r="L116" i="1"/>
  <c r="M116" i="1"/>
  <c r="C116" i="1"/>
  <c r="R110" i="1"/>
  <c r="D109" i="1"/>
  <c r="E109" i="1"/>
  <c r="F109" i="1"/>
  <c r="G109" i="1"/>
  <c r="H109" i="1"/>
  <c r="I109" i="1"/>
  <c r="J109" i="1"/>
  <c r="K109" i="1"/>
  <c r="L109" i="1"/>
  <c r="M109" i="1"/>
  <c r="F110" i="1"/>
  <c r="G110" i="1"/>
  <c r="H110" i="1"/>
  <c r="I110" i="1"/>
  <c r="J110" i="1"/>
  <c r="K110" i="1"/>
  <c r="L110" i="1"/>
  <c r="M110" i="1"/>
  <c r="C110" i="1"/>
  <c r="C18" i="2"/>
  <c r="C15" i="2"/>
  <c r="C12" i="2"/>
  <c r="C14" i="2"/>
  <c r="C17" i="2"/>
  <c r="C13" i="2"/>
  <c r="C16" i="2"/>
  <c r="T119" i="1" l="1"/>
  <c r="W119" i="1"/>
  <c r="U119" i="1"/>
  <c r="V119" i="1"/>
  <c r="T110" i="1"/>
  <c r="V110" i="1"/>
  <c r="U110" i="1"/>
  <c r="W110" i="1"/>
  <c r="Z115" i="1"/>
  <c r="AB115" i="1" s="1"/>
  <c r="T116" i="1"/>
  <c r="W116" i="1"/>
  <c r="U116" i="1"/>
  <c r="V116" i="1"/>
  <c r="Q115" i="1"/>
  <c r="Q109" i="1"/>
  <c r="P114" i="1"/>
  <c r="P115" i="1"/>
  <c r="P109" i="1"/>
  <c r="R109" i="1" s="1"/>
  <c r="Q118" i="1"/>
  <c r="Q114" i="1"/>
  <c r="P118" i="1"/>
  <c r="R118" i="1" s="1"/>
  <c r="R115" i="1" l="1"/>
  <c r="F103" i="1" l="1"/>
  <c r="G103" i="1"/>
  <c r="H103" i="1"/>
  <c r="I103" i="1"/>
  <c r="J103" i="1"/>
  <c r="K103" i="1"/>
  <c r="L103" i="1"/>
  <c r="M103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H217" i="2"/>
  <c r="H218" i="2" s="1"/>
  <c r="H219" i="2" s="1"/>
  <c r="H220" i="2" s="1"/>
  <c r="H221" i="2" s="1"/>
  <c r="H222" i="2" s="1"/>
  <c r="H223" i="2" s="1"/>
  <c r="H224" i="2" s="1"/>
  <c r="H225" i="2" s="1"/>
  <c r="H226" i="2" s="1"/>
  <c r="C221" i="2"/>
  <c r="C220" i="2"/>
  <c r="C219" i="2"/>
  <c r="C218" i="2"/>
  <c r="C217" i="2"/>
  <c r="AB69" i="1"/>
  <c r="Y69" i="1"/>
  <c r="R69" i="1"/>
  <c r="C216" i="2"/>
  <c r="C215" i="2"/>
  <c r="C214" i="2"/>
  <c r="C213" i="2"/>
  <c r="AB63" i="1"/>
  <c r="AC54" i="1" s="1"/>
  <c r="R61" i="1"/>
  <c r="C45" i="2"/>
  <c r="C44" i="2"/>
  <c r="C43" i="2"/>
  <c r="C42" i="2"/>
  <c r="C41" i="2"/>
  <c r="C40" i="2"/>
  <c r="AB33" i="1"/>
  <c r="R33" i="1"/>
  <c r="AB29" i="1"/>
  <c r="R29" i="1"/>
  <c r="R9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11" i="1"/>
  <c r="E11" i="1"/>
  <c r="F11" i="1"/>
  <c r="G11" i="1"/>
  <c r="H11" i="1"/>
  <c r="I11" i="1"/>
  <c r="J11" i="1"/>
  <c r="K11" i="1"/>
  <c r="L11" i="1"/>
  <c r="M11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104" i="1"/>
  <c r="E104" i="1"/>
  <c r="F104" i="1"/>
  <c r="G104" i="1"/>
  <c r="H104" i="1"/>
  <c r="I104" i="1"/>
  <c r="J104" i="1"/>
  <c r="P104" i="1" s="1"/>
  <c r="R104" i="1" s="1"/>
  <c r="S104" i="1" s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8" i="1"/>
  <c r="E108" i="1"/>
  <c r="F108" i="1"/>
  <c r="G108" i="1"/>
  <c r="H108" i="1"/>
  <c r="I108" i="1"/>
  <c r="J108" i="1"/>
  <c r="K108" i="1"/>
  <c r="L108" i="1"/>
  <c r="M108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7" i="1"/>
  <c r="E117" i="1"/>
  <c r="F117" i="1"/>
  <c r="G117" i="1"/>
  <c r="H117" i="1"/>
  <c r="I117" i="1"/>
  <c r="J117" i="1"/>
  <c r="K117" i="1"/>
  <c r="L117" i="1"/>
  <c r="M117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22" i="1"/>
  <c r="E222" i="1"/>
  <c r="F222" i="1"/>
  <c r="G222" i="1"/>
  <c r="H222" i="1"/>
  <c r="I222" i="1"/>
  <c r="J222" i="1"/>
  <c r="K222" i="1"/>
  <c r="L222" i="1"/>
  <c r="M222" i="1"/>
  <c r="D225" i="1"/>
  <c r="E225" i="1"/>
  <c r="F225" i="1"/>
  <c r="G225" i="1"/>
  <c r="H225" i="1"/>
  <c r="I225" i="1"/>
  <c r="J225" i="1"/>
  <c r="K225" i="1"/>
  <c r="L225" i="1"/>
  <c r="M225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E2" i="1"/>
  <c r="D2" i="1"/>
  <c r="M2" i="1"/>
  <c r="L2" i="1"/>
  <c r="K2" i="1"/>
  <c r="J2" i="1"/>
  <c r="I2" i="1"/>
  <c r="H2" i="1"/>
  <c r="G2" i="1"/>
  <c r="F2" i="1"/>
  <c r="Q104" i="1" l="1"/>
  <c r="Q105" i="1"/>
  <c r="P105" i="1"/>
  <c r="Q194" i="1"/>
  <c r="Q38" i="1"/>
  <c r="AA38" i="1" s="1"/>
  <c r="Q137" i="1"/>
  <c r="P137" i="1"/>
  <c r="Q144" i="1"/>
  <c r="P233" i="1"/>
  <c r="R233" i="1" s="1"/>
  <c r="P144" i="1"/>
  <c r="Q233" i="1"/>
  <c r="P145" i="1"/>
  <c r="R145" i="1" s="1"/>
  <c r="Q145" i="1"/>
  <c r="Q37" i="1"/>
  <c r="P38" i="1"/>
  <c r="R38" i="1" s="1"/>
  <c r="P37" i="1"/>
  <c r="P193" i="1"/>
  <c r="AA193" i="1" s="1"/>
  <c r="Q167" i="1"/>
  <c r="P167" i="1"/>
  <c r="Q193" i="1"/>
  <c r="Z193" i="1" s="1"/>
  <c r="P212" i="1"/>
  <c r="Q212" i="1"/>
  <c r="AA212" i="1" s="1"/>
  <c r="P194" i="1"/>
  <c r="R194" i="1" s="1"/>
  <c r="Q135" i="1"/>
  <c r="T28" i="1"/>
  <c r="U28" i="1"/>
  <c r="V28" i="1"/>
  <c r="W28" i="1"/>
  <c r="P136" i="1"/>
  <c r="T100" i="1"/>
  <c r="V100" i="1"/>
  <c r="W100" i="1"/>
  <c r="U100" i="1"/>
  <c r="T103" i="1"/>
  <c r="V103" i="1"/>
  <c r="U103" i="1"/>
  <c r="W103" i="1"/>
  <c r="T102" i="1"/>
  <c r="U102" i="1"/>
  <c r="W102" i="1"/>
  <c r="V102" i="1"/>
  <c r="T101" i="1"/>
  <c r="U101" i="1"/>
  <c r="V101" i="1"/>
  <c r="W101" i="1"/>
  <c r="T68" i="1"/>
  <c r="U68" i="1"/>
  <c r="V68" i="1"/>
  <c r="W68" i="1"/>
  <c r="T62" i="1"/>
  <c r="U62" i="1"/>
  <c r="V62" i="1"/>
  <c r="W62" i="1"/>
  <c r="W60" i="1"/>
  <c r="T60" i="1"/>
  <c r="U60" i="1"/>
  <c r="V60" i="1"/>
  <c r="W32" i="1"/>
  <c r="T32" i="1"/>
  <c r="U32" i="1"/>
  <c r="V32" i="1"/>
  <c r="Q136" i="1"/>
  <c r="P135" i="1"/>
  <c r="P111" i="1"/>
  <c r="Q111" i="1"/>
  <c r="P128" i="1"/>
  <c r="Q128" i="1"/>
  <c r="P112" i="1"/>
  <c r="Q112" i="1"/>
  <c r="P113" i="1"/>
  <c r="Q117" i="1"/>
  <c r="P117" i="1"/>
  <c r="R117" i="1" s="1"/>
  <c r="S117" i="1" s="1"/>
  <c r="Q113" i="1"/>
  <c r="Q120" i="1"/>
  <c r="P120" i="1"/>
  <c r="R120" i="1" s="1"/>
  <c r="S120" i="1" s="1"/>
  <c r="Q108" i="1"/>
  <c r="P108" i="1"/>
  <c r="Q102" i="1"/>
  <c r="Q98" i="1"/>
  <c r="P102" i="1"/>
  <c r="R102" i="1" s="1"/>
  <c r="Q100" i="1"/>
  <c r="AB120" i="1"/>
  <c r="Z100" i="1" l="1"/>
  <c r="AB100" i="1" s="1"/>
  <c r="Z38" i="1"/>
  <c r="AB38" i="1" s="1"/>
  <c r="R135" i="1"/>
  <c r="S135" i="1" s="1"/>
  <c r="AA102" i="1"/>
  <c r="Z102" i="1"/>
  <c r="AB102" i="1" s="1"/>
  <c r="R212" i="1"/>
  <c r="Z212" i="1"/>
  <c r="AB212" i="1" s="1"/>
  <c r="AA100" i="1"/>
  <c r="R108" i="1"/>
  <c r="S108" i="1" s="1"/>
  <c r="Z108" i="1"/>
  <c r="AB108" i="1" s="1"/>
  <c r="AC108" i="1" s="1"/>
  <c r="AB78" i="1"/>
  <c r="AC78" i="1" s="1"/>
  <c r="R111" i="1"/>
  <c r="S111" i="1" s="1"/>
  <c r="AC120" i="1"/>
  <c r="AB117" i="1"/>
  <c r="AC117" i="1" s="1"/>
  <c r="AC111" i="1"/>
  <c r="AC22" i="1"/>
  <c r="AC64" i="1"/>
  <c r="C59" i="2"/>
  <c r="C58" i="2"/>
  <c r="C57" i="2"/>
  <c r="C56" i="2"/>
  <c r="C55" i="2"/>
  <c r="C54" i="2"/>
  <c r="C53" i="2"/>
  <c r="C52" i="2"/>
  <c r="Q3" i="1"/>
  <c r="Q4" i="1"/>
  <c r="Q5" i="1"/>
  <c r="Q6" i="1"/>
  <c r="Q7" i="1"/>
  <c r="Q11" i="1"/>
  <c r="Q22" i="1"/>
  <c r="Q23" i="1"/>
  <c r="Q24" i="1"/>
  <c r="Q25" i="1"/>
  <c r="Q26" i="1"/>
  <c r="Q34" i="1"/>
  <c r="AA34" i="1" s="1"/>
  <c r="AB34" i="1" s="1"/>
  <c r="Q35" i="1"/>
  <c r="AA35" i="1" s="1"/>
  <c r="Q36" i="1"/>
  <c r="Q54" i="1"/>
  <c r="Q55" i="1"/>
  <c r="Q56" i="1"/>
  <c r="Q57" i="1"/>
  <c r="Q58" i="1"/>
  <c r="Q59" i="1"/>
  <c r="Q64" i="1"/>
  <c r="Q65" i="1"/>
  <c r="Q66" i="1"/>
  <c r="Q67" i="1"/>
  <c r="Q74" i="1"/>
  <c r="Q75" i="1"/>
  <c r="AA104" i="1"/>
  <c r="AA105" i="1"/>
  <c r="AA106" i="1"/>
  <c r="Q2" i="1"/>
  <c r="P2" i="1"/>
  <c r="C189" i="2" l="1"/>
  <c r="C188" i="2"/>
  <c r="C187" i="2"/>
  <c r="C186" i="2"/>
  <c r="C185" i="2"/>
  <c r="C184" i="2"/>
  <c r="Q122" i="1"/>
  <c r="Q123" i="1"/>
  <c r="Q126" i="1"/>
  <c r="Q127" i="1"/>
  <c r="Q147" i="1"/>
  <c r="Q148" i="1"/>
  <c r="Q163" i="1"/>
  <c r="AA163" i="1" s="1"/>
  <c r="Q164" i="1"/>
  <c r="AA164" i="1" s="1"/>
  <c r="Q165" i="1"/>
  <c r="Q166" i="1"/>
  <c r="Q184" i="1"/>
  <c r="AA184" i="1" s="1"/>
  <c r="Q185" i="1"/>
  <c r="AA185" i="1" s="1"/>
  <c r="Q186" i="1"/>
  <c r="AA186" i="1" s="1"/>
  <c r="Q189" i="1"/>
  <c r="AA189" i="1" s="1"/>
  <c r="Q190" i="1"/>
  <c r="AA190" i="1" s="1"/>
  <c r="Q191" i="1"/>
  <c r="AA191" i="1" s="1"/>
  <c r="Q192" i="1"/>
  <c r="AA192" i="1" s="1"/>
  <c r="AA194" i="1"/>
  <c r="Q205" i="1"/>
  <c r="AA205" i="1" s="1"/>
  <c r="Q206" i="1"/>
  <c r="AA206" i="1" s="1"/>
  <c r="Q207" i="1"/>
  <c r="Q210" i="1"/>
  <c r="Q211" i="1"/>
  <c r="Q221" i="1"/>
  <c r="AA221" i="1" s="1"/>
  <c r="Q222" i="1"/>
  <c r="Q225" i="1"/>
  <c r="AA231" i="1"/>
  <c r="AB230" i="1" s="1"/>
  <c r="AA232" i="1"/>
  <c r="AA233" i="1"/>
  <c r="AA234" i="1"/>
  <c r="Q245" i="1"/>
  <c r="Q246" i="1"/>
  <c r="Q247" i="1"/>
  <c r="Q248" i="1"/>
  <c r="Q249" i="1"/>
  <c r="Q250" i="1"/>
  <c r="Q27" i="1"/>
  <c r="Q30" i="1"/>
  <c r="Q31" i="1"/>
  <c r="P3" i="1"/>
  <c r="P4" i="1"/>
  <c r="P5" i="1"/>
  <c r="P6" i="1"/>
  <c r="P7" i="1"/>
  <c r="P11" i="1"/>
  <c r="P22" i="1"/>
  <c r="P23" i="1"/>
  <c r="P24" i="1"/>
  <c r="P25" i="1"/>
  <c r="P26" i="1"/>
  <c r="P34" i="1"/>
  <c r="P35" i="1"/>
  <c r="P36" i="1"/>
  <c r="P54" i="1"/>
  <c r="P55" i="1"/>
  <c r="P56" i="1"/>
  <c r="P57" i="1"/>
  <c r="P58" i="1"/>
  <c r="P59" i="1"/>
  <c r="P64" i="1"/>
  <c r="P65" i="1"/>
  <c r="P66" i="1"/>
  <c r="P67" i="1"/>
  <c r="P74" i="1"/>
  <c r="R74" i="1" s="1"/>
  <c r="S74" i="1" s="1"/>
  <c r="P75" i="1"/>
  <c r="P100" i="1"/>
  <c r="R100" i="1" s="1"/>
  <c r="P122" i="1"/>
  <c r="R122" i="1" s="1"/>
  <c r="S122" i="1" s="1"/>
  <c r="P123" i="1"/>
  <c r="P126" i="1"/>
  <c r="P127" i="1"/>
  <c r="P147" i="1"/>
  <c r="R147" i="1" s="1"/>
  <c r="S147" i="1" s="1"/>
  <c r="P148" i="1"/>
  <c r="R148" i="1" s="1"/>
  <c r="P163" i="1"/>
  <c r="P164" i="1"/>
  <c r="P165" i="1"/>
  <c r="P166" i="1"/>
  <c r="P184" i="1"/>
  <c r="P185" i="1"/>
  <c r="P186" i="1"/>
  <c r="P189" i="1"/>
  <c r="P190" i="1"/>
  <c r="P191" i="1"/>
  <c r="P192" i="1"/>
  <c r="P205" i="1"/>
  <c r="P206" i="1"/>
  <c r="P207" i="1"/>
  <c r="P210" i="1"/>
  <c r="R210" i="1" s="1"/>
  <c r="S210" i="1" s="1"/>
  <c r="P211" i="1"/>
  <c r="P221" i="1"/>
  <c r="R221" i="1" s="1"/>
  <c r="S221" i="1" s="1"/>
  <c r="P222" i="1"/>
  <c r="P225" i="1"/>
  <c r="Z234" i="1"/>
  <c r="AB234" i="1" s="1"/>
  <c r="P245" i="1"/>
  <c r="P246" i="1"/>
  <c r="P247" i="1"/>
  <c r="P248" i="1"/>
  <c r="P249" i="1"/>
  <c r="P250" i="1"/>
  <c r="P27" i="1"/>
  <c r="P30" i="1"/>
  <c r="R30" i="1" s="1"/>
  <c r="P31" i="1"/>
  <c r="R225" i="1" l="1"/>
  <c r="S225" i="1" s="1"/>
  <c r="AC230" i="1"/>
  <c r="R245" i="1"/>
  <c r="S245" i="1" s="1"/>
  <c r="AC245" i="1"/>
  <c r="AC34" i="1"/>
  <c r="R34" i="1"/>
  <c r="S34" i="1" s="1"/>
  <c r="R163" i="1"/>
  <c r="S163" i="1" s="1"/>
  <c r="AB189" i="1"/>
  <c r="AC189" i="1" s="1"/>
  <c r="R205" i="1"/>
  <c r="S205" i="1" s="1"/>
  <c r="AB205" i="1"/>
  <c r="AC205" i="1" s="1"/>
  <c r="R189" i="1"/>
  <c r="S189" i="1" s="1"/>
  <c r="AB184" i="1"/>
  <c r="AC184" i="1" s="1"/>
  <c r="R184" i="1"/>
  <c r="S184" i="1" s="1"/>
  <c r="R2" i="1"/>
  <c r="S2" i="1" s="1"/>
  <c r="R64" i="1"/>
  <c r="S64" i="1" s="1"/>
  <c r="R54" i="1"/>
  <c r="S54" i="1" s="1"/>
  <c r="R126" i="1"/>
  <c r="S126" i="1" s="1"/>
  <c r="J10" i="1"/>
  <c r="K10" i="1"/>
  <c r="L10" i="1"/>
  <c r="M10" i="1"/>
  <c r="D10" i="1"/>
  <c r="E10" i="1"/>
  <c r="F10" i="1"/>
  <c r="G10" i="1"/>
  <c r="H10" i="1"/>
  <c r="I10" i="1"/>
  <c r="S30" i="1"/>
  <c r="AB30" i="1"/>
  <c r="AC30" i="1" s="1"/>
  <c r="R22" i="1"/>
  <c r="S22" i="1" s="1"/>
  <c r="K94" i="1"/>
  <c r="Q97" i="1"/>
  <c r="K95" i="1"/>
  <c r="K96" i="1"/>
  <c r="P97" i="1"/>
  <c r="F96" i="1"/>
  <c r="M96" i="1"/>
  <c r="E96" i="1"/>
  <c r="D96" i="1"/>
  <c r="I96" i="1"/>
  <c r="G96" i="1"/>
  <c r="L96" i="1"/>
  <c r="H96" i="1"/>
  <c r="D95" i="1"/>
  <c r="L95" i="1"/>
  <c r="I95" i="1"/>
  <c r="E95" i="1"/>
  <c r="M95" i="1"/>
  <c r="H95" i="1"/>
  <c r="G95" i="1"/>
  <c r="J95" i="1"/>
  <c r="J96" i="1"/>
  <c r="F95" i="1"/>
  <c r="M94" i="1"/>
  <c r="I94" i="1"/>
  <c r="G94" i="1"/>
  <c r="F94" i="1"/>
  <c r="L94" i="1"/>
  <c r="E94" i="1"/>
  <c r="H94" i="1"/>
  <c r="J94" i="1"/>
  <c r="D94" i="1"/>
  <c r="P95" i="1" l="1"/>
  <c r="P94" i="1"/>
  <c r="Q10" i="1"/>
  <c r="P10" i="1"/>
  <c r="Q96" i="1"/>
  <c r="Q94" i="1"/>
  <c r="P96" i="1"/>
  <c r="Q95" i="1"/>
  <c r="P98" i="1"/>
  <c r="R94" i="1" l="1"/>
  <c r="S94" i="1" s="1"/>
  <c r="K13" i="1"/>
  <c r="K12" i="1"/>
  <c r="H12" i="1"/>
  <c r="L12" i="1"/>
  <c r="E12" i="1"/>
  <c r="M12" i="1"/>
  <c r="G12" i="1"/>
  <c r="F12" i="1"/>
  <c r="D12" i="1"/>
  <c r="I12" i="1"/>
  <c r="M13" i="1"/>
  <c r="L13" i="1"/>
  <c r="I13" i="1"/>
  <c r="H13" i="1"/>
  <c r="G13" i="1"/>
  <c r="F13" i="1"/>
  <c r="E13" i="1"/>
  <c r="J13" i="1"/>
  <c r="J12" i="1"/>
  <c r="D13" i="1"/>
  <c r="P12" i="1" l="1"/>
  <c r="Q12" i="1"/>
  <c r="Q13" i="1"/>
  <c r="P13" i="1"/>
  <c r="AC16" i="1" l="1"/>
  <c r="R10" i="1"/>
  <c r="S10" i="1" s="1"/>
  <c r="AC10" i="1"/>
  <c r="K197" i="1"/>
  <c r="K200" i="1"/>
  <c r="K199" i="1"/>
  <c r="K196" i="1"/>
  <c r="K198" i="1"/>
  <c r="Q198" i="1" s="1"/>
  <c r="F197" i="1"/>
  <c r="E197" i="1"/>
  <c r="D197" i="1"/>
  <c r="I197" i="1"/>
  <c r="L197" i="1"/>
  <c r="H197" i="1"/>
  <c r="M197" i="1"/>
  <c r="G197" i="1"/>
  <c r="Z197" i="1"/>
  <c r="M196" i="1"/>
  <c r="D196" i="1"/>
  <c r="I196" i="1"/>
  <c r="L196" i="1"/>
  <c r="H196" i="1"/>
  <c r="G196" i="1"/>
  <c r="F196" i="1"/>
  <c r="E196" i="1"/>
  <c r="Z196" i="1"/>
  <c r="H198" i="1"/>
  <c r="G198" i="1"/>
  <c r="F198" i="1"/>
  <c r="D198" i="1"/>
  <c r="L198" i="1"/>
  <c r="E198" i="1"/>
  <c r="M198" i="1"/>
  <c r="I198" i="1"/>
  <c r="J198" i="1"/>
  <c r="P198" i="1" s="1"/>
  <c r="L200" i="1"/>
  <c r="H200" i="1"/>
  <c r="G200" i="1"/>
  <c r="D200" i="1"/>
  <c r="E200" i="1"/>
  <c r="I200" i="1"/>
  <c r="F200" i="1"/>
  <c r="M200" i="1"/>
  <c r="H199" i="1"/>
  <c r="E199" i="1"/>
  <c r="G199" i="1"/>
  <c r="M199" i="1"/>
  <c r="L199" i="1"/>
  <c r="I199" i="1"/>
  <c r="F199" i="1"/>
  <c r="J199" i="1"/>
  <c r="J196" i="1"/>
  <c r="J200" i="1"/>
  <c r="J197" i="1"/>
  <c r="D199" i="1"/>
  <c r="P199" i="1" l="1"/>
  <c r="P197" i="1"/>
  <c r="P196" i="1"/>
  <c r="AB196" i="1"/>
  <c r="AC196" i="1" s="1"/>
  <c r="P200" i="1"/>
  <c r="Q196" i="1"/>
  <c r="Q199" i="1"/>
  <c r="Q200" i="1"/>
  <c r="Q197" i="1"/>
  <c r="R196" i="1" l="1"/>
  <c r="S196" i="1" s="1"/>
  <c r="K235" i="1"/>
  <c r="K237" i="1"/>
  <c r="K236" i="1"/>
  <c r="H236" i="1"/>
  <c r="E236" i="1"/>
  <c r="F236" i="1"/>
  <c r="G236" i="1"/>
  <c r="D236" i="1"/>
  <c r="L236" i="1"/>
  <c r="M236" i="1"/>
  <c r="I236" i="1"/>
  <c r="Z236" i="1"/>
  <c r="F235" i="1"/>
  <c r="M235" i="1"/>
  <c r="L235" i="1"/>
  <c r="D235" i="1"/>
  <c r="I235" i="1"/>
  <c r="H235" i="1"/>
  <c r="E235" i="1"/>
  <c r="G235" i="1"/>
  <c r="J235" i="1"/>
  <c r="J236" i="1"/>
  <c r="Z235" i="1"/>
  <c r="I237" i="1"/>
  <c r="H237" i="1"/>
  <c r="G237" i="1"/>
  <c r="L237" i="1"/>
  <c r="E237" i="1"/>
  <c r="D237" i="1"/>
  <c r="F237" i="1"/>
  <c r="J237" i="1"/>
  <c r="P237" i="1" s="1"/>
  <c r="M237" i="1"/>
  <c r="P236" i="1" l="1"/>
  <c r="Q236" i="1"/>
  <c r="AA236" i="1" s="1"/>
  <c r="Q237" i="1"/>
  <c r="P235" i="1"/>
  <c r="Q235" i="1"/>
  <c r="AA235" i="1" s="1"/>
  <c r="AB235" i="1" s="1"/>
  <c r="AC235" i="1" s="1"/>
  <c r="R235" i="1" l="1"/>
  <c r="S235" i="1" s="1"/>
  <c r="K240" i="1"/>
  <c r="K242" i="1"/>
  <c r="K241" i="1"/>
  <c r="I242" i="1"/>
  <c r="F242" i="1"/>
  <c r="M242" i="1"/>
  <c r="E242" i="1"/>
  <c r="L242" i="1"/>
  <c r="H242" i="1"/>
  <c r="G242" i="1"/>
  <c r="D242" i="1"/>
  <c r="H241" i="1"/>
  <c r="G241" i="1"/>
  <c r="D241" i="1"/>
  <c r="L241" i="1"/>
  <c r="F241" i="1"/>
  <c r="E241" i="1"/>
  <c r="M241" i="1"/>
  <c r="I241" i="1"/>
  <c r="J241" i="1"/>
  <c r="P241" i="1" s="1"/>
  <c r="J242" i="1"/>
  <c r="P242" i="1" s="1"/>
  <c r="Z241" i="1"/>
  <c r="F240" i="1"/>
  <c r="E240" i="1"/>
  <c r="M240" i="1"/>
  <c r="D240" i="1"/>
  <c r="L240" i="1"/>
  <c r="I240" i="1"/>
  <c r="H240" i="1"/>
  <c r="G240" i="1"/>
  <c r="J240" i="1"/>
  <c r="Z240" i="1"/>
  <c r="P240" i="1" l="1"/>
  <c r="Q242" i="1"/>
  <c r="Q241" i="1"/>
  <c r="AA241" i="1" s="1"/>
  <c r="Q240" i="1"/>
  <c r="AA240" i="1" s="1"/>
  <c r="AB240" i="1" s="1"/>
  <c r="AC240" i="1" s="1"/>
  <c r="R240" i="1" l="1"/>
  <c r="S240" i="1" s="1"/>
  <c r="K71" i="1"/>
  <c r="K70" i="1"/>
  <c r="I70" i="1"/>
  <c r="F70" i="1"/>
  <c r="E70" i="1"/>
  <c r="H70" i="1"/>
  <c r="G70" i="1"/>
  <c r="D70" i="1"/>
  <c r="M70" i="1"/>
  <c r="L70" i="1"/>
  <c r="Z70" i="1"/>
  <c r="AB70" i="1" s="1"/>
  <c r="AC70" i="1" s="1"/>
  <c r="M71" i="1"/>
  <c r="L71" i="1"/>
  <c r="G71" i="1"/>
  <c r="E71" i="1"/>
  <c r="H71" i="1"/>
  <c r="D71" i="1"/>
  <c r="F71" i="1"/>
  <c r="I71" i="1"/>
  <c r="J71" i="1"/>
  <c r="P71" i="1" s="1"/>
  <c r="J70" i="1"/>
  <c r="Z71" i="1"/>
  <c r="P70" i="1" l="1"/>
  <c r="R70" i="1" s="1"/>
  <c r="S70" i="1" s="1"/>
  <c r="Q70" i="1"/>
  <c r="AA70" i="1" s="1"/>
  <c r="Q71" i="1"/>
  <c r="AA71" i="1" s="1"/>
</calcChain>
</file>

<file path=xl/sharedStrings.xml><?xml version="1.0" encoding="utf-8"?>
<sst xmlns="http://schemas.openxmlformats.org/spreadsheetml/2006/main" count="2082" uniqueCount="766">
  <si>
    <t>Locatie</t>
  </si>
  <si>
    <t>POD</t>
  </si>
  <si>
    <t>Serie contor</t>
  </si>
  <si>
    <t>Constanta</t>
  </si>
  <si>
    <t>Data inceput</t>
  </si>
  <si>
    <t>Data final</t>
  </si>
  <si>
    <t>EA+</t>
  </si>
  <si>
    <t>EA-</t>
  </si>
  <si>
    <t>ER+</t>
  </si>
  <si>
    <t>ER-</t>
  </si>
  <si>
    <t>HXE1030023301513</t>
  </si>
  <si>
    <t>HXE1030026595019</t>
  </si>
  <si>
    <t>HXE1030026595020</t>
  </si>
  <si>
    <t>HXE1030026595021</t>
  </si>
  <si>
    <t>HXE1030026595022</t>
  </si>
  <si>
    <t>HXE1030026595023</t>
  </si>
  <si>
    <t>HXE1030023298245</t>
  </si>
  <si>
    <t>HXE1030023298246</t>
  </si>
  <si>
    <t>HXE1030023298248</t>
  </si>
  <si>
    <t>HXE1030023298249</t>
  </si>
  <si>
    <t>HXE1030023298250</t>
  </si>
  <si>
    <t>HXE1030023298253</t>
  </si>
  <si>
    <t>HXE1030023298255</t>
  </si>
  <si>
    <t>HXE1030023298256</t>
  </si>
  <si>
    <t>HXE1030023301492</t>
  </si>
  <si>
    <t>HXE1030023301494</t>
  </si>
  <si>
    <t>HXE1030023301522</t>
  </si>
  <si>
    <t>HXE1030023301523</t>
  </si>
  <si>
    <t>HXE1030026595070</t>
  </si>
  <si>
    <t>HXE1030023298244</t>
  </si>
  <si>
    <t>HXE1030023298247</t>
  </si>
  <si>
    <t>HXE1030023298251</t>
  </si>
  <si>
    <t>HXE1030023298254</t>
  </si>
  <si>
    <t>HXE1030023298263</t>
  </si>
  <si>
    <t>HXE1030023298266</t>
  </si>
  <si>
    <t>HXE1030023298268</t>
  </si>
  <si>
    <t>HXE1030023301498</t>
  </si>
  <si>
    <t>HXE1030023301530</t>
  </si>
  <si>
    <t>HXE1030023301532</t>
  </si>
  <si>
    <t>Promenada Sibiu</t>
  </si>
  <si>
    <t>HXE1030023295924</t>
  </si>
  <si>
    <t>HXE1030023298269</t>
  </si>
  <si>
    <t>HXE1030023298275</t>
  </si>
  <si>
    <t>HXE1030023301448</t>
  </si>
  <si>
    <t>HXE1030023301473</t>
  </si>
  <si>
    <t>HXE1030023301489</t>
  </si>
  <si>
    <t>Targu Mures</t>
  </si>
  <si>
    <t>HXE1030023298265</t>
  </si>
  <si>
    <t>HXE1030023301457</t>
  </si>
  <si>
    <t>HXE1030023301527</t>
  </si>
  <si>
    <t>HXE1030023301528</t>
  </si>
  <si>
    <t>Sighisoara</t>
  </si>
  <si>
    <t>HXE1030023301488</t>
  </si>
  <si>
    <t>HXE1030023301497</t>
  </si>
  <si>
    <t>HXE1030023301465</t>
  </si>
  <si>
    <t>HXE1030026595029</t>
  </si>
  <si>
    <t>HXE1030026595064</t>
  </si>
  <si>
    <t>Alba</t>
  </si>
  <si>
    <t>HXE1030023298270</t>
  </si>
  <si>
    <t>HXE1030023298274</t>
  </si>
  <si>
    <t>HXE1030023301454</t>
  </si>
  <si>
    <t>HXE1030023301468</t>
  </si>
  <si>
    <t>HXE1030023301469</t>
  </si>
  <si>
    <t>HXE1030023301474</t>
  </si>
  <si>
    <t>HXE1030023301518</t>
  </si>
  <si>
    <t>HXE1030023301519</t>
  </si>
  <si>
    <t>HXE1030023301520</t>
  </si>
  <si>
    <t>HXE1030026595032</t>
  </si>
  <si>
    <t>HXE1030026595033</t>
  </si>
  <si>
    <t>HXE1030026595038</t>
  </si>
  <si>
    <t>HXE1030023298241</t>
  </si>
  <si>
    <t>HXE1030023298267</t>
  </si>
  <si>
    <t>HXE1030023301480</t>
  </si>
  <si>
    <t>HXE1030023301499</t>
  </si>
  <si>
    <t>HXE1030023301517</t>
  </si>
  <si>
    <t>HXE1030026595057</t>
  </si>
  <si>
    <t>HXE1030026595037</t>
  </si>
  <si>
    <t>HXE1030023299912</t>
  </si>
  <si>
    <t>HXE1030026595052</t>
  </si>
  <si>
    <t>HXE1030023301485</t>
  </si>
  <si>
    <t>HXE1030023298272</t>
  </si>
  <si>
    <t>HXE1030023301450</t>
  </si>
  <si>
    <t>HXE1030023301452</t>
  </si>
  <si>
    <t>HXE1030023301458</t>
  </si>
  <si>
    <t>HXE1030023301470</t>
  </si>
  <si>
    <t>HXE1030023298271</t>
  </si>
  <si>
    <t>HXE1030023301471</t>
  </si>
  <si>
    <t>HXE1030026595031</t>
  </si>
  <si>
    <t>HXE1030026595043</t>
  </si>
  <si>
    <t>HXE1030026595047</t>
  </si>
  <si>
    <t>HXE1030026595062</t>
  </si>
  <si>
    <t>HXE1030026595068</t>
  </si>
  <si>
    <t>HXE1030023301491</t>
  </si>
  <si>
    <t>HXE1030023301501</t>
  </si>
  <si>
    <t>HXE1030023301504</t>
  </si>
  <si>
    <t>HXE1030023301507</t>
  </si>
  <si>
    <t>HXE1030023301525</t>
  </si>
  <si>
    <t>HXE1030026595045</t>
  </si>
  <si>
    <t>HXE1030026595053</t>
  </si>
  <si>
    <t>Galati Shopping City</t>
  </si>
  <si>
    <t>HXE1030023299908</t>
  </si>
  <si>
    <t>HXE1030023301449</t>
  </si>
  <si>
    <t>HXE1030023301455</t>
  </si>
  <si>
    <t>HXE1030023301459</t>
  </si>
  <si>
    <t>HXE1030023301460</t>
  </si>
  <si>
    <t>HXE1030023301481</t>
  </si>
  <si>
    <t>HXE1030023301490</t>
  </si>
  <si>
    <t>HXE1030023301516</t>
  </si>
  <si>
    <t>HXE1030026595025</t>
  </si>
  <si>
    <t>HXE1030026595027</t>
  </si>
  <si>
    <t>Iris Mall</t>
  </si>
  <si>
    <t>HXE1030023298236</t>
  </si>
  <si>
    <t>HXE1030023298252</t>
  </si>
  <si>
    <t>HXE1030023298264</t>
  </si>
  <si>
    <t>HXE1030023301503</t>
  </si>
  <si>
    <t>HXE1030023301506</t>
  </si>
  <si>
    <t>HXE1030023301508</t>
  </si>
  <si>
    <t>HXE1030026595024</t>
  </si>
  <si>
    <t>HXE1030026595034</t>
  </si>
  <si>
    <t>HXE1030026595044</t>
  </si>
  <si>
    <t>HXE1030026595049</t>
  </si>
  <si>
    <t>HXE1030026595069</t>
  </si>
  <si>
    <t>Mega Mall</t>
  </si>
  <si>
    <t>HXE1030023295925</t>
  </si>
  <si>
    <t>HXE1030023298239</t>
  </si>
  <si>
    <t>HXE1030023298240</t>
  </si>
  <si>
    <t>HXE1030023298257</t>
  </si>
  <si>
    <t>HXE1030023298258</t>
  </si>
  <si>
    <t>HXE1030023298259</t>
  </si>
  <si>
    <t>HXE1030023298260</t>
  </si>
  <si>
    <t>HXE1030023298261</t>
  </si>
  <si>
    <t>HXE1030023298262</t>
  </si>
  <si>
    <t>HXE1030023299913</t>
  </si>
  <si>
    <t>HXE1030023299914</t>
  </si>
  <si>
    <t>HXE1030023299915</t>
  </si>
  <si>
    <t>HXE1030023299916</t>
  </si>
  <si>
    <t>HXE1030023299917</t>
  </si>
  <si>
    <t>HXE1030023299918</t>
  </si>
  <si>
    <t>HXE1030026595041</t>
  </si>
  <si>
    <t>HXE1030026595058</t>
  </si>
  <si>
    <t>HXE1030026595059</t>
  </si>
  <si>
    <t>HXE1030023298276</t>
  </si>
  <si>
    <t>HXE1030023301463</t>
  </si>
  <si>
    <t>HXE1030023301464</t>
  </si>
  <si>
    <t>Promenada Bucuresti</t>
  </si>
  <si>
    <t>HXE1030023301524</t>
  </si>
  <si>
    <t>HXE1030023301531</t>
  </si>
  <si>
    <t>HXE1030026595055</t>
  </si>
  <si>
    <t>HXE1030026595065</t>
  </si>
  <si>
    <t>HXE1030026595066</t>
  </si>
  <si>
    <t>HXE1030026595067</t>
  </si>
  <si>
    <t>HXE1030023295929</t>
  </si>
  <si>
    <t>HXE1030023298242</t>
  </si>
  <si>
    <t>HXE1030023301477</t>
  </si>
  <si>
    <t>HXE1030023301509</t>
  </si>
  <si>
    <t>HXE1030023301514</t>
  </si>
  <si>
    <t>HXE1030023298235</t>
  </si>
  <si>
    <t>HXE1030023301451</t>
  </si>
  <si>
    <t>HXE1030023298243</t>
  </si>
  <si>
    <t>HXE1030023298277</t>
  </si>
  <si>
    <t>HXE1030023301461</t>
  </si>
  <si>
    <t>HXE1030023301466</t>
  </si>
  <si>
    <t>HXE1030023301495</t>
  </si>
  <si>
    <t>HXE1030023301496</t>
  </si>
  <si>
    <t>HXE1030023301453</t>
  </si>
  <si>
    <t>HXE1030026595063</t>
  </si>
  <si>
    <t>Shopping City Buzau</t>
  </si>
  <si>
    <t>HXE1030023298238</t>
  </si>
  <si>
    <t>HXE1030023299911</t>
  </si>
  <si>
    <t>HXE1030023301475</t>
  </si>
  <si>
    <t>HXE1030023301476</t>
  </si>
  <si>
    <t>HXE1030023301511</t>
  </si>
  <si>
    <t>HXE1030023301512</t>
  </si>
  <si>
    <t>HXE1030026595030</t>
  </si>
  <si>
    <t>HXE1030026595046</t>
  </si>
  <si>
    <t>HXE1030023301500</t>
  </si>
  <si>
    <t>HXE1030026595061</t>
  </si>
  <si>
    <t>HXE1030026595071</t>
  </si>
  <si>
    <t>HXE1030023298237</t>
  </si>
  <si>
    <t>HXE1030023301447</t>
  </si>
  <si>
    <t>HXE1030023301510</t>
  </si>
  <si>
    <t>Vulcan Value Center</t>
  </si>
  <si>
    <t>HXE1030023301479</t>
  </si>
  <si>
    <t>HXE1030023301482</t>
  </si>
  <si>
    <t>HXE1030023301483</t>
  </si>
  <si>
    <t>HXE1030023301484</t>
  </si>
  <si>
    <t>HXE1030023301515</t>
  </si>
  <si>
    <t>HXE1030023301529</t>
  </si>
  <si>
    <t>HXE1030026595039</t>
  </si>
  <si>
    <t>HXE1030023298278</t>
  </si>
  <si>
    <t>HXE1030023301505</t>
  </si>
  <si>
    <t>HXE1030023301521</t>
  </si>
  <si>
    <t>ID</t>
  </si>
  <si>
    <t>POD SDI</t>
  </si>
  <si>
    <t>594020400001705610/1</t>
  </si>
  <si>
    <t>594020400001705610/1.PV</t>
  </si>
  <si>
    <t>RN10_Alba_1/PV</t>
  </si>
  <si>
    <t>RN10_Alba_1</t>
  </si>
  <si>
    <t>59401060000191744771568947/1</t>
  </si>
  <si>
    <t>59401060000191744771568947/1.PV</t>
  </si>
  <si>
    <t>RN10_Alexandria_1/PV</t>
  </si>
  <si>
    <t>RN10_Alexandria_1</t>
  </si>
  <si>
    <t>594030200001495040/1</t>
  </si>
  <si>
    <t>594030200001494937/1</t>
  </si>
  <si>
    <t>594030200001494937/2</t>
  </si>
  <si>
    <t>594030200001243351/1</t>
  </si>
  <si>
    <t>594030200001494937/1.PV</t>
  </si>
  <si>
    <t>594030200001494937/2.PV</t>
  </si>
  <si>
    <t>594030200001495088</t>
  </si>
  <si>
    <t>RBPM_3.1</t>
  </si>
  <si>
    <t>RBPM_2.2</t>
  </si>
  <si>
    <t>RBPM_2.1</t>
  </si>
  <si>
    <t>RBPM_1.1</t>
  </si>
  <si>
    <t>RBPM_2.2/PV</t>
  </si>
  <si>
    <t>RBPM_2.1/PV</t>
  </si>
  <si>
    <t>RRVS_1.1</t>
  </si>
  <si>
    <t>59401070000220953171619201/1</t>
  </si>
  <si>
    <t>RRVS_1.2</t>
  </si>
  <si>
    <t>59401070000220953171619201/2</t>
  </si>
  <si>
    <t>RRVS_1.3</t>
  </si>
  <si>
    <t>59401070000220953171619201/3</t>
  </si>
  <si>
    <t>RRVS_1.4</t>
  </si>
  <si>
    <t>59401070000220953171619201/4</t>
  </si>
  <si>
    <t>RPSC_1.1</t>
  </si>
  <si>
    <t>594030100003367652/1</t>
  </si>
  <si>
    <t>RPSC_1.2</t>
  </si>
  <si>
    <t>594030100003367652/2</t>
  </si>
  <si>
    <t>RPSC_1.3</t>
  </si>
  <si>
    <t>594030100003367652/3</t>
  </si>
  <si>
    <t>RSCP_1.1</t>
  </si>
  <si>
    <t>EMO3621722/1</t>
  </si>
  <si>
    <t>RSCP_1.2</t>
  </si>
  <si>
    <t>EMO3621722/2</t>
  </si>
  <si>
    <t>RSMS_1.1</t>
  </si>
  <si>
    <t>594040400001839968/1</t>
  </si>
  <si>
    <t>RSMS_1.2</t>
  </si>
  <si>
    <t>594040400001839968/2</t>
  </si>
  <si>
    <t>RDSC_1.1</t>
  </si>
  <si>
    <t>RO005E532240390/1</t>
  </si>
  <si>
    <t>RDSC_1.2</t>
  </si>
  <si>
    <t>RO005E532240390/2</t>
  </si>
  <si>
    <t>RDSC_2.1</t>
  </si>
  <si>
    <t>RO005E532371182/1</t>
  </si>
  <si>
    <t>RDSC_2.2</t>
  </si>
  <si>
    <t>RO005E532371182/2</t>
  </si>
  <si>
    <t>RDSC_3.1</t>
  </si>
  <si>
    <t>RO005E532220590/1</t>
  </si>
  <si>
    <t>RDSC_3.2</t>
  </si>
  <si>
    <t>RO005E532220590/2</t>
  </si>
  <si>
    <t>RGSC_1.1</t>
  </si>
  <si>
    <t>594030500002463001/2</t>
  </si>
  <si>
    <t>RGSC_1.2</t>
  </si>
  <si>
    <t>594030500002463001/3</t>
  </si>
  <si>
    <t>RGSC_2.1</t>
  </si>
  <si>
    <t>594030500002463001/1</t>
  </si>
  <si>
    <t>RGSC_2.2</t>
  </si>
  <si>
    <t>594030500002463001/4</t>
  </si>
  <si>
    <t>RTIM_1.1</t>
  </si>
  <si>
    <t>RO005E513396506/1</t>
  </si>
  <si>
    <t>RTIM_1.2</t>
  </si>
  <si>
    <t>RO005E513396506/2</t>
  </si>
  <si>
    <t>RTIM_1.3</t>
  </si>
  <si>
    <t>RO005E513396506/3</t>
  </si>
  <si>
    <t>RTIM_1.4</t>
  </si>
  <si>
    <t>RO005E513396506/4</t>
  </si>
  <si>
    <t>RTIM_1.5</t>
  </si>
  <si>
    <t>RO005E513396506/5</t>
  </si>
  <si>
    <t>RTIM_2.1</t>
  </si>
  <si>
    <t>RO005E513431450/1</t>
  </si>
  <si>
    <t>RTIM_2.2</t>
  </si>
  <si>
    <t>RO005E513431450/2</t>
  </si>
  <si>
    <t>RTIM_2.3</t>
  </si>
  <si>
    <t>RO005E513431450/3</t>
  </si>
  <si>
    <t>RTIM_2.4</t>
  </si>
  <si>
    <t>RO005E513431450/4</t>
  </si>
  <si>
    <t>RTIM_2.5</t>
  </si>
  <si>
    <t>RO005E513431450/5</t>
  </si>
  <si>
    <t>RTJD_1.1</t>
  </si>
  <si>
    <t>59401030000224144171589916/1</t>
  </si>
  <si>
    <t>RTJD_1.2</t>
  </si>
  <si>
    <t>59401030000224144171589916/2</t>
  </si>
  <si>
    <t>RVUL_1.1</t>
  </si>
  <si>
    <t>RO001E110054223/1</t>
  </si>
  <si>
    <t>RVUL_1.2</t>
  </si>
  <si>
    <t>RO001E110054223/2</t>
  </si>
  <si>
    <t>RVUL_1.3</t>
  </si>
  <si>
    <t>RO001E110054223/3</t>
  </si>
  <si>
    <t>RFSC_1.1</t>
  </si>
  <si>
    <t>594020200002317122/1</t>
  </si>
  <si>
    <t>RFSC_1.2</t>
  </si>
  <si>
    <t>594020200002317122/2</t>
  </si>
  <si>
    <t>RFSC_1.3</t>
  </si>
  <si>
    <t>594020200002317122/3</t>
  </si>
  <si>
    <t>RFSC_1.4</t>
  </si>
  <si>
    <t>594020200002317122/4</t>
  </si>
  <si>
    <t>RFSC_1.5</t>
  </si>
  <si>
    <t>594020200002317122/5</t>
  </si>
  <si>
    <t>RFSC_2.1</t>
  </si>
  <si>
    <t>594020200002317122/7</t>
  </si>
  <si>
    <t>RFSC_2.2</t>
  </si>
  <si>
    <t>594020200002317122/8</t>
  </si>
  <si>
    <t>RFSC_2.3</t>
  </si>
  <si>
    <t>594020200002317122/9</t>
  </si>
  <si>
    <t>RFSC_2.4</t>
  </si>
  <si>
    <t>594020200002317122/10</t>
  </si>
  <si>
    <t>RFSC_2.5</t>
  </si>
  <si>
    <t>594020200002317122/11</t>
  </si>
  <si>
    <t>RPMB_1.1</t>
  </si>
  <si>
    <t>RO001E110523303/1</t>
  </si>
  <si>
    <t>RPMB_1.2</t>
  </si>
  <si>
    <t>RO001E110523303/2</t>
  </si>
  <si>
    <t>RPMB_1.3</t>
  </si>
  <si>
    <t>RO001E110523303/3</t>
  </si>
  <si>
    <t>RPMB_1.4</t>
  </si>
  <si>
    <t>RO001E110523303/4</t>
  </si>
  <si>
    <t>RTGU_1.1</t>
  </si>
  <si>
    <t>594020300002742631/1</t>
  </si>
  <si>
    <t>RTGU_1.2</t>
  </si>
  <si>
    <t>594020300002742631/2</t>
  </si>
  <si>
    <t>RTGU_1.3</t>
  </si>
  <si>
    <t>594020300002742631/3</t>
  </si>
  <si>
    <t>RCSC_1.1</t>
  </si>
  <si>
    <t>RO002E212833624/1</t>
  </si>
  <si>
    <t>RCSC_1.2</t>
  </si>
  <si>
    <t>RO002E212833624/2</t>
  </si>
  <si>
    <t>RCSC_2.1</t>
  </si>
  <si>
    <t>RO002E212833613/1</t>
  </si>
  <si>
    <t>RCSC_2.2</t>
  </si>
  <si>
    <t>RO002E212833613/2</t>
  </si>
  <si>
    <t>RAMB_1.1</t>
  </si>
  <si>
    <t>594030300002113780/1</t>
  </si>
  <si>
    <t>RAMB_1.2</t>
  </si>
  <si>
    <t>594030300002113780/3</t>
  </si>
  <si>
    <t>RAMB_2.1</t>
  </si>
  <si>
    <t>594030300002113780/2</t>
  </si>
  <si>
    <t>RAMB_2.2</t>
  </si>
  <si>
    <t>594030300002113780/4</t>
  </si>
  <si>
    <t>RGBM_1.1</t>
  </si>
  <si>
    <t>59401010000363258971716818/1</t>
  </si>
  <si>
    <t>RGBM_1.2</t>
  </si>
  <si>
    <t>59401010000363258971716818/2</t>
  </si>
  <si>
    <t>RGBM_1.3</t>
  </si>
  <si>
    <t>59401010000363258971716818/3</t>
  </si>
  <si>
    <t>RGBM_2.1</t>
  </si>
  <si>
    <t>59401010000364371471721547/1</t>
  </si>
  <si>
    <t>RMEG_1.1</t>
  </si>
  <si>
    <t>RO001E110047438/1</t>
  </si>
  <si>
    <t>RMEG_1.2</t>
  </si>
  <si>
    <t>RO001E110047438/2</t>
  </si>
  <si>
    <t>RMEG_1.3</t>
  </si>
  <si>
    <t>RO001E110047438/3</t>
  </si>
  <si>
    <t>RMEG_1.4</t>
  </si>
  <si>
    <t>RO001E110047438/4</t>
  </si>
  <si>
    <t>RMEG_1.5</t>
  </si>
  <si>
    <t>RO001E110047438/5</t>
  </si>
  <si>
    <t>RMEG_2.1</t>
  </si>
  <si>
    <t>RO001E110034580/1</t>
  </si>
  <si>
    <t>RMEG_2.2</t>
  </si>
  <si>
    <t>RO001E110034580/2</t>
  </si>
  <si>
    <t>RMEG_2.3</t>
  </si>
  <si>
    <t>RO001E110034580/3</t>
  </si>
  <si>
    <t>RMEG_2.4</t>
  </si>
  <si>
    <t>RO001E110034580/4</t>
  </si>
  <si>
    <t>RMEG_3.1</t>
  </si>
  <si>
    <t>RO001E110105365/1</t>
  </si>
  <si>
    <t>RMEG_3.2</t>
  </si>
  <si>
    <t>RO001E110105365/2</t>
  </si>
  <si>
    <t>RMEG_3.3</t>
  </si>
  <si>
    <t>RO001E110105365/3</t>
  </si>
  <si>
    <t>RMEG_3.4</t>
  </si>
  <si>
    <t>RO001E110105365/4</t>
  </si>
  <si>
    <t>RSEV_1.1</t>
  </si>
  <si>
    <t>59401040000145272271526125/1</t>
  </si>
  <si>
    <t>RSEV_2.1</t>
  </si>
  <si>
    <t>59401040000153661371602579/1</t>
  </si>
  <si>
    <t>RITS_1.1</t>
  </si>
  <si>
    <t>RO001E109430703/1</t>
  </si>
  <si>
    <t>RITS_2.1</t>
  </si>
  <si>
    <t>RO001E109430691/1</t>
  </si>
  <si>
    <t>RITS_2.2</t>
  </si>
  <si>
    <t>RO001E109430691/2</t>
  </si>
  <si>
    <t>RITS_3.1</t>
  </si>
  <si>
    <t>RO001E109430714/1</t>
  </si>
  <si>
    <t>RITS_4.1</t>
  </si>
  <si>
    <t>RO001E109430736/1</t>
  </si>
  <si>
    <t>RITS_4.2</t>
  </si>
  <si>
    <t>RO001E109430736/2</t>
  </si>
  <si>
    <t>RNSS_1.1</t>
  </si>
  <si>
    <t>594020200001925328/1</t>
  </si>
  <si>
    <t>RNSS_1.2</t>
  </si>
  <si>
    <t>594020200001925328/2</t>
  </si>
  <si>
    <t>RNSS_2.1</t>
  </si>
  <si>
    <t>594020200001926066/1</t>
  </si>
  <si>
    <t>RNSS_3.1</t>
  </si>
  <si>
    <t>594020200000000477/1</t>
  </si>
  <si>
    <t>RSSC_1.1</t>
  </si>
  <si>
    <t>594020200001926325/1</t>
  </si>
  <si>
    <t>RSSC_2.1</t>
  </si>
  <si>
    <t>594020200001926332/1</t>
  </si>
  <si>
    <t>RRPP_1.1</t>
  </si>
  <si>
    <t>59401020000375096971689655/1</t>
  </si>
  <si>
    <t>RRPP_1.2</t>
  </si>
  <si>
    <t>59401020000375096971689655/2</t>
  </si>
  <si>
    <t>RRPP_2.1</t>
  </si>
  <si>
    <t>59401020000375096971448223/1</t>
  </si>
  <si>
    <t>RRPP_2.2</t>
  </si>
  <si>
    <t>59401020000375096971448223/2</t>
  </si>
  <si>
    <t>RN10_Sfantul Gheorghe_1</t>
  </si>
  <si>
    <t>594020600000985765/1</t>
  </si>
  <si>
    <t>RN10_Sighisoara_1</t>
  </si>
  <si>
    <t>594020300002588154/1</t>
  </si>
  <si>
    <t>RN10_Vaslui_1</t>
  </si>
  <si>
    <t>EMO3446385/1</t>
  </si>
  <si>
    <t>RN10_Vaslui_2</t>
  </si>
  <si>
    <t>EMO3446385/2</t>
  </si>
  <si>
    <t>RN10_Petrosani_1</t>
  </si>
  <si>
    <t>RO005E532351067/1</t>
  </si>
  <si>
    <t>RN10_Petrosani_2</t>
  </si>
  <si>
    <t>RO005E532351023/1</t>
  </si>
  <si>
    <t>RN10_Petrosani_3</t>
  </si>
  <si>
    <t>RO005E532351056/1</t>
  </si>
  <si>
    <t>RN10_Petrosani_4</t>
  </si>
  <si>
    <t>RO005E532351034/1</t>
  </si>
  <si>
    <t>RN10_Petrosani_5</t>
  </si>
  <si>
    <t>RO005E532488642/1</t>
  </si>
  <si>
    <t>RN10_Petrosani_6</t>
  </si>
  <si>
    <t>RO005E532351045/1</t>
  </si>
  <si>
    <t>RN1_Brasov_1</t>
  </si>
  <si>
    <t>594020100002637995/1</t>
  </si>
  <si>
    <t>RRVS_1.1/PV</t>
  </si>
  <si>
    <t>59401070000220953171619201/1.PV</t>
  </si>
  <si>
    <t>RRVS_1.3/PV</t>
  </si>
  <si>
    <t>59401070000220953171619201/3.PV</t>
  </si>
  <si>
    <t>RPSC_1.2/PV</t>
  </si>
  <si>
    <t>594030100003367652/2.PV</t>
  </si>
  <si>
    <t>RPSC_1.3/PV</t>
  </si>
  <si>
    <t>594030100003367652/3.PV</t>
  </si>
  <si>
    <t>RSCP_1.2/PV</t>
  </si>
  <si>
    <t>EMO3621722/2.PV</t>
  </si>
  <si>
    <t>RSMS_1.2/PV</t>
  </si>
  <si>
    <t>594040400001839968/2.PV</t>
  </si>
  <si>
    <t>RDSC_1.1/PV</t>
  </si>
  <si>
    <t>RO005E532240390/1.PV</t>
  </si>
  <si>
    <t>RDSC_1.2/PV</t>
  </si>
  <si>
    <t>RO005E532240390/2.PV</t>
  </si>
  <si>
    <t>RDSC_2.1/PV</t>
  </si>
  <si>
    <t>RO005E532371182/1.PV</t>
  </si>
  <si>
    <t>RDSC_3.1/PV</t>
  </si>
  <si>
    <t>RO005E532220590/1.PV</t>
  </si>
  <si>
    <t>RGSC_1.2/PV</t>
  </si>
  <si>
    <t>594030500002463001/3.PV</t>
  </si>
  <si>
    <t>RGSC_2.2/PV</t>
  </si>
  <si>
    <t>594030500002463001/4.PV</t>
  </si>
  <si>
    <t>RTIM_1.3/PV</t>
  </si>
  <si>
    <t>RO005E513396506/3.PV</t>
  </si>
  <si>
    <t>RTIM_2.3/PV</t>
  </si>
  <si>
    <t>RO005E513431450/3.PV</t>
  </si>
  <si>
    <t>RTJD_1.2/PV</t>
  </si>
  <si>
    <t>59401030000224144171589916/2.PV</t>
  </si>
  <si>
    <t>RVUL_1.1/PV1</t>
  </si>
  <si>
    <t>RO001E110054223/1.PV1</t>
  </si>
  <si>
    <t>RVUL_1.1/PV2</t>
  </si>
  <si>
    <t>RO001E110054223/1.PV2</t>
  </si>
  <si>
    <t>RVUL_1.2/PV</t>
  </si>
  <si>
    <t>RO001E110054223/2.PV</t>
  </si>
  <si>
    <t>RFSC_1.2/PV</t>
  </si>
  <si>
    <t>594020200002317122/2.PV</t>
  </si>
  <si>
    <t>RFSC_2.1/PV</t>
  </si>
  <si>
    <t>594020200002317122/7.PV</t>
  </si>
  <si>
    <t>RPMB_1.1/PV</t>
  </si>
  <si>
    <t>RO001E110523303/1.PV</t>
  </si>
  <si>
    <t>RTGU_1.1/PV</t>
  </si>
  <si>
    <t>594020300002742631/1.PV</t>
  </si>
  <si>
    <t>RCSC_1.2/PV</t>
  </si>
  <si>
    <t>RO002E212833624/2.PV</t>
  </si>
  <si>
    <t>RAMB_1.2/PV</t>
  </si>
  <si>
    <t>594030300002113780/3.PV</t>
  </si>
  <si>
    <t>RAMB_2.2/PV</t>
  </si>
  <si>
    <t>594030300002113780/4.PV</t>
  </si>
  <si>
    <t>RGBM_1.1/PV</t>
  </si>
  <si>
    <t>59401010000363258971716818/1.PV</t>
  </si>
  <si>
    <t>RGBM_1.2/PV</t>
  </si>
  <si>
    <t>59401010000363258971716818/2.PV</t>
  </si>
  <si>
    <t>RGBM_1.3/PV</t>
  </si>
  <si>
    <t>59401010000363258971716818/3.PV</t>
  </si>
  <si>
    <t>RGBM_2.1/PV</t>
  </si>
  <si>
    <t>59401010000364371471721547/1.PV</t>
  </si>
  <si>
    <t>RMEG_1.2/PV</t>
  </si>
  <si>
    <t>RO001E110047438/2.PV</t>
  </si>
  <si>
    <t>RSEV_1.1/PV</t>
  </si>
  <si>
    <t>59401040000145272271526125/1.PV</t>
  </si>
  <si>
    <t>RSEV_2.1/PV</t>
  </si>
  <si>
    <t>59401040000153661371602579/1.PV</t>
  </si>
  <si>
    <t>RNSS_1.1/PV</t>
  </si>
  <si>
    <t>594020200001925328/1.PV</t>
  </si>
  <si>
    <t>RNSS_1.2/PV</t>
  </si>
  <si>
    <t>594020200001925328/2.PV</t>
  </si>
  <si>
    <t>RSSC_1.1/PV</t>
  </si>
  <si>
    <t>594020200001926325/1.PV</t>
  </si>
  <si>
    <t>RSSC_2.1/PV</t>
  </si>
  <si>
    <t>594020200001926332/1.PV</t>
  </si>
  <si>
    <t>RRPP_1.1/PV</t>
  </si>
  <si>
    <t>59401020000375096971689655/1.PV</t>
  </si>
  <si>
    <t>RRPP_1.2/PV</t>
  </si>
  <si>
    <t>59401020000375096971689655/2.PV</t>
  </si>
  <si>
    <t>RRPP_2.1/PV</t>
  </si>
  <si>
    <t>59401020000375096971448223/1.PV</t>
  </si>
  <si>
    <t>RITS_2.1/PV</t>
  </si>
  <si>
    <t>RO001E109430691/1.PV</t>
  </si>
  <si>
    <t>RITS_2.2/PV</t>
  </si>
  <si>
    <t>RO001E109430691/2.PV</t>
  </si>
  <si>
    <t>RN10_Sfantul Gheorghe_1/PV</t>
  </si>
  <si>
    <t>594020600000985765/1.PV</t>
  </si>
  <si>
    <t>RN10_Sighisoara_1/PV</t>
  </si>
  <si>
    <t>594020300002588154/1.PV</t>
  </si>
  <si>
    <t>RN10_Vaslui_1/PV</t>
  </si>
  <si>
    <t>EMO3446385/1.PV</t>
  </si>
  <si>
    <t>RN1_Brasov_1/PV</t>
  </si>
  <si>
    <t>594020100002637995/1.PV</t>
  </si>
  <si>
    <t>594030200001243351</t>
  </si>
  <si>
    <t>594030200001495040</t>
  </si>
  <si>
    <t>594030200001494937</t>
  </si>
  <si>
    <t>240290118403</t>
  </si>
  <si>
    <t>18101774330</t>
  </si>
  <si>
    <t>18101774357</t>
  </si>
  <si>
    <t>Inchidere contur</t>
  </si>
  <si>
    <t>Note</t>
  </si>
  <si>
    <t>CPT</t>
  </si>
  <si>
    <t>HXE1030023301521 asignat in datele extrase ca fiind instalat la Strip mall. Necesar inversare sens curenti contoare PV.</t>
  </si>
  <si>
    <t>Necesar inversare sens curenti contor PV.</t>
  </si>
  <si>
    <t>15G90220110064560</t>
  </si>
  <si>
    <t>15G90220110064591</t>
  </si>
  <si>
    <t>HXE1030026595056</t>
  </si>
  <si>
    <t>MT SDI</t>
  </si>
  <si>
    <t>59401070000220953171619201</t>
  </si>
  <si>
    <t>59401010000363258971716818</t>
  </si>
  <si>
    <t>59401010000364371471721547</t>
  </si>
  <si>
    <t>RRVS_1</t>
  </si>
  <si>
    <t>RGBM_1</t>
  </si>
  <si>
    <t>RGBM_2</t>
  </si>
  <si>
    <t>RFSC_1</t>
  </si>
  <si>
    <t>RFSC_2</t>
  </si>
  <si>
    <t>240290133964</t>
  </si>
  <si>
    <t>240290133963</t>
  </si>
  <si>
    <t>594020200002317122</t>
  </si>
  <si>
    <t>MT SDI 1</t>
  </si>
  <si>
    <t>MT SDI 2</t>
  </si>
  <si>
    <t>594020300002742631</t>
  </si>
  <si>
    <t>RTGU_1</t>
  </si>
  <si>
    <t>RTIM_1</t>
  </si>
  <si>
    <t>RTIM_2</t>
  </si>
  <si>
    <t>RO005E513396506</t>
  </si>
  <si>
    <t>RO005E513431450</t>
  </si>
  <si>
    <t>-</t>
  </si>
  <si>
    <t>RBPM_1</t>
  </si>
  <si>
    <t>RBPM_2</t>
  </si>
  <si>
    <t>RBPM_3</t>
  </si>
  <si>
    <t>RBPM_4</t>
  </si>
  <si>
    <t>RBPM_4.1</t>
  </si>
  <si>
    <t>594030200001495088/1</t>
  </si>
  <si>
    <t>MT SDI 3</t>
  </si>
  <si>
    <t>RRPP_2.2/PV</t>
  </si>
  <si>
    <t>59401020000375096971448223/2.PV</t>
  </si>
  <si>
    <t>RRPP_1</t>
  </si>
  <si>
    <t>RRPP_2</t>
  </si>
  <si>
    <t>59401020000375096971448223</t>
  </si>
  <si>
    <t>Presupunere corectie in documente</t>
  </si>
  <si>
    <t>Necear verificare in teren a corectitudinii asociere POD-uri, contoare si constante in SDI. Presupunere bazata pe datele inregistrate de contoare, si foto din teren. Necesar inversare sens curenti contor PV.</t>
  </si>
  <si>
    <t>RO002E212833624</t>
  </si>
  <si>
    <t>RCSC_1</t>
  </si>
  <si>
    <t>RCSC_2</t>
  </si>
  <si>
    <t>RO002E212833613</t>
  </si>
  <si>
    <t>16G90220110070053</t>
  </si>
  <si>
    <t>16G90220110070042</t>
  </si>
  <si>
    <t>Inversare asignare POD-uri JT si MT a contoarelor instalate, comparativ cu POD OD. Necesar inversare sens curenti contor PV.</t>
  </si>
  <si>
    <t>HXE1030023301486</t>
  </si>
  <si>
    <t>RO005E532240390</t>
  </si>
  <si>
    <t>21G90290210102630</t>
  </si>
  <si>
    <t>RO005E532371182</t>
  </si>
  <si>
    <t>20G90290210095984</t>
  </si>
  <si>
    <t>RO005E532220590</t>
  </si>
  <si>
    <t>21G90290210104636</t>
  </si>
  <si>
    <t>RDSC_1</t>
  </si>
  <si>
    <t>RDSC_2</t>
  </si>
  <si>
    <t>RDSC_3</t>
  </si>
  <si>
    <t>RITS_1</t>
  </si>
  <si>
    <t>RITS_2</t>
  </si>
  <si>
    <t>RITS_3</t>
  </si>
  <si>
    <t>MT SDI 4</t>
  </si>
  <si>
    <t>RITS_4</t>
  </si>
  <si>
    <t>RO001E109430703</t>
  </si>
  <si>
    <t>RO001E109430691</t>
  </si>
  <si>
    <t>RO001E109430714</t>
  </si>
  <si>
    <t>RO001E109430736</t>
  </si>
  <si>
    <t>25G90293195062974</t>
  </si>
  <si>
    <t>25G90293195062991</t>
  </si>
  <si>
    <t>20G90290210100725</t>
  </si>
  <si>
    <t>23G90290210113592</t>
  </si>
  <si>
    <t>HXE1030023301486 contor lipsa in rapoarte (instalat in teren, dar nu comunica/nu este integrat). Constante gresite la contoarele instalate pe consum POD RO005E532240390 - foto cu TC 1250/5. POD RO005E532220590 se inchide ok. Necesar inversare sens curenti contor PV.</t>
  </si>
  <si>
    <t>Posibil inversare intre 2 contoare. Necesar verificare constante</t>
  </si>
  <si>
    <t>RSCP_1</t>
  </si>
  <si>
    <t>EMO3621722</t>
  </si>
  <si>
    <t>OK</t>
  </si>
  <si>
    <t>RO001E110523303</t>
  </si>
  <si>
    <t>20G90290210096376</t>
  </si>
  <si>
    <t>RPMB_1</t>
  </si>
  <si>
    <t>Circuite inversate pe contor de consum. De verificat contor PV - nu are aceeasi valori masurate ca cele de pe centrala de masura</t>
  </si>
  <si>
    <t>RPSC_1</t>
  </si>
  <si>
    <t>RPSC_2</t>
  </si>
  <si>
    <t>20301781017</t>
  </si>
  <si>
    <t>Necesar inversare curenti /3.PV. De verificat cantitati PV nu corespund cu centralele de masura</t>
  </si>
  <si>
    <t>RSMS_1</t>
  </si>
  <si>
    <t>Necesar inversare curenti PV.</t>
  </si>
  <si>
    <t>RSEV_1</t>
  </si>
  <si>
    <t>RSEV_2</t>
  </si>
  <si>
    <t>RSEV_3</t>
  </si>
  <si>
    <t>RSEV_3.1</t>
  </si>
  <si>
    <t>RMEG_1</t>
  </si>
  <si>
    <t>RMEG_2</t>
  </si>
  <si>
    <t>RMEG_3</t>
  </si>
  <si>
    <t>RO001E110047438</t>
  </si>
  <si>
    <t>RO001E110034580</t>
  </si>
  <si>
    <t>RO001E110105365</t>
  </si>
  <si>
    <t>25G90293195062390</t>
  </si>
  <si>
    <t>25G90293195062463</t>
  </si>
  <si>
    <t>25G90293195062987</t>
  </si>
  <si>
    <t>RMEG_3.5</t>
  </si>
  <si>
    <t>RO001E110105365/5</t>
  </si>
  <si>
    <t>Posibila inversare trafo 1-trafo 2 PT1. Necesar inversare sens curenti PV. Contor HXE1030023298240 pare sa fie instalat suplimentar - nu se inchide conturul pe RO001E110105365. Contor MT RO001E110105365 - HXE1030026595041 posibil montaj gresit - nu corespunde cu consumurile inregistrate de contor OD.</t>
  </si>
  <si>
    <t>RSSC_1</t>
  </si>
  <si>
    <t>230290097737</t>
  </si>
  <si>
    <t>230290097743</t>
  </si>
  <si>
    <t>RSSC_2</t>
  </si>
  <si>
    <t>230290097760</t>
  </si>
  <si>
    <t>230290084930</t>
  </si>
  <si>
    <t>230290097752</t>
  </si>
  <si>
    <t>RNSS_1</t>
  </si>
  <si>
    <t>RNSS_3</t>
  </si>
  <si>
    <t>MD SDI 1</t>
  </si>
  <si>
    <t>MD SDI 2</t>
  </si>
  <si>
    <t>MD SDI 3</t>
  </si>
  <si>
    <t>RNSS_2</t>
  </si>
  <si>
    <t>MD SDI 4</t>
  </si>
  <si>
    <t>MD SDI 5</t>
  </si>
  <si>
    <t>594020200001925328</t>
  </si>
  <si>
    <t>594020200001926066</t>
  </si>
  <si>
    <t>594020200000000477</t>
  </si>
  <si>
    <t>594020200001926325</t>
  </si>
  <si>
    <t>594020200001926332</t>
  </si>
  <si>
    <t>Necesar verificare - nu se inchid contururile, contoarele sunt asignate gresit pe POD-uri si nu ne putem da seama ce s-a intamplat.</t>
  </si>
  <si>
    <t>RTJD_1</t>
  </si>
  <si>
    <t>Posibila inversare intre contoare si constante consum. Necesar inversare sens curenti PV.</t>
  </si>
  <si>
    <t>RN10_Vaslui</t>
  </si>
  <si>
    <t>MD SDI</t>
  </si>
  <si>
    <t>EMO3446385</t>
  </si>
  <si>
    <t>Contorul HXE1030023298237 nu inregistreaza corect - posibil curenti suntati in sirul de cleme.</t>
  </si>
  <si>
    <t>RVUL_1</t>
  </si>
  <si>
    <t>RO001E110054223</t>
  </si>
  <si>
    <t>23G90290210112807</t>
  </si>
  <si>
    <t>Contor HXE1030023301483 nu are comunicatie pe tot intervalul. Necesar inversare curenti PV pe HXE1030023301515 si HXE1030023301483. verificare inversare intre contoare PV si consum.</t>
  </si>
  <si>
    <t>RAMB_1</t>
  </si>
  <si>
    <t>RAMB_2</t>
  </si>
  <si>
    <t>Inversare intre trafo 3 - trafo 4 si PV-URI aferente</t>
  </si>
  <si>
    <t>MC</t>
  </si>
  <si>
    <t>MCPV</t>
  </si>
  <si>
    <t>RGSC_1</t>
  </si>
  <si>
    <t>RGSC_2</t>
  </si>
  <si>
    <t>230290101740</t>
  </si>
  <si>
    <t>230290101742</t>
  </si>
  <si>
    <t>Inversare intre HXE1030023301449 si HXE1030023301516. Necesar inversare curenti PV. Inversare POD-uri MT NEM in calcul energie.</t>
  </si>
  <si>
    <t>240290127139</t>
  </si>
  <si>
    <t>230290097650</t>
  </si>
  <si>
    <t>RN10_Sighisoara</t>
  </si>
  <si>
    <t>RN10_Alba</t>
  </si>
  <si>
    <t>RN10_Alexandria</t>
  </si>
  <si>
    <t>Pe PV avem faza R masurata cu TC 600/5 si celelalte 2 faze cu 400/5. Necesar inlocuire TC. Nu se inchide conturul, cu 13% CPT.</t>
  </si>
  <si>
    <t>SDI MT</t>
  </si>
  <si>
    <t>RN1_Brasov</t>
  </si>
  <si>
    <t>594020100002637995</t>
  </si>
  <si>
    <t>240290133935</t>
  </si>
  <si>
    <t>RN10_Sfantul Gheorghe</t>
  </si>
  <si>
    <t>594020600000985765</t>
  </si>
  <si>
    <t>2732950</t>
  </si>
  <si>
    <t>TC-urile montate pentru consum cuprind 2 cabluri: cel care pleaca la TGD si cel care pleaca la statiile de incarcare masini electrice. Nu se poate masura consumul total si apar diferente in momentul in care PV-ul injecteaza si statiile de incarcare consuma. Necesar schimbare TC-uri si pozitionarea lor la intreruptorul general sau la bornele trafo.</t>
  </si>
  <si>
    <t>RO005E532351067</t>
  </si>
  <si>
    <t>RO005E532351023</t>
  </si>
  <si>
    <t>RO005E532351056</t>
  </si>
  <si>
    <t>RO005E532351034</t>
  </si>
  <si>
    <t>RO005E532488642</t>
  </si>
  <si>
    <t>RO005E532351045</t>
  </si>
  <si>
    <t>UGEUEDN19210003119</t>
  </si>
  <si>
    <t>16G14570110072302</t>
  </si>
  <si>
    <t>20G14570110097954</t>
  </si>
  <si>
    <t>1000027339517</t>
  </si>
  <si>
    <t>UGEUEDN19210002759</t>
  </si>
  <si>
    <t>UGEQEDN23210105526</t>
  </si>
  <si>
    <t>fara date citire</t>
  </si>
  <si>
    <t>Fara date citire</t>
  </si>
  <si>
    <t>HXE???23301472</t>
  </si>
  <si>
    <t>HXE???23299909</t>
  </si>
  <si>
    <t>HXE???23298273</t>
  </si>
  <si>
    <t>HXE???23301478</t>
  </si>
  <si>
    <t>HXE???23301467</t>
  </si>
  <si>
    <t>HXE???23301456</t>
  </si>
  <si>
    <t>JT SDI 1</t>
  </si>
  <si>
    <t>JT SDI 2</t>
  </si>
  <si>
    <t>JT SDI 3</t>
  </si>
  <si>
    <t>JT SDI 4</t>
  </si>
  <si>
    <t>JT SDI 5</t>
  </si>
  <si>
    <t>JT SDI 6</t>
  </si>
  <si>
    <t>Inversare curenti la borne</t>
  </si>
  <si>
    <t>Necear verificare in teren a corectitudinii asociere POD-uri, contoare in SDI: /1 are PV, dar nu are injectie, /2 nu are PV dar are injectie, /3 are injectie mai mare decat productia de PV a 3.PV. Necesar inversare sens curenti contoare PV.</t>
  </si>
  <si>
    <t>Inversari verificate si remediate in teren. Necesar remediere in documentatie</t>
  </si>
  <si>
    <t>Deplasare Enevo</t>
  </si>
  <si>
    <t>NU</t>
  </si>
  <si>
    <t>DA</t>
  </si>
  <si>
    <t>Ramnicu Valcea Shopping City</t>
  </si>
  <si>
    <t>Deva Shopping City SRL</t>
  </si>
  <si>
    <t>Retail Park Pitesti</t>
  </si>
  <si>
    <t>Promenada Craiova</t>
  </si>
  <si>
    <t>Retail Park Craiova</t>
  </si>
  <si>
    <t>Sibiu Shopping City NRE</t>
  </si>
  <si>
    <t>Sibiu Shopping City 2</t>
  </si>
  <si>
    <t>Prioritate 1</t>
  </si>
  <si>
    <t>Prioritate 2</t>
  </si>
  <si>
    <t>Necesar verificare in teren a corectitudinii asociere POD-uri, contoare si constante in SDI. Din foto, pare ca in documente constantele sunt inversate intre /1 si /3. Necesar inversare sens curenti contor PV.</t>
  </si>
  <si>
    <t>Targu Mures Shopping City</t>
  </si>
  <si>
    <t>Deva Schopping City</t>
  </si>
  <si>
    <t>Contorul nu este montat/alimentat</t>
  </si>
  <si>
    <t>Shopping City Timisoara</t>
  </si>
  <si>
    <t>De analizat posibilitate alimentare auxiliara contor MT Carrefour</t>
  </si>
  <si>
    <t>Strip Mall Alexandria</t>
  </si>
  <si>
    <t>Necesar TC-uri corecte pentru PV</t>
  </si>
  <si>
    <t>Braila Promenada Mall</t>
  </si>
  <si>
    <t>Strip Mall Brasov</t>
  </si>
  <si>
    <t>Necear verificare in teren a corectitudinii asociere POD-uri, contoare si constante in SDI. Presupunere bazata pe datele inregistrate de contoare, pare ca /3 si /4 sunt inversate. De inclus in raportare lunare contoarele MT contor  rezerva Carrefour, HXE1030026595056, nu este alimentat pentru ca linia nu este utilizata - de analizat posibilitatea alimentarii auxiliare, pentru a se putea face citirea lunara.</t>
  </si>
  <si>
    <t>Necesar inversare sens curenti contor PV. CPT prea mare - de verificat montaj TC-uri contor consum.</t>
  </si>
  <si>
    <t>Constanta Shopping City</t>
  </si>
  <si>
    <t>594030500002463001/5</t>
  </si>
  <si>
    <t>594030500002463001/5.PV</t>
  </si>
  <si>
    <t>RGSC_1.3</t>
  </si>
  <si>
    <t>Iris Titan Shopping Center</t>
  </si>
  <si>
    <t>Mega Mall Bucuresti</t>
  </si>
  <si>
    <t>Necesar solicitare prezenta RER pentru desigilare si verificare contor martor OD.</t>
  </si>
  <si>
    <t>Shopping City Piatra Neamt</t>
  </si>
  <si>
    <t>Ok</t>
  </si>
  <si>
    <t>Promenada Mall Bucuresti</t>
  </si>
  <si>
    <t>Ploiesti Shopping City</t>
  </si>
  <si>
    <t>Satu Mare Shopping City</t>
  </si>
  <si>
    <t>Severin Shopping Center</t>
  </si>
  <si>
    <t>Strip Mall Sfantu Gheorghe</t>
  </si>
  <si>
    <t>Necesar TC-uri pentru montare corecta. Necesar intrerupere MT din partea DEER si executie lucrari pe timpul noptii</t>
  </si>
  <si>
    <t>Targu Jiu Shopping City</t>
  </si>
  <si>
    <t>Strip Mall Vaslui</t>
  </si>
  <si>
    <t>Strip Mall Petrosani</t>
  </si>
  <si>
    <t>Necesar date pentru validare</t>
  </si>
  <si>
    <t>Deplasare NEPI</t>
  </si>
  <si>
    <t>Observatii</t>
  </si>
  <si>
    <t>Sibiu Shopping City</t>
  </si>
  <si>
    <t>4 zile</t>
  </si>
  <si>
    <t>2 zile</t>
  </si>
  <si>
    <t>1 zi</t>
  </si>
  <si>
    <t>1/2 zi</t>
  </si>
  <si>
    <t>In functie de Enevo</t>
  </si>
  <si>
    <t>In functie de DEER+Enevo</t>
  </si>
  <si>
    <t>In functie de 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</si>
</sst>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B9FF0B"/>
        <bgColor indexed="64"/>
      </patternFill>
    </fill>
    <fill>
      <patternFill patternType="solid">
        <fgColor rgb="FF00FFBC"/>
        <bgColor indexed="64"/>
      </patternFill>
    </fill>
    <fill>
      <patternFill patternType="solid">
        <fgColor rgb="FFFF6ACA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6" borderId="0" xfId="0" applyFill="1"/>
    <xf numFmtId="0" fontId="0" fillId="0" borderId="4" xfId="0" applyBorder="1"/>
    <xf numFmtId="22" fontId="0" fillId="0" borderId="4" xfId="0" applyNumberFormat="1" applyBorder="1"/>
    <xf numFmtId="0" fontId="0" fillId="0" borderId="7" xfId="0" applyBorder="1"/>
    <xf numFmtId="22" fontId="0" fillId="0" borderId="7" xfId="0" applyNumberFormat="1" applyBorder="1"/>
    <xf numFmtId="0" fontId="0" fillId="5" borderId="7" xfId="0" applyFill="1" applyBorder="1"/>
    <xf numFmtId="0" fontId="0" fillId="5" borderId="0" xfId="0" applyFill="1"/>
    <xf numFmtId="22" fontId="0" fillId="5" borderId="0" xfId="0" applyNumberFormat="1" applyFill="1"/>
    <xf numFmtId="0" fontId="0" fillId="6" borderId="0" xfId="0" applyFill="1" applyAlignment="1">
      <alignment horizontal="right"/>
    </xf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164" fontId="0" fillId="0" borderId="1" xfId="1" applyNumberFormat="1" applyFont="1" applyBorder="1"/>
    <xf numFmtId="164" fontId="0" fillId="6" borderId="3" xfId="1" applyNumberFormat="1" applyFont="1" applyFill="1" applyBorder="1" applyAlignment="1">
      <alignment horizontal="center" vertical="center"/>
    </xf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22" fontId="0" fillId="10" borderId="5" xfId="0" applyNumberFormat="1" applyFill="1" applyBorder="1"/>
    <xf numFmtId="164" fontId="0" fillId="0" borderId="0" xfId="1" applyNumberFormat="1" applyFont="1" applyBorder="1"/>
    <xf numFmtId="164" fontId="0" fillId="6" borderId="1" xfId="1" applyNumberFormat="1" applyFont="1" applyFill="1" applyBorder="1"/>
    <xf numFmtId="0" fontId="0" fillId="0" borderId="10" xfId="0" applyBorder="1"/>
    <xf numFmtId="164" fontId="0" fillId="0" borderId="10" xfId="1" applyNumberFormat="1" applyFont="1" applyBorder="1"/>
    <xf numFmtId="22" fontId="0" fillId="10" borderId="1" xfId="0" applyNumberFormat="1" applyFill="1" applyBorder="1"/>
    <xf numFmtId="0" fontId="0" fillId="10" borderId="1" xfId="0" applyFill="1" applyBorder="1"/>
    <xf numFmtId="0" fontId="0" fillId="0" borderId="12" xfId="0" applyBorder="1"/>
    <xf numFmtId="22" fontId="0" fillId="10" borderId="12" xfId="0" applyNumberFormat="1" applyFill="1" applyBorder="1"/>
    <xf numFmtId="0" fontId="0" fillId="10" borderId="12" xfId="0" applyFill="1" applyBorder="1"/>
    <xf numFmtId="164" fontId="0" fillId="0" borderId="12" xfId="1" applyNumberFormat="1" applyFont="1" applyBorder="1"/>
    <xf numFmtId="0" fontId="0" fillId="0" borderId="17" xfId="0" applyBorder="1"/>
    <xf numFmtId="22" fontId="0" fillId="10" borderId="17" xfId="0" applyNumberFormat="1" applyFill="1" applyBorder="1"/>
    <xf numFmtId="0" fontId="0" fillId="10" borderId="17" xfId="0" applyFill="1" applyBorder="1"/>
    <xf numFmtId="164" fontId="0" fillId="0" borderId="17" xfId="1" applyNumberFormat="1" applyFont="1" applyBorder="1"/>
    <xf numFmtId="164" fontId="0" fillId="9" borderId="17" xfId="1" applyNumberFormat="1" applyFont="1" applyFill="1" applyBorder="1"/>
    <xf numFmtId="164" fontId="0" fillId="6" borderId="17" xfId="1" applyNumberFormat="1" applyFont="1" applyFill="1" applyBorder="1"/>
    <xf numFmtId="0" fontId="0" fillId="0" borderId="3" xfId="0" applyBorder="1"/>
    <xf numFmtId="164" fontId="0" fillId="0" borderId="3" xfId="1" applyNumberFormat="1" applyFont="1" applyBorder="1"/>
    <xf numFmtId="22" fontId="0" fillId="10" borderId="3" xfId="0" applyNumberFormat="1" applyFill="1" applyBorder="1"/>
    <xf numFmtId="0" fontId="0" fillId="10" borderId="3" xfId="0" applyFill="1" applyBorder="1"/>
    <xf numFmtId="164" fontId="0" fillId="6" borderId="3" xfId="1" applyNumberFormat="1" applyFont="1" applyFill="1" applyBorder="1"/>
    <xf numFmtId="0" fontId="0" fillId="2" borderId="17" xfId="0" applyFill="1" applyBorder="1"/>
    <xf numFmtId="0" fontId="0" fillId="2" borderId="3" xfId="0" applyFill="1" applyBorder="1"/>
    <xf numFmtId="164" fontId="0" fillId="0" borderId="3" xfId="1" applyNumberFormat="1" applyFont="1" applyFill="1" applyBorder="1"/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11" borderId="0" xfId="0" applyFill="1"/>
    <xf numFmtId="0" fontId="0" fillId="0" borderId="1" xfId="0" applyBorder="1" applyAlignment="1">
      <alignment horizontal="left" vertical="center"/>
    </xf>
    <xf numFmtId="164" fontId="0" fillId="9" borderId="1" xfId="0" applyNumberFormat="1" applyFill="1" applyBorder="1"/>
    <xf numFmtId="164" fontId="0" fillId="9" borderId="12" xfId="0" applyNumberFormat="1" applyFill="1" applyBorder="1"/>
    <xf numFmtId="0" fontId="0" fillId="0" borderId="11" xfId="0" applyBorder="1"/>
    <xf numFmtId="0" fontId="0" fillId="0" borderId="14" xfId="0" applyBorder="1"/>
    <xf numFmtId="0" fontId="0" fillId="0" borderId="16" xfId="0" applyBorder="1"/>
    <xf numFmtId="0" fontId="0" fillId="0" borderId="17" xfId="0" applyBorder="1" applyAlignment="1">
      <alignment horizontal="left" vertical="center"/>
    </xf>
    <xf numFmtId="164" fontId="0" fillId="9" borderId="17" xfId="0" applyNumberFormat="1" applyFill="1" applyBorder="1"/>
    <xf numFmtId="164" fontId="0" fillId="0" borderId="12" xfId="1" applyNumberFormat="1" applyFont="1" applyFill="1" applyBorder="1"/>
    <xf numFmtId="164" fontId="0" fillId="0" borderId="1" xfId="1" applyNumberFormat="1" applyFont="1" applyFill="1" applyBorder="1"/>
    <xf numFmtId="164" fontId="0" fillId="0" borderId="17" xfId="1" applyNumberFormat="1" applyFont="1" applyFill="1" applyBorder="1"/>
    <xf numFmtId="0" fontId="0" fillId="0" borderId="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12" borderId="0" xfId="0" applyFill="1"/>
    <xf numFmtId="0" fontId="1" fillId="0" borderId="0" xfId="0" applyFont="1"/>
    <xf numFmtId="0" fontId="0" fillId="9" borderId="1" xfId="0" applyFill="1" applyBorder="1"/>
    <xf numFmtId="0" fontId="0" fillId="9" borderId="12" xfId="0" applyFill="1" applyBorder="1"/>
    <xf numFmtId="0" fontId="0" fillId="0" borderId="19" xfId="0" applyBorder="1"/>
    <xf numFmtId="22" fontId="0" fillId="10" borderId="10" xfId="0" applyNumberFormat="1" applyFill="1" applyBorder="1"/>
    <xf numFmtId="0" fontId="0" fillId="10" borderId="10" xfId="0" applyFill="1" applyBorder="1"/>
    <xf numFmtId="0" fontId="1" fillId="2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5" xfId="0" applyFill="1" applyBorder="1"/>
    <xf numFmtId="0" fontId="0" fillId="5" borderId="26" xfId="0" applyFill="1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0" fillId="9" borderId="1" xfId="0" applyFill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9" borderId="1" xfId="0" applyNumberFormat="1" applyFill="1" applyBorder="1" applyAlignment="1">
      <alignment horizontal="right"/>
    </xf>
    <xf numFmtId="22" fontId="0" fillId="9" borderId="1" xfId="0" applyNumberFormat="1" applyFill="1" applyBorder="1"/>
    <xf numFmtId="164" fontId="0" fillId="9" borderId="1" xfId="1" applyNumberFormat="1" applyFont="1" applyFill="1" applyBorder="1"/>
    <xf numFmtId="164" fontId="0" fillId="9" borderId="1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164" fontId="0" fillId="6" borderId="17" xfId="1" applyNumberFormat="1" applyFont="1" applyFill="1" applyBorder="1" applyAlignment="1">
      <alignment vertical="center"/>
    </xf>
    <xf numFmtId="164" fontId="0" fillId="9" borderId="17" xfId="1" applyNumberFormat="1" applyFont="1" applyFill="1" applyBorder="1" applyAlignment="1">
      <alignment vertical="center"/>
    </xf>
    <xf numFmtId="164" fontId="0" fillId="6" borderId="3" xfId="1" applyNumberFormat="1" applyFont="1" applyFill="1" applyBorder="1" applyAlignment="1">
      <alignment vertical="center"/>
    </xf>
    <xf numFmtId="164" fontId="0" fillId="9" borderId="3" xfId="1" applyNumberFormat="1" applyFont="1" applyFill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5" fillId="0" borderId="12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164" fontId="0" fillId="9" borderId="12" xfId="1" applyNumberFormat="1" applyFont="1" applyFill="1" applyBorder="1"/>
    <xf numFmtId="164" fontId="0" fillId="0" borderId="10" xfId="1" applyNumberFormat="1" applyFont="1" applyFill="1" applyBorder="1"/>
    <xf numFmtId="0" fontId="0" fillId="0" borderId="10" xfId="0" applyBorder="1" applyAlignment="1">
      <alignment horizontal="left" vertical="center"/>
    </xf>
    <xf numFmtId="164" fontId="0" fillId="6" borderId="10" xfId="1" applyNumberFormat="1" applyFont="1" applyFill="1" applyBorder="1"/>
    <xf numFmtId="164" fontId="0" fillId="9" borderId="10" xfId="0" applyNumberFormat="1" applyFill="1" applyBorder="1"/>
    <xf numFmtId="164" fontId="0" fillId="6" borderId="12" xfId="1" applyNumberFormat="1" applyFont="1" applyFill="1" applyBorder="1" applyAlignment="1">
      <alignment vertical="center"/>
    </xf>
    <xf numFmtId="0" fontId="0" fillId="9" borderId="12" xfId="0" applyFill="1" applyBorder="1" applyAlignment="1">
      <alignment horizontal="right"/>
    </xf>
    <xf numFmtId="164" fontId="0" fillId="6" borderId="10" xfId="1" applyNumberFormat="1" applyFont="1" applyFill="1" applyBorder="1" applyAlignment="1">
      <alignment vertic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3" xfId="0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9" borderId="3" xfId="1" applyNumberFormat="1" applyFont="1" applyFill="1" applyBorder="1"/>
    <xf numFmtId="164" fontId="0" fillId="6" borderId="12" xfId="1" applyNumberFormat="1" applyFont="1" applyFill="1" applyBorder="1"/>
    <xf numFmtId="0" fontId="0" fillId="2" borderId="0" xfId="0" applyFill="1" applyAlignment="1">
      <alignment horizontal="center"/>
    </xf>
    <xf numFmtId="0" fontId="0" fillId="5" borderId="14" xfId="0" applyFill="1" applyBorder="1"/>
    <xf numFmtId="49" fontId="0" fillId="5" borderId="1" xfId="0" applyNumberFormat="1" applyFill="1" applyBorder="1"/>
    <xf numFmtId="0" fontId="0" fillId="9" borderId="10" xfId="0" applyFill="1" applyBorder="1"/>
    <xf numFmtId="22" fontId="0" fillId="0" borderId="1" xfId="0" applyNumberFormat="1" applyBorder="1"/>
    <xf numFmtId="22" fontId="0" fillId="0" borderId="12" xfId="0" applyNumberFormat="1" applyBorder="1"/>
    <xf numFmtId="22" fontId="0" fillId="0" borderId="17" xfId="0" applyNumberFormat="1" applyBorder="1"/>
    <xf numFmtId="22" fontId="0" fillId="0" borderId="10" xfId="0" applyNumberFormat="1" applyBorder="1"/>
    <xf numFmtId="0" fontId="0" fillId="0" borderId="36" xfId="0" applyBorder="1"/>
    <xf numFmtId="0" fontId="5" fillId="0" borderId="10" xfId="0" applyFont="1" applyBorder="1" applyAlignment="1">
      <alignment horizontal="right"/>
    </xf>
    <xf numFmtId="164" fontId="0" fillId="9" borderId="10" xfId="1" applyNumberFormat="1" applyFont="1" applyFill="1" applyBorder="1"/>
    <xf numFmtId="164" fontId="0" fillId="5" borderId="17" xfId="1" applyNumberFormat="1" applyFont="1" applyFill="1" applyBorder="1"/>
    <xf numFmtId="0" fontId="0" fillId="0" borderId="3" xfId="0" applyBorder="1" applyAlignment="1">
      <alignment horizontal="left" vertical="center"/>
    </xf>
    <xf numFmtId="164" fontId="0" fillId="9" borderId="3" xfId="0" applyNumberFormat="1" applyFill="1" applyBorder="1"/>
    <xf numFmtId="0" fontId="0" fillId="0" borderId="10" xfId="0" applyBorder="1" applyAlignment="1">
      <alignment horizontal="left"/>
    </xf>
    <xf numFmtId="22" fontId="0" fillId="10" borderId="0" xfId="0" applyNumberFormat="1" applyFill="1"/>
    <xf numFmtId="0" fontId="0" fillId="0" borderId="0" xfId="0" applyAlignment="1">
      <alignment vertical="center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1" xfId="0" applyFill="1" applyBorder="1"/>
    <xf numFmtId="164" fontId="0" fillId="15" borderId="1" xfId="1" applyNumberFormat="1" applyFont="1" applyFill="1" applyBorder="1"/>
    <xf numFmtId="0" fontId="0" fillId="16" borderId="14" xfId="0" applyFill="1" applyBorder="1"/>
    <xf numFmtId="22" fontId="0" fillId="16" borderId="1" xfId="0" applyNumberFormat="1" applyFill="1" applyBorder="1"/>
    <xf numFmtId="0" fontId="0" fillId="16" borderId="1" xfId="0" applyFill="1" applyBorder="1"/>
    <xf numFmtId="49" fontId="0" fillId="16" borderId="1" xfId="0" applyNumberFormat="1" applyFill="1" applyBorder="1" applyAlignment="1">
      <alignment horizontal="right"/>
    </xf>
    <xf numFmtId="164" fontId="0" fillId="16" borderId="1" xfId="1" applyNumberFormat="1" applyFont="1" applyFill="1" applyBorder="1"/>
    <xf numFmtId="164" fontId="0" fillId="16" borderId="1" xfId="1" applyNumberFormat="1" applyFont="1" applyFill="1" applyBorder="1" applyAlignment="1">
      <alignment horizontal="center" vertical="center"/>
    </xf>
    <xf numFmtId="164" fontId="0" fillId="16" borderId="1" xfId="1" applyNumberFormat="1" applyFont="1" applyFill="1" applyBorder="1" applyAlignment="1">
      <alignment vertical="center"/>
    </xf>
    <xf numFmtId="0" fontId="0" fillId="16" borderId="1" xfId="0" applyFill="1" applyBorder="1" applyAlignment="1">
      <alignment horizontal="right"/>
    </xf>
    <xf numFmtId="49" fontId="0" fillId="5" borderId="12" xfId="0" applyNumberFormat="1" applyFill="1" applyBorder="1" applyAlignment="1">
      <alignment horizontal="right"/>
    </xf>
    <xf numFmtId="49" fontId="0" fillId="15" borderId="1" xfId="0" applyNumberFormat="1" applyFill="1" applyBorder="1" applyAlignment="1">
      <alignment horizontal="right"/>
    </xf>
    <xf numFmtId="49" fontId="0" fillId="5" borderId="1" xfId="0" applyNumberFormat="1" applyFill="1" applyBorder="1" applyAlignment="1">
      <alignment horizontal="right"/>
    </xf>
    <xf numFmtId="49" fontId="0" fillId="0" borderId="17" xfId="0" applyNumberFormat="1" applyBorder="1" applyAlignment="1">
      <alignment horizontal="right"/>
    </xf>
    <xf numFmtId="49" fontId="0" fillId="9" borderId="12" xfId="0" applyNumberFormat="1" applyFill="1" applyBorder="1" applyAlignment="1">
      <alignment horizontal="right"/>
    </xf>
    <xf numFmtId="49" fontId="0" fillId="0" borderId="1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0" fontId="0" fillId="9" borderId="10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9" borderId="10" xfId="0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16" borderId="28" xfId="0" applyFill="1" applyBorder="1"/>
    <xf numFmtId="0" fontId="0" fillId="16" borderId="14" xfId="0" applyFill="1" applyBorder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16" borderId="50" xfId="0" applyFill="1" applyBorder="1"/>
    <xf numFmtId="0" fontId="0" fillId="0" borderId="51" xfId="0" applyBorder="1"/>
    <xf numFmtId="0" fontId="0" fillId="16" borderId="49" xfId="0" applyFill="1" applyBorder="1"/>
    <xf numFmtId="0" fontId="0" fillId="0" borderId="8" xfId="0" applyBorder="1"/>
    <xf numFmtId="0" fontId="5" fillId="15" borderId="1" xfId="0" applyFont="1" applyFill="1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0" fillId="5" borderId="3" xfId="0" applyFill="1" applyBorder="1" applyAlignment="1">
      <alignment horizontal="right"/>
    </xf>
    <xf numFmtId="164" fontId="0" fillId="5" borderId="3" xfId="1" applyNumberFormat="1" applyFont="1" applyFill="1" applyBorder="1"/>
    <xf numFmtId="0" fontId="0" fillId="0" borderId="36" xfId="0" applyBorder="1" applyAlignment="1">
      <alignment horizontal="center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Border="1"/>
    <xf numFmtId="22" fontId="0" fillId="10" borderId="40" xfId="0" applyNumberFormat="1" applyFill="1" applyBorder="1"/>
    <xf numFmtId="22" fontId="0" fillId="10" borderId="25" xfId="0" applyNumberFormat="1" applyFill="1" applyBorder="1"/>
    <xf numFmtId="0" fontId="0" fillId="10" borderId="25" xfId="0" applyFill="1" applyBorder="1"/>
    <xf numFmtId="0" fontId="0" fillId="10" borderId="42" xfId="0" applyFill="1" applyBorder="1"/>
    <xf numFmtId="0" fontId="0" fillId="0" borderId="25" xfId="0" applyBorder="1" applyAlignment="1">
      <alignment horizontal="right"/>
    </xf>
    <xf numFmtId="0" fontId="0" fillId="0" borderId="25" xfId="0" applyBorder="1"/>
    <xf numFmtId="164" fontId="0" fillId="0" borderId="25" xfId="1" applyNumberFormat="1" applyFont="1" applyBorder="1"/>
    <xf numFmtId="0" fontId="0" fillId="9" borderId="25" xfId="0" applyFill="1" applyBorder="1" applyAlignment="1">
      <alignment horizontal="right"/>
    </xf>
    <xf numFmtId="22" fontId="0" fillId="10" borderId="41" xfId="0" applyNumberFormat="1" applyFill="1" applyBorder="1"/>
    <xf numFmtId="22" fontId="0" fillId="10" borderId="26" xfId="0" applyNumberFormat="1" applyFill="1" applyBorder="1"/>
    <xf numFmtId="0" fontId="0" fillId="10" borderId="26" xfId="0" applyFill="1" applyBorder="1"/>
    <xf numFmtId="0" fontId="0" fillId="10" borderId="43" xfId="0" applyFill="1" applyBorder="1"/>
    <xf numFmtId="0" fontId="0" fillId="0" borderId="26" xfId="0" applyBorder="1" applyAlignment="1">
      <alignment horizontal="right"/>
    </xf>
    <xf numFmtId="0" fontId="0" fillId="0" borderId="26" xfId="0" applyBorder="1"/>
    <xf numFmtId="164" fontId="0" fillId="0" borderId="26" xfId="1" applyNumberFormat="1" applyFont="1" applyBorder="1"/>
    <xf numFmtId="0" fontId="0" fillId="5" borderId="26" xfId="0" applyFill="1" applyBorder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12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16" borderId="1" xfId="0" applyNumberFormat="1" applyFill="1" applyBorder="1" applyAlignment="1">
      <alignment horizontal="left"/>
    </xf>
    <xf numFmtId="49" fontId="0" fillId="0" borderId="17" xfId="0" applyNumberFormat="1" applyBorder="1" applyAlignment="1">
      <alignment horizontal="left"/>
    </xf>
    <xf numFmtId="0" fontId="0" fillId="16" borderId="1" xfId="0" applyFill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16" borderId="14" xfId="0" applyFill="1" applyBorder="1" applyAlignment="1">
      <alignment horizontal="center"/>
    </xf>
    <xf numFmtId="164" fontId="0" fillId="9" borderId="10" xfId="1" applyNumberFormat="1" applyFont="1" applyFill="1" applyBorder="1" applyAlignment="1">
      <alignment vertical="center"/>
    </xf>
    <xf numFmtId="49" fontId="0" fillId="16" borderId="1" xfId="0" applyNumberFormat="1" applyFill="1" applyBorder="1" applyAlignment="1">
      <alignment horizontal="right" vertical="center"/>
    </xf>
    <xf numFmtId="0" fontId="5" fillId="15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 wrapText="1"/>
    </xf>
    <xf numFmtId="0" fontId="0" fillId="9" borderId="47" xfId="0" applyFill="1" applyBorder="1" applyAlignment="1">
      <alignment horizontal="center" vertical="center" wrapText="1"/>
    </xf>
    <xf numFmtId="0" fontId="0" fillId="9" borderId="52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164" fontId="0" fillId="9" borderId="12" xfId="1" applyNumberFormat="1" applyFont="1" applyFill="1" applyBorder="1" applyAlignment="1">
      <alignment horizontal="right" vertical="center"/>
    </xf>
    <xf numFmtId="164" fontId="0" fillId="9" borderId="1" xfId="1" applyNumberFormat="1" applyFont="1" applyFill="1" applyBorder="1" applyAlignment="1">
      <alignment horizontal="right" vertical="center"/>
    </xf>
    <xf numFmtId="10" fontId="0" fillId="9" borderId="12" xfId="2" applyNumberFormat="1" applyFont="1" applyFill="1" applyBorder="1" applyAlignment="1">
      <alignment horizontal="center" vertical="center"/>
    </xf>
    <xf numFmtId="10" fontId="0" fillId="9" borderId="1" xfId="2" applyNumberFormat="1" applyFont="1" applyFill="1" applyBorder="1" applyAlignment="1">
      <alignment horizontal="center" vertical="center"/>
    </xf>
    <xf numFmtId="10" fontId="0" fillId="9" borderId="17" xfId="2" applyNumberFormat="1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164" fontId="0" fillId="5" borderId="12" xfId="1" applyNumberFormat="1" applyFont="1" applyFill="1" applyBorder="1" applyAlignment="1">
      <alignment horizontal="right" vertical="center"/>
    </xf>
    <xf numFmtId="164" fontId="0" fillId="5" borderId="1" xfId="1" applyNumberFormat="1" applyFont="1" applyFill="1" applyBorder="1" applyAlignment="1">
      <alignment horizontal="right" vertical="center"/>
    </xf>
    <xf numFmtId="10" fontId="0" fillId="5" borderId="12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17" xfId="2" applyNumberFormat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164" fontId="0" fillId="6" borderId="12" xfId="1" applyNumberFormat="1" applyFont="1" applyFill="1" applyBorder="1" applyAlignment="1">
      <alignment horizontal="right" vertical="center"/>
    </xf>
    <xf numFmtId="164" fontId="0" fillId="6" borderId="1" xfId="1" applyNumberFormat="1" applyFont="1" applyFill="1" applyBorder="1" applyAlignment="1">
      <alignment horizontal="right" vertical="center"/>
    </xf>
    <xf numFmtId="10" fontId="0" fillId="6" borderId="12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6" borderId="3" xfId="2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0" fontId="0" fillId="6" borderId="17" xfId="2" applyNumberFormat="1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164" fontId="0" fillId="9" borderId="12" xfId="1" applyNumberFormat="1" applyFont="1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164" fontId="0" fillId="9" borderId="25" xfId="1" applyNumberFormat="1" applyFont="1" applyFill="1" applyBorder="1" applyAlignment="1">
      <alignment horizontal="center" vertical="center"/>
    </xf>
    <xf numFmtId="164" fontId="0" fillId="9" borderId="0" xfId="1" applyNumberFormat="1" applyFont="1" applyFill="1" applyBorder="1" applyAlignment="1">
      <alignment horizontal="center" vertical="center"/>
    </xf>
    <xf numFmtId="164" fontId="0" fillId="9" borderId="7" xfId="1" applyNumberFormat="1" applyFont="1" applyFill="1" applyBorder="1" applyAlignment="1">
      <alignment horizontal="center" vertical="center"/>
    </xf>
    <xf numFmtId="10" fontId="0" fillId="9" borderId="3" xfId="2" applyNumberFormat="1" applyFont="1" applyFill="1" applyBorder="1" applyAlignment="1">
      <alignment horizontal="center" vertical="center"/>
    </xf>
    <xf numFmtId="10" fontId="0" fillId="9" borderId="40" xfId="2" applyNumberFormat="1" applyFont="1" applyFill="1" applyBorder="1" applyAlignment="1">
      <alignment horizontal="center" vertical="center"/>
    </xf>
    <xf numFmtId="10" fontId="0" fillId="9" borderId="5" xfId="2" applyNumberFormat="1" applyFont="1" applyFill="1" applyBorder="1" applyAlignment="1">
      <alignment horizontal="center" vertical="center"/>
    </xf>
    <xf numFmtId="10" fontId="0" fillId="9" borderId="41" xfId="2" applyNumberFormat="1" applyFont="1" applyFill="1" applyBorder="1" applyAlignment="1">
      <alignment horizontal="center" vertical="center"/>
    </xf>
    <xf numFmtId="10" fontId="0" fillId="9" borderId="13" xfId="2" applyNumberFormat="1" applyFont="1" applyFill="1" applyBorder="1" applyAlignment="1">
      <alignment horizontal="center" vertical="center"/>
    </xf>
    <xf numFmtId="10" fontId="0" fillId="9" borderId="15" xfId="2" applyNumberFormat="1" applyFont="1" applyFill="1" applyBorder="1" applyAlignment="1">
      <alignment horizontal="center" vertical="center"/>
    </xf>
    <xf numFmtId="10" fontId="0" fillId="9" borderId="20" xfId="2" applyNumberFormat="1" applyFont="1" applyFill="1" applyBorder="1" applyAlignment="1">
      <alignment horizontal="center" vertical="center"/>
    </xf>
    <xf numFmtId="10" fontId="0" fillId="9" borderId="39" xfId="2" applyNumberFormat="1" applyFont="1" applyFill="1" applyBorder="1" applyAlignment="1">
      <alignment horizontal="center" vertical="center"/>
    </xf>
    <xf numFmtId="10" fontId="0" fillId="9" borderId="37" xfId="2" applyNumberFormat="1" applyFont="1" applyFill="1" applyBorder="1" applyAlignment="1">
      <alignment horizontal="center" vertical="center"/>
    </xf>
    <xf numFmtId="10" fontId="0" fillId="9" borderId="38" xfId="2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164" fontId="0" fillId="9" borderId="10" xfId="1" applyNumberFormat="1" applyFont="1" applyFill="1" applyBorder="1" applyAlignment="1">
      <alignment horizontal="center" vertical="center"/>
    </xf>
    <xf numFmtId="10" fontId="0" fillId="9" borderId="10" xfId="2" applyNumberFormat="1" applyFont="1" applyFill="1" applyBorder="1" applyAlignment="1">
      <alignment horizontal="center" vertical="center"/>
    </xf>
    <xf numFmtId="164" fontId="0" fillId="6" borderId="10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0" fontId="0" fillId="6" borderId="21" xfId="2" applyNumberFormat="1" applyFont="1" applyFill="1" applyBorder="1" applyAlignment="1">
      <alignment horizontal="center" vertical="center"/>
    </xf>
    <xf numFmtId="10" fontId="0" fillId="6" borderId="15" xfId="2" applyNumberFormat="1" applyFont="1" applyFill="1" applyBorder="1" applyAlignment="1">
      <alignment horizontal="center" vertical="center"/>
    </xf>
    <xf numFmtId="10" fontId="0" fillId="6" borderId="18" xfId="2" applyNumberFormat="1" applyFont="1" applyFill="1" applyBorder="1" applyAlignment="1">
      <alignment horizontal="center" vertical="center"/>
    </xf>
    <xf numFmtId="164" fontId="0" fillId="6" borderId="12" xfId="1" applyNumberFormat="1" applyFont="1" applyFill="1" applyBorder="1" applyAlignment="1">
      <alignment horizontal="center" vertical="center"/>
    </xf>
    <xf numFmtId="10" fontId="0" fillId="6" borderId="13" xfId="2" applyNumberFormat="1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10" fontId="0" fillId="6" borderId="10" xfId="2" applyNumberFormat="1" applyFont="1" applyFill="1" applyBorder="1" applyAlignment="1">
      <alignment horizontal="center" vertical="center"/>
    </xf>
    <xf numFmtId="10" fontId="0" fillId="5" borderId="13" xfId="2" applyNumberFormat="1" applyFont="1" applyFill="1" applyBorder="1" applyAlignment="1">
      <alignment horizontal="right" vertical="center"/>
    </xf>
    <xf numFmtId="10" fontId="0" fillId="5" borderId="15" xfId="2" applyNumberFormat="1" applyFont="1" applyFill="1" applyBorder="1" applyAlignment="1">
      <alignment horizontal="right" vertical="center"/>
    </xf>
    <xf numFmtId="10" fontId="0" fillId="5" borderId="18" xfId="2" applyNumberFormat="1" applyFont="1" applyFill="1" applyBorder="1" applyAlignment="1">
      <alignment horizontal="right" vertical="center"/>
    </xf>
    <xf numFmtId="10" fontId="0" fillId="9" borderId="12" xfId="2" applyNumberFormat="1" applyFont="1" applyFill="1" applyBorder="1" applyAlignment="1">
      <alignment horizontal="right" vertical="center"/>
    </xf>
    <xf numFmtId="10" fontId="0" fillId="9" borderId="1" xfId="2" applyNumberFormat="1" applyFont="1" applyFill="1" applyBorder="1" applyAlignment="1">
      <alignment horizontal="right" vertical="center"/>
    </xf>
    <xf numFmtId="10" fontId="0" fillId="9" borderId="17" xfId="2" applyNumberFormat="1" applyFont="1" applyFill="1" applyBorder="1" applyAlignment="1">
      <alignment horizontal="right" vertical="center"/>
    </xf>
    <xf numFmtId="10" fontId="0" fillId="6" borderId="12" xfId="2" applyNumberFormat="1" applyFont="1" applyFill="1" applyBorder="1" applyAlignment="1">
      <alignment horizontal="right" vertical="center"/>
    </xf>
    <xf numFmtId="10" fontId="0" fillId="6" borderId="1" xfId="2" applyNumberFormat="1" applyFont="1" applyFill="1" applyBorder="1" applyAlignment="1">
      <alignment horizontal="right" vertical="center"/>
    </xf>
    <xf numFmtId="10" fontId="0" fillId="6" borderId="17" xfId="2" applyNumberFormat="1" applyFont="1" applyFill="1" applyBorder="1" applyAlignment="1">
      <alignment horizontal="right" vertical="center"/>
    </xf>
    <xf numFmtId="10" fontId="0" fillId="9" borderId="10" xfId="2" applyNumberFormat="1" applyFont="1" applyFill="1" applyBorder="1" applyAlignment="1">
      <alignment horizontal="right" vertical="center"/>
    </xf>
    <xf numFmtId="10" fontId="0" fillId="9" borderId="3" xfId="2" applyNumberFormat="1" applyFont="1" applyFill="1" applyBorder="1" applyAlignment="1">
      <alignment horizontal="right" vertical="center"/>
    </xf>
    <xf numFmtId="164" fontId="0" fillId="6" borderId="10" xfId="1" applyNumberFormat="1" applyFont="1" applyFill="1" applyBorder="1" applyAlignment="1">
      <alignment horizontal="right" vertical="center"/>
    </xf>
    <xf numFmtId="10" fontId="0" fillId="6" borderId="20" xfId="2" applyNumberFormat="1" applyFon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164" fontId="0" fillId="9" borderId="15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10" fontId="0" fillId="9" borderId="21" xfId="2" applyNumberFormat="1" applyFont="1" applyFill="1" applyBorder="1" applyAlignment="1">
      <alignment horizontal="center" vertical="center"/>
    </xf>
    <xf numFmtId="10" fontId="0" fillId="9" borderId="18" xfId="2" applyNumberFormat="1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164" fontId="0" fillId="6" borderId="27" xfId="1" applyNumberFormat="1" applyFont="1" applyFill="1" applyBorder="1" applyAlignment="1">
      <alignment horizontal="center" vertical="center"/>
    </xf>
    <xf numFmtId="164" fontId="0" fillId="6" borderId="9" xfId="1" applyNumberFormat="1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 wrapText="1"/>
    </xf>
    <xf numFmtId="164" fontId="0" fillId="9" borderId="17" xfId="1" applyNumberFormat="1" applyFont="1" applyFill="1" applyBorder="1" applyAlignment="1">
      <alignment horizontal="center" vertical="center"/>
    </xf>
    <xf numFmtId="164" fontId="0" fillId="5" borderId="12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164" fontId="0" fillId="9" borderId="27" xfId="1" applyNumberFormat="1" applyFont="1" applyFill="1" applyBorder="1" applyAlignment="1">
      <alignment horizontal="center" vertical="center"/>
    </xf>
    <xf numFmtId="164" fontId="0" fillId="9" borderId="9" xfId="1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165" fontId="0" fillId="9" borderId="10" xfId="2" applyNumberFormat="1" applyFont="1" applyFill="1" applyBorder="1" applyAlignment="1">
      <alignment horizontal="right" vertical="center"/>
    </xf>
    <xf numFmtId="165" fontId="0" fillId="9" borderId="1" xfId="2" applyNumberFormat="1" applyFont="1" applyFill="1" applyBorder="1" applyAlignment="1">
      <alignment horizontal="right" vertical="center"/>
    </xf>
    <xf numFmtId="165" fontId="0" fillId="9" borderId="17" xfId="2" applyNumberFormat="1" applyFont="1" applyFill="1" applyBorder="1" applyAlignment="1">
      <alignment horizontal="right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164" fontId="0" fillId="9" borderId="12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0" fontId="0" fillId="9" borderId="21" xfId="2" applyNumberFormat="1" applyFont="1" applyFill="1" applyBorder="1" applyAlignment="1">
      <alignment horizontal="right" vertical="center"/>
    </xf>
    <xf numFmtId="10" fontId="0" fillId="9" borderId="15" xfId="2" applyNumberFormat="1" applyFont="1" applyFill="1" applyBorder="1" applyAlignment="1">
      <alignment horizontal="right" vertical="center"/>
    </xf>
    <xf numFmtId="10" fontId="0" fillId="9" borderId="18" xfId="2" applyNumberFormat="1" applyFont="1" applyFill="1" applyBorder="1" applyAlignment="1">
      <alignment horizontal="right" vertical="center"/>
    </xf>
    <xf numFmtId="10" fontId="0" fillId="6" borderId="10" xfId="2" applyNumberFormat="1" applyFont="1" applyFill="1" applyBorder="1" applyAlignment="1">
      <alignment horizontal="right" vertical="center"/>
    </xf>
    <xf numFmtId="10" fontId="0" fillId="6" borderId="3" xfId="2" applyNumberFormat="1" applyFont="1" applyFill="1" applyBorder="1" applyAlignment="1">
      <alignment horizontal="right" vertical="center"/>
    </xf>
    <xf numFmtId="10" fontId="0" fillId="6" borderId="13" xfId="2" applyNumberFormat="1" applyFont="1" applyFill="1" applyBorder="1" applyAlignment="1">
      <alignment horizontal="right" vertical="center"/>
    </xf>
    <xf numFmtId="10" fontId="0" fillId="6" borderId="15" xfId="2" applyNumberFormat="1" applyFont="1" applyFill="1" applyBorder="1" applyAlignment="1">
      <alignment horizontal="right" vertical="center"/>
    </xf>
    <xf numFmtId="10" fontId="0" fillId="6" borderId="18" xfId="2" applyNumberFormat="1" applyFont="1" applyFill="1" applyBorder="1" applyAlignment="1">
      <alignment horizontal="right" vertical="center"/>
    </xf>
    <xf numFmtId="10" fontId="0" fillId="9" borderId="13" xfId="2" applyNumberFormat="1" applyFont="1" applyFill="1" applyBorder="1" applyAlignment="1">
      <alignment horizontal="right" vertical="center"/>
    </xf>
    <xf numFmtId="0" fontId="0" fillId="9" borderId="29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4"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  <dxf>
      <fill>
        <patternFill>
          <bgColor rgb="FFFF6ACA"/>
        </patternFill>
      </fill>
    </dxf>
  </dxfs>
  <tableStyles count="0" defaultTableStyle="TableStyleMedium2" defaultPivotStyle="PivotStyleLight16"/>
  <colors>
    <mruColors>
      <color rgb="FF00FFBC"/>
      <color rgb="FFFF6ACA"/>
      <color rgb="FFB9FF0B"/>
      <color rgb="FF67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B44D-833D-AF41-92B6-B65A74229159}">
  <dimension ref="A1:AK2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baseColWidth="10" defaultRowHeight="16" x14ac:dyDescent="0.2"/>
  <cols>
    <col min="2" max="2" width="19.5" bestFit="1" customWidth="1"/>
    <col min="3" max="3" width="33.6640625" style="215" bestFit="1" customWidth="1"/>
    <col min="4" max="4" width="10.83203125" style="29"/>
    <col min="5" max="5" width="11.33203125" style="30" hidden="1" customWidth="1"/>
    <col min="6" max="12" width="10.83203125" style="30" hidden="1" customWidth="1"/>
    <col min="13" max="13" width="10.83203125" style="31" customWidth="1"/>
    <col min="14" max="14" width="21.33203125" style="90" customWidth="1"/>
    <col min="16" max="16" width="12.5" bestFit="1" customWidth="1"/>
    <col min="17" max="17" width="11.5" bestFit="1" customWidth="1"/>
    <col min="18" max="19" width="12.83203125" customWidth="1"/>
    <col min="20" max="20" width="8" customWidth="1"/>
    <col min="21" max="22" width="8" hidden="1" customWidth="1"/>
    <col min="23" max="23" width="8" customWidth="1"/>
    <col min="24" max="24" width="32" style="90" bestFit="1" customWidth="1"/>
    <col min="26" max="26" width="11.5" bestFit="1" customWidth="1"/>
    <col min="27" max="27" width="11" bestFit="1" customWidth="1"/>
    <col min="28" max="29" width="16.33203125" customWidth="1"/>
    <col min="30" max="30" width="77.1640625" customWidth="1"/>
    <col min="31" max="31" width="17.6640625" bestFit="1" customWidth="1"/>
    <col min="34" max="34" width="19" bestFit="1" customWidth="1"/>
    <col min="35" max="35" width="17.6640625" bestFit="1" customWidth="1"/>
    <col min="38" max="38" width="13.5" bestFit="1" customWidth="1"/>
    <col min="39" max="39" width="12.5" bestFit="1" customWidth="1"/>
  </cols>
  <sheetData>
    <row r="1" spans="1:34" ht="17" thickBot="1" x14ac:dyDescent="0.25">
      <c r="A1" t="s">
        <v>0</v>
      </c>
      <c r="B1" t="s">
        <v>192</v>
      </c>
      <c r="C1" s="215" t="s">
        <v>193</v>
      </c>
      <c r="D1" s="29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6</v>
      </c>
      <c r="K1" s="30" t="s">
        <v>7</v>
      </c>
      <c r="L1" s="30" t="s">
        <v>8</v>
      </c>
      <c r="M1" s="31" t="s">
        <v>9</v>
      </c>
      <c r="N1" s="90" t="s">
        <v>2</v>
      </c>
      <c r="O1" t="s">
        <v>3</v>
      </c>
      <c r="P1" t="s">
        <v>6</v>
      </c>
      <c r="Q1" t="s">
        <v>7</v>
      </c>
      <c r="R1" t="s">
        <v>525</v>
      </c>
      <c r="S1" t="s">
        <v>527</v>
      </c>
      <c r="T1" s="30" t="s">
        <v>6</v>
      </c>
      <c r="U1" s="30" t="s">
        <v>7</v>
      </c>
      <c r="V1" s="30" t="s">
        <v>6</v>
      </c>
      <c r="W1" s="30" t="s">
        <v>7</v>
      </c>
      <c r="X1" s="183" t="s">
        <v>566</v>
      </c>
      <c r="Y1" t="s">
        <v>3</v>
      </c>
      <c r="Z1" t="s">
        <v>6</v>
      </c>
      <c r="AA1" t="s">
        <v>7</v>
      </c>
      <c r="AB1" t="s">
        <v>525</v>
      </c>
      <c r="AC1" t="s">
        <v>527</v>
      </c>
      <c r="AD1" t="s">
        <v>526</v>
      </c>
    </row>
    <row r="2" spans="1:34" ht="16" customHeight="1" x14ac:dyDescent="0.2">
      <c r="A2" s="365" t="s">
        <v>716</v>
      </c>
      <c r="B2" s="64" t="s">
        <v>215</v>
      </c>
      <c r="C2" s="216" t="s">
        <v>216</v>
      </c>
      <c r="D2" s="40">
        <f>VLOOKUP(N2,contoare!A:K,2,FALSE)</f>
        <v>45870</v>
      </c>
      <c r="E2" s="40">
        <f>VLOOKUP(N2,contoare!A:K,3,FALSE)</f>
        <v>45901</v>
      </c>
      <c r="F2" s="41">
        <f>VLOOKUP(N2,contoare!A:K,4,FALSE)</f>
        <v>2288.636</v>
      </c>
      <c r="G2" s="41">
        <f>VLOOKUP(N2,contoare!A:K,5,FALSE)</f>
        <v>0</v>
      </c>
      <c r="H2" s="41">
        <f>VLOOKUP(N2,contoare!A:K,6,FALSE)</f>
        <v>1.1060000000000001</v>
      </c>
      <c r="I2" s="41">
        <f>VLOOKUP(N2,contoare!A:K,7,FALSE)</f>
        <v>246.11699999999999</v>
      </c>
      <c r="J2" s="41">
        <f>VLOOKUP(N2,contoare!A:K,8,FALSE)</f>
        <v>2572.7469999999998</v>
      </c>
      <c r="K2" s="41">
        <f>VLOOKUP(N2,contoare!A:K,9,FALSE)</f>
        <v>0</v>
      </c>
      <c r="L2" s="41">
        <f>VLOOKUP(N2,contoare!A:K,10,FALSE)</f>
        <v>1.385</v>
      </c>
      <c r="M2" s="41">
        <f>VLOOKUP(N2,contoare!A:K,11,FALSE)</f>
        <v>275.49400000000003</v>
      </c>
      <c r="N2" s="91" t="s">
        <v>14</v>
      </c>
      <c r="O2" s="39">
        <v>300</v>
      </c>
      <c r="P2" s="69">
        <f t="shared" ref="P2:P7" si="0">(J2-F2)*O2</f>
        <v>85233.299999999959</v>
      </c>
      <c r="Q2" s="69">
        <f t="shared" ref="Q2:Q7" si="1">(K2-G2)*O2</f>
        <v>0</v>
      </c>
      <c r="R2" s="307">
        <f>P2+P4+P5+P7-Q7-Q5-Q4-Q2</f>
        <v>298762.79999999987</v>
      </c>
      <c r="S2" s="270">
        <f>(R9-R2)/R9</f>
        <v>4.3502982221923822E-2</v>
      </c>
      <c r="T2" s="41">
        <f>VLOOKUP(X2,contoare!A:K,4,FALSE)</f>
        <v>2270.2359999999999</v>
      </c>
      <c r="U2" s="41">
        <f>VLOOKUP(X2,contoare!A:K,5,FALSE)</f>
        <v>17.010000000000002</v>
      </c>
      <c r="V2" s="41">
        <f>VLOOKUP(X2,contoare!A:K,8,FALSE)</f>
        <v>2486.5070000000001</v>
      </c>
      <c r="W2" s="41">
        <f>VLOOKUP(X2,contoare!A:K,9,FALSE)</f>
        <v>20.045999999999999</v>
      </c>
      <c r="X2" s="168" t="s">
        <v>11</v>
      </c>
      <c r="Y2" s="39">
        <v>300</v>
      </c>
      <c r="Z2" s="42">
        <f>IF(LEFT(N2,3)&lt;&gt;"HXE",P2,(V2-T2)*Y2)</f>
        <v>64881.300000000054</v>
      </c>
      <c r="AA2" s="42">
        <f>IF(LEFT(X2,3)&lt;&gt;"HXE",Q2,(W2-U2)*Y2)</f>
        <v>910.79999999999939</v>
      </c>
      <c r="AB2" s="307">
        <f>Z2+Z4+Z5+Z7-AA7-AA5-AA4-AA2</f>
        <v>298762.79999999987</v>
      </c>
      <c r="AC2" s="308">
        <f>(AB9-AB2)/AB9</f>
        <v>4.3502982221923822E-2</v>
      </c>
      <c r="AD2" s="367" t="s">
        <v>711</v>
      </c>
      <c r="AG2" s="133"/>
      <c r="AH2" t="s">
        <v>728</v>
      </c>
    </row>
    <row r="3" spans="1:34" x14ac:dyDescent="0.2">
      <c r="A3" s="352"/>
      <c r="B3" s="65" t="s">
        <v>429</v>
      </c>
      <c r="C3" s="217" t="s">
        <v>430</v>
      </c>
      <c r="D3" s="37">
        <f>VLOOKUP(N3,contoare!A:K,2,FALSE)</f>
        <v>45870</v>
      </c>
      <c r="E3" s="37">
        <f>VLOOKUP(N3,contoare!A:K,3,FALSE)</f>
        <v>45901</v>
      </c>
      <c r="F3" s="38">
        <f>VLOOKUP(N3,contoare!A:K,4,FALSE)</f>
        <v>2859.1060000000002</v>
      </c>
      <c r="G3" s="38">
        <f>VLOOKUP(N3,contoare!A:K,5,FALSE)</f>
        <v>1.7490000000000001</v>
      </c>
      <c r="H3" s="38">
        <f>VLOOKUP(N3,contoare!A:K,6,FALSE)</f>
        <v>32.558999999999997</v>
      </c>
      <c r="I3" s="38">
        <f>VLOOKUP(N3,contoare!A:K,7,FALSE)</f>
        <v>3.7999999999999999E-2</v>
      </c>
      <c r="J3" s="38">
        <f>VLOOKUP(N3,contoare!A:K,8,FALSE)</f>
        <v>3420.2460000000001</v>
      </c>
      <c r="K3" s="38">
        <f>VLOOKUP(N3,contoare!A:K,9,FALSE)</f>
        <v>1.903</v>
      </c>
      <c r="L3" s="38">
        <f>VLOOKUP(N3,contoare!A:K,10,FALSE)</f>
        <v>35.956000000000003</v>
      </c>
      <c r="M3" s="38">
        <f>VLOOKUP(N3,contoare!A:K,11,FALSE)</f>
        <v>5.2999999999999999E-2</v>
      </c>
      <c r="N3" s="157" t="s">
        <v>13</v>
      </c>
      <c r="O3" s="158">
        <v>300</v>
      </c>
      <c r="P3" s="159">
        <f t="shared" si="0"/>
        <v>168341.99999999997</v>
      </c>
      <c r="Q3" s="159">
        <f t="shared" si="1"/>
        <v>46.199999999999974</v>
      </c>
      <c r="R3" s="303"/>
      <c r="S3" s="271"/>
      <c r="T3" s="38">
        <f>VLOOKUP(X3,contoare!A:K,4,FALSE)</f>
        <v>2859.1060000000002</v>
      </c>
      <c r="U3" s="38">
        <f>VLOOKUP(X3,contoare!A:K,5,FALSE)</f>
        <v>1.7490000000000001</v>
      </c>
      <c r="V3" s="38">
        <f>VLOOKUP(X3,contoare!A:K,8,FALSE)</f>
        <v>3420.2460000000001</v>
      </c>
      <c r="W3" s="38">
        <f>VLOOKUP(X3,contoare!A:K,9,FALSE)</f>
        <v>1.903</v>
      </c>
      <c r="X3" s="169" t="s">
        <v>13</v>
      </c>
      <c r="Y3" s="158">
        <v>300</v>
      </c>
      <c r="Z3" s="159">
        <f t="shared" ref="Z3:Z5" si="2">IF(LEFT(N3,3)&lt;&gt;"HXE",P3,(V3-T3)*Y3)</f>
        <v>168341.99999999997</v>
      </c>
      <c r="AA3" s="159">
        <f t="shared" ref="AA3:AA79" si="3">IF(LEFT(X3,3)&lt;&gt;"HXE",Q3,(W3-U3)*Y3)</f>
        <v>46.199999999999974</v>
      </c>
      <c r="AB3" s="303"/>
      <c r="AC3" s="305"/>
      <c r="AD3" s="368"/>
      <c r="AG3" s="10"/>
      <c r="AH3" t="s">
        <v>602</v>
      </c>
    </row>
    <row r="4" spans="1:34" x14ac:dyDescent="0.2">
      <c r="A4" s="352"/>
      <c r="B4" s="65" t="s">
        <v>217</v>
      </c>
      <c r="C4" s="217" t="s">
        <v>218</v>
      </c>
      <c r="D4" s="37">
        <f>VLOOKUP(N4,contoare!A:K,2,FALSE)</f>
        <v>45870</v>
      </c>
      <c r="E4" s="37">
        <f>VLOOKUP(N4,contoare!A:K,3,FALSE)</f>
        <v>45901</v>
      </c>
      <c r="F4" s="38">
        <f>VLOOKUP(N4,contoare!A:K,4,FALSE)</f>
        <v>2270.2359999999999</v>
      </c>
      <c r="G4" s="38">
        <f>VLOOKUP(N4,contoare!A:K,5,FALSE)</f>
        <v>17.010000000000002</v>
      </c>
      <c r="H4" s="38">
        <f>VLOOKUP(N4,contoare!A:K,6,FALSE)</f>
        <v>436.14800000000002</v>
      </c>
      <c r="I4" s="38">
        <f>VLOOKUP(N4,contoare!A:K,7,FALSE)</f>
        <v>20.632000000000001</v>
      </c>
      <c r="J4" s="38">
        <f>VLOOKUP(N4,contoare!A:K,8,FALSE)</f>
        <v>2486.5070000000001</v>
      </c>
      <c r="K4" s="38">
        <f>VLOOKUP(N4,contoare!A:K,9,FALSE)</f>
        <v>20.045999999999999</v>
      </c>
      <c r="L4" s="38">
        <f>VLOOKUP(N4,contoare!A:K,10,FALSE)</f>
        <v>474.01</v>
      </c>
      <c r="M4" s="38">
        <f>VLOOKUP(N4,contoare!A:K,11,FALSE)</f>
        <v>24.241</v>
      </c>
      <c r="N4" s="92" t="s">
        <v>11</v>
      </c>
      <c r="O4" s="26">
        <v>300</v>
      </c>
      <c r="P4" s="70">
        <f t="shared" si="0"/>
        <v>64881.300000000054</v>
      </c>
      <c r="Q4" s="70">
        <f t="shared" si="1"/>
        <v>910.79999999999939</v>
      </c>
      <c r="R4" s="303"/>
      <c r="S4" s="271"/>
      <c r="T4" s="38">
        <f>VLOOKUP(X4,contoare!A:K,4,FALSE)</f>
        <v>2288.636</v>
      </c>
      <c r="U4" s="38">
        <f>VLOOKUP(X4,contoare!A:K,5,FALSE)</f>
        <v>0</v>
      </c>
      <c r="V4" s="38">
        <f>VLOOKUP(X4,contoare!A:K,8,FALSE)</f>
        <v>2572.7469999999998</v>
      </c>
      <c r="W4" s="38">
        <f>VLOOKUP(X4,contoare!A:K,9,FALSE)</f>
        <v>0</v>
      </c>
      <c r="X4" s="170" t="s">
        <v>14</v>
      </c>
      <c r="Y4" s="26">
        <v>300</v>
      </c>
      <c r="Z4" s="27">
        <f t="shared" si="2"/>
        <v>85233.299999999959</v>
      </c>
      <c r="AA4" s="27">
        <f t="shared" si="3"/>
        <v>0</v>
      </c>
      <c r="AB4" s="303"/>
      <c r="AC4" s="305"/>
      <c r="AD4" s="368"/>
    </row>
    <row r="5" spans="1:34" x14ac:dyDescent="0.2">
      <c r="A5" s="352"/>
      <c r="B5" s="65" t="s">
        <v>219</v>
      </c>
      <c r="C5" s="217" t="s">
        <v>220</v>
      </c>
      <c r="D5" s="37">
        <f>VLOOKUP(N5,contoare!A:K,2,FALSE)</f>
        <v>45870</v>
      </c>
      <c r="E5" s="37">
        <f>VLOOKUP(N5,contoare!A:K,3,FALSE)</f>
        <v>45901</v>
      </c>
      <c r="F5" s="38">
        <f>VLOOKUP(N5,contoare!A:K,4,FALSE)</f>
        <v>1405.3030000000001</v>
      </c>
      <c r="G5" s="38">
        <f>VLOOKUP(N5,contoare!A:K,5,FALSE)</f>
        <v>1513.874</v>
      </c>
      <c r="H5" s="38">
        <f>VLOOKUP(N5,contoare!A:K,6,FALSE)</f>
        <v>80.185000000000002</v>
      </c>
      <c r="I5" s="38">
        <f>VLOOKUP(N5,contoare!A:K,7,FALSE)</f>
        <v>226.50299999999999</v>
      </c>
      <c r="J5" s="38">
        <f>VLOOKUP(N5,contoare!A:K,8,FALSE)</f>
        <v>1570.36</v>
      </c>
      <c r="K5" s="38">
        <f>VLOOKUP(N5,contoare!A:K,9,FALSE)</f>
        <v>1797.8620000000001</v>
      </c>
      <c r="L5" s="38">
        <f>VLOOKUP(N5,contoare!A:K,10,FALSE)</f>
        <v>122.40600000000001</v>
      </c>
      <c r="M5" s="38">
        <f>VLOOKUP(N5,contoare!A:K,11,FALSE)</f>
        <v>235.63399999999999</v>
      </c>
      <c r="N5" s="92" t="s">
        <v>12</v>
      </c>
      <c r="O5" s="26">
        <v>300</v>
      </c>
      <c r="P5" s="70">
        <f t="shared" si="0"/>
        <v>49517.099999999933</v>
      </c>
      <c r="Q5" s="70">
        <f t="shared" si="1"/>
        <v>85196.400000000023</v>
      </c>
      <c r="R5" s="303"/>
      <c r="S5" s="271"/>
      <c r="T5" s="38">
        <f>VLOOKUP(X5,contoare!A:K,4,FALSE)</f>
        <v>1405.3030000000001</v>
      </c>
      <c r="U5" s="38">
        <f>VLOOKUP(X5,contoare!A:K,5,FALSE)</f>
        <v>1513.874</v>
      </c>
      <c r="V5" s="38">
        <f>VLOOKUP(X5,contoare!A:K,8,FALSE)</f>
        <v>1570.36</v>
      </c>
      <c r="W5" s="38">
        <f>VLOOKUP(X5,contoare!A:K,9,FALSE)</f>
        <v>1797.8620000000001</v>
      </c>
      <c r="X5" s="170" t="s">
        <v>12</v>
      </c>
      <c r="Y5" s="26">
        <v>300</v>
      </c>
      <c r="Z5" s="27">
        <f t="shared" si="2"/>
        <v>49517.099999999933</v>
      </c>
      <c r="AA5" s="27">
        <f t="shared" si="3"/>
        <v>85196.400000000023</v>
      </c>
      <c r="AB5" s="303"/>
      <c r="AC5" s="305"/>
      <c r="AD5" s="368"/>
      <c r="AG5" s="132"/>
      <c r="AH5" t="s">
        <v>710</v>
      </c>
    </row>
    <row r="6" spans="1:34" x14ac:dyDescent="0.2">
      <c r="A6" s="352"/>
      <c r="B6" s="65" t="s">
        <v>431</v>
      </c>
      <c r="C6" s="217" t="s">
        <v>432</v>
      </c>
      <c r="D6" s="37">
        <f>VLOOKUP(N6,contoare!A:K,2,FALSE)</f>
        <v>45870</v>
      </c>
      <c r="E6" s="37">
        <f>VLOOKUP(N6,contoare!A:K,3,FALSE)</f>
        <v>45901</v>
      </c>
      <c r="F6" s="38">
        <f>VLOOKUP(N6,contoare!A:K,4,FALSE)</f>
        <v>2292.5569999999998</v>
      </c>
      <c r="G6" s="38">
        <f>VLOOKUP(N6,contoare!A:K,5,FALSE)</f>
        <v>1.129</v>
      </c>
      <c r="H6" s="38">
        <f>VLOOKUP(N6,contoare!A:K,6,FALSE)</f>
        <v>26.669</v>
      </c>
      <c r="I6" s="38">
        <f>VLOOKUP(N6,contoare!A:K,7,FALSE)</f>
        <v>0.34399999999999997</v>
      </c>
      <c r="J6" s="38">
        <f>VLOOKUP(N6,contoare!A:K,8,FALSE)</f>
        <v>2731.893</v>
      </c>
      <c r="K6" s="38">
        <f>VLOOKUP(N6,contoare!A:K,9,FALSE)</f>
        <v>1.23</v>
      </c>
      <c r="L6" s="38">
        <f>VLOOKUP(N6,contoare!A:K,10,FALSE)</f>
        <v>29.119</v>
      </c>
      <c r="M6" s="38">
        <f>VLOOKUP(N6,contoare!A:K,11,FALSE)</f>
        <v>0.47099999999999997</v>
      </c>
      <c r="N6" s="157" t="s">
        <v>10</v>
      </c>
      <c r="O6" s="158">
        <v>120</v>
      </c>
      <c r="P6" s="159">
        <f t="shared" si="0"/>
        <v>52720.320000000029</v>
      </c>
      <c r="Q6" s="159">
        <f t="shared" si="1"/>
        <v>12.119999999999997</v>
      </c>
      <c r="R6" s="303"/>
      <c r="S6" s="271"/>
      <c r="T6" s="38">
        <f>VLOOKUP(X6,contoare!A:K,4,FALSE)</f>
        <v>2292.5569999999998</v>
      </c>
      <c r="U6" s="38">
        <f>VLOOKUP(X6,contoare!A:K,5,FALSE)</f>
        <v>1.129</v>
      </c>
      <c r="V6" s="38">
        <f>VLOOKUP(X6,contoare!A:K,8,FALSE)</f>
        <v>2731.893</v>
      </c>
      <c r="W6" s="38">
        <f>VLOOKUP(X6,contoare!A:K,9,FALSE)</f>
        <v>1.23</v>
      </c>
      <c r="X6" s="169" t="s">
        <v>10</v>
      </c>
      <c r="Y6" s="158">
        <v>120</v>
      </c>
      <c r="Z6" s="159">
        <f t="shared" ref="Z6:Z82" si="4">IF(LEFT(N6,3)&lt;&gt;"HXE",P6,(V6-T6)*Y6)</f>
        <v>52720.320000000029</v>
      </c>
      <c r="AA6" s="159">
        <f t="shared" si="3"/>
        <v>12.119999999999997</v>
      </c>
      <c r="AB6" s="303"/>
      <c r="AC6" s="305"/>
      <c r="AD6" s="368"/>
    </row>
    <row r="7" spans="1:34" x14ac:dyDescent="0.2">
      <c r="A7" s="352"/>
      <c r="B7" s="65" t="s">
        <v>221</v>
      </c>
      <c r="C7" s="217" t="s">
        <v>222</v>
      </c>
      <c r="D7" s="37">
        <f>VLOOKUP(N7,contoare!A:K,2,FALSE)</f>
        <v>45870</v>
      </c>
      <c r="E7" s="37">
        <f>VLOOKUP(N7,contoare!A:K,3,FALSE)</f>
        <v>45901</v>
      </c>
      <c r="F7" s="38">
        <f>VLOOKUP(N7,contoare!A:K,4,FALSE)</f>
        <v>4042.3020000000001</v>
      </c>
      <c r="G7" s="38">
        <f>VLOOKUP(N7,contoare!A:K,5,FALSE)</f>
        <v>0</v>
      </c>
      <c r="H7" s="38">
        <f>VLOOKUP(N7,contoare!A:K,6,FALSE)</f>
        <v>82.355000000000004</v>
      </c>
      <c r="I7" s="38">
        <f>VLOOKUP(N7,contoare!A:K,7,FALSE)</f>
        <v>1300.693</v>
      </c>
      <c r="J7" s="38">
        <f>VLOOKUP(N7,contoare!A:K,8,FALSE)</f>
        <v>4659.7629999999999</v>
      </c>
      <c r="K7" s="38">
        <f>VLOOKUP(N7,contoare!A:K,9,FALSE)</f>
        <v>0</v>
      </c>
      <c r="L7" s="38">
        <f>VLOOKUP(N7,contoare!A:K,10,FALSE)</f>
        <v>123.79900000000001</v>
      </c>
      <c r="M7" s="38">
        <f>VLOOKUP(N7,contoare!A:K,11,FALSE)</f>
        <v>1385.0329999999999</v>
      </c>
      <c r="N7" s="92" t="s">
        <v>15</v>
      </c>
      <c r="O7" s="26">
        <v>300</v>
      </c>
      <c r="P7" s="70">
        <f t="shared" si="0"/>
        <v>185238.29999999993</v>
      </c>
      <c r="Q7" s="70">
        <f t="shared" si="1"/>
        <v>0</v>
      </c>
      <c r="R7" s="303"/>
      <c r="S7" s="271"/>
      <c r="T7" s="38">
        <f>VLOOKUP(X7,contoare!A:K,4,FALSE)</f>
        <v>4042.3020000000001</v>
      </c>
      <c r="U7" s="38">
        <f>VLOOKUP(X7,contoare!A:K,5,FALSE)</f>
        <v>0</v>
      </c>
      <c r="V7" s="38">
        <f>VLOOKUP(X7,contoare!A:K,8,FALSE)</f>
        <v>4659.7629999999999</v>
      </c>
      <c r="W7" s="38">
        <f>VLOOKUP(X7,contoare!A:K,9,FALSE)</f>
        <v>0</v>
      </c>
      <c r="X7" s="170" t="s">
        <v>15</v>
      </c>
      <c r="Y7" s="26">
        <v>300</v>
      </c>
      <c r="Z7" s="27">
        <f t="shared" si="4"/>
        <v>185238.29999999993</v>
      </c>
      <c r="AA7" s="27">
        <f t="shared" si="3"/>
        <v>0</v>
      </c>
      <c r="AB7" s="303"/>
      <c r="AC7" s="305"/>
      <c r="AD7" s="368"/>
      <c r="AG7" s="23"/>
      <c r="AH7" t="s">
        <v>723</v>
      </c>
    </row>
    <row r="8" spans="1:34" x14ac:dyDescent="0.2">
      <c r="A8" s="352"/>
      <c r="B8" s="160" t="s">
        <v>533</v>
      </c>
      <c r="C8" s="218" t="s">
        <v>533</v>
      </c>
      <c r="D8" s="161" t="e">
        <f>VLOOKUP(N8,contoare!A:K,2,FALSE)</f>
        <v>#N/A</v>
      </c>
      <c r="E8" s="161" t="e">
        <f>VLOOKUP(N8,contoare!A:K,3,FALSE)</f>
        <v>#N/A</v>
      </c>
      <c r="F8" s="162" t="e">
        <f>VLOOKUP(N8,contoare!A:K,4,FALSE)</f>
        <v>#N/A</v>
      </c>
      <c r="G8" s="162" t="e">
        <f>VLOOKUP(N8,contoare!A:K,5,FALSE)</f>
        <v>#N/A</v>
      </c>
      <c r="H8" s="162" t="e">
        <f>VLOOKUP(N8,contoare!A:K,6,FALSE)</f>
        <v>#N/A</v>
      </c>
      <c r="I8" s="162" t="e">
        <f>VLOOKUP(N8,contoare!A:K,7,FALSE)</f>
        <v>#N/A</v>
      </c>
      <c r="J8" s="162" t="e">
        <f>VLOOKUP(N8,contoare!A:K,8,FALSE)</f>
        <v>#N/A</v>
      </c>
      <c r="K8" s="162" t="e">
        <f>VLOOKUP(N8,contoare!A:K,9,FALSE)</f>
        <v>#N/A</v>
      </c>
      <c r="L8" s="162" t="e">
        <f>VLOOKUP(N8,contoare!A:K,10,FALSE)</f>
        <v>#N/A</v>
      </c>
      <c r="M8" s="162" t="e">
        <f>VLOOKUP(N8,contoare!A:K,11,FALSE)</f>
        <v>#N/A</v>
      </c>
      <c r="N8" s="163" t="str">
        <f>C8</f>
        <v>MT SDI</v>
      </c>
      <c r="O8" s="162">
        <v>4000</v>
      </c>
      <c r="P8" s="164">
        <v>0</v>
      </c>
      <c r="Q8" s="164">
        <v>0</v>
      </c>
      <c r="R8" s="165">
        <v>0</v>
      </c>
      <c r="S8" s="271"/>
      <c r="T8" s="162" t="e">
        <f>VLOOKUP(X8,contoare!A:K,4,FALSE)</f>
        <v>#N/A</v>
      </c>
      <c r="U8" s="162" t="e">
        <f>VLOOKUP(X8,contoare!A:K,5,FALSE)</f>
        <v>#N/A</v>
      </c>
      <c r="V8" s="162" t="e">
        <f>VLOOKUP(X8,contoare!A:K,8,FALSE)</f>
        <v>#N/A</v>
      </c>
      <c r="W8" s="162" t="e">
        <f>VLOOKUP(X8,contoare!A:K,9,FALSE)</f>
        <v>#N/A</v>
      </c>
      <c r="X8" s="163" t="s">
        <v>533</v>
      </c>
      <c r="Y8" s="162">
        <v>4000</v>
      </c>
      <c r="Z8" s="164">
        <f t="shared" si="4"/>
        <v>0</v>
      </c>
      <c r="AA8" s="164">
        <f t="shared" si="3"/>
        <v>0</v>
      </c>
      <c r="AB8" s="165">
        <v>0</v>
      </c>
      <c r="AC8" s="305"/>
      <c r="AD8" s="368"/>
      <c r="AG8" s="16"/>
      <c r="AH8" t="s">
        <v>724</v>
      </c>
    </row>
    <row r="9" spans="1:34" ht="17" thickBot="1" x14ac:dyDescent="0.25">
      <c r="A9" s="366"/>
      <c r="B9" s="66" t="s">
        <v>537</v>
      </c>
      <c r="C9" s="219" t="s">
        <v>534</v>
      </c>
      <c r="D9" s="51" t="e">
        <f>VLOOKUP(N9,contoare!A:K,2,FALSE)</f>
        <v>#N/A</v>
      </c>
      <c r="E9" s="51" t="e">
        <f>VLOOKUP(N9,contoare!A:K,3,FALSE)</f>
        <v>#N/A</v>
      </c>
      <c r="F9" s="52" t="e">
        <f>VLOOKUP(N9,contoare!A:K,4,FALSE)</f>
        <v>#N/A</v>
      </c>
      <c r="G9" s="52" t="e">
        <f>VLOOKUP(N9,contoare!A:K,5,FALSE)</f>
        <v>#N/A</v>
      </c>
      <c r="H9" s="52" t="e">
        <f>VLOOKUP(N9,contoare!A:K,6,FALSE)</f>
        <v>#N/A</v>
      </c>
      <c r="I9" s="52" t="e">
        <f>VLOOKUP(N9,contoare!A:K,7,FALSE)</f>
        <v>#N/A</v>
      </c>
      <c r="J9" s="52" t="e">
        <f>VLOOKUP(N9,contoare!A:K,8,FALSE)</f>
        <v>#N/A</v>
      </c>
      <c r="K9" s="52" t="e">
        <f>VLOOKUP(N9,contoare!A:K,9,FALSE)</f>
        <v>#N/A</v>
      </c>
      <c r="L9" s="52" t="e">
        <f>VLOOKUP(N9,contoare!A:K,10,FALSE)</f>
        <v>#N/A</v>
      </c>
      <c r="M9" s="52" t="e">
        <f>VLOOKUP(N9,contoare!A:K,11,FALSE)</f>
        <v>#N/A</v>
      </c>
      <c r="N9" s="94">
        <v>73069405</v>
      </c>
      <c r="O9" s="54">
        <v>1</v>
      </c>
      <c r="P9" s="46">
        <v>312351</v>
      </c>
      <c r="Q9" s="46">
        <v>0</v>
      </c>
      <c r="R9" s="48">
        <f>P9</f>
        <v>312351</v>
      </c>
      <c r="S9" s="276"/>
      <c r="T9" s="45" t="e">
        <f>VLOOKUP(X9,contoare!A:K,4,FALSE)</f>
        <v>#N/A</v>
      </c>
      <c r="U9" s="45" t="e">
        <f>VLOOKUP(X9,contoare!A:K,5,FALSE)</f>
        <v>#N/A</v>
      </c>
      <c r="V9" s="45" t="e">
        <f>VLOOKUP(X9,contoare!A:K,8,FALSE)</f>
        <v>#N/A</v>
      </c>
      <c r="W9" s="45" t="e">
        <f>VLOOKUP(X9,contoare!A:K,9,FALSE)</f>
        <v>#N/A</v>
      </c>
      <c r="X9" s="171">
        <v>73069405</v>
      </c>
      <c r="Y9" s="54">
        <v>1</v>
      </c>
      <c r="Z9" s="46">
        <f t="shared" si="4"/>
        <v>312351</v>
      </c>
      <c r="AA9" s="46">
        <f t="shared" si="3"/>
        <v>0</v>
      </c>
      <c r="AB9" s="48">
        <f>Z9</f>
        <v>312351</v>
      </c>
      <c r="AC9" s="306"/>
      <c r="AD9" s="369"/>
    </row>
    <row r="10" spans="1:34" ht="16" customHeight="1" x14ac:dyDescent="0.2">
      <c r="A10" s="365" t="s">
        <v>718</v>
      </c>
      <c r="B10" s="64" t="s">
        <v>399</v>
      </c>
      <c r="C10" s="216" t="s">
        <v>400</v>
      </c>
      <c r="D10" s="40">
        <f>VLOOKUP(N10,contoare!A:K,2,FALSE)</f>
        <v>45870</v>
      </c>
      <c r="E10" s="40">
        <f>VLOOKUP(N10,contoare!A:K,3,FALSE)</f>
        <v>45901</v>
      </c>
      <c r="F10" s="41">
        <f>VLOOKUP(N10,contoare!A:K,4,FALSE)</f>
        <v>2765.3069999999998</v>
      </c>
      <c r="G10" s="41">
        <f>VLOOKUP(N10,contoare!A:K,5,FALSE)</f>
        <v>1E-3</v>
      </c>
      <c r="H10" s="41">
        <f>VLOOKUP(N10,contoare!A:K,6,FALSE)</f>
        <v>418.38499999999999</v>
      </c>
      <c r="I10" s="41">
        <f>VLOOKUP(N10,contoare!A:K,7,FALSE)</f>
        <v>10.343</v>
      </c>
      <c r="J10" s="41">
        <f>VLOOKUP(N10,contoare!A:K,8,FALSE)</f>
        <v>2998.8519999999999</v>
      </c>
      <c r="K10" s="41">
        <f>VLOOKUP(N10,contoare!A:K,9,FALSE)</f>
        <v>1E-3</v>
      </c>
      <c r="L10" s="41">
        <f>VLOOKUP(N10,contoare!A:K,10,FALSE)</f>
        <v>507.30500000000001</v>
      </c>
      <c r="M10" s="41">
        <f>VLOOKUP(N10,contoare!A:K,11,FALSE)</f>
        <v>10.368</v>
      </c>
      <c r="N10" s="91" t="s">
        <v>16</v>
      </c>
      <c r="O10" s="39">
        <v>500</v>
      </c>
      <c r="P10" s="42">
        <f t="shared" ref="P10:P27" si="5">(J10-F10)*O10</f>
        <v>116772.50000000003</v>
      </c>
      <c r="Q10" s="42">
        <f t="shared" ref="Q10:Q27" si="6">(K10-G10)*O10</f>
        <v>0</v>
      </c>
      <c r="R10" s="363">
        <f>P10+P12-Q10-Q12</f>
        <v>133083.5</v>
      </c>
      <c r="S10" s="244">
        <f>(R15-R10)/R15</f>
        <v>0.18166920825442112</v>
      </c>
      <c r="T10" s="41">
        <f>VLOOKUP(X10,contoare!A:K,4,FALSE)</f>
        <v>254.74100000000001</v>
      </c>
      <c r="U10" s="41">
        <f>VLOOKUP(X10,contoare!A:K,5,FALSE)</f>
        <v>0.11899999999999999</v>
      </c>
      <c r="V10" s="41">
        <f>VLOOKUP(X10,contoare!A:K,8,FALSE)</f>
        <v>374.20299999999997</v>
      </c>
      <c r="W10" s="41">
        <f>VLOOKUP(X10,contoare!A:K,9,FALSE)</f>
        <v>0.17100000000000001</v>
      </c>
      <c r="X10" s="172" t="s">
        <v>17</v>
      </c>
      <c r="Y10" s="39">
        <v>500</v>
      </c>
      <c r="Z10" s="42">
        <f t="shared" si="4"/>
        <v>59730.999999999978</v>
      </c>
      <c r="AA10" s="42">
        <f t="shared" si="3"/>
        <v>26.000000000000011</v>
      </c>
      <c r="AB10" s="307">
        <f>Z10+Z12-AA10-AA12</f>
        <v>157423.50000000006</v>
      </c>
      <c r="AC10" s="308">
        <f>(Z15-AB10)/Z15</f>
        <v>3.2002484197062878E-2</v>
      </c>
      <c r="AD10" s="331" t="s">
        <v>712</v>
      </c>
    </row>
    <row r="11" spans="1:34" x14ac:dyDescent="0.2">
      <c r="A11" s="352"/>
      <c r="B11" s="65" t="s">
        <v>501</v>
      </c>
      <c r="C11" s="217" t="s">
        <v>502</v>
      </c>
      <c r="D11" s="37">
        <f>VLOOKUP(N11,contoare!A:K,2,FALSE)</f>
        <v>45870</v>
      </c>
      <c r="E11" s="37">
        <f>VLOOKUP(N11,contoare!A:K,3,FALSE)</f>
        <v>45901</v>
      </c>
      <c r="F11" s="38">
        <f>VLOOKUP(N11,contoare!A:K,4,FALSE)</f>
        <v>1720.3689999999999</v>
      </c>
      <c r="G11" s="38">
        <f>VLOOKUP(N11,contoare!A:K,5,FALSE)</f>
        <v>0.19900000000000001</v>
      </c>
      <c r="H11" s="38">
        <f>VLOOKUP(N11,contoare!A:K,6,FALSE)</f>
        <v>12.837</v>
      </c>
      <c r="I11" s="38">
        <f>VLOOKUP(N11,contoare!A:K,7,FALSE)</f>
        <v>0.06</v>
      </c>
      <c r="J11" s="38">
        <f>VLOOKUP(N11,contoare!A:K,8,FALSE)</f>
        <v>2157.6819999999998</v>
      </c>
      <c r="K11" s="38">
        <f>VLOOKUP(N11,contoare!A:K,9,FALSE)</f>
        <v>32.692</v>
      </c>
      <c r="L11" s="38">
        <f>VLOOKUP(N11,contoare!A:K,10,FALSE)</f>
        <v>15.961</v>
      </c>
      <c r="M11" s="38">
        <f>VLOOKUP(N11,contoare!A:K,11,FALSE)</f>
        <v>0.34</v>
      </c>
      <c r="N11" s="92" t="s">
        <v>18</v>
      </c>
      <c r="O11" s="26">
        <v>160</v>
      </c>
      <c r="P11" s="27">
        <f t="shared" si="5"/>
        <v>69970.079999999987</v>
      </c>
      <c r="Q11" s="27">
        <f t="shared" si="6"/>
        <v>5198.88</v>
      </c>
      <c r="R11" s="364"/>
      <c r="S11" s="245"/>
      <c r="T11" s="38">
        <f>VLOOKUP(X11,contoare!A:K,4,FALSE)</f>
        <v>0.17</v>
      </c>
      <c r="U11" s="38">
        <f>VLOOKUP(X11,contoare!A:K,5,FALSE)</f>
        <v>637.14499999999998</v>
      </c>
      <c r="V11" s="38">
        <f>VLOOKUP(X11,contoare!A:K,8,FALSE)</f>
        <v>0.30499999999999999</v>
      </c>
      <c r="W11" s="38">
        <f>VLOOKUP(X11,contoare!A:K,9,FALSE)</f>
        <v>919.79100000000005</v>
      </c>
      <c r="X11" s="99" t="s">
        <v>21</v>
      </c>
      <c r="Y11" s="26">
        <v>300</v>
      </c>
      <c r="Z11" s="27">
        <f t="shared" si="4"/>
        <v>40.499999999999993</v>
      </c>
      <c r="AA11" s="27">
        <f t="shared" si="3"/>
        <v>84793.800000000017</v>
      </c>
      <c r="AB11" s="303"/>
      <c r="AC11" s="305"/>
      <c r="AD11" s="280"/>
    </row>
    <row r="12" spans="1:34" x14ac:dyDescent="0.2">
      <c r="A12" s="352"/>
      <c r="B12" s="65" t="s">
        <v>401</v>
      </c>
      <c r="C12" s="217" t="s">
        <v>402</v>
      </c>
      <c r="D12" s="37">
        <f>VLOOKUP(N12,contoare!A:K,2,FALSE)</f>
        <v>45870</v>
      </c>
      <c r="E12" s="37">
        <f>VLOOKUP(N12,contoare!A:K,3,FALSE)</f>
        <v>45901</v>
      </c>
      <c r="F12" s="38">
        <f>VLOOKUP(N12,contoare!A:K,4,FALSE)</f>
        <v>497.94900000000001</v>
      </c>
      <c r="G12" s="38">
        <f>VLOOKUP(N12,contoare!A:K,5,FALSE)</f>
        <v>0.05</v>
      </c>
      <c r="H12" s="38">
        <f>VLOOKUP(N12,contoare!A:K,6,FALSE)</f>
        <v>4</v>
      </c>
      <c r="I12" s="38">
        <f>VLOOKUP(N12,contoare!A:K,7,FALSE)</f>
        <v>162.292</v>
      </c>
      <c r="J12" s="38">
        <f>VLOOKUP(N12,contoare!A:K,8,FALSE)</f>
        <v>579.50699999999995</v>
      </c>
      <c r="K12" s="38">
        <f>VLOOKUP(N12,contoare!A:K,9,FALSE)</f>
        <v>5.2999999999999999E-2</v>
      </c>
      <c r="L12" s="38">
        <f>VLOOKUP(N12,contoare!A:K,10,FALSE)</f>
        <v>5.2160000000000002</v>
      </c>
      <c r="M12" s="38">
        <f>VLOOKUP(N12,contoare!A:K,11,FALSE)</f>
        <v>173.27500000000001</v>
      </c>
      <c r="N12" s="92" t="s">
        <v>20</v>
      </c>
      <c r="O12" s="26">
        <v>200</v>
      </c>
      <c r="P12" s="27">
        <f t="shared" ref="P12:P19" si="7">(J12-F12)*O12</f>
        <v>16311.599999999988</v>
      </c>
      <c r="Q12" s="27">
        <f t="shared" ref="Q12:Q19" si="8">(K12-G12)*O12</f>
        <v>0.5999999999999992</v>
      </c>
      <c r="R12" s="364"/>
      <c r="S12" s="245"/>
      <c r="T12" s="38">
        <f>VLOOKUP(X12,contoare!A:K,4,FALSE)</f>
        <v>2050.828</v>
      </c>
      <c r="U12" s="38">
        <f>VLOOKUP(X12,contoare!A:K,5,FALSE)</f>
        <v>75.846000000000004</v>
      </c>
      <c r="V12" s="38">
        <f>VLOOKUP(X12,contoare!A:K,8,FALSE)</f>
        <v>2248.5720000000001</v>
      </c>
      <c r="W12" s="38">
        <f>VLOOKUP(X12,contoare!A:K,9,FALSE)</f>
        <v>78.153000000000006</v>
      </c>
      <c r="X12" s="99" t="s">
        <v>19</v>
      </c>
      <c r="Y12" s="26">
        <v>500</v>
      </c>
      <c r="Z12" s="27">
        <f t="shared" si="4"/>
        <v>98872.000000000073</v>
      </c>
      <c r="AA12" s="27">
        <f t="shared" si="3"/>
        <v>1153.5000000000011</v>
      </c>
      <c r="AB12" s="303"/>
      <c r="AC12" s="305"/>
      <c r="AD12" s="280"/>
    </row>
    <row r="13" spans="1:34" x14ac:dyDescent="0.2">
      <c r="A13" s="352"/>
      <c r="B13" s="65" t="s">
        <v>503</v>
      </c>
      <c r="C13" s="217" t="s">
        <v>504</v>
      </c>
      <c r="D13" s="37">
        <f>VLOOKUP(N13,contoare!A:K,2,FALSE)</f>
        <v>45870</v>
      </c>
      <c r="E13" s="37">
        <f>VLOOKUP(N13,contoare!A:K,3,FALSE)</f>
        <v>45901</v>
      </c>
      <c r="F13" s="38">
        <f>VLOOKUP(N13,contoare!A:K,4,FALSE)</f>
        <v>0.17</v>
      </c>
      <c r="G13" s="38">
        <f>VLOOKUP(N13,contoare!A:K,5,FALSE)</f>
        <v>637.14499999999998</v>
      </c>
      <c r="H13" s="38">
        <f>VLOOKUP(N13,contoare!A:K,6,FALSE)</f>
        <v>0.27400000000000002</v>
      </c>
      <c r="I13" s="38">
        <f>VLOOKUP(N13,contoare!A:K,7,FALSE)</f>
        <v>6.8239999999999998</v>
      </c>
      <c r="J13" s="38">
        <f>VLOOKUP(N13,contoare!A:K,8,FALSE)</f>
        <v>0.30499999999999999</v>
      </c>
      <c r="K13" s="38">
        <f>VLOOKUP(N13,contoare!A:K,9,FALSE)</f>
        <v>919.79100000000005</v>
      </c>
      <c r="L13" s="38">
        <f>VLOOKUP(N13,contoare!A:K,10,FALSE)</f>
        <v>0.28100000000000003</v>
      </c>
      <c r="M13" s="38">
        <f>VLOOKUP(N13,contoare!A:K,11,FALSE)</f>
        <v>10.093999999999999</v>
      </c>
      <c r="N13" s="92" t="s">
        <v>21</v>
      </c>
      <c r="O13" s="26">
        <v>300</v>
      </c>
      <c r="P13" s="27">
        <f t="shared" si="7"/>
        <v>40.499999999999993</v>
      </c>
      <c r="Q13" s="27">
        <f t="shared" si="8"/>
        <v>84793.800000000017</v>
      </c>
      <c r="R13" s="300"/>
      <c r="S13" s="245"/>
      <c r="T13" s="38">
        <f>VLOOKUP(X13,contoare!A:K,4,FALSE)</f>
        <v>1720.3689999999999</v>
      </c>
      <c r="U13" s="38">
        <f>VLOOKUP(X13,contoare!A:K,5,FALSE)</f>
        <v>0.19900000000000001</v>
      </c>
      <c r="V13" s="38">
        <f>VLOOKUP(X13,contoare!A:K,8,FALSE)</f>
        <v>2157.6819999999998</v>
      </c>
      <c r="W13" s="38">
        <f>VLOOKUP(X13,contoare!A:K,9,FALSE)</f>
        <v>32.692</v>
      </c>
      <c r="X13" s="99" t="s">
        <v>18</v>
      </c>
      <c r="Y13" s="26">
        <v>160</v>
      </c>
      <c r="Z13" s="27">
        <f t="shared" si="4"/>
        <v>69970.079999999987</v>
      </c>
      <c r="AA13" s="27">
        <f t="shared" si="3"/>
        <v>5198.88</v>
      </c>
      <c r="AB13" s="303"/>
      <c r="AC13" s="305"/>
      <c r="AD13" s="280"/>
    </row>
    <row r="14" spans="1:34" x14ac:dyDescent="0.2">
      <c r="A14" s="352"/>
      <c r="B14" s="160" t="s">
        <v>545</v>
      </c>
      <c r="C14" s="218" t="s">
        <v>545</v>
      </c>
      <c r="D14" s="161" t="e">
        <f>VLOOKUP(N14,contoare!A:K,2,FALSE)</f>
        <v>#N/A</v>
      </c>
      <c r="E14" s="161" t="e">
        <f>VLOOKUP(N14,contoare!A:K,3,FALSE)</f>
        <v>#N/A</v>
      </c>
      <c r="F14" s="162" t="e">
        <f>VLOOKUP(N14,contoare!A:K,4,FALSE)</f>
        <v>#N/A</v>
      </c>
      <c r="G14" s="162" t="e">
        <f>VLOOKUP(N14,contoare!A:K,5,FALSE)</f>
        <v>#N/A</v>
      </c>
      <c r="H14" s="162" t="e">
        <f>VLOOKUP(N14,contoare!A:K,6,FALSE)</f>
        <v>#N/A</v>
      </c>
      <c r="I14" s="162" t="e">
        <f>VLOOKUP(N14,contoare!A:K,7,FALSE)</f>
        <v>#N/A</v>
      </c>
      <c r="J14" s="162" t="e">
        <f>VLOOKUP(N14,contoare!A:K,8,FALSE)</f>
        <v>#N/A</v>
      </c>
      <c r="K14" s="162" t="e">
        <f>VLOOKUP(N14,contoare!A:K,9,FALSE)</f>
        <v>#N/A</v>
      </c>
      <c r="L14" s="162" t="e">
        <f>VLOOKUP(N14,contoare!A:K,10,FALSE)</f>
        <v>#N/A</v>
      </c>
      <c r="M14" s="162" t="e">
        <f>VLOOKUP(N14,contoare!A:K,11,FALSE)</f>
        <v>#N/A</v>
      </c>
      <c r="N14" s="163" t="str">
        <f>C14</f>
        <v>MT SDI 1</v>
      </c>
      <c r="O14" s="162">
        <f>200/5*200</f>
        <v>8000</v>
      </c>
      <c r="P14" s="164">
        <v>0</v>
      </c>
      <c r="Q14" s="164">
        <v>0</v>
      </c>
      <c r="R14" s="166">
        <v>0</v>
      </c>
      <c r="S14" s="245"/>
      <c r="T14" s="162" t="e">
        <f>VLOOKUP(X14,contoare!A:K,4,FALSE)</f>
        <v>#N/A</v>
      </c>
      <c r="U14" s="162" t="e">
        <f>VLOOKUP(X14,contoare!A:K,5,FALSE)</f>
        <v>#N/A</v>
      </c>
      <c r="V14" s="162" t="e">
        <f>VLOOKUP(X14,contoare!A:K,8,FALSE)</f>
        <v>#N/A</v>
      </c>
      <c r="W14" s="162" t="e">
        <f>VLOOKUP(X14,contoare!A:K,9,FALSE)</f>
        <v>#N/A</v>
      </c>
      <c r="X14" s="163" t="s">
        <v>545</v>
      </c>
      <c r="Y14" s="162">
        <f>200/5*200</f>
        <v>8000</v>
      </c>
      <c r="Z14" s="164">
        <f t="shared" si="4"/>
        <v>0</v>
      </c>
      <c r="AA14" s="164">
        <f t="shared" si="3"/>
        <v>0</v>
      </c>
      <c r="AB14" s="166">
        <v>0</v>
      </c>
      <c r="AC14" s="305"/>
      <c r="AD14" s="280"/>
    </row>
    <row r="15" spans="1:34" ht="17" thickBot="1" x14ac:dyDescent="0.25">
      <c r="A15" s="352"/>
      <c r="B15" s="66" t="s">
        <v>563</v>
      </c>
      <c r="C15" s="219" t="str">
        <f>"59401020000375096971689655"</f>
        <v>59401020000375096971689655</v>
      </c>
      <c r="D15" s="44" t="e">
        <f>VLOOKUP(N15,contoare!A:K,2,FALSE)</f>
        <v>#N/A</v>
      </c>
      <c r="E15" s="44" t="e">
        <f>VLOOKUP(N15,contoare!A:K,3,FALSE)</f>
        <v>#N/A</v>
      </c>
      <c r="F15" s="45" t="e">
        <f>VLOOKUP(N15,contoare!A:K,4,FALSE)</f>
        <v>#N/A</v>
      </c>
      <c r="G15" s="45" t="e">
        <f>VLOOKUP(N15,contoare!A:K,5,FALSE)</f>
        <v>#N/A</v>
      </c>
      <c r="H15" s="45" t="e">
        <f>VLOOKUP(N15,contoare!A:K,6,FALSE)</f>
        <v>#N/A</v>
      </c>
      <c r="I15" s="45" t="e">
        <f>VLOOKUP(N15,contoare!A:K,7,FALSE)</f>
        <v>#N/A</v>
      </c>
      <c r="J15" s="45" t="e">
        <f>VLOOKUP(N15,contoare!A:K,8,FALSE)</f>
        <v>#N/A</v>
      </c>
      <c r="K15" s="45" t="e">
        <f>VLOOKUP(N15,contoare!A:K,9,FALSE)</f>
        <v>#N/A</v>
      </c>
      <c r="L15" s="45" t="e">
        <f>VLOOKUP(N15,contoare!A:K,10,FALSE)</f>
        <v>#N/A</v>
      </c>
      <c r="M15" s="45" t="e">
        <f>VLOOKUP(N15,contoare!A:K,11,FALSE)</f>
        <v>#N/A</v>
      </c>
      <c r="N15" s="94">
        <v>84100100</v>
      </c>
      <c r="O15" s="54">
        <v>1</v>
      </c>
      <c r="P15" s="46">
        <v>162628</v>
      </c>
      <c r="Q15" s="46">
        <v>0</v>
      </c>
      <c r="R15" s="105">
        <f>P15</f>
        <v>162628</v>
      </c>
      <c r="S15" s="246"/>
      <c r="T15" s="45" t="e">
        <f>VLOOKUP(X15,contoare!A:K,4,FALSE)</f>
        <v>#N/A</v>
      </c>
      <c r="U15" s="45" t="e">
        <f>VLOOKUP(X15,contoare!A:K,5,FALSE)</f>
        <v>#N/A</v>
      </c>
      <c r="V15" s="45" t="e">
        <f>VLOOKUP(X15,contoare!A:K,8,FALSE)</f>
        <v>#N/A</v>
      </c>
      <c r="W15" s="45" t="e">
        <f>VLOOKUP(X15,contoare!A:K,9,FALSE)</f>
        <v>#N/A</v>
      </c>
      <c r="X15" s="171">
        <v>84100100</v>
      </c>
      <c r="Y15" s="55">
        <v>1</v>
      </c>
      <c r="Z15" s="46">
        <f t="shared" si="4"/>
        <v>162628</v>
      </c>
      <c r="AA15" s="46">
        <f t="shared" si="3"/>
        <v>0</v>
      </c>
      <c r="AB15" s="104">
        <f>Z15</f>
        <v>162628</v>
      </c>
      <c r="AC15" s="306"/>
      <c r="AD15" s="280"/>
    </row>
    <row r="16" spans="1:34" x14ac:dyDescent="0.2">
      <c r="A16" s="352"/>
      <c r="B16" s="64" t="s">
        <v>403</v>
      </c>
      <c r="C16" s="216" t="s">
        <v>404</v>
      </c>
      <c r="D16" s="40">
        <f>VLOOKUP(N16,contoare!A:K,2,FALSE)</f>
        <v>45870</v>
      </c>
      <c r="E16" s="40">
        <f>VLOOKUP(N16,contoare!A:K,3,FALSE)</f>
        <v>45901</v>
      </c>
      <c r="F16" s="41">
        <f>VLOOKUP(N16,contoare!A:K,4,FALSE)</f>
        <v>254.74100000000001</v>
      </c>
      <c r="G16" s="41">
        <f>VLOOKUP(N16,contoare!A:K,5,FALSE)</f>
        <v>0.11899999999999999</v>
      </c>
      <c r="H16" s="41">
        <f>VLOOKUP(N16,contoare!A:K,6,FALSE)</f>
        <v>55.174999999999997</v>
      </c>
      <c r="I16" s="41">
        <f>VLOOKUP(N16,contoare!A:K,7,FALSE)</f>
        <v>13.882</v>
      </c>
      <c r="J16" s="41">
        <f>VLOOKUP(N16,contoare!A:K,8,FALSE)</f>
        <v>374.20299999999997</v>
      </c>
      <c r="K16" s="41">
        <f>VLOOKUP(N16,contoare!A:K,9,FALSE)</f>
        <v>0.17100000000000001</v>
      </c>
      <c r="L16" s="41">
        <f>VLOOKUP(N16,contoare!A:K,10,FALSE)</f>
        <v>77.691000000000003</v>
      </c>
      <c r="M16" s="41">
        <f>VLOOKUP(N16,contoare!A:K,11,FALSE)</f>
        <v>21.123000000000001</v>
      </c>
      <c r="N16" s="91" t="s">
        <v>17</v>
      </c>
      <c r="O16" s="39">
        <v>500</v>
      </c>
      <c r="P16" s="42">
        <f t="shared" si="7"/>
        <v>59730.999999999978</v>
      </c>
      <c r="Q16" s="42">
        <f t="shared" si="8"/>
        <v>26.000000000000011</v>
      </c>
      <c r="R16" s="363">
        <f>P16+P18-Q16-Q18</f>
        <v>157423.50000000006</v>
      </c>
      <c r="S16" s="244">
        <f>(R21-R16)/R21</f>
        <v>-9.4077296767602764E-2</v>
      </c>
      <c r="T16" s="41">
        <f>VLOOKUP(X16,contoare!A:K,4,FALSE)</f>
        <v>497.94900000000001</v>
      </c>
      <c r="U16" s="41">
        <f>VLOOKUP(X16,contoare!A:K,5,FALSE)</f>
        <v>0.05</v>
      </c>
      <c r="V16" s="41">
        <f>VLOOKUP(X16,contoare!A:K,8,FALSE)</f>
        <v>579.50699999999995</v>
      </c>
      <c r="W16" s="41">
        <f>VLOOKUP(X16,contoare!A:K,9,FALSE)</f>
        <v>5.2999999999999999E-2</v>
      </c>
      <c r="X16" s="172" t="s">
        <v>20</v>
      </c>
      <c r="Y16" s="39">
        <v>200</v>
      </c>
      <c r="Z16" s="42">
        <f t="shared" si="4"/>
        <v>16311.599999999988</v>
      </c>
      <c r="AA16" s="42">
        <f t="shared" si="3"/>
        <v>0.5999999999999992</v>
      </c>
      <c r="AB16" s="343">
        <f>Z16+Z18-AA16-AA18</f>
        <v>133083.5</v>
      </c>
      <c r="AC16" s="308">
        <f>(Z21-AB16)/Z21</f>
        <v>7.5083225030753306E-2</v>
      </c>
      <c r="AD16" s="280"/>
    </row>
    <row r="17" spans="1:30" x14ac:dyDescent="0.2">
      <c r="A17" s="352"/>
      <c r="B17" s="65" t="s">
        <v>505</v>
      </c>
      <c r="C17" s="217" t="s">
        <v>506</v>
      </c>
      <c r="D17" s="37">
        <f>VLOOKUP(N17,contoare!A:K,2,FALSE)</f>
        <v>45870</v>
      </c>
      <c r="E17" s="37">
        <f>VLOOKUP(N17,contoare!A:K,3,FALSE)</f>
        <v>45901</v>
      </c>
      <c r="F17" s="38">
        <f>VLOOKUP(N17,contoare!A:K,4,FALSE)</f>
        <v>1771.1679999999999</v>
      </c>
      <c r="G17" s="38">
        <f>VLOOKUP(N17,contoare!A:K,5,FALSE)</f>
        <v>1.1819999999999999</v>
      </c>
      <c r="H17" s="38">
        <f>VLOOKUP(N17,contoare!A:K,6,FALSE)</f>
        <v>4.6210000000000004</v>
      </c>
      <c r="I17" s="38">
        <f>VLOOKUP(N17,contoare!A:K,7,FALSE)</f>
        <v>8.9990000000000006</v>
      </c>
      <c r="J17" s="38">
        <f>VLOOKUP(N17,contoare!A:K,8,FALSE)</f>
        <v>2300.855</v>
      </c>
      <c r="K17" s="38">
        <f>VLOOKUP(N17,contoare!A:K,9,FALSE)</f>
        <v>36.659999999999997</v>
      </c>
      <c r="L17" s="38">
        <f>VLOOKUP(N17,contoare!A:K,10,FALSE)</f>
        <v>5.6360000000000001</v>
      </c>
      <c r="M17" s="38">
        <f>VLOOKUP(N17,contoare!A:K,11,FALSE)</f>
        <v>11.605</v>
      </c>
      <c r="N17" s="92" t="s">
        <v>22</v>
      </c>
      <c r="O17" s="26">
        <v>40</v>
      </c>
      <c r="P17" s="27">
        <f t="shared" si="7"/>
        <v>21187.480000000003</v>
      </c>
      <c r="Q17" s="27">
        <f t="shared" si="8"/>
        <v>1419.12</v>
      </c>
      <c r="R17" s="364"/>
      <c r="S17" s="245"/>
      <c r="T17" s="38">
        <f>VLOOKUP(X17,contoare!A:K,4,FALSE)</f>
        <v>1771.1679999999999</v>
      </c>
      <c r="U17" s="38">
        <f>VLOOKUP(X17,contoare!A:K,5,FALSE)</f>
        <v>1.1819999999999999</v>
      </c>
      <c r="V17" s="38">
        <f>VLOOKUP(X17,contoare!A:K,8,FALSE)</f>
        <v>2300.855</v>
      </c>
      <c r="W17" s="38">
        <f>VLOOKUP(X17,contoare!A:K,9,FALSE)</f>
        <v>36.659999999999997</v>
      </c>
      <c r="X17" s="95" t="s">
        <v>22</v>
      </c>
      <c r="Y17" s="26">
        <v>40</v>
      </c>
      <c r="Z17" s="27">
        <f t="shared" si="4"/>
        <v>21187.480000000003</v>
      </c>
      <c r="AA17" s="27">
        <f t="shared" si="3"/>
        <v>1419.12</v>
      </c>
      <c r="AB17" s="344"/>
      <c r="AC17" s="305"/>
      <c r="AD17" s="280"/>
    </row>
    <row r="18" spans="1:30" x14ac:dyDescent="0.2">
      <c r="A18" s="352"/>
      <c r="B18" s="65" t="s">
        <v>405</v>
      </c>
      <c r="C18" s="217" t="s">
        <v>406</v>
      </c>
      <c r="D18" s="37">
        <f>VLOOKUP(N18,contoare!A:K,2,FALSE)</f>
        <v>45870</v>
      </c>
      <c r="E18" s="37">
        <f>VLOOKUP(N18,contoare!A:K,3,FALSE)</f>
        <v>45901</v>
      </c>
      <c r="F18" s="38">
        <f>VLOOKUP(N18,contoare!A:K,4,FALSE)</f>
        <v>2050.828</v>
      </c>
      <c r="G18" s="38">
        <f>VLOOKUP(N18,contoare!A:K,5,FALSE)</f>
        <v>75.846000000000004</v>
      </c>
      <c r="H18" s="38">
        <f>VLOOKUP(N18,contoare!A:K,6,FALSE)</f>
        <v>163.94499999999999</v>
      </c>
      <c r="I18" s="38">
        <f>VLOOKUP(N18,contoare!A:K,7,FALSE)</f>
        <v>94.204999999999998</v>
      </c>
      <c r="J18" s="38">
        <f>VLOOKUP(N18,contoare!A:K,8,FALSE)</f>
        <v>2248.5720000000001</v>
      </c>
      <c r="K18" s="38">
        <f>VLOOKUP(N18,contoare!A:K,9,FALSE)</f>
        <v>78.153000000000006</v>
      </c>
      <c r="L18" s="38">
        <f>VLOOKUP(N18,contoare!A:K,10,FALSE)</f>
        <v>204.614</v>
      </c>
      <c r="M18" s="38">
        <f>VLOOKUP(N18,contoare!A:K,11,FALSE)</f>
        <v>97.754999999999995</v>
      </c>
      <c r="N18" s="92" t="s">
        <v>19</v>
      </c>
      <c r="O18" s="26">
        <v>500</v>
      </c>
      <c r="P18" s="27">
        <f t="shared" si="7"/>
        <v>98872.000000000073</v>
      </c>
      <c r="Q18" s="27">
        <f t="shared" si="8"/>
        <v>1153.5000000000011</v>
      </c>
      <c r="R18" s="364"/>
      <c r="S18" s="245"/>
      <c r="T18" s="38">
        <f>VLOOKUP(X18,contoare!A:K,4,FALSE)</f>
        <v>2765.3069999999998</v>
      </c>
      <c r="U18" s="38">
        <f>VLOOKUP(X18,contoare!A:K,5,FALSE)</f>
        <v>1E-3</v>
      </c>
      <c r="V18" s="38">
        <f>VLOOKUP(X18,contoare!A:K,8,FALSE)</f>
        <v>2998.8519999999999</v>
      </c>
      <c r="W18" s="38">
        <f>VLOOKUP(X18,contoare!A:K,9,FALSE)</f>
        <v>1E-3</v>
      </c>
      <c r="X18" s="99" t="s">
        <v>16</v>
      </c>
      <c r="Y18" s="26">
        <v>500</v>
      </c>
      <c r="Z18" s="27">
        <f t="shared" si="4"/>
        <v>116772.50000000003</v>
      </c>
      <c r="AA18" s="27">
        <f t="shared" si="3"/>
        <v>0</v>
      </c>
      <c r="AB18" s="344"/>
      <c r="AC18" s="305"/>
      <c r="AD18" s="280"/>
    </row>
    <row r="19" spans="1:30" x14ac:dyDescent="0.2">
      <c r="A19" s="352"/>
      <c r="B19" s="65" t="s">
        <v>561</v>
      </c>
      <c r="C19" s="217" t="s">
        <v>562</v>
      </c>
      <c r="D19" s="37">
        <f>VLOOKUP(N19,contoare!A:K,2,FALSE)</f>
        <v>45870</v>
      </c>
      <c r="E19" s="37">
        <f>VLOOKUP(N19,contoare!A:K,3,FALSE)</f>
        <v>45901</v>
      </c>
      <c r="F19" s="38">
        <f>VLOOKUP(N19,contoare!A:K,4,FALSE)</f>
        <v>0.81599999999999995</v>
      </c>
      <c r="G19" s="38">
        <f>VLOOKUP(N19,contoare!A:K,5,FALSE)</f>
        <v>1854.914</v>
      </c>
      <c r="H19" s="38">
        <f>VLOOKUP(N19,contoare!A:K,6,FALSE)</f>
        <v>37.183999999999997</v>
      </c>
      <c r="I19" s="38">
        <f>VLOOKUP(N19,contoare!A:K,7,FALSE)</f>
        <v>47.747999999999998</v>
      </c>
      <c r="J19" s="38">
        <f>VLOOKUP(N19,contoare!A:K,8,FALSE)</f>
        <v>0.90300000000000002</v>
      </c>
      <c r="K19" s="38">
        <f>VLOOKUP(N19,contoare!A:K,9,FALSE)</f>
        <v>2168.2460000000001</v>
      </c>
      <c r="L19" s="38">
        <f>VLOOKUP(N19,contoare!A:K,10,FALSE)</f>
        <v>43.36</v>
      </c>
      <c r="M19" s="38">
        <f>VLOOKUP(N19,contoare!A:K,11,FALSE)</f>
        <v>51.555999999999997</v>
      </c>
      <c r="N19" s="92" t="s">
        <v>23</v>
      </c>
      <c r="O19" s="26">
        <v>300</v>
      </c>
      <c r="P19" s="27">
        <f t="shared" si="7"/>
        <v>26.100000000000023</v>
      </c>
      <c r="Q19" s="27">
        <f t="shared" si="8"/>
        <v>93999.600000000035</v>
      </c>
      <c r="R19" s="300"/>
      <c r="S19" s="245"/>
      <c r="T19" s="38">
        <f>VLOOKUP(X19,contoare!A:K,4,FALSE)</f>
        <v>0.81599999999999995</v>
      </c>
      <c r="U19" s="38">
        <f>VLOOKUP(X19,contoare!A:K,5,FALSE)</f>
        <v>1854.914</v>
      </c>
      <c r="V19" s="38">
        <f>VLOOKUP(X19,contoare!A:K,8,FALSE)</f>
        <v>0.90300000000000002</v>
      </c>
      <c r="W19" s="38">
        <f>VLOOKUP(X19,contoare!A:K,9,FALSE)</f>
        <v>2168.2460000000001</v>
      </c>
      <c r="X19" s="95" t="s">
        <v>23</v>
      </c>
      <c r="Y19" s="26">
        <v>300</v>
      </c>
      <c r="Z19" s="27">
        <f t="shared" si="4"/>
        <v>26.100000000000023</v>
      </c>
      <c r="AA19" s="27">
        <f t="shared" si="3"/>
        <v>93999.600000000035</v>
      </c>
      <c r="AB19" s="302"/>
      <c r="AC19" s="305"/>
      <c r="AD19" s="280"/>
    </row>
    <row r="20" spans="1:30" x14ac:dyDescent="0.2">
      <c r="A20" s="352"/>
      <c r="B20" s="160" t="s">
        <v>546</v>
      </c>
      <c r="C20" s="220" t="s">
        <v>546</v>
      </c>
      <c r="D20" s="161" t="e">
        <f>VLOOKUP(N20,contoare!A:K,2,FALSE)</f>
        <v>#N/A</v>
      </c>
      <c r="E20" s="161" t="e">
        <f>VLOOKUP(N20,contoare!A:K,3,FALSE)</f>
        <v>#N/A</v>
      </c>
      <c r="F20" s="162" t="e">
        <f>VLOOKUP(N20,contoare!A:K,4,FALSE)</f>
        <v>#N/A</v>
      </c>
      <c r="G20" s="162" t="e">
        <f>VLOOKUP(N20,contoare!A:K,5,FALSE)</f>
        <v>#N/A</v>
      </c>
      <c r="H20" s="162" t="e">
        <f>VLOOKUP(N20,contoare!A:K,6,FALSE)</f>
        <v>#N/A</v>
      </c>
      <c r="I20" s="162" t="e">
        <f>VLOOKUP(N20,contoare!A:K,7,FALSE)</f>
        <v>#N/A</v>
      </c>
      <c r="J20" s="162" t="e">
        <f>VLOOKUP(N20,contoare!A:K,8,FALSE)</f>
        <v>#N/A</v>
      </c>
      <c r="K20" s="162" t="e">
        <f>VLOOKUP(N20,contoare!A:K,9,FALSE)</f>
        <v>#N/A</v>
      </c>
      <c r="L20" s="162" t="e">
        <f>VLOOKUP(N20,contoare!A:K,10,FALSE)</f>
        <v>#N/A</v>
      </c>
      <c r="M20" s="162" t="e">
        <f>VLOOKUP(N20,contoare!A:K,11,FALSE)</f>
        <v>#N/A</v>
      </c>
      <c r="N20" s="167" t="str">
        <f>C20</f>
        <v>MT SDI 2</v>
      </c>
      <c r="O20" s="162">
        <f>200/5*200</f>
        <v>8000</v>
      </c>
      <c r="P20" s="164">
        <v>0</v>
      </c>
      <c r="Q20" s="164">
        <v>0</v>
      </c>
      <c r="R20" s="166">
        <v>0</v>
      </c>
      <c r="S20" s="245"/>
      <c r="T20" s="162" t="e">
        <f>VLOOKUP(X20,contoare!A:K,4,FALSE)</f>
        <v>#N/A</v>
      </c>
      <c r="U20" s="162" t="e">
        <f>VLOOKUP(X20,contoare!A:K,5,FALSE)</f>
        <v>#N/A</v>
      </c>
      <c r="V20" s="162" t="e">
        <f>VLOOKUP(X20,contoare!A:K,8,FALSE)</f>
        <v>#N/A</v>
      </c>
      <c r="W20" s="162" t="e">
        <f>VLOOKUP(X20,contoare!A:K,9,FALSE)</f>
        <v>#N/A</v>
      </c>
      <c r="X20" s="167" t="s">
        <v>546</v>
      </c>
      <c r="Y20" s="162">
        <f>200/5*200</f>
        <v>8000</v>
      </c>
      <c r="Z20" s="164">
        <f t="shared" si="4"/>
        <v>0</v>
      </c>
      <c r="AA20" s="164">
        <f t="shared" si="3"/>
        <v>0</v>
      </c>
      <c r="AB20" s="166">
        <v>0</v>
      </c>
      <c r="AC20" s="305"/>
      <c r="AD20" s="280"/>
    </row>
    <row r="21" spans="1:30" ht="17" thickBot="1" x14ac:dyDescent="0.25">
      <c r="A21" s="366"/>
      <c r="B21" s="79" t="s">
        <v>564</v>
      </c>
      <c r="C21" s="193" t="s">
        <v>565</v>
      </c>
      <c r="D21" s="51" t="e">
        <f>VLOOKUP(N21,contoare!A:K,2,FALSE)</f>
        <v>#N/A</v>
      </c>
      <c r="E21" s="51" t="e">
        <f>VLOOKUP(N21,contoare!A:K,3,FALSE)</f>
        <v>#N/A</v>
      </c>
      <c r="F21" s="52" t="e">
        <f>VLOOKUP(N21,contoare!A:K,4,FALSE)</f>
        <v>#N/A</v>
      </c>
      <c r="G21" s="52" t="e">
        <f>VLOOKUP(N21,contoare!A:K,5,FALSE)</f>
        <v>#N/A</v>
      </c>
      <c r="H21" s="52" t="e">
        <f>VLOOKUP(N21,contoare!A:K,6,FALSE)</f>
        <v>#N/A</v>
      </c>
      <c r="I21" s="52" t="e">
        <f>VLOOKUP(N21,contoare!A:K,7,FALSE)</f>
        <v>#N/A</v>
      </c>
      <c r="J21" s="52" t="e">
        <f>VLOOKUP(N21,contoare!A:K,8,FALSE)</f>
        <v>#N/A</v>
      </c>
      <c r="K21" s="52" t="e">
        <f>VLOOKUP(N21,contoare!A:K,9,FALSE)</f>
        <v>#N/A</v>
      </c>
      <c r="L21" s="52" t="e">
        <f>VLOOKUP(N21,contoare!A:K,10,FALSE)</f>
        <v>#N/A</v>
      </c>
      <c r="M21" s="52" t="e">
        <f>VLOOKUP(N21,contoare!A:K,11,FALSE)</f>
        <v>#N/A</v>
      </c>
      <c r="N21" s="93">
        <v>90075870</v>
      </c>
      <c r="O21" s="55">
        <v>1</v>
      </c>
      <c r="P21" s="50">
        <v>143887</v>
      </c>
      <c r="Q21" s="50">
        <v>0</v>
      </c>
      <c r="R21" s="107">
        <f>P21</f>
        <v>143887</v>
      </c>
      <c r="S21" s="287"/>
      <c r="T21" s="52" t="e">
        <f>VLOOKUP(X21,contoare!A:K,4,FALSE)</f>
        <v>#N/A</v>
      </c>
      <c r="U21" s="52" t="e">
        <f>VLOOKUP(X21,contoare!A:K,5,FALSE)</f>
        <v>#N/A</v>
      </c>
      <c r="V21" s="52" t="e">
        <f>VLOOKUP(X21,contoare!A:K,8,FALSE)</f>
        <v>#N/A</v>
      </c>
      <c r="W21" s="52" t="e">
        <f>VLOOKUP(X21,contoare!A:K,9,FALSE)</f>
        <v>#N/A</v>
      </c>
      <c r="X21" s="93">
        <v>90075870</v>
      </c>
      <c r="Y21" s="55">
        <v>1</v>
      </c>
      <c r="Z21" s="50">
        <f t="shared" si="4"/>
        <v>143887</v>
      </c>
      <c r="AA21" s="50">
        <f t="shared" si="3"/>
        <v>0</v>
      </c>
      <c r="AB21" s="106">
        <f>Z21</f>
        <v>143887</v>
      </c>
      <c r="AC21" s="330"/>
      <c r="AD21" s="332"/>
    </row>
    <row r="22" spans="1:30" ht="16" customHeight="1" x14ac:dyDescent="0.2">
      <c r="A22" s="254" t="s">
        <v>719</v>
      </c>
      <c r="B22" s="39" t="s">
        <v>337</v>
      </c>
      <c r="C22" s="216" t="s">
        <v>338</v>
      </c>
      <c r="D22" s="40">
        <f>VLOOKUP(N22,contoare!A:K,2,FALSE)</f>
        <v>45870</v>
      </c>
      <c r="E22" s="40">
        <f>VLOOKUP(N22,contoare!A:K,3,FALSE)</f>
        <v>45901</v>
      </c>
      <c r="F22" s="41">
        <f>VLOOKUP(N22,contoare!A:K,4,FALSE)</f>
        <v>4394.5469999999996</v>
      </c>
      <c r="G22" s="41">
        <f>VLOOKUP(N22,contoare!A:K,5,FALSE)</f>
        <v>5.8999999999999997E-2</v>
      </c>
      <c r="H22" s="41">
        <f>VLOOKUP(N22,contoare!A:K,6,FALSE)</f>
        <v>447.64600000000002</v>
      </c>
      <c r="I22" s="41">
        <f>VLOOKUP(N22,contoare!A:K,7,FALSE)</f>
        <v>91.777000000000001</v>
      </c>
      <c r="J22" s="41">
        <f>VLOOKUP(N22,contoare!A:K,8,FALSE)</f>
        <v>4900.6719999999996</v>
      </c>
      <c r="K22" s="41">
        <f>VLOOKUP(N22,contoare!A:K,9,FALSE)</f>
        <v>5.8999999999999997E-2</v>
      </c>
      <c r="L22" s="41">
        <f>VLOOKUP(N22,contoare!A:K,10,FALSE)</f>
        <v>568.86699999999996</v>
      </c>
      <c r="M22" s="41">
        <f>VLOOKUP(N22,contoare!A:K,11,FALSE)</f>
        <v>97.003</v>
      </c>
      <c r="N22" s="91" t="s">
        <v>26</v>
      </c>
      <c r="O22" s="39">
        <v>800</v>
      </c>
      <c r="P22" s="42">
        <f t="shared" si="5"/>
        <v>404900</v>
      </c>
      <c r="Q22" s="42">
        <f t="shared" si="6"/>
        <v>0</v>
      </c>
      <c r="R22" s="307">
        <f>P22+P24+P26-Q22-Q24-Q26</f>
        <v>627385.60000000009</v>
      </c>
      <c r="S22" s="270">
        <f>(R29-R22)/R29</f>
        <v>6.2422514331486094E-2</v>
      </c>
      <c r="T22" s="41">
        <f>VLOOKUP(X22,contoare!A:K,4,FALSE)</f>
        <v>4394.5469999999996</v>
      </c>
      <c r="U22" s="41">
        <f>VLOOKUP(X22,contoare!A:K,5,FALSE)</f>
        <v>5.8999999999999997E-2</v>
      </c>
      <c r="V22" s="41">
        <f>VLOOKUP(X22,contoare!A:K,8,FALSE)</f>
        <v>4900.6719999999996</v>
      </c>
      <c r="W22" s="41">
        <f>VLOOKUP(X22,contoare!A:K,9,FALSE)</f>
        <v>5.8999999999999997E-2</v>
      </c>
      <c r="X22" s="173" t="s">
        <v>26</v>
      </c>
      <c r="Y22" s="39">
        <v>800</v>
      </c>
      <c r="Z22" s="42">
        <f t="shared" si="4"/>
        <v>404900</v>
      </c>
      <c r="AA22" s="42">
        <f t="shared" si="3"/>
        <v>0</v>
      </c>
      <c r="AB22" s="307">
        <f>Z22+Z24+Z26-AA22-AA24-AA26</f>
        <v>627385.60000000009</v>
      </c>
      <c r="AC22" s="270">
        <f>(AB29-AB22)/AB29</f>
        <v>6.2422514331486094E-2</v>
      </c>
      <c r="AD22" s="262" t="s">
        <v>528</v>
      </c>
    </row>
    <row r="23" spans="1:30" x14ac:dyDescent="0.2">
      <c r="A23" s="255"/>
      <c r="B23" s="26" t="s">
        <v>479</v>
      </c>
      <c r="C23" s="217" t="s">
        <v>480</v>
      </c>
      <c r="D23" s="37">
        <f>VLOOKUP(N23,contoare!A:K,2,FALSE)</f>
        <v>45870</v>
      </c>
      <c r="E23" s="37">
        <f>VLOOKUP(N23,contoare!A:K,3,FALSE)</f>
        <v>45901</v>
      </c>
      <c r="F23" s="38">
        <f>VLOOKUP(N23,contoare!A:K,4,FALSE)</f>
        <v>1332.5450000000001</v>
      </c>
      <c r="G23" s="38">
        <f>VLOOKUP(N23,contoare!A:K,5,FALSE)</f>
        <v>0.70699999999999996</v>
      </c>
      <c r="H23" s="38">
        <f>VLOOKUP(N23,contoare!A:K,6,FALSE)</f>
        <v>15.259</v>
      </c>
      <c r="I23" s="38">
        <f>VLOOKUP(N23,contoare!A:K,7,FALSE)</f>
        <v>0.505</v>
      </c>
      <c r="J23" s="38">
        <f>VLOOKUP(N23,contoare!A:K,8,FALSE)</f>
        <v>1792.663</v>
      </c>
      <c r="K23" s="38">
        <f>VLOOKUP(N23,contoare!A:K,9,FALSE)</f>
        <v>0.77900000000000003</v>
      </c>
      <c r="L23" s="38">
        <f>VLOOKUP(N23,contoare!A:K,10,FALSE)</f>
        <v>17</v>
      </c>
      <c r="M23" s="38">
        <f>VLOOKUP(N23,contoare!A:K,11,FALSE)</f>
        <v>0.65400000000000003</v>
      </c>
      <c r="N23" s="157" t="s">
        <v>28</v>
      </c>
      <c r="O23" s="158">
        <v>400</v>
      </c>
      <c r="P23" s="159">
        <f t="shared" si="5"/>
        <v>184047.19999999998</v>
      </c>
      <c r="Q23" s="159">
        <f t="shared" si="6"/>
        <v>28.800000000000026</v>
      </c>
      <c r="R23" s="303"/>
      <c r="S23" s="271"/>
      <c r="T23" s="38">
        <f>VLOOKUP(X23,contoare!A:K,4,FALSE)</f>
        <v>1332.5450000000001</v>
      </c>
      <c r="U23" s="38">
        <f>VLOOKUP(X23,contoare!A:K,5,FALSE)</f>
        <v>0.70699999999999996</v>
      </c>
      <c r="V23" s="38">
        <f>VLOOKUP(X23,contoare!A:K,8,FALSE)</f>
        <v>1792.663</v>
      </c>
      <c r="W23" s="38">
        <f>VLOOKUP(X23,contoare!A:K,9,FALSE)</f>
        <v>0.77900000000000003</v>
      </c>
      <c r="X23" s="169" t="s">
        <v>28</v>
      </c>
      <c r="Y23" s="158">
        <v>400</v>
      </c>
      <c r="Z23" s="159">
        <f t="shared" si="4"/>
        <v>184047.19999999998</v>
      </c>
      <c r="AA23" s="159">
        <f t="shared" si="3"/>
        <v>28.800000000000026</v>
      </c>
      <c r="AB23" s="303"/>
      <c r="AC23" s="271"/>
      <c r="AD23" s="263"/>
    </row>
    <row r="24" spans="1:30" x14ac:dyDescent="0.2">
      <c r="A24" s="255"/>
      <c r="B24" s="26" t="s">
        <v>339</v>
      </c>
      <c r="C24" s="217" t="s">
        <v>340</v>
      </c>
      <c r="D24" s="37">
        <f>VLOOKUP(N24,contoare!A:K,2,FALSE)</f>
        <v>45870</v>
      </c>
      <c r="E24" s="37">
        <f>VLOOKUP(N24,contoare!A:K,3,FALSE)</f>
        <v>45901</v>
      </c>
      <c r="F24" s="38">
        <f>VLOOKUP(N24,contoare!A:K,4,FALSE)</f>
        <v>4767.451</v>
      </c>
      <c r="G24" s="38">
        <f>VLOOKUP(N24,contoare!A:K,5,FALSE)</f>
        <v>6.5780000000000003</v>
      </c>
      <c r="H24" s="38">
        <f>VLOOKUP(N24,contoare!A:K,6,FALSE)</f>
        <v>522.56899999999996</v>
      </c>
      <c r="I24" s="38">
        <f>VLOOKUP(N24,contoare!A:K,7,FALSE)</f>
        <v>26.516999999999999</v>
      </c>
      <c r="J24" s="38">
        <f>VLOOKUP(N24,contoare!A:K,8,FALSE)</f>
        <v>5272.22</v>
      </c>
      <c r="K24" s="38">
        <f>VLOOKUP(N24,contoare!A:K,9,FALSE)</f>
        <v>7.4669999999999996</v>
      </c>
      <c r="L24" s="38">
        <f>VLOOKUP(N24,contoare!A:K,10,FALSE)</f>
        <v>689.10799999999995</v>
      </c>
      <c r="M24" s="38">
        <f>VLOOKUP(N24,contoare!A:K,11,FALSE)</f>
        <v>26.745000000000001</v>
      </c>
      <c r="N24" s="92" t="s">
        <v>25</v>
      </c>
      <c r="O24" s="26">
        <v>600</v>
      </c>
      <c r="P24" s="27">
        <f t="shared" si="5"/>
        <v>302861.40000000014</v>
      </c>
      <c r="Q24" s="27">
        <f t="shared" si="6"/>
        <v>533.39999999999964</v>
      </c>
      <c r="R24" s="303"/>
      <c r="S24" s="271"/>
      <c r="T24" s="38">
        <f>VLOOKUP(X24,contoare!A:K,4,FALSE)</f>
        <v>4767.451</v>
      </c>
      <c r="U24" s="38">
        <f>VLOOKUP(X24,contoare!A:K,5,FALSE)</f>
        <v>6.5780000000000003</v>
      </c>
      <c r="V24" s="38">
        <f>VLOOKUP(X24,contoare!A:K,8,FALSE)</f>
        <v>5272.22</v>
      </c>
      <c r="W24" s="38">
        <f>VLOOKUP(X24,contoare!A:K,9,FALSE)</f>
        <v>7.4669999999999996</v>
      </c>
      <c r="X24" s="95" t="s">
        <v>25</v>
      </c>
      <c r="Y24" s="26">
        <v>600</v>
      </c>
      <c r="Z24" s="27">
        <f t="shared" si="4"/>
        <v>302861.40000000014</v>
      </c>
      <c r="AA24" s="27">
        <f t="shared" si="3"/>
        <v>533.39999999999964</v>
      </c>
      <c r="AB24" s="303"/>
      <c r="AC24" s="271"/>
      <c r="AD24" s="263"/>
    </row>
    <row r="25" spans="1:30" x14ac:dyDescent="0.2">
      <c r="A25" s="255"/>
      <c r="B25" s="26" t="s">
        <v>481</v>
      </c>
      <c r="C25" s="217" t="s">
        <v>482</v>
      </c>
      <c r="D25" s="37">
        <f>VLOOKUP(N25,contoare!A:K,2,FALSE)</f>
        <v>45870</v>
      </c>
      <c r="E25" s="37">
        <f>VLOOKUP(N25,contoare!A:K,3,FALSE)</f>
        <v>45901</v>
      </c>
      <c r="F25" s="38">
        <f>VLOOKUP(N25,contoare!A:K,4,FALSE)</f>
        <v>1823.2660000000001</v>
      </c>
      <c r="G25" s="38">
        <f>VLOOKUP(N25,contoare!A:K,5,FALSE)</f>
        <v>0.77600000000000002</v>
      </c>
      <c r="H25" s="38">
        <f>VLOOKUP(N25,contoare!A:K,6,FALSE)</f>
        <v>16.155000000000001</v>
      </c>
      <c r="I25" s="38">
        <f>VLOOKUP(N25,contoare!A:K,7,FALSE)</f>
        <v>3.7440000000000002</v>
      </c>
      <c r="J25" s="38">
        <f>VLOOKUP(N25,contoare!A:K,8,FALSE)</f>
        <v>2336.4780000000001</v>
      </c>
      <c r="K25" s="38">
        <f>VLOOKUP(N25,contoare!A:K,9,FALSE)</f>
        <v>0.85599999999999998</v>
      </c>
      <c r="L25" s="38">
        <f>VLOOKUP(N25,contoare!A:K,10,FALSE)</f>
        <v>17.861999999999998</v>
      </c>
      <c r="M25" s="38">
        <f>VLOOKUP(N25,contoare!A:K,11,FALSE)</f>
        <v>4.6719999999999997</v>
      </c>
      <c r="N25" s="157" t="s">
        <v>27</v>
      </c>
      <c r="O25" s="158">
        <v>500</v>
      </c>
      <c r="P25" s="159">
        <f t="shared" si="5"/>
        <v>256606</v>
      </c>
      <c r="Q25" s="159">
        <f t="shared" si="6"/>
        <v>39.999999999999979</v>
      </c>
      <c r="R25" s="303"/>
      <c r="S25" s="271"/>
      <c r="T25" s="38">
        <f>VLOOKUP(X25,contoare!A:K,4,FALSE)</f>
        <v>1823.2660000000001</v>
      </c>
      <c r="U25" s="38">
        <f>VLOOKUP(X25,contoare!A:K,5,FALSE)</f>
        <v>0.77600000000000002</v>
      </c>
      <c r="V25" s="38">
        <f>VLOOKUP(X25,contoare!A:K,8,FALSE)</f>
        <v>2336.4780000000001</v>
      </c>
      <c r="W25" s="38">
        <f>VLOOKUP(X25,contoare!A:K,9,FALSE)</f>
        <v>0.85599999999999998</v>
      </c>
      <c r="X25" s="169" t="s">
        <v>27</v>
      </c>
      <c r="Y25" s="158">
        <v>500</v>
      </c>
      <c r="Z25" s="159">
        <f t="shared" si="4"/>
        <v>256606</v>
      </c>
      <c r="AA25" s="159">
        <f t="shared" si="3"/>
        <v>39.999999999999979</v>
      </c>
      <c r="AB25" s="303"/>
      <c r="AC25" s="271"/>
      <c r="AD25" s="263"/>
    </row>
    <row r="26" spans="1:30" x14ac:dyDescent="0.2">
      <c r="A26" s="255"/>
      <c r="B26" s="26" t="s">
        <v>341</v>
      </c>
      <c r="C26" s="217" t="s">
        <v>342</v>
      </c>
      <c r="D26" s="37">
        <f>VLOOKUP(N26,contoare!A:K,2,FALSE)</f>
        <v>45870</v>
      </c>
      <c r="E26" s="37">
        <f>VLOOKUP(N26,contoare!A:K,3,FALSE)</f>
        <v>45901</v>
      </c>
      <c r="F26" s="38">
        <f>VLOOKUP(N26,contoare!A:K,4,FALSE)</f>
        <v>1249.95</v>
      </c>
      <c r="G26" s="38">
        <f>VLOOKUP(N26,contoare!A:K,5,FALSE)</f>
        <v>700.58199999999999</v>
      </c>
      <c r="H26" s="38">
        <f>VLOOKUP(N26,contoare!A:K,6,FALSE)</f>
        <v>72.756</v>
      </c>
      <c r="I26" s="38">
        <f>VLOOKUP(N26,contoare!A:K,7,FALSE)</f>
        <v>194.14099999999999</v>
      </c>
      <c r="J26" s="38">
        <f>VLOOKUP(N26,contoare!A:K,8,FALSE)</f>
        <v>1375.3810000000001</v>
      </c>
      <c r="K26" s="38">
        <f>VLOOKUP(N26,contoare!A:K,9,FALSE)</f>
        <v>925.81600000000003</v>
      </c>
      <c r="L26" s="38">
        <f>VLOOKUP(N26,contoare!A:K,10,FALSE)</f>
        <v>105.828</v>
      </c>
      <c r="M26" s="38">
        <f>VLOOKUP(N26,contoare!A:K,11,FALSE)</f>
        <v>205.935</v>
      </c>
      <c r="N26" s="92" t="s">
        <v>24</v>
      </c>
      <c r="O26" s="26">
        <v>800</v>
      </c>
      <c r="P26" s="27">
        <f t="shared" si="5"/>
        <v>100344.80000000003</v>
      </c>
      <c r="Q26" s="27">
        <f t="shared" si="6"/>
        <v>180187.20000000004</v>
      </c>
      <c r="R26" s="303"/>
      <c r="S26" s="271"/>
      <c r="T26" s="38">
        <f>VLOOKUP(X26,contoare!A:K,4,FALSE)</f>
        <v>1249.95</v>
      </c>
      <c r="U26" s="38">
        <f>VLOOKUP(X26,contoare!A:K,5,FALSE)</f>
        <v>700.58199999999999</v>
      </c>
      <c r="V26" s="38">
        <f>VLOOKUP(X26,contoare!A:K,8,FALSE)</f>
        <v>1375.3810000000001</v>
      </c>
      <c r="W26" s="38">
        <f>VLOOKUP(X26,contoare!A:K,9,FALSE)</f>
        <v>925.81600000000003</v>
      </c>
      <c r="X26" s="95" t="s">
        <v>24</v>
      </c>
      <c r="Y26" s="26">
        <v>800</v>
      </c>
      <c r="Z26" s="27">
        <f t="shared" si="4"/>
        <v>100344.80000000003</v>
      </c>
      <c r="AA26" s="27">
        <f t="shared" si="3"/>
        <v>180187.20000000004</v>
      </c>
      <c r="AB26" s="303"/>
      <c r="AC26" s="271"/>
      <c r="AD26" s="263"/>
    </row>
    <row r="27" spans="1:30" ht="16" customHeight="1" x14ac:dyDescent="0.2">
      <c r="A27" s="255"/>
      <c r="B27" s="26" t="s">
        <v>483</v>
      </c>
      <c r="C27" s="217" t="s">
        <v>484</v>
      </c>
      <c r="D27" s="37">
        <f>VLOOKUP(N27,contoare!A:K,2,FALSE)</f>
        <v>45870</v>
      </c>
      <c r="E27" s="37">
        <f>VLOOKUP(N27,contoare!A:K,3,FALSE)</f>
        <v>45901</v>
      </c>
      <c r="F27" s="38">
        <f>VLOOKUP(N27,contoare!A:K,4,FALSE)</f>
        <v>1612.98</v>
      </c>
      <c r="G27" s="38">
        <f>VLOOKUP(N27,contoare!A:K,5,FALSE)</f>
        <v>0.29299999999999998</v>
      </c>
      <c r="H27" s="38">
        <f>VLOOKUP(N27,contoare!A:K,6,FALSE)</f>
        <v>9.0960000000000001</v>
      </c>
      <c r="I27" s="38">
        <f>VLOOKUP(N27,contoare!A:K,7,FALSE)</f>
        <v>1.5580000000000001</v>
      </c>
      <c r="J27" s="38">
        <f>VLOOKUP(N27,contoare!A:K,8,FALSE)</f>
        <v>2089.63</v>
      </c>
      <c r="K27" s="38">
        <f>VLOOKUP(N27,contoare!A:K,9,FALSE)</f>
        <v>0.34899999999999998</v>
      </c>
      <c r="L27" s="38">
        <f>VLOOKUP(N27,contoare!A:K,10,FALSE)</f>
        <v>10.994</v>
      </c>
      <c r="M27" s="38">
        <f>VLOOKUP(N27,contoare!A:K,11,FALSE)</f>
        <v>1.8939999999999999</v>
      </c>
      <c r="N27" s="157" t="s">
        <v>191</v>
      </c>
      <c r="O27" s="158">
        <v>800</v>
      </c>
      <c r="P27" s="159">
        <f t="shared" si="5"/>
        <v>381320.00000000006</v>
      </c>
      <c r="Q27" s="159">
        <f t="shared" si="6"/>
        <v>44.8</v>
      </c>
      <c r="R27" s="303"/>
      <c r="S27" s="271"/>
      <c r="T27" s="38">
        <f>VLOOKUP(X27,contoare!A:K,4,FALSE)</f>
        <v>1612.98</v>
      </c>
      <c r="U27" s="38">
        <f>VLOOKUP(X27,contoare!A:K,5,FALSE)</f>
        <v>0.29299999999999998</v>
      </c>
      <c r="V27" s="38">
        <f>VLOOKUP(X27,contoare!A:K,8,FALSE)</f>
        <v>2089.63</v>
      </c>
      <c r="W27" s="38">
        <f>VLOOKUP(X27,contoare!A:K,9,FALSE)</f>
        <v>0.34899999999999998</v>
      </c>
      <c r="X27" s="169" t="s">
        <v>191</v>
      </c>
      <c r="Y27" s="158">
        <v>800</v>
      </c>
      <c r="Z27" s="159">
        <f t="shared" si="4"/>
        <v>381320.00000000006</v>
      </c>
      <c r="AA27" s="159">
        <f t="shared" si="3"/>
        <v>44.8</v>
      </c>
      <c r="AB27" s="303"/>
      <c r="AC27" s="271"/>
      <c r="AD27" s="263"/>
    </row>
    <row r="28" spans="1:30" ht="16" customHeight="1" x14ac:dyDescent="0.2">
      <c r="A28" s="255"/>
      <c r="B28" s="162" t="s">
        <v>533</v>
      </c>
      <c r="C28" s="218" t="s">
        <v>533</v>
      </c>
      <c r="D28" s="161" t="e">
        <f>VLOOKUP(N28,contoare!A:K,2,FALSE)</f>
        <v>#N/A</v>
      </c>
      <c r="E28" s="161" t="e">
        <f>VLOOKUP(N28,contoare!A:K,3,FALSE)</f>
        <v>#N/A</v>
      </c>
      <c r="F28" s="162" t="e">
        <f>VLOOKUP(N28,contoare!A:K,4,FALSE)</f>
        <v>#N/A</v>
      </c>
      <c r="G28" s="162" t="e">
        <f>VLOOKUP(N28,contoare!A:K,5,FALSE)</f>
        <v>#N/A</v>
      </c>
      <c r="H28" s="162" t="e">
        <f>VLOOKUP(N28,contoare!A:K,6,FALSE)</f>
        <v>#N/A</v>
      </c>
      <c r="I28" s="162" t="e">
        <f>VLOOKUP(N28,contoare!A:K,7,FALSE)</f>
        <v>#N/A</v>
      </c>
      <c r="J28" s="162" t="e">
        <f>VLOOKUP(N28,contoare!A:K,8,FALSE)</f>
        <v>#N/A</v>
      </c>
      <c r="K28" s="162" t="e">
        <f>VLOOKUP(N28,contoare!A:K,9,FALSE)</f>
        <v>#N/A</v>
      </c>
      <c r="L28" s="162" t="e">
        <f>VLOOKUP(N28,contoare!A:K,10,FALSE)</f>
        <v>#N/A</v>
      </c>
      <c r="M28" s="162" t="e">
        <f>VLOOKUP(N28,contoare!A:K,11,FALSE)</f>
        <v>#N/A</v>
      </c>
      <c r="N28" s="163" t="str">
        <f>C28</f>
        <v>MT SDI</v>
      </c>
      <c r="O28" s="162">
        <f>200/5*200</f>
        <v>8000</v>
      </c>
      <c r="P28" s="164">
        <v>0</v>
      </c>
      <c r="Q28" s="164">
        <v>0</v>
      </c>
      <c r="R28" s="165">
        <v>0</v>
      </c>
      <c r="S28" s="271"/>
      <c r="T28" s="38" t="e">
        <f>VLOOKUP(X28,contoare!A:K,4,FALSE)</f>
        <v>#N/A</v>
      </c>
      <c r="U28" s="38" t="e">
        <f>VLOOKUP(X28,contoare!A:K,5,FALSE)</f>
        <v>#N/A</v>
      </c>
      <c r="V28" s="38" t="e">
        <f>VLOOKUP(X28,contoare!A:K,8,FALSE)</f>
        <v>#N/A</v>
      </c>
      <c r="W28" s="38" t="e">
        <f>VLOOKUP(X28,contoare!A:K,9,FALSE)</f>
        <v>#N/A</v>
      </c>
      <c r="X28" s="163" t="s">
        <v>533</v>
      </c>
      <c r="Y28" s="162">
        <f>200/5*200</f>
        <v>8000</v>
      </c>
      <c r="Z28" s="164">
        <f t="shared" si="4"/>
        <v>0</v>
      </c>
      <c r="AA28" s="164">
        <f t="shared" si="3"/>
        <v>0</v>
      </c>
      <c r="AB28" s="165">
        <v>0</v>
      </c>
      <c r="AC28" s="271"/>
      <c r="AD28" s="263"/>
    </row>
    <row r="29" spans="1:30" ht="17" thickBot="1" x14ac:dyDescent="0.25">
      <c r="A29" s="350"/>
      <c r="B29" s="49" t="s">
        <v>538</v>
      </c>
      <c r="C29" s="221" t="s">
        <v>535</v>
      </c>
      <c r="D29" s="51" t="e">
        <f>VLOOKUP(N29,contoare!A:K,2,FALSE)</f>
        <v>#N/A</v>
      </c>
      <c r="E29" s="51" t="e">
        <f>VLOOKUP(N29,contoare!A:K,3,FALSE)</f>
        <v>#N/A</v>
      </c>
      <c r="F29" s="52" t="e">
        <f>VLOOKUP(N29,contoare!A:K,4,FALSE)</f>
        <v>#N/A</v>
      </c>
      <c r="G29" s="52" t="e">
        <f>VLOOKUP(N29,contoare!A:K,5,FALSE)</f>
        <v>#N/A</v>
      </c>
      <c r="H29" s="52" t="e">
        <f>VLOOKUP(N29,contoare!A:K,6,FALSE)</f>
        <v>#N/A</v>
      </c>
      <c r="I29" s="52" t="e">
        <f>VLOOKUP(N29,contoare!A:K,7,FALSE)</f>
        <v>#N/A</v>
      </c>
      <c r="J29" s="52" t="e">
        <f>VLOOKUP(N29,contoare!A:K,8,FALSE)</f>
        <v>#N/A</v>
      </c>
      <c r="K29" s="52" t="e">
        <f>VLOOKUP(N29,contoare!A:K,9,FALSE)</f>
        <v>#N/A</v>
      </c>
      <c r="L29" s="52" t="e">
        <f>VLOOKUP(N29,contoare!A:K,10,FALSE)</f>
        <v>#N/A</v>
      </c>
      <c r="M29" s="52" t="e">
        <f>VLOOKUP(N29,contoare!A:K,11,FALSE)</f>
        <v>#N/A</v>
      </c>
      <c r="N29" s="93">
        <v>88217201</v>
      </c>
      <c r="O29" s="55">
        <v>1</v>
      </c>
      <c r="P29" s="50">
        <v>669156</v>
      </c>
      <c r="Q29" s="50">
        <v>0</v>
      </c>
      <c r="R29" s="28">
        <f>P29</f>
        <v>669156</v>
      </c>
      <c r="S29" s="272"/>
      <c r="T29" s="52" t="e">
        <f>VLOOKUP(X29,contoare!A:K,4,FALSE)</f>
        <v>#N/A</v>
      </c>
      <c r="U29" s="52" t="e">
        <f>VLOOKUP(X29,contoare!A:K,5,FALSE)</f>
        <v>#N/A</v>
      </c>
      <c r="V29" s="52" t="e">
        <f>VLOOKUP(X29,contoare!A:K,8,FALSE)</f>
        <v>#N/A</v>
      </c>
      <c r="W29" s="52" t="e">
        <f>VLOOKUP(X29,contoare!A:K,9,FALSE)</f>
        <v>#N/A</v>
      </c>
      <c r="X29" s="174">
        <v>88217201</v>
      </c>
      <c r="Y29" s="55">
        <v>1</v>
      </c>
      <c r="Z29" s="50">
        <f t="shared" si="4"/>
        <v>669156</v>
      </c>
      <c r="AA29" s="50">
        <f t="shared" si="3"/>
        <v>0</v>
      </c>
      <c r="AB29" s="53">
        <f>P29</f>
        <v>669156</v>
      </c>
      <c r="AC29" s="272"/>
      <c r="AD29" s="309"/>
    </row>
    <row r="30" spans="1:30" x14ac:dyDescent="0.2">
      <c r="A30" s="254" t="s">
        <v>720</v>
      </c>
      <c r="B30" s="39" t="s">
        <v>343</v>
      </c>
      <c r="C30" s="216" t="s">
        <v>344</v>
      </c>
      <c r="D30" s="40">
        <f>VLOOKUP(N30,contoare!A:K,2,FALSE)</f>
        <v>45870</v>
      </c>
      <c r="E30" s="40">
        <f>VLOOKUP(N30,contoare!A:K,3,FALSE)</f>
        <v>45901</v>
      </c>
      <c r="F30" s="41">
        <f>VLOOKUP(N30,contoare!A:K,4,FALSE)</f>
        <v>690.01900000000001</v>
      </c>
      <c r="G30" s="41">
        <f>VLOOKUP(N30,contoare!A:K,5,FALSE)</f>
        <v>1.0680000000000001</v>
      </c>
      <c r="H30" s="41">
        <f>VLOOKUP(N30,contoare!A:K,6,FALSE)</f>
        <v>0.36</v>
      </c>
      <c r="I30" s="41">
        <f>VLOOKUP(N30,contoare!A:K,7,FALSE)</f>
        <v>134.136</v>
      </c>
      <c r="J30" s="41">
        <f>VLOOKUP(N30,contoare!A:K,8,FALSE)</f>
        <v>792.88</v>
      </c>
      <c r="K30" s="41">
        <f>VLOOKUP(N30,contoare!A:K,9,FALSE)</f>
        <v>1.0960000000000001</v>
      </c>
      <c r="L30" s="41">
        <f>VLOOKUP(N30,contoare!A:K,10,FALSE)</f>
        <v>0.38500000000000001</v>
      </c>
      <c r="M30" s="41">
        <f>VLOOKUP(N30,contoare!A:K,11,FALSE)</f>
        <v>155.06700000000001</v>
      </c>
      <c r="N30" s="91" t="s">
        <v>189</v>
      </c>
      <c r="O30" s="39">
        <v>800</v>
      </c>
      <c r="P30" s="42">
        <f>(J30-F30)*O30</f>
        <v>82288.799999999988</v>
      </c>
      <c r="Q30" s="42">
        <f>(K30-G30)*O30</f>
        <v>22.40000000000002</v>
      </c>
      <c r="R30" s="307">
        <f>P30</f>
        <v>82288.799999999988</v>
      </c>
      <c r="S30" s="270">
        <f>(R33-R30)/R33</f>
        <v>2.2245458110051113E-2</v>
      </c>
      <c r="T30" s="41">
        <f>VLOOKUP(X30,contoare!A:K,4,FALSE)</f>
        <v>690.01900000000001</v>
      </c>
      <c r="U30" s="41">
        <f>VLOOKUP(X30,contoare!A:K,5,FALSE)</f>
        <v>1.0680000000000001</v>
      </c>
      <c r="V30" s="41">
        <f>VLOOKUP(X30,contoare!A:K,8,FALSE)</f>
        <v>792.88</v>
      </c>
      <c r="W30" s="41">
        <f>VLOOKUP(X30,contoare!A:K,9,FALSE)</f>
        <v>1.0960000000000001</v>
      </c>
      <c r="X30" s="173" t="s">
        <v>189</v>
      </c>
      <c r="Y30" s="39">
        <v>800</v>
      </c>
      <c r="Z30" s="42">
        <f t="shared" si="4"/>
        <v>82288.799999999988</v>
      </c>
      <c r="AA30" s="42">
        <f t="shared" si="3"/>
        <v>22.40000000000002</v>
      </c>
      <c r="AB30" s="307">
        <f>P30</f>
        <v>82288.799999999988</v>
      </c>
      <c r="AC30" s="270">
        <f>(AB33-AB30)/AB33</f>
        <v>2.2245458110051113E-2</v>
      </c>
      <c r="AD30" s="312" t="s">
        <v>529</v>
      </c>
    </row>
    <row r="31" spans="1:30" x14ac:dyDescent="0.2">
      <c r="A31" s="255"/>
      <c r="B31" s="26" t="s">
        <v>485</v>
      </c>
      <c r="C31" s="217" t="s">
        <v>486</v>
      </c>
      <c r="D31" s="37">
        <f>VLOOKUP(N31,contoare!A:K,2,FALSE)</f>
        <v>45870</v>
      </c>
      <c r="E31" s="37">
        <f>VLOOKUP(N31,contoare!A:K,3,FALSE)</f>
        <v>45901</v>
      </c>
      <c r="F31" s="38">
        <f>VLOOKUP(N31,contoare!A:K,4,FALSE)</f>
        <v>1679.6489999999999</v>
      </c>
      <c r="G31" s="38">
        <f>VLOOKUP(N31,contoare!A:K,5,FALSE)</f>
        <v>0.39600000000000002</v>
      </c>
      <c r="H31" s="38">
        <f>VLOOKUP(N31,contoare!A:K,6,FALSE)</f>
        <v>18.745000000000001</v>
      </c>
      <c r="I31" s="38">
        <f>VLOOKUP(N31,contoare!A:K,7,FALSE)</f>
        <v>9.9000000000000005E-2</v>
      </c>
      <c r="J31" s="38">
        <f>VLOOKUP(N31,contoare!A:K,8,FALSE)</f>
        <v>2069.6170000000002</v>
      </c>
      <c r="K31" s="38">
        <f>VLOOKUP(N31,contoare!A:K,9,FALSE)</f>
        <v>0.45800000000000002</v>
      </c>
      <c r="L31" s="38">
        <f>VLOOKUP(N31,contoare!A:K,10,FALSE)</f>
        <v>21.914000000000001</v>
      </c>
      <c r="M31" s="38">
        <f>VLOOKUP(N31,contoare!A:K,11,FALSE)</f>
        <v>0.12</v>
      </c>
      <c r="N31" s="157" t="s">
        <v>190</v>
      </c>
      <c r="O31" s="158">
        <v>160</v>
      </c>
      <c r="P31" s="159">
        <f>(J31-F31)*O31</f>
        <v>62394.880000000048</v>
      </c>
      <c r="Q31" s="159">
        <f>(K31-G31)*O31</f>
        <v>9.92</v>
      </c>
      <c r="R31" s="303"/>
      <c r="S31" s="271"/>
      <c r="T31" s="38">
        <f>VLOOKUP(X31,contoare!A:K,4,FALSE)</f>
        <v>1679.6489999999999</v>
      </c>
      <c r="U31" s="38">
        <f>VLOOKUP(X31,contoare!A:K,5,FALSE)</f>
        <v>0.39600000000000002</v>
      </c>
      <c r="V31" s="38">
        <f>VLOOKUP(X31,contoare!A:K,8,FALSE)</f>
        <v>2069.6170000000002</v>
      </c>
      <c r="W31" s="38">
        <f>VLOOKUP(X31,contoare!A:K,9,FALSE)</f>
        <v>0.45800000000000002</v>
      </c>
      <c r="X31" s="169" t="s">
        <v>190</v>
      </c>
      <c r="Y31" s="158">
        <v>160</v>
      </c>
      <c r="Z31" s="159">
        <f t="shared" si="4"/>
        <v>62394.880000000048</v>
      </c>
      <c r="AA31" s="159">
        <f t="shared" si="3"/>
        <v>9.92</v>
      </c>
      <c r="AB31" s="303"/>
      <c r="AC31" s="271"/>
      <c r="AD31" s="313"/>
    </row>
    <row r="32" spans="1:30" x14ac:dyDescent="0.2">
      <c r="A32" s="255"/>
      <c r="B32" s="162" t="s">
        <v>533</v>
      </c>
      <c r="C32" s="218" t="s">
        <v>533</v>
      </c>
      <c r="D32" s="161" t="e">
        <f>VLOOKUP(N32,contoare!A:K,2,FALSE)</f>
        <v>#N/A</v>
      </c>
      <c r="E32" s="161" t="e">
        <f>VLOOKUP(N32,contoare!A:K,3,FALSE)</f>
        <v>#N/A</v>
      </c>
      <c r="F32" s="162" t="e">
        <f>VLOOKUP(N32,contoare!A:K,4,FALSE)</f>
        <v>#N/A</v>
      </c>
      <c r="G32" s="162" t="e">
        <f>VLOOKUP(N32,contoare!A:K,5,FALSE)</f>
        <v>#N/A</v>
      </c>
      <c r="H32" s="162" t="e">
        <f>VLOOKUP(N32,contoare!A:K,6,FALSE)</f>
        <v>#N/A</v>
      </c>
      <c r="I32" s="162" t="e">
        <f>VLOOKUP(N32,contoare!A:K,7,FALSE)</f>
        <v>#N/A</v>
      </c>
      <c r="J32" s="162" t="e">
        <f>VLOOKUP(N32,contoare!A:K,8,FALSE)</f>
        <v>#N/A</v>
      </c>
      <c r="K32" s="162" t="e">
        <f>VLOOKUP(N32,contoare!A:K,9,FALSE)</f>
        <v>#N/A</v>
      </c>
      <c r="L32" s="162" t="e">
        <f>VLOOKUP(N32,contoare!A:K,10,FALSE)</f>
        <v>#N/A</v>
      </c>
      <c r="M32" s="162" t="e">
        <f>VLOOKUP(N32,contoare!A:K,11,FALSE)</f>
        <v>#N/A</v>
      </c>
      <c r="N32" s="163" t="str">
        <f>C32</f>
        <v>MT SDI</v>
      </c>
      <c r="O32" s="162">
        <f>75/5*200</f>
        <v>3000</v>
      </c>
      <c r="P32" s="164">
        <v>0</v>
      </c>
      <c r="Q32" s="164">
        <v>0</v>
      </c>
      <c r="R32" s="165">
        <v>0</v>
      </c>
      <c r="S32" s="271"/>
      <c r="T32" s="38" t="e">
        <f>VLOOKUP(X32,contoare!A:K,4,FALSE)</f>
        <v>#N/A</v>
      </c>
      <c r="U32" s="38" t="e">
        <f>VLOOKUP(X32,contoare!A:K,5,FALSE)</f>
        <v>#N/A</v>
      </c>
      <c r="V32" s="38" t="e">
        <f>VLOOKUP(X32,contoare!A:K,8,FALSE)</f>
        <v>#N/A</v>
      </c>
      <c r="W32" s="38" t="e">
        <f>VLOOKUP(X32,contoare!A:K,9,FALSE)</f>
        <v>#N/A</v>
      </c>
      <c r="X32" s="163" t="s">
        <v>533</v>
      </c>
      <c r="Y32" s="162">
        <f>75/5*200</f>
        <v>3000</v>
      </c>
      <c r="Z32" s="164">
        <f t="shared" si="4"/>
        <v>0</v>
      </c>
      <c r="AA32" s="164">
        <f t="shared" si="3"/>
        <v>0</v>
      </c>
      <c r="AB32" s="165">
        <v>0</v>
      </c>
      <c r="AC32" s="271"/>
      <c r="AD32" s="313"/>
    </row>
    <row r="33" spans="1:30" ht="17" thickBot="1" x14ac:dyDescent="0.25">
      <c r="A33" s="350"/>
      <c r="B33" s="49" t="s">
        <v>539</v>
      </c>
      <c r="C33" s="221" t="s">
        <v>536</v>
      </c>
      <c r="D33" s="51" t="e">
        <f>VLOOKUP(N33,contoare!A:K,2,FALSE)</f>
        <v>#N/A</v>
      </c>
      <c r="E33" s="51" t="e">
        <f>VLOOKUP(N33,contoare!A:K,3,FALSE)</f>
        <v>#N/A</v>
      </c>
      <c r="F33" s="52" t="e">
        <f>VLOOKUP(N33,contoare!A:K,4,FALSE)</f>
        <v>#N/A</v>
      </c>
      <c r="G33" s="52" t="e">
        <f>VLOOKUP(N33,contoare!A:K,5,FALSE)</f>
        <v>#N/A</v>
      </c>
      <c r="H33" s="52" t="e">
        <f>VLOOKUP(N33,contoare!A:K,6,FALSE)</f>
        <v>#N/A</v>
      </c>
      <c r="I33" s="52" t="e">
        <f>VLOOKUP(N33,contoare!A:K,7,FALSE)</f>
        <v>#N/A</v>
      </c>
      <c r="J33" s="52" t="e">
        <f>VLOOKUP(N33,contoare!A:K,8,FALSE)</f>
        <v>#N/A</v>
      </c>
      <c r="K33" s="52" t="e">
        <f>VLOOKUP(N33,contoare!A:K,9,FALSE)</f>
        <v>#N/A</v>
      </c>
      <c r="L33" s="52" t="e">
        <f>VLOOKUP(N33,contoare!A:K,10,FALSE)</f>
        <v>#N/A</v>
      </c>
      <c r="M33" s="52" t="e">
        <f>VLOOKUP(N33,contoare!A:K,11,FALSE)</f>
        <v>#N/A</v>
      </c>
      <c r="N33" s="93">
        <v>90065720</v>
      </c>
      <c r="O33" s="55">
        <v>1</v>
      </c>
      <c r="P33" s="50">
        <v>84161</v>
      </c>
      <c r="Q33" s="50">
        <v>0</v>
      </c>
      <c r="R33" s="28">
        <f>P33</f>
        <v>84161</v>
      </c>
      <c r="S33" s="272"/>
      <c r="T33" s="52" t="e">
        <f>VLOOKUP(X33,contoare!A:K,4,FALSE)</f>
        <v>#N/A</v>
      </c>
      <c r="U33" s="52" t="e">
        <f>VLOOKUP(X33,contoare!A:K,5,FALSE)</f>
        <v>#N/A</v>
      </c>
      <c r="V33" s="52" t="e">
        <f>VLOOKUP(X33,contoare!A:K,8,FALSE)</f>
        <v>#N/A</v>
      </c>
      <c r="W33" s="52" t="e">
        <f>VLOOKUP(X33,contoare!A:K,9,FALSE)</f>
        <v>#N/A</v>
      </c>
      <c r="X33" s="93">
        <v>90065720</v>
      </c>
      <c r="Y33" s="55">
        <v>1</v>
      </c>
      <c r="Z33" s="50">
        <f t="shared" si="4"/>
        <v>84161</v>
      </c>
      <c r="AA33" s="50">
        <f t="shared" si="3"/>
        <v>0</v>
      </c>
      <c r="AB33" s="53">
        <f t="shared" ref="AB33" si="9">P33</f>
        <v>84161</v>
      </c>
      <c r="AC33" s="272"/>
      <c r="AD33" s="314"/>
    </row>
    <row r="34" spans="1:30" x14ac:dyDescent="0.2">
      <c r="A34" s="236" t="s">
        <v>721</v>
      </c>
      <c r="B34" s="186" t="s">
        <v>387</v>
      </c>
      <c r="C34" s="216" t="s">
        <v>388</v>
      </c>
      <c r="D34" s="40">
        <f>VLOOKUP(N34,contoare!A:K,2,FALSE)</f>
        <v>45870</v>
      </c>
      <c r="E34" s="40">
        <f>VLOOKUP(N34,contoare!A:K,3,FALSE)</f>
        <v>45901</v>
      </c>
      <c r="F34" s="41">
        <f>VLOOKUP(N34,contoare!A:K,4,FALSE)</f>
        <v>35.210999999999999</v>
      </c>
      <c r="G34" s="41">
        <f>VLOOKUP(N34,contoare!A:K,5,FALSE)</f>
        <v>51.723999999999997</v>
      </c>
      <c r="H34" s="41">
        <f>VLOOKUP(N34,contoare!A:K,6,FALSE)</f>
        <v>64.197000000000003</v>
      </c>
      <c r="I34" s="41">
        <f>VLOOKUP(N34,contoare!A:K,7,FALSE)</f>
        <v>18.152000000000001</v>
      </c>
      <c r="J34" s="41">
        <f>VLOOKUP(N34,contoare!A:K,8,FALSE)</f>
        <v>46.81</v>
      </c>
      <c r="K34" s="41">
        <f>VLOOKUP(N34,contoare!A:K,9,FALSE)</f>
        <v>58.692</v>
      </c>
      <c r="L34" s="41">
        <f>VLOOKUP(N34,contoare!A:K,10,FALSE)</f>
        <v>68.924999999999997</v>
      </c>
      <c r="M34" s="41">
        <f>VLOOKUP(N34,contoare!A:K,11,FALSE)</f>
        <v>24.003</v>
      </c>
      <c r="N34" s="91" t="s">
        <v>38</v>
      </c>
      <c r="O34" s="39">
        <v>600</v>
      </c>
      <c r="P34" s="42">
        <f t="shared" ref="P34:P59" si="10">(J34-F34)*O34</f>
        <v>6959.4000000000024</v>
      </c>
      <c r="Q34" s="42">
        <f t="shared" ref="Q34:Q59" si="11">(K34-G34)*O34</f>
        <v>4180.800000000002</v>
      </c>
      <c r="R34" s="242">
        <f>P34+P36-Q34-Q36</f>
        <v>116535.59999999998</v>
      </c>
      <c r="S34" s="244">
        <f>(R39-R34)/R39</f>
        <v>0.59525006946374004</v>
      </c>
      <c r="T34" s="41">
        <f>VLOOKUP(X34,contoare!A:K,4,FALSE)</f>
        <v>1.3049999999999999</v>
      </c>
      <c r="U34" s="41">
        <f>VLOOKUP(X34,contoare!A:K,5,FALSE)</f>
        <v>1092.53</v>
      </c>
      <c r="V34" s="41">
        <f>VLOOKUP(X34,contoare!A:K,8,FALSE)</f>
        <v>1.3660000000000001</v>
      </c>
      <c r="W34" s="41">
        <f>VLOOKUP(X34,contoare!A:K,9,FALSE)</f>
        <v>1333.6610000000001</v>
      </c>
      <c r="X34" s="91" t="s">
        <v>33</v>
      </c>
      <c r="Y34" s="39">
        <v>600</v>
      </c>
      <c r="Z34" s="42">
        <f t="shared" si="4"/>
        <v>36.600000000000101</v>
      </c>
      <c r="AA34" s="42">
        <f t="shared" si="3"/>
        <v>144678.60000000006</v>
      </c>
      <c r="AB34" s="242">
        <f>Z34+Z36-AA34-AA36</f>
        <v>-30885.00000000008</v>
      </c>
      <c r="AC34" s="291">
        <f>(AB39-AB34)/AB39</f>
        <v>1.1072693803834401</v>
      </c>
      <c r="AD34" s="339" t="s">
        <v>649</v>
      </c>
    </row>
    <row r="35" spans="1:30" x14ac:dyDescent="0.2">
      <c r="A35" s="237"/>
      <c r="B35" s="187" t="s">
        <v>493</v>
      </c>
      <c r="C35" s="217" t="s">
        <v>494</v>
      </c>
      <c r="D35" s="37">
        <f>VLOOKUP(N35,contoare!A:K,2,FALSE)</f>
        <v>45870</v>
      </c>
      <c r="E35" s="37">
        <f>VLOOKUP(N35,contoare!A:K,3,FALSE)</f>
        <v>45901</v>
      </c>
      <c r="F35" s="38">
        <f>VLOOKUP(N35,contoare!A:K,4,FALSE)</f>
        <v>1626.36</v>
      </c>
      <c r="G35" s="38">
        <f>VLOOKUP(N35,contoare!A:K,5,FALSE)</f>
        <v>0</v>
      </c>
      <c r="H35" s="38">
        <f>VLOOKUP(N35,contoare!A:K,6,FALSE)</f>
        <v>9.4459999999999997</v>
      </c>
      <c r="I35" s="38">
        <f>VLOOKUP(N35,contoare!A:K,7,FALSE)</f>
        <v>4.9169999999999998</v>
      </c>
      <c r="J35" s="38">
        <f>VLOOKUP(N35,contoare!A:K,8,FALSE)</f>
        <v>1984.3789999999999</v>
      </c>
      <c r="K35" s="38">
        <f>VLOOKUP(N35,contoare!A:K,9,FALSE)</f>
        <v>0</v>
      </c>
      <c r="L35" s="38">
        <f>VLOOKUP(N35,contoare!A:K,10,FALSE)</f>
        <v>10.646000000000001</v>
      </c>
      <c r="M35" s="38">
        <f>VLOOKUP(N35,contoare!A:K,11,FALSE)</f>
        <v>5.9720000000000004</v>
      </c>
      <c r="N35" s="92" t="s">
        <v>37</v>
      </c>
      <c r="O35" s="26">
        <v>300</v>
      </c>
      <c r="P35" s="27">
        <f t="shared" si="10"/>
        <v>107405.7</v>
      </c>
      <c r="Q35" s="27">
        <f t="shared" si="11"/>
        <v>0</v>
      </c>
      <c r="R35" s="243"/>
      <c r="S35" s="245"/>
      <c r="T35" s="38">
        <f>VLOOKUP(X35,contoare!A:K,4,FALSE)</f>
        <v>1626.36</v>
      </c>
      <c r="U35" s="38">
        <f>VLOOKUP(X35,contoare!A:K,5,FALSE)</f>
        <v>0</v>
      </c>
      <c r="V35" s="38">
        <f>VLOOKUP(X35,contoare!A:K,8,FALSE)</f>
        <v>1984.3789999999999</v>
      </c>
      <c r="W35" s="38">
        <f>VLOOKUP(X35,contoare!A:K,9,FALSE)</f>
        <v>0</v>
      </c>
      <c r="X35" s="92" t="s">
        <v>37</v>
      </c>
      <c r="Y35" s="26">
        <v>300</v>
      </c>
      <c r="Z35" s="27">
        <f t="shared" si="4"/>
        <v>107405.7</v>
      </c>
      <c r="AA35" s="27">
        <f t="shared" si="3"/>
        <v>0</v>
      </c>
      <c r="AB35" s="243"/>
      <c r="AC35" s="292"/>
      <c r="AD35" s="340"/>
    </row>
    <row r="36" spans="1:30" x14ac:dyDescent="0.2">
      <c r="A36" s="237"/>
      <c r="B36" s="187" t="s">
        <v>389</v>
      </c>
      <c r="C36" s="217" t="s">
        <v>390</v>
      </c>
      <c r="D36" s="37">
        <f>VLOOKUP(N36,contoare!A:K,2,FALSE)</f>
        <v>45870</v>
      </c>
      <c r="E36" s="37">
        <f>VLOOKUP(N36,contoare!A:K,3,FALSE)</f>
        <v>45901</v>
      </c>
      <c r="F36" s="38">
        <f>VLOOKUP(N36,contoare!A:K,4,FALSE)</f>
        <v>1022.398</v>
      </c>
      <c r="G36" s="38">
        <f>VLOOKUP(N36,contoare!A:K,5,FALSE)</f>
        <v>1.028</v>
      </c>
      <c r="H36" s="38">
        <f>VLOOKUP(N36,contoare!A:K,6,FALSE)</f>
        <v>7.0970000000000004</v>
      </c>
      <c r="I36" s="38">
        <f>VLOOKUP(N36,contoare!A:K,7,FALSE)</f>
        <v>9.7309999999999999</v>
      </c>
      <c r="J36" s="38">
        <f>VLOOKUP(N36,contoare!A:K,8,FALSE)</f>
        <v>1212.049</v>
      </c>
      <c r="K36" s="38">
        <f>VLOOKUP(N36,contoare!A:K,9,FALSE)</f>
        <v>1.0840000000000001</v>
      </c>
      <c r="L36" s="38">
        <f>VLOOKUP(N36,contoare!A:K,10,FALSE)</f>
        <v>8.23</v>
      </c>
      <c r="M36" s="38">
        <f>VLOOKUP(N36,contoare!A:K,11,FALSE)</f>
        <v>11.327999999999999</v>
      </c>
      <c r="N36" s="92" t="s">
        <v>29</v>
      </c>
      <c r="O36" s="26">
        <v>600</v>
      </c>
      <c r="P36" s="27">
        <f t="shared" si="10"/>
        <v>113790.59999999998</v>
      </c>
      <c r="Q36" s="27">
        <f t="shared" si="11"/>
        <v>33.60000000000003</v>
      </c>
      <c r="R36" s="243"/>
      <c r="S36" s="245"/>
      <c r="T36" s="38">
        <f>VLOOKUP(X36,contoare!A:K,4,FALSE)</f>
        <v>1022.398</v>
      </c>
      <c r="U36" s="38">
        <f>VLOOKUP(X36,contoare!A:K,5,FALSE)</f>
        <v>1.028</v>
      </c>
      <c r="V36" s="38">
        <f>VLOOKUP(X36,contoare!A:K,8,FALSE)</f>
        <v>1212.049</v>
      </c>
      <c r="W36" s="38">
        <f>VLOOKUP(X36,contoare!A:K,9,FALSE)</f>
        <v>1.0840000000000001</v>
      </c>
      <c r="X36" s="92" t="s">
        <v>29</v>
      </c>
      <c r="Y36" s="26">
        <v>600</v>
      </c>
      <c r="Z36" s="27">
        <f t="shared" ref="Z36:Z37" si="12">IF(LEFT(N36,3)&lt;&gt;"HXE",P36,(V36-T36)*Y36)</f>
        <v>113790.59999999998</v>
      </c>
      <c r="AA36" s="27">
        <f t="shared" ref="AA36:AA37" si="13">IF(LEFT(X36,3)&lt;&gt;"HXE",Q36,(W36-U36)*Y36)</f>
        <v>33.60000000000003</v>
      </c>
      <c r="AB36" s="243"/>
      <c r="AC36" s="292"/>
      <c r="AD36" s="340"/>
    </row>
    <row r="37" spans="1:30" x14ac:dyDescent="0.2">
      <c r="A37" s="237"/>
      <c r="B37" s="187" t="s">
        <v>495</v>
      </c>
      <c r="C37" s="217" t="s">
        <v>496</v>
      </c>
      <c r="D37" s="37">
        <f>VLOOKUP(N37,contoare!A:K,2,FALSE)</f>
        <v>45870</v>
      </c>
      <c r="E37" s="37">
        <f>VLOOKUP(N37,contoare!A:K,3,FALSE)</f>
        <v>45901</v>
      </c>
      <c r="F37" s="38">
        <f>VLOOKUP(N37,contoare!A:K,4,FALSE)</f>
        <v>1435.297</v>
      </c>
      <c r="G37" s="38">
        <f>VLOOKUP(N37,contoare!A:K,5,FALSE)</f>
        <v>2.5510000000000002</v>
      </c>
      <c r="H37" s="38">
        <f>VLOOKUP(N37,contoare!A:K,6,FALSE)</f>
        <v>8.3780000000000001</v>
      </c>
      <c r="I37" s="38">
        <f>VLOOKUP(N37,contoare!A:K,7,FALSE)</f>
        <v>174.881</v>
      </c>
      <c r="J37" s="38">
        <f>VLOOKUP(N37,contoare!A:K,8,FALSE)</f>
        <v>1700.634</v>
      </c>
      <c r="K37" s="38">
        <f>VLOOKUP(N37,contoare!A:K,9,FALSE)</f>
        <v>3.2530000000000001</v>
      </c>
      <c r="L37" s="38">
        <f>VLOOKUP(N37,contoare!A:K,10,FALSE)</f>
        <v>9.6319999999999997</v>
      </c>
      <c r="M37" s="38">
        <f>VLOOKUP(N37,contoare!A:K,11,FALSE)</f>
        <v>207.626</v>
      </c>
      <c r="N37" s="92" t="s">
        <v>34</v>
      </c>
      <c r="O37" s="26">
        <v>300</v>
      </c>
      <c r="P37" s="27">
        <f t="shared" ref="P37:P52" si="14">(J37-F37)*O37</f>
        <v>79601.099999999991</v>
      </c>
      <c r="Q37" s="27">
        <f t="shared" ref="Q37:Q52" si="15">(K37-G37)*O37</f>
        <v>210.6</v>
      </c>
      <c r="R37" s="243"/>
      <c r="S37" s="245"/>
      <c r="T37" s="38">
        <f>VLOOKUP(X37,contoare!A:K,4,FALSE)</f>
        <v>1435.297</v>
      </c>
      <c r="U37" s="38">
        <f>VLOOKUP(X37,contoare!A:K,5,FALSE)</f>
        <v>2.5510000000000002</v>
      </c>
      <c r="V37" s="38">
        <f>VLOOKUP(X37,contoare!A:K,8,FALSE)</f>
        <v>1700.634</v>
      </c>
      <c r="W37" s="38">
        <f>VLOOKUP(X37,contoare!A:K,9,FALSE)</f>
        <v>3.2530000000000001</v>
      </c>
      <c r="X37" s="92" t="s">
        <v>34</v>
      </c>
      <c r="Y37" s="26">
        <v>300</v>
      </c>
      <c r="Z37" s="27">
        <f t="shared" si="12"/>
        <v>79601.099999999991</v>
      </c>
      <c r="AA37" s="27">
        <f t="shared" si="13"/>
        <v>210.6</v>
      </c>
      <c r="AB37" s="243"/>
      <c r="AC37" s="292"/>
      <c r="AD37" s="340"/>
    </row>
    <row r="38" spans="1:30" x14ac:dyDescent="0.2">
      <c r="A38" s="237"/>
      <c r="B38" s="188" t="s">
        <v>638</v>
      </c>
      <c r="C38" s="220" t="s">
        <v>638</v>
      </c>
      <c r="D38" s="161" t="e">
        <f>VLOOKUP(N38,contoare!A:K,2,FALSE)</f>
        <v>#N/A</v>
      </c>
      <c r="E38" s="161" t="e">
        <f>VLOOKUP(N38,contoare!A:K,3,FALSE)</f>
        <v>#N/A</v>
      </c>
      <c r="F38" s="162" t="e">
        <f>VLOOKUP(N38,contoare!A:K,4,FALSE)</f>
        <v>#N/A</v>
      </c>
      <c r="G38" s="162" t="e">
        <f>VLOOKUP(N38,contoare!A:K,5,FALSE)</f>
        <v>#N/A</v>
      </c>
      <c r="H38" s="162" t="e">
        <f>VLOOKUP(N38,contoare!A:K,6,FALSE)</f>
        <v>#N/A</v>
      </c>
      <c r="I38" s="162" t="e">
        <f>VLOOKUP(N38,contoare!A:K,7,FALSE)</f>
        <v>#N/A</v>
      </c>
      <c r="J38" s="162" t="e">
        <f>VLOOKUP(N38,contoare!A:K,8,FALSE)</f>
        <v>#N/A</v>
      </c>
      <c r="K38" s="162" t="e">
        <f>VLOOKUP(N38,contoare!A:K,9,FALSE)</f>
        <v>#N/A</v>
      </c>
      <c r="L38" s="162" t="e">
        <f>VLOOKUP(N38,contoare!A:K,10,FALSE)</f>
        <v>#N/A</v>
      </c>
      <c r="M38" s="162" t="e">
        <f>VLOOKUP(N38,contoare!A:K,11,FALSE)</f>
        <v>#N/A</v>
      </c>
      <c r="N38" s="185" t="s">
        <v>638</v>
      </c>
      <c r="O38" s="162">
        <v>4000</v>
      </c>
      <c r="P38" s="164" t="e">
        <f t="shared" si="14"/>
        <v>#N/A</v>
      </c>
      <c r="Q38" s="164" t="e">
        <f t="shared" si="15"/>
        <v>#N/A</v>
      </c>
      <c r="R38" s="164" t="e">
        <f>P38</f>
        <v>#N/A</v>
      </c>
      <c r="S38" s="245"/>
      <c r="T38" s="162" t="e">
        <f>VLOOKUP(X38,contoare!A:K,4,FALSE)</f>
        <v>#N/A</v>
      </c>
      <c r="U38" s="162" t="e">
        <f>VLOOKUP(X38,contoare!A:K,5,FALSE)</f>
        <v>#N/A</v>
      </c>
      <c r="V38" s="162" t="e">
        <f>VLOOKUP(X38,contoare!A:K,8,FALSE)</f>
        <v>#N/A</v>
      </c>
      <c r="W38" s="162" t="e">
        <f>VLOOKUP(X38,contoare!A:K,9,FALSE)</f>
        <v>#N/A</v>
      </c>
      <c r="X38" s="167"/>
      <c r="Y38" s="162">
        <v>4000</v>
      </c>
      <c r="Z38" s="164" t="e">
        <f>IF(LEFT(N38,3)&lt;&gt;"HXE",P38,(V38-T38)*Y38)</f>
        <v>#N/A</v>
      </c>
      <c r="AA38" s="164" t="e">
        <f t="shared" ref="AA38:AA53" si="16">IF(LEFT(X38,3)&lt;&gt;"HXE",Q38,(W38-U38)*Y38)</f>
        <v>#N/A</v>
      </c>
      <c r="AB38" s="164" t="e">
        <f>Z38</f>
        <v>#N/A</v>
      </c>
      <c r="AC38" s="292"/>
      <c r="AD38" s="340"/>
    </row>
    <row r="39" spans="1:30" ht="17" thickBot="1" x14ac:dyDescent="0.25">
      <c r="A39" s="237"/>
      <c r="B39" s="189" t="s">
        <v>636</v>
      </c>
      <c r="C39" s="219" t="s">
        <v>644</v>
      </c>
      <c r="D39" s="44" t="e">
        <f>VLOOKUP(N39,contoare!A:K,2,FALSE)</f>
        <v>#N/A</v>
      </c>
      <c r="E39" s="44" t="e">
        <f>VLOOKUP(N39,contoare!A:K,3,FALSE)</f>
        <v>#N/A</v>
      </c>
      <c r="F39" s="45" t="e">
        <f>VLOOKUP(N39,contoare!A:K,4,FALSE)</f>
        <v>#N/A</v>
      </c>
      <c r="G39" s="45" t="e">
        <f>VLOOKUP(N39,contoare!A:K,5,FALSE)</f>
        <v>#N/A</v>
      </c>
      <c r="H39" s="45" t="e">
        <f>VLOOKUP(N39,contoare!A:K,6,FALSE)</f>
        <v>#N/A</v>
      </c>
      <c r="I39" s="45" t="e">
        <f>VLOOKUP(N39,contoare!A:K,7,FALSE)</f>
        <v>#N/A</v>
      </c>
      <c r="J39" s="45" t="e">
        <f>VLOOKUP(N39,contoare!A:K,8,FALSE)</f>
        <v>#N/A</v>
      </c>
      <c r="K39" s="45" t="e">
        <f>VLOOKUP(N39,contoare!A:K,9,FALSE)</f>
        <v>#N/A</v>
      </c>
      <c r="L39" s="45" t="e">
        <f>VLOOKUP(N39,contoare!A:K,10,FALSE)</f>
        <v>#N/A</v>
      </c>
      <c r="M39" s="45" t="e">
        <f>VLOOKUP(N39,contoare!A:K,11,FALSE)</f>
        <v>#N/A</v>
      </c>
      <c r="N39" s="94" t="s">
        <v>633</v>
      </c>
      <c r="O39" s="43">
        <v>4000</v>
      </c>
      <c r="P39" s="46">
        <v>287920</v>
      </c>
      <c r="Q39" s="46">
        <v>0</v>
      </c>
      <c r="R39" s="47">
        <f>P39</f>
        <v>287920</v>
      </c>
      <c r="S39" s="246"/>
      <c r="T39" s="45" t="e">
        <f>VLOOKUP(X39,contoare!A:K,4,FALSE)</f>
        <v>#N/A</v>
      </c>
      <c r="U39" s="45" t="e">
        <f>VLOOKUP(X39,contoare!A:K,5,FALSE)</f>
        <v>#N/A</v>
      </c>
      <c r="V39" s="45" t="e">
        <f>VLOOKUP(X39,contoare!A:K,8,FALSE)</f>
        <v>#N/A</v>
      </c>
      <c r="W39" s="45" t="e">
        <f>VLOOKUP(X39,contoare!A:K,9,FALSE)</f>
        <v>#N/A</v>
      </c>
      <c r="X39" s="94" t="s">
        <v>633</v>
      </c>
      <c r="Y39" s="43">
        <v>4000</v>
      </c>
      <c r="Z39" s="46">
        <f>IF(LEFT(N39,3)&lt;&gt;"HXE",P39,(V39-T39)*Y39)</f>
        <v>287920</v>
      </c>
      <c r="AA39" s="46">
        <f t="shared" si="16"/>
        <v>0</v>
      </c>
      <c r="AB39" s="47">
        <f>Z39</f>
        <v>287920</v>
      </c>
      <c r="AC39" s="338"/>
      <c r="AD39" s="340"/>
    </row>
    <row r="40" spans="1:30" x14ac:dyDescent="0.2">
      <c r="A40" s="237"/>
      <c r="B40" s="186" t="s">
        <v>391</v>
      </c>
      <c r="C40" s="216" t="s">
        <v>392</v>
      </c>
      <c r="D40" s="40">
        <f>VLOOKUP(N40,contoare!A:K,2,FALSE)</f>
        <v>45870</v>
      </c>
      <c r="E40" s="40">
        <f>VLOOKUP(N40,contoare!A:K,3,FALSE)</f>
        <v>45901</v>
      </c>
      <c r="F40" s="41">
        <f>VLOOKUP(N40,contoare!A:K,4,FALSE)</f>
        <v>1.3049999999999999</v>
      </c>
      <c r="G40" s="41">
        <f>VLOOKUP(N40,contoare!A:K,5,FALSE)</f>
        <v>1092.53</v>
      </c>
      <c r="H40" s="41">
        <f>VLOOKUP(N40,contoare!A:K,6,FALSE)</f>
        <v>19.945</v>
      </c>
      <c r="I40" s="41">
        <f>VLOOKUP(N40,contoare!A:K,7,FALSE)</f>
        <v>5.3239999999999998</v>
      </c>
      <c r="J40" s="41">
        <f>VLOOKUP(N40,contoare!A:K,8,FALSE)</f>
        <v>1.3660000000000001</v>
      </c>
      <c r="K40" s="41">
        <f>VLOOKUP(N40,contoare!A:K,9,FALSE)</f>
        <v>1333.6610000000001</v>
      </c>
      <c r="L40" s="41">
        <f>VLOOKUP(N40,contoare!A:K,10,FALSE)</f>
        <v>24.693999999999999</v>
      </c>
      <c r="M40" s="41">
        <f>VLOOKUP(N40,contoare!A:K,11,FALSE)</f>
        <v>6.1319999999999997</v>
      </c>
      <c r="N40" s="91" t="s">
        <v>33</v>
      </c>
      <c r="O40" s="39">
        <v>120</v>
      </c>
      <c r="P40" s="42">
        <f t="shared" si="14"/>
        <v>7.3200000000000198</v>
      </c>
      <c r="Q40" s="42">
        <f t="shared" si="15"/>
        <v>28935.720000000008</v>
      </c>
      <c r="R40" s="118">
        <f>P40</f>
        <v>7.3200000000000198</v>
      </c>
      <c r="S40" s="244">
        <f>(R42-R40)/R42</f>
        <v>0.999695</v>
      </c>
      <c r="T40" s="41">
        <f>VLOOKUP(X40,contoare!A:K,4,FALSE)</f>
        <v>35.210999999999999</v>
      </c>
      <c r="U40" s="41">
        <f>VLOOKUP(X40,contoare!A:K,5,FALSE)</f>
        <v>51.723999999999997</v>
      </c>
      <c r="V40" s="41">
        <f>VLOOKUP(X40,contoare!A:K,8,FALSE)</f>
        <v>46.81</v>
      </c>
      <c r="W40" s="41">
        <f>VLOOKUP(X40,contoare!A:K,9,FALSE)</f>
        <v>58.692</v>
      </c>
      <c r="X40" s="91" t="s">
        <v>38</v>
      </c>
      <c r="Y40" s="39">
        <v>120</v>
      </c>
      <c r="Z40" s="42">
        <f t="shared" ref="Z40:Z53" si="17">IF(LEFT(N40,3)&lt;&gt;"HXE",P40,(V40-T40)*Y40)</f>
        <v>1391.8800000000006</v>
      </c>
      <c r="AA40" s="42">
        <f t="shared" si="16"/>
        <v>836.16000000000042</v>
      </c>
      <c r="AB40" s="118">
        <f>Z40</f>
        <v>1391.8800000000006</v>
      </c>
      <c r="AC40" s="291">
        <f>(AB42-AB40)/AB42</f>
        <v>0.94200499999999998</v>
      </c>
      <c r="AD40" s="340"/>
    </row>
    <row r="41" spans="1:30" x14ac:dyDescent="0.2">
      <c r="A41" s="237"/>
      <c r="B41" s="190" t="s">
        <v>639</v>
      </c>
      <c r="C41" s="220" t="s">
        <v>639</v>
      </c>
      <c r="D41" s="161" t="e">
        <f>VLOOKUP(N41,contoare!A:K,2,FALSE)</f>
        <v>#N/A</v>
      </c>
      <c r="E41" s="161" t="e">
        <f>VLOOKUP(N41,contoare!A:K,3,FALSE)</f>
        <v>#N/A</v>
      </c>
      <c r="F41" s="162" t="e">
        <f>VLOOKUP(N41,contoare!A:K,4,FALSE)</f>
        <v>#N/A</v>
      </c>
      <c r="G41" s="162" t="e">
        <f>VLOOKUP(N41,contoare!A:K,5,FALSE)</f>
        <v>#N/A</v>
      </c>
      <c r="H41" s="162" t="e">
        <f>VLOOKUP(N41,contoare!A:K,6,FALSE)</f>
        <v>#N/A</v>
      </c>
      <c r="I41" s="162" t="e">
        <f>VLOOKUP(N41,contoare!A:K,7,FALSE)</f>
        <v>#N/A</v>
      </c>
      <c r="J41" s="162" t="e">
        <f>VLOOKUP(N41,contoare!A:K,8,FALSE)</f>
        <v>#N/A</v>
      </c>
      <c r="K41" s="162" t="e">
        <f>VLOOKUP(N41,contoare!A:K,9,FALSE)</f>
        <v>#N/A</v>
      </c>
      <c r="L41" s="162" t="e">
        <f>VLOOKUP(N41,contoare!A:K,10,FALSE)</f>
        <v>#N/A</v>
      </c>
      <c r="M41" s="184" t="e">
        <f>VLOOKUP(N41,contoare!A:K,11,FALSE)</f>
        <v>#N/A</v>
      </c>
      <c r="N41" s="167" t="s">
        <v>639</v>
      </c>
      <c r="O41" s="162">
        <v>800</v>
      </c>
      <c r="P41" s="164" t="e">
        <f t="shared" si="14"/>
        <v>#N/A</v>
      </c>
      <c r="Q41" s="164" t="e">
        <f t="shared" si="15"/>
        <v>#N/A</v>
      </c>
      <c r="R41" s="164" t="e">
        <f t="shared" ref="R41:R45" si="18">P41</f>
        <v>#N/A</v>
      </c>
      <c r="S41" s="245"/>
      <c r="T41" s="162" t="e">
        <f>VLOOKUP(X41,contoare!A:K,4,FALSE)</f>
        <v>#N/A</v>
      </c>
      <c r="U41" s="162" t="e">
        <f>VLOOKUP(X41,contoare!A:K,5,FALSE)</f>
        <v>#N/A</v>
      </c>
      <c r="V41" s="162" t="e">
        <f>VLOOKUP(X41,contoare!A:K,8,FALSE)</f>
        <v>#N/A</v>
      </c>
      <c r="W41" s="162" t="e">
        <f>VLOOKUP(X41,contoare!A:K,9,FALSE)</f>
        <v>#N/A</v>
      </c>
      <c r="X41" s="167"/>
      <c r="Y41" s="162">
        <v>800</v>
      </c>
      <c r="Z41" s="164" t="e">
        <f t="shared" si="17"/>
        <v>#N/A</v>
      </c>
      <c r="AA41" s="164" t="e">
        <f t="shared" si="16"/>
        <v>#N/A</v>
      </c>
      <c r="AB41" s="164" t="e">
        <f t="shared" ref="AB41:AB42" si="19">Z41</f>
        <v>#N/A</v>
      </c>
      <c r="AC41" s="292"/>
      <c r="AD41" s="340"/>
    </row>
    <row r="42" spans="1:30" ht="17" thickBot="1" x14ac:dyDescent="0.25">
      <c r="A42" s="237"/>
      <c r="B42" s="189" t="s">
        <v>641</v>
      </c>
      <c r="C42" s="219" t="s">
        <v>645</v>
      </c>
      <c r="D42" s="44" t="e">
        <f>VLOOKUP(N42,contoare!A:K,2,FALSE)</f>
        <v>#N/A</v>
      </c>
      <c r="E42" s="44" t="e">
        <f>VLOOKUP(N42,contoare!A:K,3,FALSE)</f>
        <v>#N/A</v>
      </c>
      <c r="F42" s="45" t="e">
        <f>VLOOKUP(N42,contoare!A:K,4,FALSE)</f>
        <v>#N/A</v>
      </c>
      <c r="G42" s="45" t="e">
        <f>VLOOKUP(N42,contoare!A:K,5,FALSE)</f>
        <v>#N/A</v>
      </c>
      <c r="H42" s="45" t="e">
        <f>VLOOKUP(N42,contoare!A:K,6,FALSE)</f>
        <v>#N/A</v>
      </c>
      <c r="I42" s="45" t="e">
        <f>VLOOKUP(N42,contoare!A:K,7,FALSE)</f>
        <v>#N/A</v>
      </c>
      <c r="J42" s="45" t="e">
        <f>VLOOKUP(N42,contoare!A:K,8,FALSE)</f>
        <v>#N/A</v>
      </c>
      <c r="K42" s="45" t="e">
        <f>VLOOKUP(N42,contoare!A:K,9,FALSE)</f>
        <v>#N/A</v>
      </c>
      <c r="L42" s="45" t="e">
        <f>VLOOKUP(N42,contoare!A:K,10,FALSE)</f>
        <v>#N/A</v>
      </c>
      <c r="M42" s="45" t="e">
        <f>VLOOKUP(N42,contoare!A:K,11,FALSE)</f>
        <v>#N/A</v>
      </c>
      <c r="N42" s="94" t="s">
        <v>634</v>
      </c>
      <c r="O42" s="43">
        <v>800</v>
      </c>
      <c r="P42" s="46">
        <v>24000</v>
      </c>
      <c r="Q42" s="46">
        <v>0</v>
      </c>
      <c r="R42" s="47">
        <f t="shared" si="18"/>
        <v>24000</v>
      </c>
      <c r="S42" s="246"/>
      <c r="T42" s="45" t="e">
        <f>VLOOKUP(X42,contoare!A:K,4,FALSE)</f>
        <v>#N/A</v>
      </c>
      <c r="U42" s="45" t="e">
        <f>VLOOKUP(X42,contoare!A:K,5,FALSE)</f>
        <v>#N/A</v>
      </c>
      <c r="V42" s="45" t="e">
        <f>VLOOKUP(X42,contoare!A:K,8,FALSE)</f>
        <v>#N/A</v>
      </c>
      <c r="W42" s="45" t="e">
        <f>VLOOKUP(X42,contoare!A:K,9,FALSE)</f>
        <v>#N/A</v>
      </c>
      <c r="X42" s="94" t="s">
        <v>634</v>
      </c>
      <c r="Y42" s="43">
        <v>800</v>
      </c>
      <c r="Z42" s="46">
        <f t="shared" si="17"/>
        <v>24000</v>
      </c>
      <c r="AA42" s="46">
        <f t="shared" si="16"/>
        <v>0</v>
      </c>
      <c r="AB42" s="47">
        <f t="shared" si="19"/>
        <v>24000</v>
      </c>
      <c r="AC42" s="338"/>
      <c r="AD42" s="340"/>
    </row>
    <row r="43" spans="1:30" x14ac:dyDescent="0.2">
      <c r="A43" s="237"/>
      <c r="B43" s="186" t="s">
        <v>393</v>
      </c>
      <c r="C43" s="216" t="s">
        <v>394</v>
      </c>
      <c r="D43" s="40">
        <f>VLOOKUP(N43,contoare!A:K,2,FALSE)</f>
        <v>45870</v>
      </c>
      <c r="E43" s="40">
        <f>VLOOKUP(N43,contoare!A:K,3,FALSE)</f>
        <v>45901</v>
      </c>
      <c r="F43" s="41">
        <f>VLOOKUP(N43,contoare!A:K,4,FALSE)</f>
        <v>46.185000000000002</v>
      </c>
      <c r="G43" s="41">
        <f>VLOOKUP(N43,contoare!A:K,5,FALSE)</f>
        <v>0</v>
      </c>
      <c r="H43" s="41">
        <f>VLOOKUP(N43,contoare!A:K,6,FALSE)</f>
        <v>3.1659999999999999</v>
      </c>
      <c r="I43" s="41">
        <f>VLOOKUP(N43,contoare!A:K,7,FALSE)</f>
        <v>4.1589999999999998</v>
      </c>
      <c r="J43" s="41">
        <f>VLOOKUP(N43,contoare!A:K,8,FALSE)</f>
        <v>52.591999999999999</v>
      </c>
      <c r="K43" s="41">
        <f>VLOOKUP(N43,contoare!A:K,9,FALSE)</f>
        <v>0</v>
      </c>
      <c r="L43" s="41">
        <f>VLOOKUP(N43,contoare!A:K,10,FALSE)</f>
        <v>3.649</v>
      </c>
      <c r="M43" s="41">
        <f>VLOOKUP(N43,contoare!A:K,11,FALSE)</f>
        <v>4.8099999999999996</v>
      </c>
      <c r="N43" s="91" t="s">
        <v>30</v>
      </c>
      <c r="O43" s="39">
        <v>250</v>
      </c>
      <c r="P43" s="42">
        <f t="shared" si="14"/>
        <v>1601.7499999999991</v>
      </c>
      <c r="Q43" s="42">
        <f t="shared" si="15"/>
        <v>0</v>
      </c>
      <c r="R43" s="118">
        <f>P43</f>
        <v>1601.7499999999991</v>
      </c>
      <c r="S43" s="244">
        <f>(R45-R43)/R45</f>
        <v>0.96733255832925436</v>
      </c>
      <c r="T43" s="41" t="e">
        <f>VLOOKUP(X43,contoare!A:K,4,FALSE)</f>
        <v>#N/A</v>
      </c>
      <c r="U43" s="41" t="e">
        <f>VLOOKUP(X43,contoare!A:K,5,FALSE)</f>
        <v>#N/A</v>
      </c>
      <c r="V43" s="41" t="e">
        <f>VLOOKUP(X43,contoare!A:K,8,FALSE)</f>
        <v>#N/A</v>
      </c>
      <c r="W43" s="41" t="e">
        <f>VLOOKUP(X43,contoare!A:K,9,FALSE)</f>
        <v>#N/A</v>
      </c>
      <c r="X43" s="91"/>
      <c r="Y43" s="39">
        <v>250</v>
      </c>
      <c r="Z43" s="42" t="e">
        <f t="shared" si="17"/>
        <v>#N/A</v>
      </c>
      <c r="AA43" s="42">
        <f t="shared" si="16"/>
        <v>0</v>
      </c>
      <c r="AB43" s="118" t="e">
        <f>Z43</f>
        <v>#N/A</v>
      </c>
      <c r="AC43" s="291" t="e">
        <f>(AB45-AB43)/AB45</f>
        <v>#N/A</v>
      </c>
      <c r="AD43" s="340"/>
    </row>
    <row r="44" spans="1:30" x14ac:dyDescent="0.2">
      <c r="A44" s="237"/>
      <c r="B44" s="190" t="s">
        <v>640</v>
      </c>
      <c r="C44" s="220" t="s">
        <v>640</v>
      </c>
      <c r="D44" s="161" t="e">
        <f>VLOOKUP(N44,contoare!A:K,2,FALSE)</f>
        <v>#N/A</v>
      </c>
      <c r="E44" s="161" t="e">
        <f>VLOOKUP(N44,contoare!A:K,3,FALSE)</f>
        <v>#N/A</v>
      </c>
      <c r="F44" s="162" t="e">
        <f>VLOOKUP(N44,contoare!A:K,4,FALSE)</f>
        <v>#N/A</v>
      </c>
      <c r="G44" s="162" t="e">
        <f>VLOOKUP(N44,contoare!A:K,5,FALSE)</f>
        <v>#N/A</v>
      </c>
      <c r="H44" s="162" t="e">
        <f>VLOOKUP(N44,contoare!A:K,6,FALSE)</f>
        <v>#N/A</v>
      </c>
      <c r="I44" s="162" t="e">
        <f>VLOOKUP(N44,contoare!A:K,7,FALSE)</f>
        <v>#N/A</v>
      </c>
      <c r="J44" s="162" t="e">
        <f>VLOOKUP(N44,contoare!A:K,8,FALSE)</f>
        <v>#N/A</v>
      </c>
      <c r="K44" s="162" t="e">
        <f>VLOOKUP(N44,contoare!A:K,9,FALSE)</f>
        <v>#N/A</v>
      </c>
      <c r="L44" s="162" t="e">
        <f>VLOOKUP(N44,contoare!A:K,10,FALSE)</f>
        <v>#N/A</v>
      </c>
      <c r="M44" s="162" t="e">
        <f>VLOOKUP(N44,contoare!A:K,11,FALSE)</f>
        <v>#N/A</v>
      </c>
      <c r="N44" s="167" t="s">
        <v>640</v>
      </c>
      <c r="O44" s="162">
        <v>800</v>
      </c>
      <c r="P44" s="164" t="e">
        <f t="shared" si="14"/>
        <v>#N/A</v>
      </c>
      <c r="Q44" s="164" t="e">
        <f t="shared" si="15"/>
        <v>#N/A</v>
      </c>
      <c r="R44" s="164" t="e">
        <f t="shared" si="18"/>
        <v>#N/A</v>
      </c>
      <c r="S44" s="245"/>
      <c r="T44" s="162" t="e">
        <f>VLOOKUP(X44,contoare!A:K,4,FALSE)</f>
        <v>#N/A</v>
      </c>
      <c r="U44" s="162" t="e">
        <f>VLOOKUP(X44,contoare!A:K,5,FALSE)</f>
        <v>#N/A</v>
      </c>
      <c r="V44" s="162" t="e">
        <f>VLOOKUP(X44,contoare!A:K,8,FALSE)</f>
        <v>#N/A</v>
      </c>
      <c r="W44" s="162" t="e">
        <f>VLOOKUP(X44,contoare!A:K,9,FALSE)</f>
        <v>#N/A</v>
      </c>
      <c r="X44" s="167"/>
      <c r="Y44" s="162">
        <v>800</v>
      </c>
      <c r="Z44" s="164" t="e">
        <f t="shared" si="17"/>
        <v>#N/A</v>
      </c>
      <c r="AA44" s="164" t="e">
        <f t="shared" si="16"/>
        <v>#N/A</v>
      </c>
      <c r="AB44" s="164" t="e">
        <f t="shared" ref="AB44:AB45" si="20">Z44</f>
        <v>#N/A</v>
      </c>
      <c r="AC44" s="292"/>
      <c r="AD44" s="340"/>
    </row>
    <row r="45" spans="1:30" ht="17" thickBot="1" x14ac:dyDescent="0.25">
      <c r="A45" s="238"/>
      <c r="B45" s="189" t="s">
        <v>637</v>
      </c>
      <c r="C45" s="219" t="s">
        <v>646</v>
      </c>
      <c r="D45" s="44" t="e">
        <f>VLOOKUP(N45,contoare!A:K,2,FALSE)</f>
        <v>#N/A</v>
      </c>
      <c r="E45" s="44" t="e">
        <f>VLOOKUP(N45,contoare!A:K,3,FALSE)</f>
        <v>#N/A</v>
      </c>
      <c r="F45" s="45" t="e">
        <f>VLOOKUP(N45,contoare!A:K,4,FALSE)</f>
        <v>#N/A</v>
      </c>
      <c r="G45" s="45" t="e">
        <f>VLOOKUP(N45,contoare!A:K,5,FALSE)</f>
        <v>#N/A</v>
      </c>
      <c r="H45" s="45" t="e">
        <f>VLOOKUP(N45,contoare!A:K,6,FALSE)</f>
        <v>#N/A</v>
      </c>
      <c r="I45" s="45" t="e">
        <f>VLOOKUP(N45,contoare!A:K,7,FALSE)</f>
        <v>#N/A</v>
      </c>
      <c r="J45" s="45" t="e">
        <f>VLOOKUP(N45,contoare!A:K,8,FALSE)</f>
        <v>#N/A</v>
      </c>
      <c r="K45" s="45" t="e">
        <f>VLOOKUP(N45,contoare!A:K,9,FALSE)</f>
        <v>#N/A</v>
      </c>
      <c r="L45" s="45" t="e">
        <f>VLOOKUP(N45,contoare!A:K,10,FALSE)</f>
        <v>#N/A</v>
      </c>
      <c r="M45" s="45" t="e">
        <f>VLOOKUP(N45,contoare!A:K,11,FALSE)</f>
        <v>#N/A</v>
      </c>
      <c r="N45" s="94" t="s">
        <v>635</v>
      </c>
      <c r="O45" s="43">
        <v>800</v>
      </c>
      <c r="P45" s="46">
        <v>49032</v>
      </c>
      <c r="Q45" s="46">
        <v>0</v>
      </c>
      <c r="R45" s="47">
        <f t="shared" si="18"/>
        <v>49032</v>
      </c>
      <c r="S45" s="246"/>
      <c r="T45" s="45" t="e">
        <f>VLOOKUP(X45,contoare!A:K,4,FALSE)</f>
        <v>#N/A</v>
      </c>
      <c r="U45" s="45" t="e">
        <f>VLOOKUP(X45,contoare!A:K,5,FALSE)</f>
        <v>#N/A</v>
      </c>
      <c r="V45" s="45" t="e">
        <f>VLOOKUP(X45,contoare!A:K,8,FALSE)</f>
        <v>#N/A</v>
      </c>
      <c r="W45" s="45" t="e">
        <f>VLOOKUP(X45,contoare!A:K,9,FALSE)</f>
        <v>#N/A</v>
      </c>
      <c r="X45" s="94" t="s">
        <v>635</v>
      </c>
      <c r="Y45" s="43">
        <v>800</v>
      </c>
      <c r="Z45" s="46">
        <f t="shared" si="17"/>
        <v>49032</v>
      </c>
      <c r="AA45" s="46">
        <f t="shared" si="16"/>
        <v>0</v>
      </c>
      <c r="AB45" s="47">
        <f t="shared" si="20"/>
        <v>49032</v>
      </c>
      <c r="AC45" s="338"/>
      <c r="AD45" s="340"/>
    </row>
    <row r="46" spans="1:30" x14ac:dyDescent="0.2">
      <c r="A46" s="237" t="s">
        <v>722</v>
      </c>
      <c r="B46" s="186" t="s">
        <v>395</v>
      </c>
      <c r="C46" s="216" t="s">
        <v>396</v>
      </c>
      <c r="D46" s="40">
        <f>VLOOKUP(N46,contoare!A:K,2,FALSE)</f>
        <v>45870</v>
      </c>
      <c r="E46" s="40">
        <f>VLOOKUP(N46,contoare!A:K,3,FALSE)</f>
        <v>45901</v>
      </c>
      <c r="F46" s="41">
        <f>VLOOKUP(N46,contoare!A:K,4,FALSE)</f>
        <v>381.56900000000002</v>
      </c>
      <c r="G46" s="41">
        <f>VLOOKUP(N46,contoare!A:K,5,FALSE)</f>
        <v>4.0000000000000001E-3</v>
      </c>
      <c r="H46" s="41">
        <f>VLOOKUP(N46,contoare!A:K,6,FALSE)</f>
        <v>13.641999999999999</v>
      </c>
      <c r="I46" s="41">
        <f>VLOOKUP(N46,contoare!A:K,7,FALSE)</f>
        <v>67.462999999999994</v>
      </c>
      <c r="J46" s="41">
        <f>VLOOKUP(N46,contoare!A:K,8,FALSE)</f>
        <v>436.529</v>
      </c>
      <c r="K46" s="41">
        <f>VLOOKUP(N46,contoare!A:K,9,FALSE)</f>
        <v>7.0000000000000001E-3</v>
      </c>
      <c r="L46" s="41">
        <f>VLOOKUP(N46,contoare!A:K,10,FALSE)</f>
        <v>26.451000000000001</v>
      </c>
      <c r="M46" s="41">
        <f>VLOOKUP(N46,contoare!A:K,11,FALSE)</f>
        <v>72.256</v>
      </c>
      <c r="N46" s="91" t="s">
        <v>31</v>
      </c>
      <c r="O46" s="39">
        <v>500</v>
      </c>
      <c r="P46" s="42">
        <f t="shared" si="14"/>
        <v>27479.999999999989</v>
      </c>
      <c r="Q46" s="42">
        <f t="shared" si="15"/>
        <v>1.5</v>
      </c>
      <c r="R46" s="242">
        <f>P46</f>
        <v>27479.999999999989</v>
      </c>
      <c r="S46" s="244">
        <f>(R49-R46)/R49</f>
        <v>0.43789887088856183</v>
      </c>
      <c r="T46" s="41" t="e">
        <f>VLOOKUP(X46,contoare!A:K,4,FALSE)</f>
        <v>#N/A</v>
      </c>
      <c r="U46" s="41" t="e">
        <f>VLOOKUP(X46,contoare!A:K,5,FALSE)</f>
        <v>#N/A</v>
      </c>
      <c r="V46" s="41" t="e">
        <f>VLOOKUP(X46,contoare!A:K,8,FALSE)</f>
        <v>#N/A</v>
      </c>
      <c r="W46" s="41" t="e">
        <f>VLOOKUP(X46,contoare!A:K,9,FALSE)</f>
        <v>#N/A</v>
      </c>
      <c r="X46" s="91"/>
      <c r="Y46" s="39">
        <v>500</v>
      </c>
      <c r="Z46" s="42" t="e">
        <f t="shared" si="17"/>
        <v>#N/A</v>
      </c>
      <c r="AA46" s="42">
        <f t="shared" si="16"/>
        <v>1.5</v>
      </c>
      <c r="AB46" s="242" t="e">
        <f>Z46</f>
        <v>#N/A</v>
      </c>
      <c r="AC46" s="291" t="e">
        <f>(AB49-AB46)/AB49</f>
        <v>#N/A</v>
      </c>
      <c r="AD46" s="340"/>
    </row>
    <row r="47" spans="1:30" x14ac:dyDescent="0.2">
      <c r="A47" s="237"/>
      <c r="B47" s="187" t="s">
        <v>497</v>
      </c>
      <c r="C47" s="217" t="s">
        <v>498</v>
      </c>
      <c r="D47" s="37">
        <f>VLOOKUP(N47,contoare!A:K,2,FALSE)</f>
        <v>45870</v>
      </c>
      <c r="E47" s="37">
        <f>VLOOKUP(N47,contoare!A:K,3,FALSE)</f>
        <v>45901</v>
      </c>
      <c r="F47" s="38">
        <f>VLOOKUP(N47,contoare!A:K,4,FALSE)</f>
        <v>2.1019999999999999</v>
      </c>
      <c r="G47" s="38">
        <f>VLOOKUP(N47,contoare!A:K,5,FALSE)</f>
        <v>301.33199999999999</v>
      </c>
      <c r="H47" s="38">
        <f>VLOOKUP(N47,contoare!A:K,6,FALSE)</f>
        <v>0.30599999999999999</v>
      </c>
      <c r="I47" s="38">
        <f>VLOOKUP(N47,contoare!A:K,7,FALSE)</f>
        <v>17.093</v>
      </c>
      <c r="J47" s="38">
        <f>VLOOKUP(N47,contoare!A:K,8,FALSE)</f>
        <v>2.258</v>
      </c>
      <c r="K47" s="38">
        <f>VLOOKUP(N47,contoare!A:K,9,FALSE)</f>
        <v>396.197</v>
      </c>
      <c r="L47" s="38">
        <f>VLOOKUP(N47,contoare!A:K,10,FALSE)</f>
        <v>0.308</v>
      </c>
      <c r="M47" s="38">
        <f>VLOOKUP(N47,contoare!A:K,11,FALSE)</f>
        <v>21.664999999999999</v>
      </c>
      <c r="N47" s="92" t="s">
        <v>32</v>
      </c>
      <c r="O47" s="26">
        <v>250</v>
      </c>
      <c r="P47" s="27">
        <f t="shared" si="14"/>
        <v>39.000000000000036</v>
      </c>
      <c r="Q47" s="27">
        <f t="shared" si="15"/>
        <v>23716.250000000004</v>
      </c>
      <c r="R47" s="243"/>
      <c r="S47" s="245"/>
      <c r="T47" s="38" t="e">
        <f>VLOOKUP(X47,contoare!A:K,4,FALSE)</f>
        <v>#N/A</v>
      </c>
      <c r="U47" s="38" t="e">
        <f>VLOOKUP(X47,contoare!A:K,5,FALSE)</f>
        <v>#N/A</v>
      </c>
      <c r="V47" s="38" t="e">
        <f>VLOOKUP(X47,contoare!A:K,8,FALSE)</f>
        <v>#N/A</v>
      </c>
      <c r="W47" s="38" t="e">
        <f>VLOOKUP(X47,contoare!A:K,9,FALSE)</f>
        <v>#N/A</v>
      </c>
      <c r="X47" s="92"/>
      <c r="Y47" s="26">
        <v>250</v>
      </c>
      <c r="Z47" s="27" t="e">
        <f t="shared" si="17"/>
        <v>#N/A</v>
      </c>
      <c r="AA47" s="27">
        <f t="shared" si="16"/>
        <v>23716.250000000004</v>
      </c>
      <c r="AB47" s="243"/>
      <c r="AC47" s="292"/>
      <c r="AD47" s="340"/>
    </row>
    <row r="48" spans="1:30" x14ac:dyDescent="0.2">
      <c r="A48" s="237"/>
      <c r="B48" s="190" t="s">
        <v>642</v>
      </c>
      <c r="C48" s="220" t="s">
        <v>642</v>
      </c>
      <c r="D48" s="161" t="e">
        <f>VLOOKUP(N48,contoare!A:K,2,FALSE)</f>
        <v>#N/A</v>
      </c>
      <c r="E48" s="161" t="e">
        <f>VLOOKUP(N48,contoare!A:K,3,FALSE)</f>
        <v>#N/A</v>
      </c>
      <c r="F48" s="162" t="e">
        <f>VLOOKUP(N48,contoare!A:K,4,FALSE)</f>
        <v>#N/A</v>
      </c>
      <c r="G48" s="162" t="e">
        <f>VLOOKUP(N48,contoare!A:K,5,FALSE)</f>
        <v>#N/A</v>
      </c>
      <c r="H48" s="162" t="e">
        <f>VLOOKUP(N48,contoare!A:K,6,FALSE)</f>
        <v>#N/A</v>
      </c>
      <c r="I48" s="162" t="e">
        <f>VLOOKUP(N48,contoare!A:K,7,FALSE)</f>
        <v>#N/A</v>
      </c>
      <c r="J48" s="162" t="e">
        <f>VLOOKUP(N48,contoare!A:K,8,FALSE)</f>
        <v>#N/A</v>
      </c>
      <c r="K48" s="162" t="e">
        <f>VLOOKUP(N48,contoare!A:K,9,FALSE)</f>
        <v>#N/A</v>
      </c>
      <c r="L48" s="162" t="e">
        <f>VLOOKUP(N48,contoare!A:K,10,FALSE)</f>
        <v>#N/A</v>
      </c>
      <c r="M48" s="162" t="e">
        <f>VLOOKUP(N48,contoare!A:K,11,FALSE)</f>
        <v>#N/A</v>
      </c>
      <c r="N48" s="167" t="s">
        <v>642</v>
      </c>
      <c r="O48" s="162">
        <v>1200</v>
      </c>
      <c r="P48" s="164" t="e">
        <f t="shared" si="14"/>
        <v>#N/A</v>
      </c>
      <c r="Q48" s="164" t="e">
        <f t="shared" si="15"/>
        <v>#N/A</v>
      </c>
      <c r="R48" s="164" t="e">
        <f t="shared" ref="R48:R49" si="21">P48</f>
        <v>#N/A</v>
      </c>
      <c r="S48" s="245"/>
      <c r="T48" s="162" t="e">
        <f>VLOOKUP(X48,contoare!A:K,4,FALSE)</f>
        <v>#N/A</v>
      </c>
      <c r="U48" s="162" t="e">
        <f>VLOOKUP(X48,contoare!A:K,5,FALSE)</f>
        <v>#N/A</v>
      </c>
      <c r="V48" s="162" t="e">
        <f>VLOOKUP(X48,contoare!A:K,8,FALSE)</f>
        <v>#N/A</v>
      </c>
      <c r="W48" s="162" t="e">
        <f>VLOOKUP(X48,contoare!A:K,9,FALSE)</f>
        <v>#N/A</v>
      </c>
      <c r="X48" s="167"/>
      <c r="Y48" s="162">
        <v>1200</v>
      </c>
      <c r="Z48" s="164" t="e">
        <f t="shared" si="17"/>
        <v>#N/A</v>
      </c>
      <c r="AA48" s="164" t="e">
        <f t="shared" si="16"/>
        <v>#N/A</v>
      </c>
      <c r="AB48" s="164" t="e">
        <f t="shared" ref="AB48:AB49" si="22">Z48</f>
        <v>#N/A</v>
      </c>
      <c r="AC48" s="292"/>
      <c r="AD48" s="340"/>
    </row>
    <row r="49" spans="1:30" ht="17" thickBot="1" x14ac:dyDescent="0.25">
      <c r="A49" s="237"/>
      <c r="B49" s="189" t="s">
        <v>629</v>
      </c>
      <c r="C49" s="219" t="s">
        <v>647</v>
      </c>
      <c r="D49" s="44" t="e">
        <f>VLOOKUP(N49,contoare!A:K,2,FALSE)</f>
        <v>#N/A</v>
      </c>
      <c r="E49" s="44" t="e">
        <f>VLOOKUP(N49,contoare!A:K,3,FALSE)</f>
        <v>#N/A</v>
      </c>
      <c r="F49" s="45" t="e">
        <f>VLOOKUP(N49,contoare!A:K,4,FALSE)</f>
        <v>#N/A</v>
      </c>
      <c r="G49" s="45" t="e">
        <f>VLOOKUP(N49,contoare!A:K,5,FALSE)</f>
        <v>#N/A</v>
      </c>
      <c r="H49" s="45" t="e">
        <f>VLOOKUP(N49,contoare!A:K,6,FALSE)</f>
        <v>#N/A</v>
      </c>
      <c r="I49" s="45" t="e">
        <f>VLOOKUP(N49,contoare!A:K,7,FALSE)</f>
        <v>#N/A</v>
      </c>
      <c r="J49" s="45" t="e">
        <f>VLOOKUP(N49,contoare!A:K,8,FALSE)</f>
        <v>#N/A</v>
      </c>
      <c r="K49" s="45" t="e">
        <f>VLOOKUP(N49,contoare!A:K,9,FALSE)</f>
        <v>#N/A</v>
      </c>
      <c r="L49" s="45" t="e">
        <f>VLOOKUP(N49,contoare!A:K,10,FALSE)</f>
        <v>#N/A</v>
      </c>
      <c r="M49" s="45" t="e">
        <f>VLOOKUP(N49,contoare!A:K,11,FALSE)</f>
        <v>#N/A</v>
      </c>
      <c r="N49" s="94" t="s">
        <v>630</v>
      </c>
      <c r="O49" s="43">
        <v>1200</v>
      </c>
      <c r="P49" s="46">
        <v>48888</v>
      </c>
      <c r="Q49" s="46">
        <v>0</v>
      </c>
      <c r="R49" s="47">
        <f t="shared" si="21"/>
        <v>48888</v>
      </c>
      <c r="S49" s="246"/>
      <c r="T49" s="45" t="e">
        <f>VLOOKUP(X49,contoare!A:K,4,FALSE)</f>
        <v>#N/A</v>
      </c>
      <c r="U49" s="45" t="e">
        <f>VLOOKUP(X49,contoare!A:K,5,FALSE)</f>
        <v>#N/A</v>
      </c>
      <c r="V49" s="45" t="e">
        <f>VLOOKUP(X49,contoare!A:K,8,FALSE)</f>
        <v>#N/A</v>
      </c>
      <c r="W49" s="45" t="e">
        <f>VLOOKUP(X49,contoare!A:K,9,FALSE)</f>
        <v>#N/A</v>
      </c>
      <c r="X49" s="94" t="s">
        <v>630</v>
      </c>
      <c r="Y49" s="43">
        <v>1200</v>
      </c>
      <c r="Z49" s="46">
        <f t="shared" si="17"/>
        <v>48888</v>
      </c>
      <c r="AA49" s="46">
        <f t="shared" si="16"/>
        <v>0</v>
      </c>
      <c r="AB49" s="47">
        <f t="shared" si="22"/>
        <v>48888</v>
      </c>
      <c r="AC49" s="338"/>
      <c r="AD49" s="340"/>
    </row>
    <row r="50" spans="1:30" x14ac:dyDescent="0.2">
      <c r="A50" s="237"/>
      <c r="B50" s="191" t="s">
        <v>397</v>
      </c>
      <c r="C50" s="222" t="s">
        <v>398</v>
      </c>
      <c r="D50" s="80">
        <f>VLOOKUP(N50,contoare!A:K,2,FALSE)</f>
        <v>45870</v>
      </c>
      <c r="E50" s="80">
        <f>VLOOKUP(N50,contoare!A:K,3,FALSE)</f>
        <v>45901</v>
      </c>
      <c r="F50" s="81">
        <f>VLOOKUP(N50,contoare!A:K,4,FALSE)</f>
        <v>570.94899999999996</v>
      </c>
      <c r="G50" s="81">
        <f>VLOOKUP(N50,contoare!A:K,5,FALSE)</f>
        <v>3.5000000000000003E-2</v>
      </c>
      <c r="H50" s="81">
        <f>VLOOKUP(N50,contoare!A:K,6,FALSE)</f>
        <v>24.742000000000001</v>
      </c>
      <c r="I50" s="81">
        <f>VLOOKUP(N50,contoare!A:K,7,FALSE)</f>
        <v>22.937000000000001</v>
      </c>
      <c r="J50" s="81">
        <f>VLOOKUP(N50,contoare!A:K,8,FALSE)</f>
        <v>665.173</v>
      </c>
      <c r="K50" s="81">
        <f>VLOOKUP(N50,contoare!A:K,9,FALSE)</f>
        <v>4.4999999999999998E-2</v>
      </c>
      <c r="L50" s="81">
        <f>VLOOKUP(N50,contoare!A:K,10,FALSE)</f>
        <v>33.799999999999997</v>
      </c>
      <c r="M50" s="81">
        <f>VLOOKUP(N50,contoare!A:K,11,FALSE)</f>
        <v>25.721</v>
      </c>
      <c r="N50" s="98" t="s">
        <v>36</v>
      </c>
      <c r="O50" s="35">
        <v>500</v>
      </c>
      <c r="P50" s="36">
        <f t="shared" si="14"/>
        <v>47112.000000000022</v>
      </c>
      <c r="Q50" s="36">
        <f t="shared" si="15"/>
        <v>4.9999999999999973</v>
      </c>
      <c r="R50" s="329">
        <f>P50</f>
        <v>47112.000000000022</v>
      </c>
      <c r="S50" s="317">
        <f>(R53-R50)/R53</f>
        <v>7.2415829887772759E-2</v>
      </c>
      <c r="T50" s="81">
        <f>VLOOKUP(X50,contoare!A:K,4,FALSE)</f>
        <v>570.94899999999996</v>
      </c>
      <c r="U50" s="81">
        <f>VLOOKUP(X50,contoare!A:K,5,FALSE)</f>
        <v>3.5000000000000003E-2</v>
      </c>
      <c r="V50" s="81">
        <f>VLOOKUP(X50,contoare!A:K,8,FALSE)</f>
        <v>665.173</v>
      </c>
      <c r="W50" s="81">
        <f>VLOOKUP(X50,contoare!A:K,9,FALSE)</f>
        <v>4.4999999999999998E-2</v>
      </c>
      <c r="X50" s="98" t="s">
        <v>36</v>
      </c>
      <c r="Y50" s="35">
        <v>500</v>
      </c>
      <c r="Z50" s="36">
        <f t="shared" si="17"/>
        <v>47112.000000000022</v>
      </c>
      <c r="AA50" s="36">
        <f t="shared" si="16"/>
        <v>4.9999999999999973</v>
      </c>
      <c r="AB50" s="329">
        <f>Z50</f>
        <v>47112.000000000022</v>
      </c>
      <c r="AC50" s="317">
        <f>(AB53-AB50)/AB53</f>
        <v>7.2415829887772759E-2</v>
      </c>
      <c r="AD50" s="341"/>
    </row>
    <row r="51" spans="1:30" x14ac:dyDescent="0.2">
      <c r="A51" s="237"/>
      <c r="B51" s="187" t="s">
        <v>499</v>
      </c>
      <c r="C51" s="217" t="s">
        <v>500</v>
      </c>
      <c r="D51" s="37">
        <f>VLOOKUP(N51,contoare!A:K,2,FALSE)</f>
        <v>45870</v>
      </c>
      <c r="E51" s="37">
        <f>VLOOKUP(N51,contoare!A:K,3,FALSE)</f>
        <v>45901</v>
      </c>
      <c r="F51" s="38">
        <f>VLOOKUP(N51,contoare!A:K,4,FALSE)</f>
        <v>1.752</v>
      </c>
      <c r="G51" s="38">
        <f>VLOOKUP(N51,contoare!A:K,5,FALSE)</f>
        <v>770.78700000000003</v>
      </c>
      <c r="H51" s="38">
        <f>VLOOKUP(N51,contoare!A:K,6,FALSE)</f>
        <v>0.30299999999999999</v>
      </c>
      <c r="I51" s="38">
        <f>VLOOKUP(N51,contoare!A:K,7,FALSE)</f>
        <v>18.239999999999998</v>
      </c>
      <c r="J51" s="38">
        <f>VLOOKUP(N51,contoare!A:K,8,FALSE)</f>
        <v>1.9450000000000001</v>
      </c>
      <c r="K51" s="38">
        <f>VLOOKUP(N51,contoare!A:K,9,FALSE)</f>
        <v>929.33900000000006</v>
      </c>
      <c r="L51" s="38">
        <f>VLOOKUP(N51,contoare!A:K,10,FALSE)</f>
        <v>0.30399999999999999</v>
      </c>
      <c r="M51" s="38">
        <f>VLOOKUP(N51,contoare!A:K,11,FALSE)</f>
        <v>21.510999999999999</v>
      </c>
      <c r="N51" s="92" t="s">
        <v>35</v>
      </c>
      <c r="O51" s="26">
        <v>250</v>
      </c>
      <c r="P51" s="27">
        <f t="shared" si="14"/>
        <v>48.250000000000014</v>
      </c>
      <c r="Q51" s="27">
        <f t="shared" si="15"/>
        <v>39638.000000000007</v>
      </c>
      <c r="R51" s="269"/>
      <c r="S51" s="271"/>
      <c r="T51" s="38">
        <f>VLOOKUP(X51,contoare!A:K,4,FALSE)</f>
        <v>1.752</v>
      </c>
      <c r="U51" s="38">
        <f>VLOOKUP(X51,contoare!A:K,5,FALSE)</f>
        <v>770.78700000000003</v>
      </c>
      <c r="V51" s="38">
        <f>VLOOKUP(X51,contoare!A:K,8,FALSE)</f>
        <v>1.9450000000000001</v>
      </c>
      <c r="W51" s="38">
        <f>VLOOKUP(X51,contoare!A:K,9,FALSE)</f>
        <v>929.33900000000006</v>
      </c>
      <c r="X51" s="92" t="s">
        <v>35</v>
      </c>
      <c r="Y51" s="26">
        <v>250</v>
      </c>
      <c r="Z51" s="27">
        <f t="shared" si="17"/>
        <v>48.250000000000014</v>
      </c>
      <c r="AA51" s="27">
        <f t="shared" si="16"/>
        <v>39638.000000000007</v>
      </c>
      <c r="AB51" s="269"/>
      <c r="AC51" s="271"/>
      <c r="AD51" s="341"/>
    </row>
    <row r="52" spans="1:30" x14ac:dyDescent="0.2">
      <c r="A52" s="237"/>
      <c r="B52" s="190" t="s">
        <v>643</v>
      </c>
      <c r="C52" s="220" t="s">
        <v>643</v>
      </c>
      <c r="D52" s="161" t="e">
        <f>VLOOKUP(N52,contoare!A:K,2,FALSE)</f>
        <v>#N/A</v>
      </c>
      <c r="E52" s="161" t="e">
        <f>VLOOKUP(N52,contoare!A:K,3,FALSE)</f>
        <v>#N/A</v>
      </c>
      <c r="F52" s="162" t="e">
        <f>VLOOKUP(N52,contoare!A:K,4,FALSE)</f>
        <v>#N/A</v>
      </c>
      <c r="G52" s="162" t="e">
        <f>VLOOKUP(N52,contoare!A:K,5,FALSE)</f>
        <v>#N/A</v>
      </c>
      <c r="H52" s="162" t="e">
        <f>VLOOKUP(N52,contoare!A:K,6,FALSE)</f>
        <v>#N/A</v>
      </c>
      <c r="I52" s="162" t="e">
        <f>VLOOKUP(N52,contoare!A:K,7,FALSE)</f>
        <v>#N/A</v>
      </c>
      <c r="J52" s="162" t="e">
        <f>VLOOKUP(N52,contoare!A:K,8,FALSE)</f>
        <v>#N/A</v>
      </c>
      <c r="K52" s="162" t="e">
        <f>VLOOKUP(N52,contoare!A:K,9,FALSE)</f>
        <v>#N/A</v>
      </c>
      <c r="L52" s="162" t="e">
        <f>VLOOKUP(N52,contoare!A:K,10,FALSE)</f>
        <v>#N/A</v>
      </c>
      <c r="M52" s="162" t="e">
        <f>VLOOKUP(N52,contoare!A:K,11,FALSE)</f>
        <v>#N/A</v>
      </c>
      <c r="N52" s="167" t="s">
        <v>643</v>
      </c>
      <c r="O52" s="162">
        <v>1000</v>
      </c>
      <c r="P52" s="164" t="e">
        <f t="shared" si="14"/>
        <v>#N/A</v>
      </c>
      <c r="Q52" s="164" t="e">
        <f t="shared" si="15"/>
        <v>#N/A</v>
      </c>
      <c r="R52" s="164" t="e">
        <f t="shared" ref="R52:R53" si="23">P52</f>
        <v>#N/A</v>
      </c>
      <c r="S52" s="271"/>
      <c r="T52" s="162" t="e">
        <f>VLOOKUP(X52,contoare!A:K,4,FALSE)</f>
        <v>#N/A</v>
      </c>
      <c r="U52" s="162" t="e">
        <f>VLOOKUP(X52,contoare!A:K,5,FALSE)</f>
        <v>#N/A</v>
      </c>
      <c r="V52" s="162" t="e">
        <f>VLOOKUP(X52,contoare!A:K,8,FALSE)</f>
        <v>#N/A</v>
      </c>
      <c r="W52" s="162" t="e">
        <f>VLOOKUP(X52,contoare!A:K,9,FALSE)</f>
        <v>#N/A</v>
      </c>
      <c r="X52" s="167"/>
      <c r="Y52" s="162">
        <v>1000</v>
      </c>
      <c r="Z52" s="164" t="e">
        <f t="shared" si="17"/>
        <v>#N/A</v>
      </c>
      <c r="AA52" s="164" t="e">
        <f t="shared" si="16"/>
        <v>#N/A</v>
      </c>
      <c r="AB52" s="164" t="e">
        <f t="shared" ref="AB52:AB53" si="24">Z52</f>
        <v>#N/A</v>
      </c>
      <c r="AC52" s="271"/>
      <c r="AD52" s="341"/>
    </row>
    <row r="53" spans="1:30" ht="17" thickBot="1" x14ac:dyDescent="0.25">
      <c r="A53" s="238"/>
      <c r="B53" s="189" t="s">
        <v>632</v>
      </c>
      <c r="C53" s="219" t="s">
        <v>648</v>
      </c>
      <c r="D53" s="44" t="e">
        <f>VLOOKUP(N53,contoare!A:K,2,FALSE)</f>
        <v>#N/A</v>
      </c>
      <c r="E53" s="44" t="e">
        <f>VLOOKUP(N53,contoare!A:K,3,FALSE)</f>
        <v>#N/A</v>
      </c>
      <c r="F53" s="45" t="e">
        <f>VLOOKUP(N53,contoare!A:K,4,FALSE)</f>
        <v>#N/A</v>
      </c>
      <c r="G53" s="45" t="e">
        <f>VLOOKUP(N53,contoare!A:K,5,FALSE)</f>
        <v>#N/A</v>
      </c>
      <c r="H53" s="45" t="e">
        <f>VLOOKUP(N53,contoare!A:K,6,FALSE)</f>
        <v>#N/A</v>
      </c>
      <c r="I53" s="45" t="e">
        <f>VLOOKUP(N53,contoare!A:K,7,FALSE)</f>
        <v>#N/A</v>
      </c>
      <c r="J53" s="45" t="e">
        <f>VLOOKUP(N53,contoare!A:K,8,FALSE)</f>
        <v>#N/A</v>
      </c>
      <c r="K53" s="45" t="e">
        <f>VLOOKUP(N53,contoare!A:K,9,FALSE)</f>
        <v>#N/A</v>
      </c>
      <c r="L53" s="45" t="e">
        <f>VLOOKUP(N53,contoare!A:K,10,FALSE)</f>
        <v>#N/A</v>
      </c>
      <c r="M53" s="45" t="e">
        <f>VLOOKUP(N53,contoare!A:K,11,FALSE)</f>
        <v>#N/A</v>
      </c>
      <c r="N53" s="94" t="s">
        <v>631</v>
      </c>
      <c r="O53" s="43">
        <v>1000</v>
      </c>
      <c r="P53" s="46">
        <v>50790</v>
      </c>
      <c r="Q53" s="46">
        <v>0</v>
      </c>
      <c r="R53" s="48">
        <f t="shared" si="23"/>
        <v>50790</v>
      </c>
      <c r="S53" s="276"/>
      <c r="T53" s="45" t="e">
        <f>VLOOKUP(X53,contoare!A:K,4,FALSE)</f>
        <v>#N/A</v>
      </c>
      <c r="U53" s="45" t="e">
        <f>VLOOKUP(X53,contoare!A:K,5,FALSE)</f>
        <v>#N/A</v>
      </c>
      <c r="V53" s="45" t="e">
        <f>VLOOKUP(X53,contoare!A:K,8,FALSE)</f>
        <v>#N/A</v>
      </c>
      <c r="W53" s="45" t="e">
        <f>VLOOKUP(X53,contoare!A:K,9,FALSE)</f>
        <v>#N/A</v>
      </c>
      <c r="X53" s="94" t="s">
        <v>631</v>
      </c>
      <c r="Y53" s="43">
        <v>1000</v>
      </c>
      <c r="Z53" s="46">
        <f t="shared" si="17"/>
        <v>50790</v>
      </c>
      <c r="AA53" s="46">
        <f t="shared" si="16"/>
        <v>0</v>
      </c>
      <c r="AB53" s="48">
        <f t="shared" si="24"/>
        <v>50790</v>
      </c>
      <c r="AC53" s="276"/>
      <c r="AD53" s="342"/>
    </row>
    <row r="54" spans="1:30" ht="16" customHeight="1" x14ac:dyDescent="0.2">
      <c r="A54" s="354" t="s">
        <v>39</v>
      </c>
      <c r="B54" s="35" t="s">
        <v>287</v>
      </c>
      <c r="C54" s="222" t="s">
        <v>288</v>
      </c>
      <c r="D54" s="80">
        <f>VLOOKUP(N54,contoare!A:K,2,FALSE)</f>
        <v>45870</v>
      </c>
      <c r="E54" s="80">
        <f>VLOOKUP(N54,contoare!A:K,3,FALSE)</f>
        <v>45901</v>
      </c>
      <c r="F54" s="81">
        <f>VLOOKUP(N54,contoare!A:K,4,FALSE)</f>
        <v>2956.1889999999999</v>
      </c>
      <c r="G54" s="81">
        <f>VLOOKUP(N54,contoare!A:K,5,FALSE)</f>
        <v>0</v>
      </c>
      <c r="H54" s="81">
        <f>VLOOKUP(N54,contoare!A:K,6,FALSE)</f>
        <v>215.48099999999999</v>
      </c>
      <c r="I54" s="81">
        <f>VLOOKUP(N54,contoare!A:K,7,FALSE)</f>
        <v>12.041</v>
      </c>
      <c r="J54" s="81">
        <f>VLOOKUP(N54,contoare!A:K,8,FALSE)</f>
        <v>3537.2869999999998</v>
      </c>
      <c r="K54" s="81">
        <f>VLOOKUP(N54,contoare!A:K,9,FALSE)</f>
        <v>0</v>
      </c>
      <c r="L54" s="81">
        <f>VLOOKUP(N54,contoare!A:K,10,FALSE)</f>
        <v>296.435</v>
      </c>
      <c r="M54" s="81">
        <f>VLOOKUP(N54,contoare!A:K,11,FALSE)</f>
        <v>12.353</v>
      </c>
      <c r="N54" s="98" t="s">
        <v>42</v>
      </c>
      <c r="O54" s="35">
        <v>600</v>
      </c>
      <c r="P54" s="36">
        <f t="shared" si="10"/>
        <v>348658.8</v>
      </c>
      <c r="Q54" s="36">
        <f t="shared" si="11"/>
        <v>0</v>
      </c>
      <c r="R54" s="302">
        <f>P54+P55+P57+P58+P59</f>
        <v>1028020.0000000002</v>
      </c>
      <c r="S54" s="317">
        <f>(R61+R63-R54)/(R61+R63)</f>
        <v>1.0910560344827363E-2</v>
      </c>
      <c r="T54" s="81">
        <f>VLOOKUP(X54,contoare!A:K,4,FALSE)</f>
        <v>2956.1889999999999</v>
      </c>
      <c r="U54" s="81">
        <f>VLOOKUP(X54,contoare!A:K,5,FALSE)</f>
        <v>0</v>
      </c>
      <c r="V54" s="81">
        <f>VLOOKUP(X54,contoare!A:K,8,FALSE)</f>
        <v>3537.2869999999998</v>
      </c>
      <c r="W54" s="81">
        <f>VLOOKUP(X54,contoare!A:K,9,FALSE)</f>
        <v>0</v>
      </c>
      <c r="X54" s="175" t="s">
        <v>42</v>
      </c>
      <c r="Y54" s="35">
        <v>600</v>
      </c>
      <c r="Z54" s="36">
        <f t="shared" si="4"/>
        <v>348658.8</v>
      </c>
      <c r="AA54" s="36">
        <f t="shared" si="3"/>
        <v>0</v>
      </c>
      <c r="AB54" s="302">
        <f>Z54+Z55+Z57+Z58+Z59</f>
        <v>1028020.0000000002</v>
      </c>
      <c r="AC54" s="317">
        <f>(AB61+AB63-AB54)/(AB61+AB63)</f>
        <v>1.0910560344827363E-2</v>
      </c>
      <c r="AD54" s="333" t="s">
        <v>529</v>
      </c>
    </row>
    <row r="55" spans="1:30" x14ac:dyDescent="0.2">
      <c r="A55" s="255"/>
      <c r="B55" s="26" t="s">
        <v>289</v>
      </c>
      <c r="C55" s="217" t="s">
        <v>290</v>
      </c>
      <c r="D55" s="37">
        <f>VLOOKUP(N55,contoare!A:K,2,FALSE)</f>
        <v>45870</v>
      </c>
      <c r="E55" s="37">
        <f>VLOOKUP(N55,contoare!A:K,3,FALSE)</f>
        <v>45901</v>
      </c>
      <c r="F55" s="38">
        <f>VLOOKUP(N55,contoare!A:K,4,FALSE)</f>
        <v>2327.154</v>
      </c>
      <c r="G55" s="38">
        <f>VLOOKUP(N55,contoare!A:K,5,FALSE)</f>
        <v>0</v>
      </c>
      <c r="H55" s="38">
        <f>VLOOKUP(N55,contoare!A:K,6,FALSE)</f>
        <v>175.374</v>
      </c>
      <c r="I55" s="38">
        <f>VLOOKUP(N55,contoare!A:K,7,FALSE)</f>
        <v>28.923999999999999</v>
      </c>
      <c r="J55" s="38">
        <f>VLOOKUP(N55,contoare!A:K,8,FALSE)</f>
        <v>2805.5740000000001</v>
      </c>
      <c r="K55" s="38">
        <f>VLOOKUP(N55,contoare!A:K,9,FALSE)</f>
        <v>0</v>
      </c>
      <c r="L55" s="38">
        <f>VLOOKUP(N55,contoare!A:K,10,FALSE)</f>
        <v>242.21100000000001</v>
      </c>
      <c r="M55" s="38">
        <f>VLOOKUP(N55,contoare!A:K,11,FALSE)</f>
        <v>31.013000000000002</v>
      </c>
      <c r="N55" s="92" t="s">
        <v>45</v>
      </c>
      <c r="O55" s="26">
        <v>600</v>
      </c>
      <c r="P55" s="27">
        <f t="shared" si="10"/>
        <v>287052.00000000006</v>
      </c>
      <c r="Q55" s="27">
        <f t="shared" si="11"/>
        <v>0</v>
      </c>
      <c r="R55" s="303"/>
      <c r="S55" s="271"/>
      <c r="T55" s="38">
        <f>VLOOKUP(X55,contoare!A:K,4,FALSE)</f>
        <v>2327.154</v>
      </c>
      <c r="U55" s="38">
        <f>VLOOKUP(X55,contoare!A:K,5,FALSE)</f>
        <v>0</v>
      </c>
      <c r="V55" s="38">
        <f>VLOOKUP(X55,contoare!A:K,8,FALSE)</f>
        <v>2805.5740000000001</v>
      </c>
      <c r="W55" s="38">
        <f>VLOOKUP(X55,contoare!A:K,9,FALSE)</f>
        <v>0</v>
      </c>
      <c r="X55" s="95" t="s">
        <v>45</v>
      </c>
      <c r="Y55" s="26">
        <v>600</v>
      </c>
      <c r="Z55" s="27">
        <f t="shared" si="4"/>
        <v>287052.00000000006</v>
      </c>
      <c r="AA55" s="27">
        <f t="shared" si="3"/>
        <v>0</v>
      </c>
      <c r="AB55" s="303"/>
      <c r="AC55" s="271"/>
      <c r="AD55" s="313"/>
    </row>
    <row r="56" spans="1:30" x14ac:dyDescent="0.2">
      <c r="A56" s="255"/>
      <c r="B56" s="26" t="s">
        <v>465</v>
      </c>
      <c r="C56" s="217" t="s">
        <v>466</v>
      </c>
      <c r="D56" s="37">
        <f>VLOOKUP(N56,contoare!A:K,2,FALSE)</f>
        <v>45870</v>
      </c>
      <c r="E56" s="37">
        <f>VLOOKUP(N56,contoare!A:K,3,FALSE)</f>
        <v>45901</v>
      </c>
      <c r="F56" s="38">
        <f>VLOOKUP(N56,contoare!A:K,4,FALSE)</f>
        <v>1937.884</v>
      </c>
      <c r="G56" s="38">
        <f>VLOOKUP(N56,contoare!A:K,5,FALSE)</f>
        <v>1.3959999999999999</v>
      </c>
      <c r="H56" s="38">
        <f>VLOOKUP(N56,contoare!A:K,6,FALSE)</f>
        <v>23.082999999999998</v>
      </c>
      <c r="I56" s="38">
        <f>VLOOKUP(N56,contoare!A:K,7,FALSE)</f>
        <v>122.691</v>
      </c>
      <c r="J56" s="38">
        <f>VLOOKUP(N56,contoare!A:K,8,FALSE)</f>
        <v>2348.8389999999999</v>
      </c>
      <c r="K56" s="38">
        <f>VLOOKUP(N56,contoare!A:K,9,FALSE)</f>
        <v>1.64</v>
      </c>
      <c r="L56" s="38">
        <f>VLOOKUP(N56,contoare!A:K,10,FALSE)</f>
        <v>27.56</v>
      </c>
      <c r="M56" s="38">
        <f>VLOOKUP(N56,contoare!A:K,11,FALSE)</f>
        <v>146.79900000000001</v>
      </c>
      <c r="N56" s="157" t="s">
        <v>40</v>
      </c>
      <c r="O56" s="158">
        <v>120</v>
      </c>
      <c r="P56" s="159">
        <f t="shared" si="10"/>
        <v>49314.599999999991</v>
      </c>
      <c r="Q56" s="159">
        <f t="shared" si="11"/>
        <v>29.28</v>
      </c>
      <c r="R56" s="303"/>
      <c r="S56" s="271"/>
      <c r="T56" s="38">
        <f>VLOOKUP(X56,contoare!A:K,4,FALSE)</f>
        <v>1937.884</v>
      </c>
      <c r="U56" s="38">
        <f>VLOOKUP(X56,contoare!A:K,5,FALSE)</f>
        <v>1.3959999999999999</v>
      </c>
      <c r="V56" s="38">
        <f>VLOOKUP(X56,contoare!A:K,8,FALSE)</f>
        <v>2348.8389999999999</v>
      </c>
      <c r="W56" s="38">
        <f>VLOOKUP(X56,contoare!A:K,9,FALSE)</f>
        <v>1.64</v>
      </c>
      <c r="X56" s="169" t="s">
        <v>40</v>
      </c>
      <c r="Y56" s="158">
        <v>120</v>
      </c>
      <c r="Z56" s="159">
        <f t="shared" si="4"/>
        <v>49314.599999999991</v>
      </c>
      <c r="AA56" s="159">
        <f t="shared" si="3"/>
        <v>29.28</v>
      </c>
      <c r="AB56" s="303"/>
      <c r="AC56" s="271"/>
      <c r="AD56" s="313"/>
    </row>
    <row r="57" spans="1:30" x14ac:dyDescent="0.2">
      <c r="A57" s="255"/>
      <c r="B57" s="26" t="s">
        <v>291</v>
      </c>
      <c r="C57" s="217" t="s">
        <v>292</v>
      </c>
      <c r="D57" s="37">
        <f>VLOOKUP(N57,contoare!A:K,2,FALSE)</f>
        <v>45870</v>
      </c>
      <c r="E57" s="37">
        <f>VLOOKUP(N57,contoare!A:K,3,FALSE)</f>
        <v>45901</v>
      </c>
      <c r="F57" s="38">
        <f>VLOOKUP(N57,contoare!A:K,4,FALSE)</f>
        <v>2094.0189999999998</v>
      </c>
      <c r="G57" s="38">
        <f>VLOOKUP(N57,contoare!A:K,5,FALSE)</f>
        <v>0</v>
      </c>
      <c r="H57" s="38">
        <f>VLOOKUP(N57,contoare!A:K,6,FALSE)</f>
        <v>41.055</v>
      </c>
      <c r="I57" s="38">
        <f>VLOOKUP(N57,contoare!A:K,7,FALSE)</f>
        <v>147.35900000000001</v>
      </c>
      <c r="J57" s="38">
        <f>VLOOKUP(N57,contoare!A:K,8,FALSE)</f>
        <v>2539.721</v>
      </c>
      <c r="K57" s="38">
        <f>VLOOKUP(N57,contoare!A:K,9,FALSE)</f>
        <v>0</v>
      </c>
      <c r="L57" s="38">
        <f>VLOOKUP(N57,contoare!A:K,10,FALSE)</f>
        <v>65.066000000000003</v>
      </c>
      <c r="M57" s="38">
        <f>VLOOKUP(N57,contoare!A:K,11,FALSE)</f>
        <v>161.43600000000001</v>
      </c>
      <c r="N57" s="92" t="s">
        <v>41</v>
      </c>
      <c r="O57" s="26">
        <v>600</v>
      </c>
      <c r="P57" s="27">
        <f t="shared" si="10"/>
        <v>267421.20000000013</v>
      </c>
      <c r="Q57" s="27">
        <f t="shared" si="11"/>
        <v>0</v>
      </c>
      <c r="R57" s="303"/>
      <c r="S57" s="271"/>
      <c r="T57" s="38">
        <f>VLOOKUP(X57,contoare!A:K,4,FALSE)</f>
        <v>2094.0189999999998</v>
      </c>
      <c r="U57" s="38">
        <f>VLOOKUP(X57,contoare!A:K,5,FALSE)</f>
        <v>0</v>
      </c>
      <c r="V57" s="38">
        <f>VLOOKUP(X57,contoare!A:K,8,FALSE)</f>
        <v>2539.721</v>
      </c>
      <c r="W57" s="38">
        <f>VLOOKUP(X57,contoare!A:K,9,FALSE)</f>
        <v>0</v>
      </c>
      <c r="X57" s="95" t="s">
        <v>41</v>
      </c>
      <c r="Y57" s="26">
        <v>600</v>
      </c>
      <c r="Z57" s="27">
        <f t="shared" si="4"/>
        <v>267421.20000000013</v>
      </c>
      <c r="AA57" s="27">
        <f t="shared" si="3"/>
        <v>0</v>
      </c>
      <c r="AB57" s="303"/>
      <c r="AC57" s="271"/>
      <c r="AD57" s="313"/>
    </row>
    <row r="58" spans="1:30" x14ac:dyDescent="0.2">
      <c r="A58" s="255"/>
      <c r="B58" s="26" t="s">
        <v>293</v>
      </c>
      <c r="C58" s="217" t="s">
        <v>294</v>
      </c>
      <c r="D58" s="37">
        <f>VLOOKUP(N58,contoare!A:K,2,FALSE)</f>
        <v>45870</v>
      </c>
      <c r="E58" s="37">
        <f>VLOOKUP(N58,contoare!A:K,3,FALSE)</f>
        <v>45901</v>
      </c>
      <c r="F58" s="38">
        <f>VLOOKUP(N58,contoare!A:K,4,FALSE)</f>
        <v>278.33100000000002</v>
      </c>
      <c r="G58" s="38">
        <f>VLOOKUP(N58,contoare!A:K,5,FALSE)</f>
        <v>0</v>
      </c>
      <c r="H58" s="38">
        <f>VLOOKUP(N58,contoare!A:K,6,FALSE)</f>
        <v>0.29399999999999998</v>
      </c>
      <c r="I58" s="38">
        <f>VLOOKUP(N58,contoare!A:K,7,FALSE)</f>
        <v>39.034999999999997</v>
      </c>
      <c r="J58" s="38">
        <f>VLOOKUP(N58,contoare!A:K,8,FALSE)</f>
        <v>331.67399999999998</v>
      </c>
      <c r="K58" s="38">
        <f>VLOOKUP(N58,contoare!A:K,9,FALSE)</f>
        <v>0</v>
      </c>
      <c r="L58" s="38">
        <f>VLOOKUP(N58,contoare!A:K,10,FALSE)</f>
        <v>0.30399999999999999</v>
      </c>
      <c r="M58" s="38">
        <f>VLOOKUP(N58,contoare!A:K,11,FALSE)</f>
        <v>44.984999999999999</v>
      </c>
      <c r="N58" s="92" t="s">
        <v>43</v>
      </c>
      <c r="O58" s="26">
        <v>500</v>
      </c>
      <c r="P58" s="27">
        <f t="shared" si="10"/>
        <v>26671.499999999982</v>
      </c>
      <c r="Q58" s="27">
        <f t="shared" si="11"/>
        <v>0</v>
      </c>
      <c r="R58" s="303"/>
      <c r="S58" s="271"/>
      <c r="T58" s="38">
        <f>VLOOKUP(X58,contoare!A:K,4,FALSE)</f>
        <v>278.33100000000002</v>
      </c>
      <c r="U58" s="38">
        <f>VLOOKUP(X58,contoare!A:K,5,FALSE)</f>
        <v>0</v>
      </c>
      <c r="V58" s="38">
        <f>VLOOKUP(X58,contoare!A:K,8,FALSE)</f>
        <v>331.67399999999998</v>
      </c>
      <c r="W58" s="38">
        <f>VLOOKUP(X58,contoare!A:K,9,FALSE)</f>
        <v>0</v>
      </c>
      <c r="X58" s="95" t="s">
        <v>43</v>
      </c>
      <c r="Y58" s="26">
        <v>500</v>
      </c>
      <c r="Z58" s="27">
        <f t="shared" si="4"/>
        <v>26671.499999999982</v>
      </c>
      <c r="AA58" s="27">
        <f t="shared" si="3"/>
        <v>0</v>
      </c>
      <c r="AB58" s="303"/>
      <c r="AC58" s="271"/>
      <c r="AD58" s="313"/>
    </row>
    <row r="59" spans="1:30" x14ac:dyDescent="0.2">
      <c r="A59" s="255"/>
      <c r="B59" s="26" t="s">
        <v>295</v>
      </c>
      <c r="C59" s="217" t="s">
        <v>296</v>
      </c>
      <c r="D59" s="37">
        <f>VLOOKUP(N59,contoare!A:K,2,FALSE)</f>
        <v>45870</v>
      </c>
      <c r="E59" s="37">
        <f>VLOOKUP(N59,contoare!A:K,3,FALSE)</f>
        <v>45901</v>
      </c>
      <c r="F59" s="38">
        <f>VLOOKUP(N59,contoare!A:K,4,FALSE)</f>
        <v>2111.73</v>
      </c>
      <c r="G59" s="38">
        <f>VLOOKUP(N59,contoare!A:K,5,FALSE)</f>
        <v>0</v>
      </c>
      <c r="H59" s="38">
        <f>VLOOKUP(N59,contoare!A:K,6,FALSE)</f>
        <v>331.26900000000001</v>
      </c>
      <c r="I59" s="38">
        <f>VLOOKUP(N59,contoare!A:K,7,FALSE)</f>
        <v>0.34399999999999997</v>
      </c>
      <c r="J59" s="38">
        <f>VLOOKUP(N59,contoare!A:K,8,FALSE)</f>
        <v>2504.596</v>
      </c>
      <c r="K59" s="38">
        <f>VLOOKUP(N59,contoare!A:K,9,FALSE)</f>
        <v>0</v>
      </c>
      <c r="L59" s="38">
        <f>VLOOKUP(N59,contoare!A:K,10,FALSE)</f>
        <v>395.33800000000002</v>
      </c>
      <c r="M59" s="38">
        <f>VLOOKUP(N59,contoare!A:K,11,FALSE)</f>
        <v>0.38100000000000001</v>
      </c>
      <c r="N59" s="92" t="s">
        <v>44</v>
      </c>
      <c r="O59" s="26">
        <v>250</v>
      </c>
      <c r="P59" s="27">
        <f t="shared" si="10"/>
        <v>98216.5</v>
      </c>
      <c r="Q59" s="27">
        <f t="shared" si="11"/>
        <v>0</v>
      </c>
      <c r="R59" s="303"/>
      <c r="S59" s="271"/>
      <c r="T59" s="38">
        <f>VLOOKUP(X59,contoare!A:K,4,FALSE)</f>
        <v>2111.73</v>
      </c>
      <c r="U59" s="38">
        <f>VLOOKUP(X59,contoare!A:K,5,FALSE)</f>
        <v>0</v>
      </c>
      <c r="V59" s="38">
        <f>VLOOKUP(X59,contoare!A:K,8,FALSE)</f>
        <v>2504.596</v>
      </c>
      <c r="W59" s="38">
        <f>VLOOKUP(X59,contoare!A:K,9,FALSE)</f>
        <v>0</v>
      </c>
      <c r="X59" s="95" t="s">
        <v>44</v>
      </c>
      <c r="Y59" s="26">
        <v>250</v>
      </c>
      <c r="Z59" s="27">
        <f t="shared" si="4"/>
        <v>98216.5</v>
      </c>
      <c r="AA59" s="27">
        <f t="shared" si="3"/>
        <v>0</v>
      </c>
      <c r="AB59" s="303"/>
      <c r="AC59" s="271"/>
      <c r="AD59" s="313"/>
    </row>
    <row r="60" spans="1:30" x14ac:dyDescent="0.2">
      <c r="A60" s="255"/>
      <c r="B60" s="162" t="s">
        <v>545</v>
      </c>
      <c r="C60" s="220" t="s">
        <v>545</v>
      </c>
      <c r="D60" s="161"/>
      <c r="E60" s="161"/>
      <c r="F60" s="162"/>
      <c r="G60" s="162"/>
      <c r="H60" s="162"/>
      <c r="I60" s="162"/>
      <c r="J60" s="162"/>
      <c r="K60" s="162"/>
      <c r="L60" s="162"/>
      <c r="M60" s="162"/>
      <c r="N60" s="167" t="s">
        <v>545</v>
      </c>
      <c r="O60" s="162">
        <v>8000</v>
      </c>
      <c r="P60" s="164">
        <v>0</v>
      </c>
      <c r="Q60" s="164">
        <v>0</v>
      </c>
      <c r="R60" s="165">
        <v>0</v>
      </c>
      <c r="S60" s="271"/>
      <c r="T60" s="38" t="e">
        <f>VLOOKUP(X60,contoare!A:K,4,FALSE)</f>
        <v>#N/A</v>
      </c>
      <c r="U60" s="38" t="e">
        <f>VLOOKUP(X60,contoare!A:K,5,FALSE)</f>
        <v>#N/A</v>
      </c>
      <c r="V60" s="38" t="e">
        <f>VLOOKUP(X60,contoare!A:K,8,FALSE)</f>
        <v>#N/A</v>
      </c>
      <c r="W60" s="38" t="e">
        <f>VLOOKUP(X60,contoare!A:K,9,FALSE)</f>
        <v>#N/A</v>
      </c>
      <c r="X60" s="163" t="s">
        <v>545</v>
      </c>
      <c r="Y60" s="162">
        <v>0</v>
      </c>
      <c r="Z60" s="164">
        <f t="shared" si="4"/>
        <v>0</v>
      </c>
      <c r="AA60" s="164">
        <f t="shared" si="3"/>
        <v>0</v>
      </c>
      <c r="AB60" s="165">
        <v>0</v>
      </c>
      <c r="AC60" s="271"/>
      <c r="AD60" s="313"/>
    </row>
    <row r="61" spans="1:30" x14ac:dyDescent="0.2">
      <c r="A61" s="255"/>
      <c r="B61" s="26" t="s">
        <v>540</v>
      </c>
      <c r="C61" s="57" t="s">
        <v>544</v>
      </c>
      <c r="D61" s="37" t="e">
        <f>VLOOKUP(N61,contoare!A:K,2,FALSE)</f>
        <v>#N/A</v>
      </c>
      <c r="E61" s="37" t="e">
        <f>VLOOKUP(N61,contoare!A:K,3,FALSE)</f>
        <v>#N/A</v>
      </c>
      <c r="F61" s="38" t="e">
        <f>VLOOKUP(N61,contoare!A:K,4,FALSE)</f>
        <v>#N/A</v>
      </c>
      <c r="G61" s="38" t="e">
        <f>VLOOKUP(N61,contoare!A:K,5,FALSE)</f>
        <v>#N/A</v>
      </c>
      <c r="H61" s="38" t="e">
        <f>VLOOKUP(N61,contoare!A:K,6,FALSE)</f>
        <v>#N/A</v>
      </c>
      <c r="I61" s="38" t="e">
        <f>VLOOKUP(N61,contoare!A:K,7,FALSE)</f>
        <v>#N/A</v>
      </c>
      <c r="J61" s="38" t="e">
        <f>VLOOKUP(N61,contoare!A:K,8,FALSE)</f>
        <v>#N/A</v>
      </c>
      <c r="K61" s="38" t="e">
        <f>VLOOKUP(N61,contoare!A:K,9,FALSE)</f>
        <v>#N/A</v>
      </c>
      <c r="L61" s="38" t="e">
        <f>VLOOKUP(N61,contoare!A:K,10,FALSE)</f>
        <v>#N/A</v>
      </c>
      <c r="M61" s="38" t="e">
        <f>VLOOKUP(N61,contoare!A:K,11,FALSE)</f>
        <v>#N/A</v>
      </c>
      <c r="N61" s="96" t="s">
        <v>542</v>
      </c>
      <c r="O61" s="26">
        <v>8000</v>
      </c>
      <c r="P61" s="27">
        <v>1039360</v>
      </c>
      <c r="Q61" s="27">
        <v>0</v>
      </c>
      <c r="R61" s="34">
        <f>P61</f>
        <v>1039360</v>
      </c>
      <c r="S61" s="271"/>
      <c r="T61" s="38" t="e">
        <f>VLOOKUP(X61,contoare!A:K,4,FALSE)</f>
        <v>#N/A</v>
      </c>
      <c r="U61" s="38" t="e">
        <f>VLOOKUP(X61,contoare!A:K,5,FALSE)</f>
        <v>#N/A</v>
      </c>
      <c r="V61" s="38" t="e">
        <f>VLOOKUP(X61,contoare!A:K,8,FALSE)</f>
        <v>#N/A</v>
      </c>
      <c r="W61" s="38" t="e">
        <f>VLOOKUP(X61,contoare!A:K,9,FALSE)</f>
        <v>#N/A</v>
      </c>
      <c r="X61" s="96" t="s">
        <v>542</v>
      </c>
      <c r="Y61" s="26">
        <v>8000</v>
      </c>
      <c r="Z61" s="27">
        <f t="shared" si="4"/>
        <v>1039360</v>
      </c>
      <c r="AA61" s="27">
        <f t="shared" si="3"/>
        <v>0</v>
      </c>
      <c r="AB61" s="34">
        <f>P61</f>
        <v>1039360</v>
      </c>
      <c r="AC61" s="271"/>
      <c r="AD61" s="313"/>
    </row>
    <row r="62" spans="1:30" x14ac:dyDescent="0.2">
      <c r="A62" s="255"/>
      <c r="B62" s="162" t="s">
        <v>546</v>
      </c>
      <c r="C62" s="220" t="s">
        <v>546</v>
      </c>
      <c r="D62" s="161"/>
      <c r="E62" s="161"/>
      <c r="F62" s="162"/>
      <c r="G62" s="162"/>
      <c r="H62" s="162"/>
      <c r="I62" s="162"/>
      <c r="J62" s="162"/>
      <c r="K62" s="162"/>
      <c r="L62" s="162"/>
      <c r="M62" s="162"/>
      <c r="N62" s="167" t="s">
        <v>546</v>
      </c>
      <c r="O62" s="162">
        <v>8000</v>
      </c>
      <c r="P62" s="164">
        <v>0</v>
      </c>
      <c r="Q62" s="164">
        <v>0</v>
      </c>
      <c r="R62" s="164">
        <v>0</v>
      </c>
      <c r="S62" s="271"/>
      <c r="T62" s="38" t="e">
        <f>VLOOKUP(X62,contoare!A:K,4,FALSE)</f>
        <v>#N/A</v>
      </c>
      <c r="U62" s="38" t="e">
        <f>VLOOKUP(X62,contoare!A:K,5,FALSE)</f>
        <v>#N/A</v>
      </c>
      <c r="V62" s="38" t="e">
        <f>VLOOKUP(X62,contoare!A:K,8,FALSE)</f>
        <v>#N/A</v>
      </c>
      <c r="W62" s="38" t="e">
        <f>VLOOKUP(X62,contoare!A:K,9,FALSE)</f>
        <v>#N/A</v>
      </c>
      <c r="X62" s="163" t="s">
        <v>546</v>
      </c>
      <c r="Y62" s="162">
        <v>0</v>
      </c>
      <c r="Z62" s="164">
        <f t="shared" si="4"/>
        <v>0</v>
      </c>
      <c r="AA62" s="164">
        <f t="shared" si="3"/>
        <v>0</v>
      </c>
      <c r="AB62" s="164">
        <v>0</v>
      </c>
      <c r="AC62" s="271"/>
      <c r="AD62" s="313"/>
    </row>
    <row r="63" spans="1:30" ht="17" thickBot="1" x14ac:dyDescent="0.25">
      <c r="A63" s="350"/>
      <c r="B63" s="49" t="s">
        <v>541</v>
      </c>
      <c r="C63" s="108" t="s">
        <v>544</v>
      </c>
      <c r="D63" s="37" t="e">
        <f>VLOOKUP(N63,contoare!A:K,2,FALSE)</f>
        <v>#N/A</v>
      </c>
      <c r="E63" s="37" t="e">
        <f>VLOOKUP(N63,contoare!A:K,3,FALSE)</f>
        <v>#N/A</v>
      </c>
      <c r="F63" s="38" t="e">
        <f>VLOOKUP(N63,contoare!A:K,4,FALSE)</f>
        <v>#N/A</v>
      </c>
      <c r="G63" s="38" t="e">
        <f>VLOOKUP(N63,contoare!A:K,5,FALSE)</f>
        <v>#N/A</v>
      </c>
      <c r="H63" s="38" t="e">
        <f>VLOOKUP(N63,contoare!A:K,6,FALSE)</f>
        <v>#N/A</v>
      </c>
      <c r="I63" s="38" t="e">
        <f>VLOOKUP(N63,contoare!A:K,7,FALSE)</f>
        <v>#N/A</v>
      </c>
      <c r="J63" s="38" t="e">
        <f>VLOOKUP(N63,contoare!A:K,8,FALSE)</f>
        <v>#N/A</v>
      </c>
      <c r="K63" s="38" t="e">
        <f>VLOOKUP(N63,contoare!A:K,9,FALSE)</f>
        <v>#N/A</v>
      </c>
      <c r="L63" s="38" t="e">
        <f>VLOOKUP(N63,contoare!A:K,10,FALSE)</f>
        <v>#N/A</v>
      </c>
      <c r="M63" s="38" t="e">
        <f>VLOOKUP(N63,contoare!A:K,11,FALSE)</f>
        <v>#N/A</v>
      </c>
      <c r="N63" s="109" t="s">
        <v>543</v>
      </c>
      <c r="O63" s="49">
        <v>8000</v>
      </c>
      <c r="P63" s="50">
        <v>0</v>
      </c>
      <c r="Q63" s="50">
        <v>0</v>
      </c>
      <c r="R63" s="53">
        <v>0</v>
      </c>
      <c r="S63" s="272"/>
      <c r="T63" s="52" t="e">
        <f>VLOOKUP(X63,contoare!A:K,4,FALSE)</f>
        <v>#N/A</v>
      </c>
      <c r="U63" s="52" t="e">
        <f>VLOOKUP(X63,contoare!A:K,5,FALSE)</f>
        <v>#N/A</v>
      </c>
      <c r="V63" s="52" t="e">
        <f>VLOOKUP(X63,contoare!A:K,8,FALSE)</f>
        <v>#N/A</v>
      </c>
      <c r="W63" s="52" t="e">
        <f>VLOOKUP(X63,contoare!A:K,9,FALSE)</f>
        <v>#N/A</v>
      </c>
      <c r="X63" s="109" t="s">
        <v>542</v>
      </c>
      <c r="Y63" s="49">
        <v>8000</v>
      </c>
      <c r="Z63" s="50">
        <f t="shared" si="4"/>
        <v>0</v>
      </c>
      <c r="AA63" s="50">
        <f t="shared" si="3"/>
        <v>0</v>
      </c>
      <c r="AB63" s="53">
        <f>P63</f>
        <v>0</v>
      </c>
      <c r="AC63" s="272"/>
      <c r="AD63" s="314"/>
    </row>
    <row r="64" spans="1:30" ht="16" customHeight="1" x14ac:dyDescent="0.2">
      <c r="A64" s="254" t="s">
        <v>46</v>
      </c>
      <c r="B64" s="39" t="s">
        <v>315</v>
      </c>
      <c r="C64" s="216" t="s">
        <v>316</v>
      </c>
      <c r="D64" s="40">
        <f>VLOOKUP(N64,contoare!A:K,2,FALSE)</f>
        <v>45870</v>
      </c>
      <c r="E64" s="40">
        <f>VLOOKUP(N64,contoare!A:K,3,FALSE)</f>
        <v>45901</v>
      </c>
      <c r="F64" s="41">
        <f>VLOOKUP(N64,contoare!A:K,4,FALSE)</f>
        <v>4255.4049999999997</v>
      </c>
      <c r="G64" s="41">
        <f>VLOOKUP(N64,contoare!A:K,5,FALSE)</f>
        <v>0</v>
      </c>
      <c r="H64" s="41">
        <f>VLOOKUP(N64,contoare!A:K,6,FALSE)</f>
        <v>632.46199999999999</v>
      </c>
      <c r="I64" s="41">
        <f>VLOOKUP(N64,contoare!A:K,7,FALSE)</f>
        <v>2.456</v>
      </c>
      <c r="J64" s="41">
        <f>VLOOKUP(N64,contoare!A:K,8,FALSE)</f>
        <v>4794.1859999999997</v>
      </c>
      <c r="K64" s="41">
        <f>VLOOKUP(N64,contoare!A:K,9,FALSE)</f>
        <v>0</v>
      </c>
      <c r="L64" s="41">
        <f>VLOOKUP(N64,contoare!A:K,10,FALSE)</f>
        <v>712.08699999999999</v>
      </c>
      <c r="M64" s="41">
        <f>VLOOKUP(N64,contoare!A:K,11,FALSE)</f>
        <v>7.8630000000000004</v>
      </c>
      <c r="N64" s="91" t="s">
        <v>50</v>
      </c>
      <c r="O64" s="39">
        <v>600</v>
      </c>
      <c r="P64" s="42">
        <f>(J64-F64)*O64</f>
        <v>323268.59999999998</v>
      </c>
      <c r="Q64" s="42">
        <f>(K64-G64)*O64</f>
        <v>0</v>
      </c>
      <c r="R64" s="282">
        <f>P64+P66+P67</f>
        <v>769887.99999999988</v>
      </c>
      <c r="S64" s="244">
        <f>(R69-R64)/R69</f>
        <v>-1.3143834715093937E-2</v>
      </c>
      <c r="T64" s="41">
        <f>VLOOKUP(X64,contoare!A:K,4,FALSE)</f>
        <v>4255.4049999999997</v>
      </c>
      <c r="U64" s="41">
        <f>VLOOKUP(X64,contoare!A:K,5,FALSE)</f>
        <v>0</v>
      </c>
      <c r="V64" s="41">
        <f>VLOOKUP(X64,contoare!A:K,8,FALSE)</f>
        <v>4794.1859999999997</v>
      </c>
      <c r="W64" s="41">
        <f>VLOOKUP(X64,contoare!A:K,9,FALSE)</f>
        <v>0</v>
      </c>
      <c r="X64" s="172" t="s">
        <v>50</v>
      </c>
      <c r="Y64" s="78">
        <v>500</v>
      </c>
      <c r="Z64" s="42">
        <f t="shared" si="4"/>
        <v>269390.5</v>
      </c>
      <c r="AA64" s="42">
        <f t="shared" si="3"/>
        <v>0</v>
      </c>
      <c r="AB64" s="307">
        <f>Z64+Z66+Z67</f>
        <v>754698.69999999984</v>
      </c>
      <c r="AC64" s="270">
        <f>(AB69-AB64)/AB69</f>
        <v>6.8447164100541693E-3</v>
      </c>
      <c r="AD64" s="262" t="s">
        <v>725</v>
      </c>
    </row>
    <row r="65" spans="1:30" x14ac:dyDescent="0.2">
      <c r="A65" s="255"/>
      <c r="B65" s="26" t="s">
        <v>471</v>
      </c>
      <c r="C65" s="217" t="s">
        <v>472</v>
      </c>
      <c r="D65" s="37">
        <f>VLOOKUP(N65,contoare!A:K,2,FALSE)</f>
        <v>45870</v>
      </c>
      <c r="E65" s="37">
        <f>VLOOKUP(N65,contoare!A:K,3,FALSE)</f>
        <v>45901</v>
      </c>
      <c r="F65" s="38">
        <f>VLOOKUP(N65,contoare!A:K,4,FALSE)</f>
        <v>2187.2800000000002</v>
      </c>
      <c r="G65" s="38">
        <f>VLOOKUP(N65,contoare!A:K,5,FALSE)</f>
        <v>2.5409999999999999</v>
      </c>
      <c r="H65" s="38">
        <f>VLOOKUP(N65,contoare!A:K,6,FALSE)</f>
        <v>46.198</v>
      </c>
      <c r="I65" s="38">
        <f>VLOOKUP(N65,contoare!A:K,7,FALSE)</f>
        <v>190.15799999999999</v>
      </c>
      <c r="J65" s="38">
        <f>VLOOKUP(N65,contoare!A:K,8,FALSE)</f>
        <v>2626.1509999999998</v>
      </c>
      <c r="K65" s="38">
        <f>VLOOKUP(N65,contoare!A:K,9,FALSE)</f>
        <v>2.802</v>
      </c>
      <c r="L65" s="38">
        <f>VLOOKUP(N65,contoare!A:K,10,FALSE)</f>
        <v>50.668999999999997</v>
      </c>
      <c r="M65" s="38">
        <f>VLOOKUP(N65,contoare!A:K,11,FALSE)</f>
        <v>216.011</v>
      </c>
      <c r="N65" s="92" t="s">
        <v>48</v>
      </c>
      <c r="O65" s="26">
        <v>120</v>
      </c>
      <c r="P65" s="27">
        <f>(J65-F65)*O65</f>
        <v>52664.51999999996</v>
      </c>
      <c r="Q65" s="27">
        <f>(K65-G65)*O65</f>
        <v>31.320000000000014</v>
      </c>
      <c r="R65" s="283"/>
      <c r="S65" s="245"/>
      <c r="T65" s="38">
        <f>VLOOKUP(X65,contoare!A:K,4,FALSE)</f>
        <v>2187.2800000000002</v>
      </c>
      <c r="U65" s="38">
        <f>VLOOKUP(X65,contoare!A:K,5,FALSE)</f>
        <v>2.5409999999999999</v>
      </c>
      <c r="V65" s="38">
        <f>VLOOKUP(X65,contoare!A:K,8,FALSE)</f>
        <v>2626.1509999999998</v>
      </c>
      <c r="W65" s="38">
        <f>VLOOKUP(X65,contoare!A:K,9,FALSE)</f>
        <v>2.802</v>
      </c>
      <c r="X65" s="95" t="s">
        <v>48</v>
      </c>
      <c r="Y65" s="26">
        <v>120</v>
      </c>
      <c r="Z65" s="27">
        <f t="shared" si="4"/>
        <v>52664.51999999996</v>
      </c>
      <c r="AA65" s="27">
        <f t="shared" si="3"/>
        <v>31.320000000000014</v>
      </c>
      <c r="AB65" s="303"/>
      <c r="AC65" s="271"/>
      <c r="AD65" s="263"/>
    </row>
    <row r="66" spans="1:30" x14ac:dyDescent="0.2">
      <c r="A66" s="255"/>
      <c r="B66" s="26" t="s">
        <v>317</v>
      </c>
      <c r="C66" s="217" t="s">
        <v>318</v>
      </c>
      <c r="D66" s="37">
        <f>VLOOKUP(N66,contoare!A:K,2,FALSE)</f>
        <v>45870</v>
      </c>
      <c r="E66" s="37">
        <f>VLOOKUP(N66,contoare!A:K,3,FALSE)</f>
        <v>45901</v>
      </c>
      <c r="F66" s="38">
        <f>VLOOKUP(N66,contoare!A:K,4,FALSE)</f>
        <v>3442.2280000000001</v>
      </c>
      <c r="G66" s="38">
        <f>VLOOKUP(N66,contoare!A:K,5,FALSE)</f>
        <v>0</v>
      </c>
      <c r="H66" s="38">
        <f>VLOOKUP(N66,contoare!A:K,6,FALSE)</f>
        <v>13.269</v>
      </c>
      <c r="I66" s="38">
        <f>VLOOKUP(N66,contoare!A:K,7,FALSE)</f>
        <v>369.96899999999999</v>
      </c>
      <c r="J66" s="38">
        <f>VLOOKUP(N66,contoare!A:K,8,FALSE)</f>
        <v>3864.1869999999999</v>
      </c>
      <c r="K66" s="38">
        <f>VLOOKUP(N66,contoare!A:K,9,FALSE)</f>
        <v>0</v>
      </c>
      <c r="L66" s="38">
        <f>VLOOKUP(N66,contoare!A:K,10,FALSE)</f>
        <v>17.614999999999998</v>
      </c>
      <c r="M66" s="38">
        <f>VLOOKUP(N66,contoare!A:K,11,FALSE)</f>
        <v>390.71499999999997</v>
      </c>
      <c r="N66" s="92" t="s">
        <v>49</v>
      </c>
      <c r="O66" s="26">
        <v>600</v>
      </c>
      <c r="P66" s="27">
        <f>(J66-F66)*O66</f>
        <v>253175.39999999991</v>
      </c>
      <c r="Q66" s="27">
        <f>(K66-G66)*O66</f>
        <v>0</v>
      </c>
      <c r="R66" s="283"/>
      <c r="S66" s="245"/>
      <c r="T66" s="38">
        <f>VLOOKUP(X66,contoare!A:K,4,FALSE)</f>
        <v>3442.2280000000001</v>
      </c>
      <c r="U66" s="38">
        <f>VLOOKUP(X66,contoare!A:K,5,FALSE)</f>
        <v>0</v>
      </c>
      <c r="V66" s="38">
        <f>VLOOKUP(X66,contoare!A:K,8,FALSE)</f>
        <v>3864.1869999999999</v>
      </c>
      <c r="W66" s="38">
        <f>VLOOKUP(X66,contoare!A:K,9,FALSE)</f>
        <v>0</v>
      </c>
      <c r="X66" s="95" t="s">
        <v>49</v>
      </c>
      <c r="Y66" s="26">
        <v>600</v>
      </c>
      <c r="Z66" s="27">
        <f t="shared" si="4"/>
        <v>253175.39999999991</v>
      </c>
      <c r="AA66" s="27">
        <f t="shared" si="3"/>
        <v>0</v>
      </c>
      <c r="AB66" s="303"/>
      <c r="AC66" s="271"/>
      <c r="AD66" s="263"/>
    </row>
    <row r="67" spans="1:30" x14ac:dyDescent="0.2">
      <c r="A67" s="255"/>
      <c r="B67" s="26" t="s">
        <v>319</v>
      </c>
      <c r="C67" s="217" t="s">
        <v>320</v>
      </c>
      <c r="D67" s="37">
        <f>VLOOKUP(N67,contoare!A:K,2,FALSE)</f>
        <v>45870</v>
      </c>
      <c r="E67" s="37">
        <f>VLOOKUP(N67,contoare!A:K,3,FALSE)</f>
        <v>45901</v>
      </c>
      <c r="F67" s="38">
        <f>VLOOKUP(N67,contoare!A:K,4,FALSE)</f>
        <v>2967.8609999999999</v>
      </c>
      <c r="G67" s="38">
        <f>VLOOKUP(N67,contoare!A:K,5,FALSE)</f>
        <v>0</v>
      </c>
      <c r="H67" s="38">
        <f>VLOOKUP(N67,contoare!A:K,6,FALSE)</f>
        <v>144.798</v>
      </c>
      <c r="I67" s="38">
        <f>VLOOKUP(N67,contoare!A:K,7,FALSE)</f>
        <v>70.906000000000006</v>
      </c>
      <c r="J67" s="38">
        <f>VLOOKUP(N67,contoare!A:K,8,FALSE)</f>
        <v>3354.7489999999998</v>
      </c>
      <c r="K67" s="38">
        <f>VLOOKUP(N67,contoare!A:K,9,FALSE)</f>
        <v>0</v>
      </c>
      <c r="L67" s="38">
        <f>VLOOKUP(N67,contoare!A:K,10,FALSE)</f>
        <v>187.172</v>
      </c>
      <c r="M67" s="38">
        <f>VLOOKUP(N67,contoare!A:K,11,FALSE)</f>
        <v>71.242000000000004</v>
      </c>
      <c r="N67" s="92" t="s">
        <v>47</v>
      </c>
      <c r="O67" s="26">
        <v>500</v>
      </c>
      <c r="P67" s="27">
        <f>(J67-F67)*O67</f>
        <v>193443.99999999997</v>
      </c>
      <c r="Q67" s="27">
        <f>(K67-G67)*O67</f>
        <v>0</v>
      </c>
      <c r="R67" s="283"/>
      <c r="S67" s="245"/>
      <c r="T67" s="38">
        <f>VLOOKUP(X67,contoare!A:K,4,FALSE)</f>
        <v>2967.8609999999999</v>
      </c>
      <c r="U67" s="38">
        <f>VLOOKUP(X67,contoare!A:K,5,FALSE)</f>
        <v>0</v>
      </c>
      <c r="V67" s="38">
        <f>VLOOKUP(X67,contoare!A:K,8,FALSE)</f>
        <v>3354.7489999999998</v>
      </c>
      <c r="W67" s="38">
        <f>VLOOKUP(X67,contoare!A:K,9,FALSE)</f>
        <v>0</v>
      </c>
      <c r="X67" s="99" t="s">
        <v>47</v>
      </c>
      <c r="Y67" s="77">
        <v>600</v>
      </c>
      <c r="Z67" s="27">
        <f t="shared" si="4"/>
        <v>232132.79999999996</v>
      </c>
      <c r="AA67" s="27">
        <f t="shared" si="3"/>
        <v>0</v>
      </c>
      <c r="AB67" s="303"/>
      <c r="AC67" s="271"/>
      <c r="AD67" s="263"/>
    </row>
    <row r="68" spans="1:30" x14ac:dyDescent="0.2">
      <c r="A68" s="255"/>
      <c r="B68" s="162" t="s">
        <v>533</v>
      </c>
      <c r="C68" s="220" t="s">
        <v>533</v>
      </c>
      <c r="D68" s="161"/>
      <c r="E68" s="161"/>
      <c r="F68" s="162"/>
      <c r="G68" s="162"/>
      <c r="H68" s="162"/>
      <c r="I68" s="162"/>
      <c r="J68" s="162"/>
      <c r="K68" s="162"/>
      <c r="L68" s="162"/>
      <c r="M68" s="162"/>
      <c r="N68" s="167" t="str">
        <f>C68</f>
        <v>MT SDI</v>
      </c>
      <c r="O68" s="162">
        <v>6000</v>
      </c>
      <c r="P68" s="164">
        <v>0</v>
      </c>
      <c r="Q68" s="164">
        <v>0</v>
      </c>
      <c r="R68" s="165">
        <v>0</v>
      </c>
      <c r="S68" s="245"/>
      <c r="T68" s="38" t="e">
        <f>VLOOKUP(X68,contoare!A:K,4,FALSE)</f>
        <v>#N/A</v>
      </c>
      <c r="U68" s="38" t="e">
        <f>VLOOKUP(X68,contoare!A:K,5,FALSE)</f>
        <v>#N/A</v>
      </c>
      <c r="V68" s="38" t="e">
        <f>VLOOKUP(X68,contoare!A:K,8,FALSE)</f>
        <v>#N/A</v>
      </c>
      <c r="W68" s="38" t="e">
        <f>VLOOKUP(X68,contoare!A:K,9,FALSE)</f>
        <v>#N/A</v>
      </c>
      <c r="X68" s="167" t="s">
        <v>533</v>
      </c>
      <c r="Y68" s="162">
        <v>0</v>
      </c>
      <c r="Z68" s="164">
        <f t="shared" si="4"/>
        <v>0</v>
      </c>
      <c r="AA68" s="164">
        <f t="shared" si="3"/>
        <v>0</v>
      </c>
      <c r="AB68" s="165">
        <v>0</v>
      </c>
      <c r="AC68" s="271"/>
      <c r="AD68" s="263"/>
    </row>
    <row r="69" spans="1:30" ht="17" thickBot="1" x14ac:dyDescent="0.25">
      <c r="A69" s="350"/>
      <c r="B69" s="49" t="s">
        <v>548</v>
      </c>
      <c r="C69" s="221" t="s">
        <v>547</v>
      </c>
      <c r="D69" s="51"/>
      <c r="E69" s="51"/>
      <c r="F69" s="52"/>
      <c r="G69" s="52"/>
      <c r="H69" s="52"/>
      <c r="I69" s="52"/>
      <c r="J69" s="52"/>
      <c r="K69" s="52"/>
      <c r="L69" s="52"/>
      <c r="M69" s="52"/>
      <c r="N69" s="93">
        <v>2886824</v>
      </c>
      <c r="O69" s="49">
        <v>6000</v>
      </c>
      <c r="P69" s="50">
        <v>759900</v>
      </c>
      <c r="Q69" s="50"/>
      <c r="R69" s="136">
        <f>P69</f>
        <v>759900</v>
      </c>
      <c r="S69" s="287"/>
      <c r="T69" s="52" t="e">
        <f>VLOOKUP(X69,contoare!A:K,4,FALSE)</f>
        <v>#N/A</v>
      </c>
      <c r="U69" s="52" t="e">
        <f>VLOOKUP(X69,contoare!A:K,5,FALSE)</f>
        <v>#N/A</v>
      </c>
      <c r="V69" s="52" t="e">
        <f>VLOOKUP(X69,contoare!A:K,8,FALSE)</f>
        <v>#N/A</v>
      </c>
      <c r="W69" s="52" t="e">
        <f>VLOOKUP(X69,contoare!A:K,9,FALSE)</f>
        <v>#N/A</v>
      </c>
      <c r="X69" s="174">
        <v>2886824</v>
      </c>
      <c r="Y69" s="49">
        <f>O69</f>
        <v>6000</v>
      </c>
      <c r="Z69" s="50">
        <f t="shared" si="4"/>
        <v>759900</v>
      </c>
      <c r="AA69" s="50">
        <f t="shared" si="3"/>
        <v>0</v>
      </c>
      <c r="AB69" s="53">
        <f>P69</f>
        <v>759900</v>
      </c>
      <c r="AC69" s="272"/>
      <c r="AD69" s="309"/>
    </row>
    <row r="70" spans="1:30" ht="16" customHeight="1" x14ac:dyDescent="0.2">
      <c r="A70" s="265" t="s">
        <v>51</v>
      </c>
      <c r="B70" s="39" t="s">
        <v>409</v>
      </c>
      <c r="C70" s="216" t="s">
        <v>410</v>
      </c>
      <c r="D70" s="40">
        <f>VLOOKUP(N70,contoare!A:K,2,FALSE)</f>
        <v>45870</v>
      </c>
      <c r="E70" s="40">
        <f>VLOOKUP(N70,contoare!A:K,3,FALSE)</f>
        <v>45901</v>
      </c>
      <c r="F70" s="41">
        <f>VLOOKUP(N70,contoare!A:K,4,FALSE)</f>
        <v>1255.829</v>
      </c>
      <c r="G70" s="41">
        <f>VLOOKUP(N70,contoare!A:K,5,FALSE)</f>
        <v>963.11199999999997</v>
      </c>
      <c r="H70" s="41">
        <f>VLOOKUP(N70,contoare!A:K,6,FALSE)</f>
        <v>0.28299999999999997</v>
      </c>
      <c r="I70" s="41">
        <f>VLOOKUP(N70,contoare!A:K,7,FALSE)</f>
        <v>576.673</v>
      </c>
      <c r="J70" s="41">
        <f>VLOOKUP(N70,contoare!A:K,8,FALSE)</f>
        <v>1340.306</v>
      </c>
      <c r="K70" s="41">
        <f>VLOOKUP(N70,contoare!A:K,9,FALSE)</f>
        <v>1172.521</v>
      </c>
      <c r="L70" s="41">
        <f>VLOOKUP(N70,contoare!A:K,10,FALSE)</f>
        <v>0.28299999999999997</v>
      </c>
      <c r="M70" s="41">
        <f>VLOOKUP(N70,contoare!A:K,11,FALSE)</f>
        <v>639.75400000000002</v>
      </c>
      <c r="N70" s="91" t="s">
        <v>53</v>
      </c>
      <c r="O70" s="39">
        <v>120</v>
      </c>
      <c r="P70" s="42">
        <f t="shared" ref="P70:P98" si="25">(J70-F70)*O70</f>
        <v>10137.240000000011</v>
      </c>
      <c r="Q70" s="137">
        <f t="shared" ref="Q70:Q97" si="26">(K70-G70)*O70</f>
        <v>25129.079999999998</v>
      </c>
      <c r="R70" s="268">
        <f>P70</f>
        <v>10137.240000000011</v>
      </c>
      <c r="S70" s="270">
        <f>(R73-R70)/R73</f>
        <v>5.392067195520199E-2</v>
      </c>
      <c r="T70" s="41">
        <f>VLOOKUP(X70,contoare!A:K,4,FALSE)</f>
        <v>1255.829</v>
      </c>
      <c r="U70" s="41">
        <f>VLOOKUP(X70,contoare!A:K,5,FALSE)</f>
        <v>963.11199999999997</v>
      </c>
      <c r="V70" s="41">
        <f>VLOOKUP(X70,contoare!A:K,8,FALSE)</f>
        <v>1340.306</v>
      </c>
      <c r="W70" s="41">
        <f>VLOOKUP(X70,contoare!A:K,9,FALSE)</f>
        <v>1172.521</v>
      </c>
      <c r="X70" s="91" t="s">
        <v>53</v>
      </c>
      <c r="Y70" s="39">
        <v>120</v>
      </c>
      <c r="Z70" s="42">
        <f t="shared" si="4"/>
        <v>10137.240000000011</v>
      </c>
      <c r="AA70" s="42">
        <f t="shared" si="3"/>
        <v>25129.079999999998</v>
      </c>
      <c r="AB70" s="268">
        <f>Z70</f>
        <v>10137.240000000011</v>
      </c>
      <c r="AC70" s="270">
        <f>(AB73-AB70)/AB73</f>
        <v>5.392067195520199E-2</v>
      </c>
      <c r="AD70" s="273" t="s">
        <v>602</v>
      </c>
    </row>
    <row r="71" spans="1:30" x14ac:dyDescent="0.2">
      <c r="A71" s="266"/>
      <c r="B71" s="26" t="s">
        <v>513</v>
      </c>
      <c r="C71" s="217" t="s">
        <v>514</v>
      </c>
      <c r="D71" s="37">
        <f>VLOOKUP(N71,contoare!A:K,2,FALSE)</f>
        <v>45870</v>
      </c>
      <c r="E71" s="37">
        <f>VLOOKUP(N71,contoare!A:K,3,FALSE)</f>
        <v>45901</v>
      </c>
      <c r="F71" s="38">
        <f>VLOOKUP(N71,contoare!A:K,4,FALSE)</f>
        <v>0.251</v>
      </c>
      <c r="G71" s="38">
        <f>VLOOKUP(N71,contoare!A:K,5,FALSE)</f>
        <v>2097.268</v>
      </c>
      <c r="H71" s="38">
        <f>VLOOKUP(N71,contoare!A:K,6,FALSE)</f>
        <v>14.345000000000001</v>
      </c>
      <c r="I71" s="38">
        <f>VLOOKUP(N71,contoare!A:K,7,FALSE)</f>
        <v>13.119</v>
      </c>
      <c r="J71" s="38">
        <f>VLOOKUP(N71,contoare!A:K,8,FALSE)</f>
        <v>0.27300000000000002</v>
      </c>
      <c r="K71" s="38">
        <f>VLOOKUP(N71,contoare!A:K,9,FALSE)</f>
        <v>2523.2350000000001</v>
      </c>
      <c r="L71" s="38">
        <f>VLOOKUP(N71,contoare!A:K,10,FALSE)</f>
        <v>16.948</v>
      </c>
      <c r="M71" s="38">
        <f>VLOOKUP(N71,contoare!A:K,11,FALSE)</f>
        <v>14.413</v>
      </c>
      <c r="N71" s="92" t="s">
        <v>52</v>
      </c>
      <c r="O71" s="26">
        <v>120</v>
      </c>
      <c r="P71" s="27">
        <f t="shared" si="25"/>
        <v>2.6400000000000023</v>
      </c>
      <c r="Q71" s="27">
        <f t="shared" si="26"/>
        <v>51116.040000000008</v>
      </c>
      <c r="R71" s="269"/>
      <c r="S71" s="271"/>
      <c r="T71" s="38">
        <f>VLOOKUP(X71,contoare!A:K,4,FALSE)</f>
        <v>0.251</v>
      </c>
      <c r="U71" s="38">
        <f>VLOOKUP(X71,contoare!A:K,5,FALSE)</f>
        <v>2097.268</v>
      </c>
      <c r="V71" s="38">
        <f>VLOOKUP(X71,contoare!A:K,8,FALSE)</f>
        <v>0.27300000000000002</v>
      </c>
      <c r="W71" s="38">
        <f>VLOOKUP(X71,contoare!A:K,9,FALSE)</f>
        <v>2523.2350000000001</v>
      </c>
      <c r="X71" s="92" t="s">
        <v>52</v>
      </c>
      <c r="Y71" s="26">
        <v>120</v>
      </c>
      <c r="Z71" s="27">
        <f t="shared" si="4"/>
        <v>2.6400000000000023</v>
      </c>
      <c r="AA71" s="27">
        <f t="shared" si="3"/>
        <v>51116.040000000008</v>
      </c>
      <c r="AB71" s="269"/>
      <c r="AC71" s="271"/>
      <c r="AD71" s="274"/>
    </row>
    <row r="72" spans="1:30" x14ac:dyDescent="0.2">
      <c r="A72" s="266"/>
      <c r="B72" s="77" t="s">
        <v>533</v>
      </c>
      <c r="C72" s="223" t="s">
        <v>533</v>
      </c>
      <c r="D72" s="100" t="e">
        <f>VLOOKUP(N72,contoare!A:K,2,FALSE)</f>
        <v>#N/A</v>
      </c>
      <c r="E72" s="100" t="e">
        <f>VLOOKUP(N72,contoare!A:K,3,FALSE)</f>
        <v>#N/A</v>
      </c>
      <c r="F72" s="77" t="e">
        <f>VLOOKUP(N72,contoare!A:K,4,FALSE)</f>
        <v>#N/A</v>
      </c>
      <c r="G72" s="77" t="e">
        <f>VLOOKUP(N72,contoare!A:K,5,FALSE)</f>
        <v>#N/A</v>
      </c>
      <c r="H72" s="77" t="e">
        <f>VLOOKUP(N72,contoare!A:K,6,FALSE)</f>
        <v>#N/A</v>
      </c>
      <c r="I72" s="77" t="e">
        <f>VLOOKUP(N72,contoare!A:K,7,FALSE)</f>
        <v>#N/A</v>
      </c>
      <c r="J72" s="77" t="e">
        <f>VLOOKUP(N72,contoare!A:K,8,FALSE)</f>
        <v>#N/A</v>
      </c>
      <c r="K72" s="77" t="e">
        <f>VLOOKUP(N72,contoare!A:K,9,FALSE)</f>
        <v>#N/A</v>
      </c>
      <c r="L72" s="77" t="e">
        <f>VLOOKUP(N72,contoare!A:K,10,FALSE)</f>
        <v>#N/A</v>
      </c>
      <c r="M72" s="77" t="e">
        <f>VLOOKUP(N72,contoare!A:K,11,FALSE)</f>
        <v>#N/A</v>
      </c>
      <c r="N72" s="97" t="s">
        <v>533</v>
      </c>
      <c r="O72" s="77"/>
      <c r="P72" s="101" t="e">
        <f t="shared" ref="P72" si="27">(J72-F72)*O72</f>
        <v>#N/A</v>
      </c>
      <c r="Q72" s="101" t="e">
        <f t="shared" ref="Q72" si="28">(K72-G72)*O72</f>
        <v>#N/A</v>
      </c>
      <c r="R72" s="101" t="e">
        <f t="shared" ref="R72:R73" si="29">P72</f>
        <v>#N/A</v>
      </c>
      <c r="S72" s="271"/>
      <c r="T72" s="38" t="e">
        <f>VLOOKUP(X72,contoare!A:K,4,FALSE)</f>
        <v>#N/A</v>
      </c>
      <c r="U72" s="38" t="e">
        <f>VLOOKUP(X72,contoare!A:K,5,FALSE)</f>
        <v>#N/A</v>
      </c>
      <c r="V72" s="38" t="e">
        <f>VLOOKUP(X72,contoare!A:K,8,FALSE)</f>
        <v>#N/A</v>
      </c>
      <c r="W72" s="38" t="e">
        <f>VLOOKUP(X72,contoare!A:K,9,FALSE)</f>
        <v>#N/A</v>
      </c>
      <c r="X72" s="97" t="s">
        <v>533</v>
      </c>
      <c r="Y72" s="77"/>
      <c r="Z72" s="101" t="e">
        <f t="shared" ref="Z72" si="30">IF(LEFT(N72,3)&lt;&gt;"HXE",P72,(V72-T72)*Y72)</f>
        <v>#N/A</v>
      </c>
      <c r="AA72" s="101" t="e">
        <f t="shared" ref="AA72" si="31">IF(LEFT(X72,3)&lt;&gt;"HXE",Q72,(W72-U72)*Y72)</f>
        <v>#N/A</v>
      </c>
      <c r="AB72" s="101" t="e">
        <f t="shared" ref="AB72:AB73" si="32">Z72</f>
        <v>#N/A</v>
      </c>
      <c r="AC72" s="271"/>
      <c r="AD72" s="274"/>
    </row>
    <row r="73" spans="1:30" ht="17" thickBot="1" x14ac:dyDescent="0.25">
      <c r="A73" s="267"/>
      <c r="B73" s="49" t="s">
        <v>672</v>
      </c>
      <c r="C73" s="221" t="str">
        <f>"594020300002588154"</f>
        <v>594020300002588154</v>
      </c>
      <c r="D73" s="51" t="e">
        <f>VLOOKUP(N73,contoare!A:K,2,FALSE)</f>
        <v>#N/A</v>
      </c>
      <c r="E73" s="51" t="e">
        <f>VLOOKUP(N73,contoare!A:K,3,FALSE)</f>
        <v>#N/A</v>
      </c>
      <c r="F73" s="52" t="e">
        <f>VLOOKUP(N73,contoare!A:K,4,FALSE)</f>
        <v>#N/A</v>
      </c>
      <c r="G73" s="52" t="e">
        <f>VLOOKUP(N73,contoare!A:K,5,FALSE)</f>
        <v>#N/A</v>
      </c>
      <c r="H73" s="52" t="e">
        <f>VLOOKUP(N73,contoare!A:K,6,FALSE)</f>
        <v>#N/A</v>
      </c>
      <c r="I73" s="52" t="e">
        <f>VLOOKUP(N73,contoare!A:K,7,FALSE)</f>
        <v>#N/A</v>
      </c>
      <c r="J73" s="52" t="e">
        <f>VLOOKUP(N73,contoare!A:K,8,FALSE)</f>
        <v>#N/A</v>
      </c>
      <c r="K73" s="52" t="e">
        <f>VLOOKUP(N73,contoare!A:K,9,FALSE)</f>
        <v>#N/A</v>
      </c>
      <c r="L73" s="52" t="e">
        <f>VLOOKUP(N73,contoare!A:K,10,FALSE)</f>
        <v>#N/A</v>
      </c>
      <c r="M73" s="52" t="e">
        <f>VLOOKUP(N73,contoare!A:K,11,FALSE)</f>
        <v>#N/A</v>
      </c>
      <c r="N73" s="93" t="s">
        <v>670</v>
      </c>
      <c r="O73" s="49">
        <v>400</v>
      </c>
      <c r="P73" s="50">
        <v>10715</v>
      </c>
      <c r="Q73" s="53">
        <f>9674+15280</f>
        <v>24954</v>
      </c>
      <c r="R73" s="53">
        <f t="shared" si="29"/>
        <v>10715</v>
      </c>
      <c r="S73" s="272"/>
      <c r="T73" s="52" t="e">
        <f>VLOOKUP(X73,contoare!A:K,4,FALSE)</f>
        <v>#N/A</v>
      </c>
      <c r="U73" s="52" t="e">
        <f>VLOOKUP(X73,contoare!A:K,5,FALSE)</f>
        <v>#N/A</v>
      </c>
      <c r="V73" s="52" t="e">
        <f>VLOOKUP(X73,contoare!A:K,8,FALSE)</f>
        <v>#N/A</v>
      </c>
      <c r="W73" s="52" t="e">
        <f>VLOOKUP(X73,contoare!A:K,9,FALSE)</f>
        <v>#N/A</v>
      </c>
      <c r="X73" s="93" t="s">
        <v>670</v>
      </c>
      <c r="Y73" s="49">
        <v>400</v>
      </c>
      <c r="Z73" s="50">
        <f t="shared" ref="Z73" si="33">IF(LEFT(N73,3)&lt;&gt;"HXE",P73,(V73-T73)*Y73)</f>
        <v>10715</v>
      </c>
      <c r="AA73" s="50">
        <f t="shared" ref="AA73" si="34">IF(LEFT(X73,3)&lt;&gt;"HXE",Q73,(W73-U73)*Y73)</f>
        <v>24954</v>
      </c>
      <c r="AB73" s="53">
        <f t="shared" si="32"/>
        <v>10715</v>
      </c>
      <c r="AC73" s="272"/>
      <c r="AD73" s="275"/>
    </row>
    <row r="74" spans="1:30" ht="17" customHeight="1" x14ac:dyDescent="0.2">
      <c r="A74" s="265" t="s">
        <v>57</v>
      </c>
      <c r="B74" s="39" t="s">
        <v>197</v>
      </c>
      <c r="C74" s="216" t="s">
        <v>194</v>
      </c>
      <c r="D74" s="40">
        <f>VLOOKUP(N74,contoare!A:K,2,FALSE)</f>
        <v>45870</v>
      </c>
      <c r="E74" s="40">
        <f>VLOOKUP(N74,contoare!A:K,3,FALSE)</f>
        <v>45901</v>
      </c>
      <c r="F74" s="41">
        <f>VLOOKUP(N74,contoare!A:K,4,FALSE)</f>
        <v>1818.568</v>
      </c>
      <c r="G74" s="41">
        <f>VLOOKUP(N74,contoare!A:K,5,FALSE)</f>
        <v>471.55900000000003</v>
      </c>
      <c r="H74" s="41">
        <f>VLOOKUP(N74,contoare!A:K,6,FALSE)</f>
        <v>210.316</v>
      </c>
      <c r="I74" s="41">
        <f>VLOOKUP(N74,contoare!A:K,7,FALSE)</f>
        <v>103.002</v>
      </c>
      <c r="J74" s="41">
        <f>VLOOKUP(N74,contoare!A:K,8,FALSE)</f>
        <v>1942.8409999999999</v>
      </c>
      <c r="K74" s="41">
        <f>VLOOKUP(N74,contoare!A:K,9,FALSE)</f>
        <v>571.57799999999997</v>
      </c>
      <c r="L74" s="41">
        <f>VLOOKUP(N74,contoare!A:K,10,FALSE)</f>
        <v>246.21600000000001</v>
      </c>
      <c r="M74" s="41">
        <f>VLOOKUP(N74,contoare!A:K,11,FALSE)</f>
        <v>116.676</v>
      </c>
      <c r="N74" s="91" t="s">
        <v>56</v>
      </c>
      <c r="O74" s="39">
        <v>120</v>
      </c>
      <c r="P74" s="42">
        <f t="shared" si="25"/>
        <v>14912.759999999989</v>
      </c>
      <c r="Q74" s="42">
        <f t="shared" si="26"/>
        <v>12002.279999999993</v>
      </c>
      <c r="R74" s="268">
        <f>P74</f>
        <v>14912.759999999989</v>
      </c>
      <c r="S74" s="270">
        <f>(R77-R74)/R77</f>
        <v>5.231570920183088E-2</v>
      </c>
      <c r="T74" s="41">
        <f>VLOOKUP(X74,contoare!A:K,4,FALSE)</f>
        <v>1818.568</v>
      </c>
      <c r="U74" s="41">
        <f>VLOOKUP(X74,contoare!A:K,5,FALSE)</f>
        <v>471.55900000000003</v>
      </c>
      <c r="V74" s="41">
        <f>VLOOKUP(X74,contoare!A:K,8,FALSE)</f>
        <v>1942.8409999999999</v>
      </c>
      <c r="W74" s="41">
        <f>VLOOKUP(X74,contoare!A:K,9,FALSE)</f>
        <v>571.57799999999997</v>
      </c>
      <c r="X74" s="91" t="s">
        <v>56</v>
      </c>
      <c r="Y74" s="39">
        <v>120</v>
      </c>
      <c r="Z74" s="42">
        <f t="shared" ref="Z74:Z77" si="35">IF(LEFT(N74,3)&lt;&gt;"HXE",P74,(V74-T74)*Y74)</f>
        <v>14912.759999999989</v>
      </c>
      <c r="AA74" s="42">
        <f t="shared" ref="AA74:AA77" si="36">IF(LEFT(X74,3)&lt;&gt;"HXE",Q74,(W74-U74)*Y74)</f>
        <v>12002.279999999993</v>
      </c>
      <c r="AB74" s="268">
        <f>Z74</f>
        <v>14912.759999999989</v>
      </c>
      <c r="AC74" s="270">
        <f>(AB77-AB74)/AB77</f>
        <v>5.231570920183088E-2</v>
      </c>
      <c r="AD74" s="273" t="s">
        <v>602</v>
      </c>
    </row>
    <row r="75" spans="1:30" x14ac:dyDescent="0.2">
      <c r="A75" s="266"/>
      <c r="B75" s="26" t="s">
        <v>196</v>
      </c>
      <c r="C75" s="217" t="s">
        <v>195</v>
      </c>
      <c r="D75" s="37">
        <f>VLOOKUP(N75,contoare!A:K,2,FALSE)</f>
        <v>45870</v>
      </c>
      <c r="E75" s="37">
        <f>VLOOKUP(N75,contoare!A:K,3,FALSE)</f>
        <v>45901</v>
      </c>
      <c r="F75" s="38">
        <f>VLOOKUP(N75,contoare!A:K,4,FALSE)</f>
        <v>1552.847</v>
      </c>
      <c r="G75" s="38">
        <f>VLOOKUP(N75,contoare!A:K,5,FALSE)</f>
        <v>1.677</v>
      </c>
      <c r="H75" s="38">
        <f>VLOOKUP(N75,contoare!A:K,6,FALSE)</f>
        <v>34.229999999999997</v>
      </c>
      <c r="I75" s="38">
        <f>VLOOKUP(N75,contoare!A:K,7,FALSE)</f>
        <v>127.877</v>
      </c>
      <c r="J75" s="38">
        <f>VLOOKUP(N75,contoare!A:K,8,FALSE)</f>
        <v>1843.943</v>
      </c>
      <c r="K75" s="38">
        <f>VLOOKUP(N75,contoare!A:K,9,FALSE)</f>
        <v>1.851</v>
      </c>
      <c r="L75" s="38">
        <f>VLOOKUP(N75,contoare!A:K,10,FALSE)</f>
        <v>37.558999999999997</v>
      </c>
      <c r="M75" s="38">
        <f>VLOOKUP(N75,contoare!A:K,11,FALSE)</f>
        <v>145.36799999999999</v>
      </c>
      <c r="N75" s="92" t="s">
        <v>54</v>
      </c>
      <c r="O75" s="26">
        <v>120</v>
      </c>
      <c r="P75" s="27">
        <f t="shared" si="25"/>
        <v>34931.520000000004</v>
      </c>
      <c r="Q75" s="27">
        <f t="shared" si="26"/>
        <v>20.879999999999992</v>
      </c>
      <c r="R75" s="269"/>
      <c r="S75" s="271"/>
      <c r="T75" s="38">
        <f>VLOOKUP(X75,contoare!A:K,4,FALSE)</f>
        <v>1552.847</v>
      </c>
      <c r="U75" s="38">
        <f>VLOOKUP(X75,contoare!A:K,5,FALSE)</f>
        <v>1.677</v>
      </c>
      <c r="V75" s="38">
        <f>VLOOKUP(X75,contoare!A:K,8,FALSE)</f>
        <v>1843.943</v>
      </c>
      <c r="W75" s="38">
        <f>VLOOKUP(X75,contoare!A:K,9,FALSE)</f>
        <v>1.851</v>
      </c>
      <c r="X75" s="92" t="s">
        <v>54</v>
      </c>
      <c r="Y75" s="26">
        <v>120</v>
      </c>
      <c r="Z75" s="27">
        <f t="shared" si="35"/>
        <v>34931.520000000004</v>
      </c>
      <c r="AA75" s="27">
        <f t="shared" si="36"/>
        <v>20.879999999999992</v>
      </c>
      <c r="AB75" s="269"/>
      <c r="AC75" s="271"/>
      <c r="AD75" s="274"/>
    </row>
    <row r="76" spans="1:30" x14ac:dyDescent="0.2">
      <c r="A76" s="266"/>
      <c r="B76" s="26" t="s">
        <v>533</v>
      </c>
      <c r="C76" s="217" t="s">
        <v>533</v>
      </c>
      <c r="D76" s="37">
        <f>VLOOKUP(N76,contoare!A:K,2,FALSE)</f>
        <v>45870</v>
      </c>
      <c r="E76" s="37">
        <f>VLOOKUP(N76,contoare!A:K,3,FALSE)</f>
        <v>45901</v>
      </c>
      <c r="F76" s="38">
        <f>VLOOKUP(N76,contoare!A:K,4,FALSE)</f>
        <v>150.62</v>
      </c>
      <c r="G76" s="38">
        <f>VLOOKUP(N76,contoare!A:K,5,FALSE)</f>
        <v>125.845</v>
      </c>
      <c r="H76" s="38">
        <f>VLOOKUP(N76,contoare!A:K,6,FALSE)</f>
        <v>41.125999999999998</v>
      </c>
      <c r="I76" s="38">
        <f>VLOOKUP(N76,contoare!A:K,7,FALSE)</f>
        <v>5.1260000000000003</v>
      </c>
      <c r="J76" s="38">
        <f>VLOOKUP(N76,contoare!A:K,8,FALSE)</f>
        <v>189.89099999999999</v>
      </c>
      <c r="K76" s="38">
        <f>VLOOKUP(N76,contoare!A:K,9,FALSE)</f>
        <v>154.964</v>
      </c>
      <c r="L76" s="38">
        <f>VLOOKUP(N76,contoare!A:K,10,FALSE)</f>
        <v>54.697000000000003</v>
      </c>
      <c r="M76" s="38">
        <f>VLOOKUP(N76,contoare!A:K,11,FALSE)</f>
        <v>6.7560000000000002</v>
      </c>
      <c r="N76" s="92" t="s">
        <v>55</v>
      </c>
      <c r="O76" s="26">
        <v>400</v>
      </c>
      <c r="P76" s="27">
        <f t="shared" ref="P76" si="37">(J76-F76)*O76</f>
        <v>15708.399999999994</v>
      </c>
      <c r="Q76" s="27">
        <f t="shared" ref="Q76" si="38">(K76-G76)*O76</f>
        <v>11647.6</v>
      </c>
      <c r="R76" s="34">
        <f t="shared" ref="R76:R77" si="39">P76</f>
        <v>15708.399999999994</v>
      </c>
      <c r="S76" s="271"/>
      <c r="T76" s="38">
        <f>VLOOKUP(X76,contoare!A:K,4,FALSE)</f>
        <v>150.62</v>
      </c>
      <c r="U76" s="38">
        <f>VLOOKUP(X76,contoare!A:K,5,FALSE)</f>
        <v>125.845</v>
      </c>
      <c r="V76" s="38">
        <f>VLOOKUP(X76,contoare!A:K,8,FALSE)</f>
        <v>189.89099999999999</v>
      </c>
      <c r="W76" s="38">
        <f>VLOOKUP(X76,contoare!A:K,9,FALSE)</f>
        <v>154.964</v>
      </c>
      <c r="X76" s="92" t="s">
        <v>55</v>
      </c>
      <c r="Y76" s="26">
        <v>400</v>
      </c>
      <c r="Z76" s="27">
        <f t="shared" si="35"/>
        <v>15708.399999999994</v>
      </c>
      <c r="AA76" s="27">
        <f t="shared" si="36"/>
        <v>11647.6</v>
      </c>
      <c r="AB76" s="34">
        <f t="shared" ref="AB76:AB77" si="40">Z76</f>
        <v>15708.399999999994</v>
      </c>
      <c r="AC76" s="271"/>
      <c r="AD76" s="274"/>
    </row>
    <row r="77" spans="1:30" ht="17" thickBot="1" x14ac:dyDescent="0.25">
      <c r="A77" s="278"/>
      <c r="B77" s="43" t="s">
        <v>673</v>
      </c>
      <c r="C77" s="219" t="str">
        <f>"594020400001705610"</f>
        <v>594020400001705610</v>
      </c>
      <c r="D77" s="44" t="e">
        <f>VLOOKUP(N77,contoare!A:K,2,FALSE)</f>
        <v>#N/A</v>
      </c>
      <c r="E77" s="44" t="e">
        <f>VLOOKUP(N77,contoare!A:K,3,FALSE)</f>
        <v>#N/A</v>
      </c>
      <c r="F77" s="45" t="e">
        <f>VLOOKUP(N77,contoare!A:K,4,FALSE)</f>
        <v>#N/A</v>
      </c>
      <c r="G77" s="45" t="e">
        <f>VLOOKUP(N77,contoare!A:K,5,FALSE)</f>
        <v>#N/A</v>
      </c>
      <c r="H77" s="45" t="e">
        <f>VLOOKUP(N77,contoare!A:K,6,FALSE)</f>
        <v>#N/A</v>
      </c>
      <c r="I77" s="45" t="e">
        <f>VLOOKUP(N77,contoare!A:K,7,FALSE)</f>
        <v>#N/A</v>
      </c>
      <c r="J77" s="45" t="e">
        <f>VLOOKUP(N77,contoare!A:K,8,FALSE)</f>
        <v>#N/A</v>
      </c>
      <c r="K77" s="45" t="e">
        <f>VLOOKUP(N77,contoare!A:K,9,FALSE)</f>
        <v>#N/A</v>
      </c>
      <c r="L77" s="45" t="e">
        <f>VLOOKUP(N77,contoare!A:K,10,FALSE)</f>
        <v>#N/A</v>
      </c>
      <c r="M77" s="45" t="e">
        <f>VLOOKUP(N77,contoare!A:K,11,FALSE)</f>
        <v>#N/A</v>
      </c>
      <c r="N77" s="94" t="s">
        <v>671</v>
      </c>
      <c r="O77" s="43">
        <v>400</v>
      </c>
      <c r="P77" s="46">
        <v>15736</v>
      </c>
      <c r="Q77" s="46">
        <v>11688</v>
      </c>
      <c r="R77" s="48">
        <f t="shared" si="39"/>
        <v>15736</v>
      </c>
      <c r="S77" s="276"/>
      <c r="T77" s="45" t="e">
        <f>VLOOKUP(X77,contoare!A:K,4,FALSE)</f>
        <v>#N/A</v>
      </c>
      <c r="U77" s="45" t="e">
        <f>VLOOKUP(X77,contoare!A:K,5,FALSE)</f>
        <v>#N/A</v>
      </c>
      <c r="V77" s="45" t="e">
        <f>VLOOKUP(X77,contoare!A:K,8,FALSE)</f>
        <v>#N/A</v>
      </c>
      <c r="W77" s="45" t="e">
        <f>VLOOKUP(X77,contoare!A:K,9,FALSE)</f>
        <v>#N/A</v>
      </c>
      <c r="X77" s="94" t="s">
        <v>671</v>
      </c>
      <c r="Y77" s="43">
        <v>400</v>
      </c>
      <c r="Z77" s="46">
        <f t="shared" si="35"/>
        <v>15736</v>
      </c>
      <c r="AA77" s="46">
        <f t="shared" si="36"/>
        <v>11688</v>
      </c>
      <c r="AB77" s="48">
        <f t="shared" si="40"/>
        <v>15736</v>
      </c>
      <c r="AC77" s="276"/>
      <c r="AD77" s="277"/>
    </row>
    <row r="78" spans="1:30" x14ac:dyDescent="0.2">
      <c r="A78" s="355" t="s">
        <v>727</v>
      </c>
      <c r="B78" s="146" t="s">
        <v>237</v>
      </c>
      <c r="C78" s="222" t="s">
        <v>238</v>
      </c>
      <c r="D78" s="80">
        <f>VLOOKUP(N78,contoare!A:K,2,FALSE)</f>
        <v>45870</v>
      </c>
      <c r="E78" s="80">
        <f>VLOOKUP(N78,contoare!A:K,3,FALSE)</f>
        <v>45901</v>
      </c>
      <c r="F78" s="81">
        <f>VLOOKUP(N78,contoare!A:K,4,FALSE)</f>
        <v>384.22699999999998</v>
      </c>
      <c r="G78" s="81">
        <f>VLOOKUP(N78,contoare!A:K,5,FALSE)</f>
        <v>0</v>
      </c>
      <c r="H78" s="81">
        <f>VLOOKUP(N78,contoare!A:K,6,FALSE)</f>
        <v>115.15</v>
      </c>
      <c r="I78" s="81">
        <f>VLOOKUP(N78,contoare!A:K,7,FALSE)</f>
        <v>0</v>
      </c>
      <c r="J78" s="81">
        <f>VLOOKUP(N78,contoare!A:K,8,FALSE)</f>
        <v>614.42100000000005</v>
      </c>
      <c r="K78" s="81">
        <f>VLOOKUP(N78,contoare!A:K,9,FALSE)</f>
        <v>0</v>
      </c>
      <c r="L78" s="81">
        <f>VLOOKUP(N78,contoare!A:K,10,FALSE)</f>
        <v>178.851</v>
      </c>
      <c r="M78" s="81">
        <f>VLOOKUP(N78,contoare!A:K,11,FALSE)</f>
        <v>0</v>
      </c>
      <c r="N78" s="98" t="s">
        <v>64</v>
      </c>
      <c r="O78" s="141">
        <v>500</v>
      </c>
      <c r="P78" s="36">
        <f t="shared" ref="P78:P92" si="41">(J78-F78)*O78</f>
        <v>115097.00000000004</v>
      </c>
      <c r="Q78" s="36">
        <f t="shared" ref="Q78:Q92" si="42">(K78-G78)*O78</f>
        <v>0</v>
      </c>
      <c r="R78" s="300">
        <f>P78+P80-P79-P81</f>
        <v>91580.820000000065</v>
      </c>
      <c r="S78" s="301">
        <f>(R83-R78)/R83</f>
        <v>0.28329300359993687</v>
      </c>
      <c r="T78" s="81">
        <f>VLOOKUP(X78,contoare!A:K,4,FALSE)</f>
        <v>384.22699999999998</v>
      </c>
      <c r="U78" s="81">
        <f>VLOOKUP(X78,contoare!A:K,5,FALSE)</f>
        <v>0</v>
      </c>
      <c r="V78" s="81">
        <f>VLOOKUP(X78,contoare!A:K,8,FALSE)</f>
        <v>614.42100000000005</v>
      </c>
      <c r="W78" s="81">
        <f>VLOOKUP(X78,contoare!A:K,9,FALSE)</f>
        <v>0</v>
      </c>
      <c r="X78" s="175" t="s">
        <v>64</v>
      </c>
      <c r="Y78" s="141">
        <v>250</v>
      </c>
      <c r="Z78" s="36">
        <f t="shared" si="4"/>
        <v>57548.500000000022</v>
      </c>
      <c r="AA78" s="36">
        <f t="shared" si="3"/>
        <v>0</v>
      </c>
      <c r="AB78" s="300">
        <f>Z78+Z80-Z79-Z81</f>
        <v>-4398.4299999999494</v>
      </c>
      <c r="AC78" s="337">
        <f>(AB83-AB78)/AB83</f>
        <v>1.0344218970104864</v>
      </c>
      <c r="AD78" s="370" t="s">
        <v>598</v>
      </c>
    </row>
    <row r="79" spans="1:30" x14ac:dyDescent="0.2">
      <c r="A79" s="356"/>
      <c r="B79" s="65" t="s">
        <v>441</v>
      </c>
      <c r="C79" s="217" t="s">
        <v>442</v>
      </c>
      <c r="D79" s="37">
        <f>VLOOKUP(N79,contoare!A:K,2,FALSE)</f>
        <v>45870</v>
      </c>
      <c r="E79" s="37">
        <f>VLOOKUP(N79,contoare!A:K,3,FALSE)</f>
        <v>45901</v>
      </c>
      <c r="F79" s="38">
        <f>VLOOKUP(N79,contoare!A:K,4,FALSE)</f>
        <v>1086.0260000000001</v>
      </c>
      <c r="G79" s="38">
        <f>VLOOKUP(N79,contoare!A:K,5,FALSE)</f>
        <v>3.5529999999999999</v>
      </c>
      <c r="H79" s="38">
        <f>VLOOKUP(N79,contoare!A:K,6,FALSE)</f>
        <v>22.902999999999999</v>
      </c>
      <c r="I79" s="38">
        <f>VLOOKUP(N79,contoare!A:K,7,FALSE)</f>
        <v>0.35899999999999999</v>
      </c>
      <c r="J79" s="38">
        <f>VLOOKUP(N79,contoare!A:K,8,FALSE)</f>
        <v>1333.48</v>
      </c>
      <c r="K79" s="38">
        <f>VLOOKUP(N79,contoare!A:K,9,FALSE)</f>
        <v>3.7450000000000001</v>
      </c>
      <c r="L79" s="38">
        <f>VLOOKUP(N79,contoare!A:K,10,FALSE)</f>
        <v>25.067</v>
      </c>
      <c r="M79" s="38">
        <f>VLOOKUP(N79,contoare!A:K,11,FALSE)</f>
        <v>1.7589999999999999</v>
      </c>
      <c r="N79" s="157" t="s">
        <v>65</v>
      </c>
      <c r="O79" s="158">
        <v>120</v>
      </c>
      <c r="P79" s="159">
        <f t="shared" si="41"/>
        <v>29694.479999999996</v>
      </c>
      <c r="Q79" s="159">
        <f t="shared" si="42"/>
        <v>23.04000000000002</v>
      </c>
      <c r="R79" s="283"/>
      <c r="S79" s="245"/>
      <c r="T79" s="38">
        <f>VLOOKUP(X79,contoare!A:K,4,FALSE)</f>
        <v>1086.0260000000001</v>
      </c>
      <c r="U79" s="38">
        <f>VLOOKUP(X79,contoare!A:K,5,FALSE)</f>
        <v>3.5529999999999999</v>
      </c>
      <c r="V79" s="38">
        <f>VLOOKUP(X79,contoare!A:K,8,FALSE)</f>
        <v>1333.48</v>
      </c>
      <c r="W79" s="38">
        <f>VLOOKUP(X79,contoare!A:K,9,FALSE)</f>
        <v>3.7450000000000001</v>
      </c>
      <c r="X79" s="169" t="s">
        <v>65</v>
      </c>
      <c r="Y79" s="158">
        <v>120</v>
      </c>
      <c r="Z79" s="159">
        <f t="shared" si="4"/>
        <v>29694.479999999996</v>
      </c>
      <c r="AA79" s="159">
        <f t="shared" si="3"/>
        <v>23.04000000000002</v>
      </c>
      <c r="AB79" s="283"/>
      <c r="AC79" s="292"/>
      <c r="AD79" s="371"/>
    </row>
    <row r="80" spans="1:30" x14ac:dyDescent="0.2">
      <c r="A80" s="356"/>
      <c r="B80" s="65" t="s">
        <v>239</v>
      </c>
      <c r="C80" s="217" t="s">
        <v>240</v>
      </c>
      <c r="D80" s="37">
        <f>VLOOKUP(N80,contoare!A:K,2,FALSE)</f>
        <v>45870</v>
      </c>
      <c r="E80" s="37">
        <f>VLOOKUP(N80,contoare!A:K,3,FALSE)</f>
        <v>45901</v>
      </c>
      <c r="F80" s="38">
        <f>VLOOKUP(N80,contoare!A:K,4,FALSE)</f>
        <v>621.75800000000004</v>
      </c>
      <c r="G80" s="38">
        <f>VLOOKUP(N80,contoare!A:K,5,FALSE)</f>
        <v>0</v>
      </c>
      <c r="H80" s="38">
        <f>VLOOKUP(N80,contoare!A:K,6,FALSE)</f>
        <v>162.9</v>
      </c>
      <c r="I80" s="38">
        <f>VLOOKUP(N80,contoare!A:K,7,FALSE)</f>
        <v>0.22800000000000001</v>
      </c>
      <c r="J80" s="38">
        <f>VLOOKUP(N80,contoare!A:K,8,FALSE)</f>
        <v>775.48099999999999</v>
      </c>
      <c r="K80" s="38">
        <f>VLOOKUP(N80,contoare!A:K,9,FALSE)</f>
        <v>0</v>
      </c>
      <c r="L80" s="38">
        <f>VLOOKUP(N80,contoare!A:K,10,FALSE)</f>
        <v>212.3</v>
      </c>
      <c r="M80" s="38">
        <f>VLOOKUP(N80,contoare!A:K,11,FALSE)</f>
        <v>0.22800000000000001</v>
      </c>
      <c r="N80" s="92" t="s">
        <v>58</v>
      </c>
      <c r="O80" s="77">
        <v>500</v>
      </c>
      <c r="P80" s="27">
        <f t="shared" si="41"/>
        <v>76861.499999999971</v>
      </c>
      <c r="Q80" s="27">
        <f t="shared" si="42"/>
        <v>0</v>
      </c>
      <c r="R80" s="283"/>
      <c r="S80" s="245"/>
      <c r="T80" s="38">
        <f>VLOOKUP(X80,contoare!A:K,4,FALSE)</f>
        <v>621.75800000000004</v>
      </c>
      <c r="U80" s="38">
        <f>VLOOKUP(X80,contoare!A:K,5,FALSE)</f>
        <v>0</v>
      </c>
      <c r="V80" s="38">
        <f>VLOOKUP(X80,contoare!A:K,8,FALSE)</f>
        <v>775.48099999999999</v>
      </c>
      <c r="W80" s="38">
        <f>VLOOKUP(X80,contoare!A:K,9,FALSE)</f>
        <v>0</v>
      </c>
      <c r="X80" s="95" t="s">
        <v>58</v>
      </c>
      <c r="Y80" s="77">
        <v>250</v>
      </c>
      <c r="Z80" s="27">
        <f t="shared" si="4"/>
        <v>38430.749999999985</v>
      </c>
      <c r="AA80" s="27">
        <f t="shared" ref="AA80:AA148" si="43">IF(LEFT(X80,3)&lt;&gt;"HXE",Q80,(W80-U80)*Y80)</f>
        <v>0</v>
      </c>
      <c r="AB80" s="283"/>
      <c r="AC80" s="292"/>
      <c r="AD80" s="371"/>
    </row>
    <row r="81" spans="1:30" x14ac:dyDescent="0.2">
      <c r="A81" s="356"/>
      <c r="B81" s="65" t="s">
        <v>443</v>
      </c>
      <c r="C81" s="217" t="s">
        <v>444</v>
      </c>
      <c r="D81" s="37">
        <f>VLOOKUP(N81,contoare!A:K,2,FALSE)</f>
        <v>45870</v>
      </c>
      <c r="E81" s="37">
        <f>VLOOKUP(N81,contoare!A:K,3,FALSE)</f>
        <v>45901</v>
      </c>
      <c r="F81" s="38">
        <f>VLOOKUP(N81,contoare!A:K,4,FALSE)</f>
        <v>1940.3920000000001</v>
      </c>
      <c r="G81" s="38">
        <f>VLOOKUP(N81,contoare!A:K,5,FALSE)</f>
        <v>2.7120000000000002</v>
      </c>
      <c r="H81" s="38">
        <f>VLOOKUP(N81,contoare!A:K,6,FALSE)</f>
        <v>33.033999999999999</v>
      </c>
      <c r="I81" s="38">
        <f>VLOOKUP(N81,contoare!A:K,7,FALSE)</f>
        <v>0.621</v>
      </c>
      <c r="J81" s="38">
        <f>VLOOKUP(N81,contoare!A:K,8,FALSE)</f>
        <v>2382.1619999999998</v>
      </c>
      <c r="K81" s="38">
        <f>VLOOKUP(N81,contoare!A:K,9,FALSE)</f>
        <v>3.0110000000000001</v>
      </c>
      <c r="L81" s="38">
        <f>VLOOKUP(N81,contoare!A:K,10,FALSE)</f>
        <v>36.454999999999998</v>
      </c>
      <c r="M81" s="38">
        <f>VLOOKUP(N81,contoare!A:K,11,FALSE)</f>
        <v>3.1110000000000002</v>
      </c>
      <c r="N81" s="157" t="s">
        <v>59</v>
      </c>
      <c r="O81" s="158">
        <v>160</v>
      </c>
      <c r="P81" s="159">
        <f t="shared" si="41"/>
        <v>70683.199999999953</v>
      </c>
      <c r="Q81" s="159">
        <f t="shared" si="42"/>
        <v>47.839999999999989</v>
      </c>
      <c r="R81" s="283"/>
      <c r="S81" s="245"/>
      <c r="T81" s="38">
        <f>VLOOKUP(X81,contoare!A:K,4,FALSE)</f>
        <v>1940.3920000000001</v>
      </c>
      <c r="U81" s="38">
        <f>VLOOKUP(X81,contoare!A:K,5,FALSE)</f>
        <v>2.7120000000000002</v>
      </c>
      <c r="V81" s="38">
        <f>VLOOKUP(X81,contoare!A:K,8,FALSE)</f>
        <v>2382.1619999999998</v>
      </c>
      <c r="W81" s="38">
        <f>VLOOKUP(X81,contoare!A:K,9,FALSE)</f>
        <v>3.0110000000000001</v>
      </c>
      <c r="X81" s="169" t="s">
        <v>59</v>
      </c>
      <c r="Y81" s="158">
        <v>160</v>
      </c>
      <c r="Z81" s="159">
        <f t="shared" si="4"/>
        <v>70683.199999999953</v>
      </c>
      <c r="AA81" s="159">
        <f t="shared" si="43"/>
        <v>47.839999999999989</v>
      </c>
      <c r="AB81" s="283"/>
      <c r="AC81" s="292"/>
      <c r="AD81" s="371"/>
    </row>
    <row r="82" spans="1:30" x14ac:dyDescent="0.2">
      <c r="A82" s="356"/>
      <c r="B82" s="65" t="s">
        <v>545</v>
      </c>
      <c r="C82" s="72" t="s">
        <v>545</v>
      </c>
      <c r="D82" s="37">
        <f>VLOOKUP(N82,contoare!A:K,2,FALSE)</f>
        <v>45870</v>
      </c>
      <c r="E82" s="37">
        <f>VLOOKUP(N82,contoare!A:K,3,FALSE)</f>
        <v>45901</v>
      </c>
      <c r="F82" s="38">
        <f>VLOOKUP(N82,contoare!A:K,4,FALSE)</f>
        <v>231.96600000000001</v>
      </c>
      <c r="G82" s="38">
        <f>VLOOKUP(N82,contoare!A:K,5,FALSE)</f>
        <v>4.0000000000000001E-3</v>
      </c>
      <c r="H82" s="38">
        <f>VLOOKUP(N82,contoare!A:K,6,FALSE)</f>
        <v>101.937</v>
      </c>
      <c r="I82" s="38">
        <f>VLOOKUP(N82,contoare!A:K,7,FALSE)</f>
        <v>4.0000000000000001E-3</v>
      </c>
      <c r="J82" s="38">
        <f>VLOOKUP(N82,contoare!A:K,8,FALSE)</f>
        <v>295.71800000000002</v>
      </c>
      <c r="K82" s="38">
        <f>VLOOKUP(N82,contoare!A:K,9,FALSE)</f>
        <v>3.1E-2</v>
      </c>
      <c r="L82" s="38">
        <f>VLOOKUP(N82,contoare!A:K,10,FALSE)</f>
        <v>137.32400000000001</v>
      </c>
      <c r="M82" s="38">
        <f>VLOOKUP(N82,contoare!A:K,11,FALSE)</f>
        <v>4.0000000000000001E-3</v>
      </c>
      <c r="N82" s="92" t="s">
        <v>68</v>
      </c>
      <c r="O82" s="26">
        <v>2000</v>
      </c>
      <c r="P82" s="27">
        <f t="shared" si="41"/>
        <v>127504.00000000001</v>
      </c>
      <c r="Q82" s="27">
        <f t="shared" si="42"/>
        <v>54</v>
      </c>
      <c r="R82" s="103">
        <f>P82</f>
        <v>127504.00000000001</v>
      </c>
      <c r="S82" s="245"/>
      <c r="T82" s="38">
        <f>VLOOKUP(X82,contoare!A:K,4,FALSE)</f>
        <v>231.96600000000001</v>
      </c>
      <c r="U82" s="38">
        <f>VLOOKUP(X82,contoare!A:K,5,FALSE)</f>
        <v>4.0000000000000001E-3</v>
      </c>
      <c r="V82" s="38">
        <f>VLOOKUP(X82,contoare!A:K,8,FALSE)</f>
        <v>295.71800000000002</v>
      </c>
      <c r="W82" s="38">
        <f>VLOOKUP(X82,contoare!A:K,9,FALSE)</f>
        <v>3.1E-2</v>
      </c>
      <c r="X82" s="92" t="s">
        <v>68</v>
      </c>
      <c r="Y82" s="26">
        <v>2000</v>
      </c>
      <c r="Z82" s="27">
        <f t="shared" si="4"/>
        <v>127504.00000000001</v>
      </c>
      <c r="AA82" s="27">
        <f t="shared" si="43"/>
        <v>54</v>
      </c>
      <c r="AB82" s="103">
        <f>Z82</f>
        <v>127504.00000000001</v>
      </c>
      <c r="AC82" s="292"/>
      <c r="AD82" s="371"/>
    </row>
    <row r="83" spans="1:30" ht="17" thickBot="1" x14ac:dyDescent="0.25">
      <c r="A83" s="356"/>
      <c r="B83" s="66" t="s">
        <v>582</v>
      </c>
      <c r="C83" s="219" t="s">
        <v>576</v>
      </c>
      <c r="D83" s="44" t="e">
        <f>VLOOKUP(N83,contoare!A:K,2,FALSE)</f>
        <v>#N/A</v>
      </c>
      <c r="E83" s="44" t="e">
        <f>VLOOKUP(N83,contoare!A:K,3,FALSE)</f>
        <v>#N/A</v>
      </c>
      <c r="F83" s="45" t="e">
        <f>VLOOKUP(N83,contoare!A:K,4,FALSE)</f>
        <v>#N/A</v>
      </c>
      <c r="G83" s="45" t="e">
        <f>VLOOKUP(N83,contoare!A:K,5,FALSE)</f>
        <v>#N/A</v>
      </c>
      <c r="H83" s="45" t="e">
        <f>VLOOKUP(N83,contoare!A:K,6,FALSE)</f>
        <v>#N/A</v>
      </c>
      <c r="I83" s="45" t="e">
        <f>VLOOKUP(N83,contoare!A:K,7,FALSE)</f>
        <v>#N/A</v>
      </c>
      <c r="J83" s="45" t="e">
        <f>VLOOKUP(N83,contoare!A:K,8,FALSE)</f>
        <v>#N/A</v>
      </c>
      <c r="K83" s="45" t="e">
        <f>VLOOKUP(N83,contoare!A:K,9,FALSE)</f>
        <v>#N/A</v>
      </c>
      <c r="L83" s="45" t="e">
        <f>VLOOKUP(N83,contoare!A:K,10,FALSE)</f>
        <v>#N/A</v>
      </c>
      <c r="M83" s="45" t="e">
        <f>VLOOKUP(N83,contoare!A:K,11,FALSE)</f>
        <v>#N/A</v>
      </c>
      <c r="N83" s="94" t="s">
        <v>577</v>
      </c>
      <c r="O83" s="43">
        <v>2000</v>
      </c>
      <c r="P83" s="46">
        <v>127780</v>
      </c>
      <c r="Q83" s="46">
        <v>0</v>
      </c>
      <c r="R83" s="104">
        <f>P83</f>
        <v>127780</v>
      </c>
      <c r="S83" s="246"/>
      <c r="T83" s="45" t="e">
        <f>VLOOKUP(X83,contoare!A:K,4,FALSE)</f>
        <v>#N/A</v>
      </c>
      <c r="U83" s="45" t="e">
        <f>VLOOKUP(X83,contoare!A:K,5,FALSE)</f>
        <v>#N/A</v>
      </c>
      <c r="V83" s="45" t="e">
        <f>VLOOKUP(X83,contoare!A:K,8,FALSE)</f>
        <v>#N/A</v>
      </c>
      <c r="W83" s="45" t="e">
        <f>VLOOKUP(X83,contoare!A:K,9,FALSE)</f>
        <v>#N/A</v>
      </c>
      <c r="X83" s="171" t="s">
        <v>577</v>
      </c>
      <c r="Y83" s="43">
        <v>2000</v>
      </c>
      <c r="Z83" s="46">
        <f t="shared" ref="Z83:Z151" si="44">IF(LEFT(N83,3)&lt;&gt;"HXE",P83,(V83-T83)*Y83)</f>
        <v>127780</v>
      </c>
      <c r="AA83" s="46">
        <f t="shared" si="43"/>
        <v>0</v>
      </c>
      <c r="AB83" s="104">
        <f>Z83</f>
        <v>127780</v>
      </c>
      <c r="AC83" s="338"/>
      <c r="AD83" s="371"/>
    </row>
    <row r="84" spans="1:30" x14ac:dyDescent="0.2">
      <c r="A84" s="356"/>
      <c r="B84" s="64" t="s">
        <v>241</v>
      </c>
      <c r="C84" s="216" t="s">
        <v>242</v>
      </c>
      <c r="D84" s="40">
        <f>VLOOKUP(N84,contoare!A:K,2,FALSE)</f>
        <v>45870</v>
      </c>
      <c r="E84" s="40">
        <f>VLOOKUP(N84,contoare!A:K,3,FALSE)</f>
        <v>45901</v>
      </c>
      <c r="F84" s="41">
        <f>VLOOKUP(N84,contoare!A:K,4,FALSE)</f>
        <v>1339.547</v>
      </c>
      <c r="G84" s="41">
        <f>VLOOKUP(N84,contoare!A:K,5,FALSE)</f>
        <v>488.02600000000001</v>
      </c>
      <c r="H84" s="41">
        <f>VLOOKUP(N84,contoare!A:K,6,FALSE)</f>
        <v>34.183999999999997</v>
      </c>
      <c r="I84" s="41">
        <f>VLOOKUP(N84,contoare!A:K,7,FALSE)</f>
        <v>326.76100000000002</v>
      </c>
      <c r="J84" s="41">
        <f>VLOOKUP(N84,contoare!A:K,8,FALSE)</f>
        <v>1779.12</v>
      </c>
      <c r="K84" s="41">
        <f>VLOOKUP(N84,contoare!A:K,9,FALSE)</f>
        <v>488.029</v>
      </c>
      <c r="L84" s="41">
        <f>VLOOKUP(N84,contoare!A:K,10,FALSE)</f>
        <v>86.484999999999999</v>
      </c>
      <c r="M84" s="41">
        <f>VLOOKUP(N84,contoare!A:K,11,FALSE)</f>
        <v>328.06400000000002</v>
      </c>
      <c r="N84" s="91" t="s">
        <v>63</v>
      </c>
      <c r="O84" s="39">
        <v>500</v>
      </c>
      <c r="P84" s="42">
        <f t="shared" si="41"/>
        <v>219786.49999999994</v>
      </c>
      <c r="Q84" s="42">
        <f t="shared" si="42"/>
        <v>1.4999999999929514</v>
      </c>
      <c r="R84" s="282" t="e">
        <f>P84+P86</f>
        <v>#N/A</v>
      </c>
      <c r="S84" s="282" t="e">
        <f>(R88-R84)/R88</f>
        <v>#N/A</v>
      </c>
      <c r="T84" s="41">
        <f>VLOOKUP(X84,contoare!A:K,4,FALSE)</f>
        <v>1339.547</v>
      </c>
      <c r="U84" s="41">
        <f>VLOOKUP(X84,contoare!A:K,5,FALSE)</f>
        <v>488.02600000000001</v>
      </c>
      <c r="V84" s="41">
        <f>VLOOKUP(X84,contoare!A:K,8,FALSE)</f>
        <v>1779.12</v>
      </c>
      <c r="W84" s="41">
        <f>VLOOKUP(X84,contoare!A:K,9,FALSE)</f>
        <v>488.029</v>
      </c>
      <c r="X84" s="173" t="s">
        <v>63</v>
      </c>
      <c r="Y84" s="39">
        <v>500</v>
      </c>
      <c r="Z84" s="42">
        <f t="shared" si="44"/>
        <v>219786.49999999994</v>
      </c>
      <c r="AA84" s="42">
        <f t="shared" si="43"/>
        <v>1.4999999999929514</v>
      </c>
      <c r="AB84" s="242" t="e">
        <f>Z84+Z86-AA84-AA86</f>
        <v>#N/A</v>
      </c>
      <c r="AC84" s="334" t="e">
        <f>(Z88-AB84)/Z88</f>
        <v>#N/A</v>
      </c>
      <c r="AD84" s="371"/>
    </row>
    <row r="85" spans="1:30" x14ac:dyDescent="0.2">
      <c r="A85" s="356"/>
      <c r="B85" s="65" t="s">
        <v>445</v>
      </c>
      <c r="C85" s="217" t="s">
        <v>446</v>
      </c>
      <c r="D85" s="37">
        <f>VLOOKUP(N85,contoare!A:K,2,FALSE)</f>
        <v>45870</v>
      </c>
      <c r="E85" s="37">
        <f>VLOOKUP(N85,contoare!A:K,3,FALSE)</f>
        <v>45901</v>
      </c>
      <c r="F85" s="38">
        <f>VLOOKUP(N85,contoare!A:K,4,FALSE)</f>
        <v>1618.269</v>
      </c>
      <c r="G85" s="38">
        <f>VLOOKUP(N85,contoare!A:K,5,FALSE)</f>
        <v>1.752</v>
      </c>
      <c r="H85" s="38">
        <f>VLOOKUP(N85,contoare!A:K,6,FALSE)</f>
        <v>24.245000000000001</v>
      </c>
      <c r="I85" s="38">
        <f>VLOOKUP(N85,contoare!A:K,7,FALSE)</f>
        <v>0.42699999999999999</v>
      </c>
      <c r="J85" s="38">
        <f>VLOOKUP(N85,contoare!A:K,8,FALSE)</f>
        <v>2002.732</v>
      </c>
      <c r="K85" s="38">
        <f>VLOOKUP(N85,contoare!A:K,9,FALSE)</f>
        <v>1.9990000000000001</v>
      </c>
      <c r="L85" s="38">
        <f>VLOOKUP(N85,contoare!A:K,10,FALSE)</f>
        <v>26.885999999999999</v>
      </c>
      <c r="M85" s="38">
        <f>VLOOKUP(N85,contoare!A:K,11,FALSE)</f>
        <v>2.2240000000000002</v>
      </c>
      <c r="N85" s="157" t="s">
        <v>66</v>
      </c>
      <c r="O85" s="158">
        <v>400</v>
      </c>
      <c r="P85" s="159">
        <f t="shared" si="41"/>
        <v>153785.19999999998</v>
      </c>
      <c r="Q85" s="159">
        <f t="shared" si="42"/>
        <v>98.80000000000004</v>
      </c>
      <c r="R85" s="283"/>
      <c r="S85" s="283"/>
      <c r="T85" s="38">
        <f>VLOOKUP(X85,contoare!A:K,4,FALSE)</f>
        <v>1618.269</v>
      </c>
      <c r="U85" s="38">
        <f>VLOOKUP(X85,contoare!A:K,5,FALSE)</f>
        <v>1.752</v>
      </c>
      <c r="V85" s="38">
        <f>VLOOKUP(X85,contoare!A:K,8,FALSE)</f>
        <v>2002.732</v>
      </c>
      <c r="W85" s="38">
        <f>VLOOKUP(X85,contoare!A:K,9,FALSE)</f>
        <v>1.9990000000000001</v>
      </c>
      <c r="X85" s="169" t="s">
        <v>66</v>
      </c>
      <c r="Y85" s="158">
        <v>400</v>
      </c>
      <c r="Z85" s="159">
        <f t="shared" si="44"/>
        <v>153785.19999999998</v>
      </c>
      <c r="AA85" s="159">
        <f t="shared" si="43"/>
        <v>98.80000000000004</v>
      </c>
      <c r="AB85" s="243"/>
      <c r="AC85" s="335"/>
      <c r="AD85" s="371"/>
    </row>
    <row r="86" spans="1:30" x14ac:dyDescent="0.2">
      <c r="A86" s="356"/>
      <c r="B86" s="160" t="s">
        <v>243</v>
      </c>
      <c r="C86" s="218" t="s">
        <v>244</v>
      </c>
      <c r="D86" s="161" t="e">
        <f>VLOOKUP(N86,contoare!A:K,2,FALSE)</f>
        <v>#N/A</v>
      </c>
      <c r="E86" s="161" t="e">
        <f>VLOOKUP(N86,contoare!A:K,3,FALSE)</f>
        <v>#N/A</v>
      </c>
      <c r="F86" s="162" t="e">
        <f>VLOOKUP(N86,contoare!A:K,4,FALSE)</f>
        <v>#N/A</v>
      </c>
      <c r="G86" s="162" t="e">
        <f>VLOOKUP(N86,contoare!A:K,5,FALSE)</f>
        <v>#N/A</v>
      </c>
      <c r="H86" s="162" t="e">
        <f>VLOOKUP(N86,contoare!A:K,6,FALSE)</f>
        <v>#N/A</v>
      </c>
      <c r="I86" s="162" t="e">
        <f>VLOOKUP(N86,contoare!A:K,7,FALSE)</f>
        <v>#N/A</v>
      </c>
      <c r="J86" s="162" t="e">
        <f>VLOOKUP(N86,contoare!A:K,8,FALSE)</f>
        <v>#N/A</v>
      </c>
      <c r="K86" s="162" t="e">
        <f>VLOOKUP(N86,contoare!A:K,9,FALSE)</f>
        <v>#N/A</v>
      </c>
      <c r="L86" s="162" t="e">
        <f>VLOOKUP(N86,contoare!A:K,10,FALSE)</f>
        <v>#N/A</v>
      </c>
      <c r="M86" s="162" t="e">
        <f>VLOOKUP(N86,contoare!A:K,11,FALSE)</f>
        <v>#N/A</v>
      </c>
      <c r="N86" s="167"/>
      <c r="O86" s="162">
        <v>500</v>
      </c>
      <c r="P86" s="164" t="e">
        <f t="shared" si="41"/>
        <v>#N/A</v>
      </c>
      <c r="Q86" s="164" t="e">
        <f t="shared" si="42"/>
        <v>#N/A</v>
      </c>
      <c r="R86" s="283"/>
      <c r="S86" s="283"/>
      <c r="T86" s="38" t="e">
        <f>VLOOKUP(X86,contoare!A:K,4,FALSE)</f>
        <v>#N/A</v>
      </c>
      <c r="U86" s="38" t="e">
        <f>VLOOKUP(X86,contoare!A:K,5,FALSE)</f>
        <v>#N/A</v>
      </c>
      <c r="V86" s="38" t="e">
        <f>VLOOKUP(X86,contoare!A:K,8,FALSE)</f>
        <v>#N/A</v>
      </c>
      <c r="W86" s="38" t="e">
        <f>VLOOKUP(X86,contoare!A:K,9,FALSE)</f>
        <v>#N/A</v>
      </c>
      <c r="X86" s="163" t="s">
        <v>575</v>
      </c>
      <c r="Y86" s="162">
        <v>500</v>
      </c>
      <c r="Z86" s="164" t="e">
        <f t="shared" si="44"/>
        <v>#N/A</v>
      </c>
      <c r="AA86" s="164" t="e">
        <f t="shared" si="43"/>
        <v>#N/A</v>
      </c>
      <c r="AB86" s="243"/>
      <c r="AC86" s="335"/>
      <c r="AD86" s="371"/>
    </row>
    <row r="87" spans="1:30" x14ac:dyDescent="0.2">
      <c r="A87" s="356"/>
      <c r="B87" s="65" t="s">
        <v>546</v>
      </c>
      <c r="C87" s="72" t="s">
        <v>546</v>
      </c>
      <c r="D87" s="37">
        <f>VLOOKUP(N87,contoare!A:K,2,FALSE)</f>
        <v>45870</v>
      </c>
      <c r="E87" s="37">
        <f>VLOOKUP(N87,contoare!A:K,3,FALSE)</f>
        <v>45901</v>
      </c>
      <c r="F87" s="38">
        <f>VLOOKUP(N87,contoare!A:K,4,FALSE)</f>
        <v>58.031999999999996</v>
      </c>
      <c r="G87" s="38">
        <f>VLOOKUP(N87,contoare!A:K,5,FALSE)</f>
        <v>0</v>
      </c>
      <c r="H87" s="38">
        <f>VLOOKUP(N87,contoare!A:K,6,FALSE)</f>
        <v>5.3869999999999996</v>
      </c>
      <c r="I87" s="38">
        <f>VLOOKUP(N87,contoare!A:K,7,FALSE)</f>
        <v>7.0999999999999994E-2</v>
      </c>
      <c r="J87" s="38">
        <f>VLOOKUP(N87,contoare!A:K,8,FALSE)</f>
        <v>72.120999999999995</v>
      </c>
      <c r="K87" s="38">
        <f>VLOOKUP(N87,contoare!A:K,9,FALSE)</f>
        <v>0</v>
      </c>
      <c r="L87" s="38">
        <f>VLOOKUP(N87,contoare!A:K,10,FALSE)</f>
        <v>7.9379999999999997</v>
      </c>
      <c r="M87" s="38">
        <f>VLOOKUP(N87,contoare!A:K,11,FALSE)</f>
        <v>7.0999999999999994E-2</v>
      </c>
      <c r="N87" s="92" t="s">
        <v>67</v>
      </c>
      <c r="O87" s="26">
        <v>16000</v>
      </c>
      <c r="P87" s="27">
        <f t="shared" si="41"/>
        <v>225423.99999999997</v>
      </c>
      <c r="Q87" s="27">
        <f t="shared" si="42"/>
        <v>0</v>
      </c>
      <c r="R87" s="103">
        <f>P87</f>
        <v>225423.99999999997</v>
      </c>
      <c r="S87" s="283"/>
      <c r="T87" s="38">
        <f>VLOOKUP(X87,contoare!A:K,4,FALSE)</f>
        <v>58.031999999999996</v>
      </c>
      <c r="U87" s="38">
        <f>VLOOKUP(X87,contoare!A:K,5,FALSE)</f>
        <v>0</v>
      </c>
      <c r="V87" s="38">
        <f>VLOOKUP(X87,contoare!A:K,8,FALSE)</f>
        <v>72.120999999999995</v>
      </c>
      <c r="W87" s="38">
        <f>VLOOKUP(X87,contoare!A:K,9,FALSE)</f>
        <v>0</v>
      </c>
      <c r="X87" s="92" t="s">
        <v>67</v>
      </c>
      <c r="Y87" s="26">
        <v>16000</v>
      </c>
      <c r="Z87" s="27">
        <f t="shared" si="44"/>
        <v>225423.99999999997</v>
      </c>
      <c r="AA87" s="27">
        <f t="shared" si="43"/>
        <v>0</v>
      </c>
      <c r="AB87" s="103">
        <f>Z87</f>
        <v>225423.99999999997</v>
      </c>
      <c r="AC87" s="335"/>
      <c r="AD87" s="371"/>
    </row>
    <row r="88" spans="1:30" ht="17" thickBot="1" x14ac:dyDescent="0.25">
      <c r="A88" s="356"/>
      <c r="B88" s="66" t="s">
        <v>583</v>
      </c>
      <c r="C88" s="219" t="s">
        <v>578</v>
      </c>
      <c r="D88" s="44" t="e">
        <f>VLOOKUP(N88,contoare!A:K,2,FALSE)</f>
        <v>#N/A</v>
      </c>
      <c r="E88" s="44" t="e">
        <f>VLOOKUP(N88,contoare!A:K,3,FALSE)</f>
        <v>#N/A</v>
      </c>
      <c r="F88" s="45" t="e">
        <f>VLOOKUP(N88,contoare!A:K,4,FALSE)</f>
        <v>#N/A</v>
      </c>
      <c r="G88" s="45" t="e">
        <f>VLOOKUP(N88,contoare!A:K,5,FALSE)</f>
        <v>#N/A</v>
      </c>
      <c r="H88" s="45" t="e">
        <f>VLOOKUP(N88,contoare!A:K,6,FALSE)</f>
        <v>#N/A</v>
      </c>
      <c r="I88" s="45" t="e">
        <f>VLOOKUP(N88,contoare!A:K,7,FALSE)</f>
        <v>#N/A</v>
      </c>
      <c r="J88" s="45" t="e">
        <f>VLOOKUP(N88,contoare!A:K,8,FALSE)</f>
        <v>#N/A</v>
      </c>
      <c r="K88" s="45" t="e">
        <f>VLOOKUP(N88,contoare!A:K,9,FALSE)</f>
        <v>#N/A</v>
      </c>
      <c r="L88" s="45" t="e">
        <f>VLOOKUP(N88,contoare!A:K,10,FALSE)</f>
        <v>#N/A</v>
      </c>
      <c r="M88" s="45" t="e">
        <f>VLOOKUP(N88,contoare!A:K,11,FALSE)</f>
        <v>#N/A</v>
      </c>
      <c r="N88" s="94" t="s">
        <v>579</v>
      </c>
      <c r="O88" s="43">
        <v>16000</v>
      </c>
      <c r="P88" s="46">
        <v>225440</v>
      </c>
      <c r="Q88" s="46">
        <v>0</v>
      </c>
      <c r="R88" s="104">
        <f>P88</f>
        <v>225440</v>
      </c>
      <c r="S88" s="346"/>
      <c r="T88" s="45" t="e">
        <f>VLOOKUP(X88,contoare!A:K,4,FALSE)</f>
        <v>#N/A</v>
      </c>
      <c r="U88" s="45" t="e">
        <f>VLOOKUP(X88,contoare!A:K,5,FALSE)</f>
        <v>#N/A</v>
      </c>
      <c r="V88" s="45" t="e">
        <f>VLOOKUP(X88,contoare!A:K,8,FALSE)</f>
        <v>#N/A</v>
      </c>
      <c r="W88" s="45" t="e">
        <f>VLOOKUP(X88,contoare!A:K,9,FALSE)</f>
        <v>#N/A</v>
      </c>
      <c r="X88" s="171" t="s">
        <v>579</v>
      </c>
      <c r="Y88" s="43">
        <v>16000</v>
      </c>
      <c r="Z88" s="46">
        <f t="shared" si="44"/>
        <v>225440</v>
      </c>
      <c r="AA88" s="46">
        <f t="shared" si="43"/>
        <v>0</v>
      </c>
      <c r="AB88" s="104">
        <f>Z88</f>
        <v>225440</v>
      </c>
      <c r="AC88" s="336"/>
      <c r="AD88" s="371"/>
    </row>
    <row r="89" spans="1:30" x14ac:dyDescent="0.2">
      <c r="A89" s="240"/>
      <c r="B89" s="35" t="s">
        <v>245</v>
      </c>
      <c r="C89" s="222" t="s">
        <v>246</v>
      </c>
      <c r="D89" s="80">
        <f>VLOOKUP(N89,contoare!A:K,2,FALSE)</f>
        <v>45870</v>
      </c>
      <c r="E89" s="80">
        <f>VLOOKUP(N89,contoare!A:K,3,FALSE)</f>
        <v>45901</v>
      </c>
      <c r="F89" s="81">
        <f>VLOOKUP(N89,contoare!A:K,4,FALSE)</f>
        <v>1297.1980000000001</v>
      </c>
      <c r="G89" s="81">
        <f>VLOOKUP(N89,contoare!A:K,5,FALSE)</f>
        <v>287.31799999999998</v>
      </c>
      <c r="H89" s="81">
        <f>VLOOKUP(N89,contoare!A:K,6,FALSE)</f>
        <v>334.15199999999999</v>
      </c>
      <c r="I89" s="81">
        <f>VLOOKUP(N89,contoare!A:K,7,FALSE)</f>
        <v>0.28799999999999998</v>
      </c>
      <c r="J89" s="81">
        <f>VLOOKUP(N89,contoare!A:K,8,FALSE)</f>
        <v>1477.626</v>
      </c>
      <c r="K89" s="81">
        <f>VLOOKUP(N89,contoare!A:K,9,FALSE)</f>
        <v>337.23</v>
      </c>
      <c r="L89" s="81">
        <f>VLOOKUP(N89,contoare!A:K,10,FALSE)</f>
        <v>434.43599999999998</v>
      </c>
      <c r="M89" s="81">
        <f>VLOOKUP(N89,contoare!A:K,11,FALSE)</f>
        <v>0.28799999999999998</v>
      </c>
      <c r="N89" s="98" t="s">
        <v>60</v>
      </c>
      <c r="O89" s="35">
        <v>500</v>
      </c>
      <c r="P89" s="36">
        <f t="shared" si="41"/>
        <v>90213.999999999942</v>
      </c>
      <c r="Q89" s="36">
        <f t="shared" si="42"/>
        <v>24956.000000000018</v>
      </c>
      <c r="R89" s="302">
        <f>P89+P91-Q89</f>
        <v>170363.99999999991</v>
      </c>
      <c r="S89" s="317">
        <f>(P93-R89)/P93</f>
        <v>3.2110717207527083E-2</v>
      </c>
      <c r="T89" s="81">
        <f>VLOOKUP(X89,contoare!A:K,4,FALSE)</f>
        <v>1297.1980000000001</v>
      </c>
      <c r="U89" s="81">
        <f>VLOOKUP(X89,contoare!A:K,5,FALSE)</f>
        <v>287.31799999999998</v>
      </c>
      <c r="V89" s="81">
        <f>VLOOKUP(X89,contoare!A:K,8,FALSE)</f>
        <v>1477.626</v>
      </c>
      <c r="W89" s="81">
        <f>VLOOKUP(X89,contoare!A:K,9,FALSE)</f>
        <v>337.23</v>
      </c>
      <c r="X89" s="175" t="s">
        <v>60</v>
      </c>
      <c r="Y89" s="35">
        <v>500</v>
      </c>
      <c r="Z89" s="36">
        <f t="shared" si="44"/>
        <v>90213.999999999942</v>
      </c>
      <c r="AA89" s="36">
        <f t="shared" si="43"/>
        <v>24956.000000000018</v>
      </c>
      <c r="AB89" s="302">
        <f>Z89+Z91-AA89-AA91</f>
        <v>170363.99999999991</v>
      </c>
      <c r="AC89" s="317">
        <f>(AB93-AB89)/AB93</f>
        <v>3.2110717207527083E-2</v>
      </c>
      <c r="AD89" s="248"/>
    </row>
    <row r="90" spans="1:30" x14ac:dyDescent="0.2">
      <c r="A90" s="240"/>
      <c r="B90" s="26" t="s">
        <v>447</v>
      </c>
      <c r="C90" s="217" t="s">
        <v>448</v>
      </c>
      <c r="D90" s="37">
        <f>VLOOKUP(N90,contoare!A:K,2,FALSE)</f>
        <v>45870</v>
      </c>
      <c r="E90" s="37">
        <f>VLOOKUP(N90,contoare!A:K,3,FALSE)</f>
        <v>45901</v>
      </c>
      <c r="F90" s="38">
        <f>VLOOKUP(N90,contoare!A:K,4,FALSE)</f>
        <v>1.3340000000000001</v>
      </c>
      <c r="G90" s="38">
        <f>VLOOKUP(N90,contoare!A:K,5,FALSE)</f>
        <v>1156.126</v>
      </c>
      <c r="H90" s="38">
        <f>VLOOKUP(N90,contoare!A:K,6,FALSE)</f>
        <v>0.443</v>
      </c>
      <c r="I90" s="38">
        <f>VLOOKUP(N90,contoare!A:K,7,FALSE)</f>
        <v>36.572000000000003</v>
      </c>
      <c r="J90" s="38">
        <f>VLOOKUP(N90,contoare!A:K,8,FALSE)</f>
        <v>1.4810000000000001</v>
      </c>
      <c r="K90" s="38">
        <f>VLOOKUP(N90,contoare!A:K,9,FALSE)</f>
        <v>1378.2360000000001</v>
      </c>
      <c r="L90" s="38">
        <f>VLOOKUP(N90,contoare!A:K,10,FALSE)</f>
        <v>0.46</v>
      </c>
      <c r="M90" s="38">
        <f>VLOOKUP(N90,contoare!A:K,11,FALSE)</f>
        <v>40.670999999999999</v>
      </c>
      <c r="N90" s="92" t="s">
        <v>62</v>
      </c>
      <c r="O90" s="26">
        <v>400</v>
      </c>
      <c r="P90" s="27">
        <f t="shared" si="41"/>
        <v>58.800000000000011</v>
      </c>
      <c r="Q90" s="27">
        <f t="shared" si="42"/>
        <v>88844.000000000058</v>
      </c>
      <c r="R90" s="303"/>
      <c r="S90" s="271"/>
      <c r="T90" s="38">
        <f>VLOOKUP(X90,contoare!A:K,4,FALSE)</f>
        <v>1.3340000000000001</v>
      </c>
      <c r="U90" s="38">
        <f>VLOOKUP(X90,contoare!A:K,5,FALSE)</f>
        <v>1156.126</v>
      </c>
      <c r="V90" s="38">
        <f>VLOOKUP(X90,contoare!A:K,8,FALSE)</f>
        <v>1.4810000000000001</v>
      </c>
      <c r="W90" s="38">
        <f>VLOOKUP(X90,contoare!A:K,9,FALSE)</f>
        <v>1378.2360000000001</v>
      </c>
      <c r="X90" s="95" t="s">
        <v>62</v>
      </c>
      <c r="Y90" s="26">
        <v>400</v>
      </c>
      <c r="Z90" s="27">
        <f t="shared" si="44"/>
        <v>58.800000000000011</v>
      </c>
      <c r="AA90" s="27">
        <f t="shared" si="43"/>
        <v>88844.000000000058</v>
      </c>
      <c r="AB90" s="303"/>
      <c r="AC90" s="271"/>
      <c r="AD90" s="248"/>
    </row>
    <row r="91" spans="1:30" x14ac:dyDescent="0.2">
      <c r="A91" s="240"/>
      <c r="B91" s="26" t="s">
        <v>247</v>
      </c>
      <c r="C91" s="217" t="s">
        <v>248</v>
      </c>
      <c r="D91" s="37">
        <f>VLOOKUP(N91,contoare!A:K,2,FALSE)</f>
        <v>45870</v>
      </c>
      <c r="E91" s="37">
        <f>VLOOKUP(N91,contoare!A:K,3,FALSE)</f>
        <v>45901</v>
      </c>
      <c r="F91" s="38">
        <f>VLOOKUP(N91,contoare!A:K,4,FALSE)</f>
        <v>1746.258</v>
      </c>
      <c r="G91" s="38">
        <f>VLOOKUP(N91,contoare!A:K,5,FALSE)</f>
        <v>0</v>
      </c>
      <c r="H91" s="38">
        <f>VLOOKUP(N91,contoare!A:K,6,FALSE)</f>
        <v>285.32600000000002</v>
      </c>
      <c r="I91" s="38">
        <f>VLOOKUP(N91,contoare!A:K,7,FALSE)</f>
        <v>0.113</v>
      </c>
      <c r="J91" s="38">
        <f>VLOOKUP(N91,contoare!A:K,8,FALSE)</f>
        <v>1956.47</v>
      </c>
      <c r="K91" s="38">
        <f>VLOOKUP(N91,contoare!A:K,9,FALSE)</f>
        <v>0</v>
      </c>
      <c r="L91" s="38">
        <f>VLOOKUP(N91,contoare!A:K,10,FALSE)</f>
        <v>321.06900000000002</v>
      </c>
      <c r="M91" s="38">
        <f>VLOOKUP(N91,contoare!A:K,11,FALSE)</f>
        <v>0.155</v>
      </c>
      <c r="N91" s="92" t="s">
        <v>61</v>
      </c>
      <c r="O91" s="26">
        <v>500</v>
      </c>
      <c r="P91" s="27">
        <f t="shared" si="41"/>
        <v>105106</v>
      </c>
      <c r="Q91" s="27">
        <f t="shared" si="42"/>
        <v>0</v>
      </c>
      <c r="R91" s="303"/>
      <c r="S91" s="271"/>
      <c r="T91" s="38">
        <f>VLOOKUP(X91,contoare!A:K,4,FALSE)</f>
        <v>1746.258</v>
      </c>
      <c r="U91" s="38">
        <f>VLOOKUP(X91,contoare!A:K,5,FALSE)</f>
        <v>0</v>
      </c>
      <c r="V91" s="38">
        <f>VLOOKUP(X91,contoare!A:K,8,FALSE)</f>
        <v>1956.47</v>
      </c>
      <c r="W91" s="38">
        <f>VLOOKUP(X91,contoare!A:K,9,FALSE)</f>
        <v>0</v>
      </c>
      <c r="X91" s="95" t="s">
        <v>61</v>
      </c>
      <c r="Y91" s="26">
        <v>500</v>
      </c>
      <c r="Z91" s="27">
        <f t="shared" si="44"/>
        <v>105106</v>
      </c>
      <c r="AA91" s="27">
        <f t="shared" si="43"/>
        <v>0</v>
      </c>
      <c r="AB91" s="303"/>
      <c r="AC91" s="271"/>
      <c r="AD91" s="248"/>
    </row>
    <row r="92" spans="1:30" x14ac:dyDescent="0.2">
      <c r="A92" s="240"/>
      <c r="B92" s="26" t="s">
        <v>560</v>
      </c>
      <c r="C92" s="72" t="s">
        <v>560</v>
      </c>
      <c r="D92" s="37">
        <f>VLOOKUP(N92,contoare!A:K,2,FALSE)</f>
        <v>45870</v>
      </c>
      <c r="E92" s="37">
        <f>VLOOKUP(N92,contoare!A:K,3,FALSE)</f>
        <v>45901</v>
      </c>
      <c r="F92" s="38">
        <f>VLOOKUP(N92,contoare!A:K,4,FALSE)</f>
        <v>421.10700000000003</v>
      </c>
      <c r="G92" s="38">
        <f>VLOOKUP(N92,contoare!A:K,5,FALSE)</f>
        <v>1E-3</v>
      </c>
      <c r="H92" s="38">
        <f>VLOOKUP(N92,contoare!A:K,6,FALSE)</f>
        <v>172.55099999999999</v>
      </c>
      <c r="I92" s="38">
        <f>VLOOKUP(N92,contoare!A:K,7,FALSE)</f>
        <v>4.0000000000000001E-3</v>
      </c>
      <c r="J92" s="38">
        <f>VLOOKUP(N92,contoare!A:K,8,FALSE)</f>
        <v>531.279</v>
      </c>
      <c r="K92" s="38">
        <f>VLOOKUP(N92,contoare!A:K,9,FALSE)</f>
        <v>1E-3</v>
      </c>
      <c r="L92" s="38">
        <f>VLOOKUP(N92,contoare!A:K,10,FALSE)</f>
        <v>229.767</v>
      </c>
      <c r="M92" s="38">
        <f>VLOOKUP(N92,contoare!A:K,11,FALSE)</f>
        <v>4.0000000000000001E-3</v>
      </c>
      <c r="N92" s="92" t="s">
        <v>69</v>
      </c>
      <c r="O92" s="26">
        <v>1600</v>
      </c>
      <c r="P92" s="27">
        <f t="shared" si="41"/>
        <v>176275.19999999995</v>
      </c>
      <c r="Q92" s="27">
        <f t="shared" si="42"/>
        <v>0</v>
      </c>
      <c r="R92" s="103">
        <f>P92</f>
        <v>176275.19999999995</v>
      </c>
      <c r="S92" s="271"/>
      <c r="T92" s="38">
        <f>VLOOKUP(X92,contoare!A:K,4,FALSE)</f>
        <v>421.10700000000003</v>
      </c>
      <c r="U92" s="38">
        <f>VLOOKUP(X92,contoare!A:K,5,FALSE)</f>
        <v>1E-3</v>
      </c>
      <c r="V92" s="38">
        <f>VLOOKUP(X92,contoare!A:K,8,FALSE)</f>
        <v>531.279</v>
      </c>
      <c r="W92" s="38">
        <f>VLOOKUP(X92,contoare!A:K,9,FALSE)</f>
        <v>1E-3</v>
      </c>
      <c r="X92" s="92" t="s">
        <v>69</v>
      </c>
      <c r="Y92" s="26">
        <v>1600</v>
      </c>
      <c r="Z92" s="27">
        <f t="shared" si="44"/>
        <v>176275.19999999995</v>
      </c>
      <c r="AA92" s="27">
        <f t="shared" si="43"/>
        <v>0</v>
      </c>
      <c r="AB92" s="103">
        <f>Z92</f>
        <v>176275.19999999995</v>
      </c>
      <c r="AC92" s="271"/>
      <c r="AD92" s="248"/>
    </row>
    <row r="93" spans="1:30" ht="17" thickBot="1" x14ac:dyDescent="0.25">
      <c r="A93" s="345"/>
      <c r="B93" s="49" t="s">
        <v>584</v>
      </c>
      <c r="C93" s="221" t="s">
        <v>580</v>
      </c>
      <c r="D93" s="51" t="e">
        <f>VLOOKUP(N93,contoare!A:K,2,FALSE)</f>
        <v>#N/A</v>
      </c>
      <c r="E93" s="51" t="e">
        <f>VLOOKUP(N93,contoare!A:K,3,FALSE)</f>
        <v>#N/A</v>
      </c>
      <c r="F93" s="52" t="e">
        <f>VLOOKUP(N93,contoare!A:K,4,FALSE)</f>
        <v>#N/A</v>
      </c>
      <c r="G93" s="52" t="e">
        <f>VLOOKUP(N93,contoare!A:K,5,FALSE)</f>
        <v>#N/A</v>
      </c>
      <c r="H93" s="52" t="e">
        <f>VLOOKUP(N93,contoare!A:K,6,FALSE)</f>
        <v>#N/A</v>
      </c>
      <c r="I93" s="52" t="e">
        <f>VLOOKUP(N93,contoare!A:K,7,FALSE)</f>
        <v>#N/A</v>
      </c>
      <c r="J93" s="52" t="e">
        <f>VLOOKUP(N93,contoare!A:K,8,FALSE)</f>
        <v>#N/A</v>
      </c>
      <c r="K93" s="52" t="e">
        <f>VLOOKUP(N93,contoare!A:K,9,FALSE)</f>
        <v>#N/A</v>
      </c>
      <c r="L93" s="52" t="e">
        <f>VLOOKUP(N93,contoare!A:K,10,FALSE)</f>
        <v>#N/A</v>
      </c>
      <c r="M93" s="52" t="e">
        <f>VLOOKUP(N93,contoare!A:K,11,FALSE)</f>
        <v>#N/A</v>
      </c>
      <c r="N93" s="93" t="s">
        <v>581</v>
      </c>
      <c r="O93" s="49">
        <v>1600</v>
      </c>
      <c r="P93" s="50">
        <v>176016</v>
      </c>
      <c r="Q93" s="50">
        <v>0</v>
      </c>
      <c r="R93" s="106">
        <f>P93</f>
        <v>176016</v>
      </c>
      <c r="S93" s="272"/>
      <c r="T93" s="52" t="e">
        <f>VLOOKUP(X93,contoare!A:K,4,FALSE)</f>
        <v>#N/A</v>
      </c>
      <c r="U93" s="52" t="e">
        <f>VLOOKUP(X93,contoare!A:K,5,FALSE)</f>
        <v>#N/A</v>
      </c>
      <c r="V93" s="52" t="e">
        <f>VLOOKUP(X93,contoare!A:K,8,FALSE)</f>
        <v>#N/A</v>
      </c>
      <c r="W93" s="52" t="e">
        <f>VLOOKUP(X93,contoare!A:K,9,FALSE)</f>
        <v>#N/A</v>
      </c>
      <c r="X93" s="174" t="s">
        <v>581</v>
      </c>
      <c r="Y93" s="49">
        <v>1600</v>
      </c>
      <c r="Z93" s="50">
        <f t="shared" si="44"/>
        <v>176016</v>
      </c>
      <c r="AA93" s="50">
        <f t="shared" si="43"/>
        <v>0</v>
      </c>
      <c r="AB93" s="106">
        <f>Z93</f>
        <v>176016</v>
      </c>
      <c r="AC93" s="272"/>
      <c r="AD93" s="372"/>
    </row>
    <row r="94" spans="1:30" x14ac:dyDescent="0.2">
      <c r="A94" s="254" t="s">
        <v>729</v>
      </c>
      <c r="B94" s="39" t="s">
        <v>257</v>
      </c>
      <c r="C94" s="216" t="s">
        <v>258</v>
      </c>
      <c r="D94" s="40">
        <f>VLOOKUP(N94,contoare!A:K,2,FALSE)</f>
        <v>45870</v>
      </c>
      <c r="E94" s="40">
        <f>VLOOKUP(N94,contoare!A:K,3,FALSE)</f>
        <v>45901</v>
      </c>
      <c r="F94" s="41">
        <f>VLOOKUP(N94,contoare!A:K,4,FALSE)</f>
        <v>4265.1180000000004</v>
      </c>
      <c r="G94" s="41">
        <f>VLOOKUP(N94,contoare!A:K,5,FALSE)</f>
        <v>0</v>
      </c>
      <c r="H94" s="41">
        <f>VLOOKUP(N94,contoare!A:K,6,FALSE)</f>
        <v>788.43899999999996</v>
      </c>
      <c r="I94" s="41">
        <f>VLOOKUP(N94,contoare!A:K,7,FALSE)</f>
        <v>0.17699999999999999</v>
      </c>
      <c r="J94" s="41">
        <f>VLOOKUP(N94,contoare!A:K,8,FALSE)</f>
        <v>5068.8860000000004</v>
      </c>
      <c r="K94" s="41">
        <f>VLOOKUP(N94,contoare!A:K,9,FALSE)</f>
        <v>0</v>
      </c>
      <c r="L94" s="41">
        <f>VLOOKUP(N94,contoare!A:K,10,FALSE)</f>
        <v>991.34900000000005</v>
      </c>
      <c r="M94" s="41">
        <f>VLOOKUP(N94,contoare!A:K,11,FALSE)</f>
        <v>0.17699999999999999</v>
      </c>
      <c r="N94" s="91" t="s">
        <v>70</v>
      </c>
      <c r="O94" s="39">
        <v>500</v>
      </c>
      <c r="P94" s="42">
        <f t="shared" si="25"/>
        <v>401884</v>
      </c>
      <c r="Q94" s="42">
        <f t="shared" si="26"/>
        <v>0</v>
      </c>
      <c r="R94" s="307">
        <f>P94+P95+P96+P98+P99-Q98</f>
        <v>1331656</v>
      </c>
      <c r="S94" s="270">
        <f>(R101-R94)/R101</f>
        <v>1.0186121186894215E-2</v>
      </c>
      <c r="T94" s="41">
        <f>VLOOKUP(X94,contoare!A:K,4,FALSE)</f>
        <v>4265.1180000000004</v>
      </c>
      <c r="U94" s="41">
        <f>VLOOKUP(X94,contoare!A:K,5,FALSE)</f>
        <v>0</v>
      </c>
      <c r="V94" s="41">
        <f>VLOOKUP(X94,contoare!A:K,8,FALSE)</f>
        <v>5068.8860000000004</v>
      </c>
      <c r="W94" s="41">
        <f>VLOOKUP(X94,contoare!A:K,9,FALSE)</f>
        <v>0</v>
      </c>
      <c r="X94" s="173" t="s">
        <v>70</v>
      </c>
      <c r="Y94" s="39">
        <v>500</v>
      </c>
      <c r="Z94" s="42">
        <f t="shared" si="44"/>
        <v>401884</v>
      </c>
      <c r="AA94" s="42">
        <f t="shared" si="43"/>
        <v>0</v>
      </c>
      <c r="AB94" s="307">
        <f>Z94+Z95+Z96+Z98-AA96-AA95-AA94-AA98</f>
        <v>1331656</v>
      </c>
      <c r="AC94" s="270">
        <f>(AB101-AB94)/AB101</f>
        <v>1.0186121186894215E-2</v>
      </c>
      <c r="AD94" s="262" t="s">
        <v>735</v>
      </c>
    </row>
    <row r="95" spans="1:30" x14ac:dyDescent="0.2">
      <c r="A95" s="255"/>
      <c r="B95" s="26" t="s">
        <v>259</v>
      </c>
      <c r="C95" s="217" t="s">
        <v>260</v>
      </c>
      <c r="D95" s="37">
        <f>VLOOKUP(N95,contoare!A:K,2,FALSE)</f>
        <v>45870</v>
      </c>
      <c r="E95" s="37">
        <f>VLOOKUP(N95,contoare!A:K,3,FALSE)</f>
        <v>45901</v>
      </c>
      <c r="F95" s="38">
        <f>VLOOKUP(N95,contoare!A:K,4,FALSE)</f>
        <v>7051.5219999999999</v>
      </c>
      <c r="G95" s="38">
        <f>VLOOKUP(N95,contoare!A:K,5,FALSE)</f>
        <v>0</v>
      </c>
      <c r="H95" s="38">
        <f>VLOOKUP(N95,contoare!A:K,6,FALSE)</f>
        <v>785.93700000000001</v>
      </c>
      <c r="I95" s="38">
        <f>VLOOKUP(N95,contoare!A:K,7,FALSE)</f>
        <v>0.43</v>
      </c>
      <c r="J95" s="38">
        <f>VLOOKUP(N95,contoare!A:K,8,FALSE)</f>
        <v>8005.5649999999996</v>
      </c>
      <c r="K95" s="38">
        <f>VLOOKUP(N95,contoare!A:K,9,FALSE)</f>
        <v>0</v>
      </c>
      <c r="L95" s="38">
        <f>VLOOKUP(N95,contoare!A:K,10,FALSE)</f>
        <v>928.71299999999997</v>
      </c>
      <c r="M95" s="38">
        <f>VLOOKUP(N95,contoare!A:K,11,FALSE)</f>
        <v>0.434</v>
      </c>
      <c r="N95" s="92" t="s">
        <v>72</v>
      </c>
      <c r="O95" s="26">
        <v>500</v>
      </c>
      <c r="P95" s="27">
        <f t="shared" si="25"/>
        <v>477021.49999999983</v>
      </c>
      <c r="Q95" s="27">
        <f t="shared" si="26"/>
        <v>0</v>
      </c>
      <c r="R95" s="303"/>
      <c r="S95" s="271"/>
      <c r="T95" s="38">
        <f>VLOOKUP(X95,contoare!A:K,4,FALSE)</f>
        <v>7051.5219999999999</v>
      </c>
      <c r="U95" s="38">
        <f>VLOOKUP(X95,contoare!A:K,5,FALSE)</f>
        <v>0</v>
      </c>
      <c r="V95" s="38">
        <f>VLOOKUP(X95,contoare!A:K,8,FALSE)</f>
        <v>8005.5649999999996</v>
      </c>
      <c r="W95" s="38">
        <f>VLOOKUP(X95,contoare!A:K,9,FALSE)</f>
        <v>0</v>
      </c>
      <c r="X95" s="95" t="s">
        <v>72</v>
      </c>
      <c r="Y95" s="26">
        <v>500</v>
      </c>
      <c r="Z95" s="27">
        <f t="shared" si="44"/>
        <v>477021.49999999983</v>
      </c>
      <c r="AA95" s="27">
        <f t="shared" si="43"/>
        <v>0</v>
      </c>
      <c r="AB95" s="303"/>
      <c r="AC95" s="271"/>
      <c r="AD95" s="263"/>
    </row>
    <row r="96" spans="1:30" x14ac:dyDescent="0.2">
      <c r="A96" s="255"/>
      <c r="B96" s="26" t="s">
        <v>261</v>
      </c>
      <c r="C96" s="217" t="s">
        <v>262</v>
      </c>
      <c r="D96" s="37">
        <f>VLOOKUP(N96,contoare!A:K,2,FALSE)</f>
        <v>45870</v>
      </c>
      <c r="E96" s="37">
        <f>VLOOKUP(N96,contoare!A:K,3,FALSE)</f>
        <v>45901</v>
      </c>
      <c r="F96" s="38">
        <f>VLOOKUP(N96,contoare!A:K,4,FALSE)</f>
        <v>3615.2179999999998</v>
      </c>
      <c r="G96" s="38">
        <f>VLOOKUP(N96,contoare!A:K,5,FALSE)</f>
        <v>0</v>
      </c>
      <c r="H96" s="38">
        <f>VLOOKUP(N96,contoare!A:K,6,FALSE)</f>
        <v>547.21500000000003</v>
      </c>
      <c r="I96" s="38">
        <f>VLOOKUP(N96,contoare!A:K,7,FALSE)</f>
        <v>6.9000000000000006E-2</v>
      </c>
      <c r="J96" s="38">
        <f>VLOOKUP(N96,contoare!A:K,8,FALSE)</f>
        <v>4142.201</v>
      </c>
      <c r="K96" s="38">
        <f>VLOOKUP(N96,contoare!A:K,9,FALSE)</f>
        <v>0</v>
      </c>
      <c r="L96" s="38">
        <f>VLOOKUP(N96,contoare!A:K,10,FALSE)</f>
        <v>660.04700000000003</v>
      </c>
      <c r="M96" s="38">
        <f>VLOOKUP(N96,contoare!A:K,11,FALSE)</f>
        <v>6.9000000000000006E-2</v>
      </c>
      <c r="N96" s="92" t="s">
        <v>71</v>
      </c>
      <c r="O96" s="26">
        <v>500</v>
      </c>
      <c r="P96" s="27">
        <f t="shared" si="25"/>
        <v>263491.50000000012</v>
      </c>
      <c r="Q96" s="27">
        <f t="shared" si="26"/>
        <v>0</v>
      </c>
      <c r="R96" s="303"/>
      <c r="S96" s="271"/>
      <c r="T96" s="38">
        <f>VLOOKUP(X96,contoare!A:K,4,FALSE)</f>
        <v>2767.3560000000002</v>
      </c>
      <c r="U96" s="38">
        <f>VLOOKUP(X96,contoare!A:K,5,FALSE)</f>
        <v>86.748999999999995</v>
      </c>
      <c r="V96" s="38">
        <f>VLOOKUP(X96,contoare!A:K,8,FALSE)</f>
        <v>3152.1680000000001</v>
      </c>
      <c r="W96" s="38">
        <f>VLOOKUP(X96,contoare!A:K,9,FALSE)</f>
        <v>93.043000000000006</v>
      </c>
      <c r="X96" s="99" t="s">
        <v>73</v>
      </c>
      <c r="Y96" s="26">
        <v>500</v>
      </c>
      <c r="Z96" s="27">
        <f t="shared" si="44"/>
        <v>192405.99999999994</v>
      </c>
      <c r="AA96" s="27">
        <f t="shared" si="43"/>
        <v>3147.0000000000055</v>
      </c>
      <c r="AB96" s="303"/>
      <c r="AC96" s="271"/>
      <c r="AD96" s="263"/>
    </row>
    <row r="97" spans="1:30" x14ac:dyDescent="0.2">
      <c r="A97" s="255"/>
      <c r="B97" s="26" t="s">
        <v>453</v>
      </c>
      <c r="C97" s="217" t="s">
        <v>454</v>
      </c>
      <c r="D97" s="37">
        <f>VLOOKUP(N97,contoare!A:K,2,FALSE)</f>
        <v>45870</v>
      </c>
      <c r="E97" s="37">
        <f>VLOOKUP(N97,contoare!A:K,3,FALSE)</f>
        <v>45901</v>
      </c>
      <c r="F97" s="38">
        <f>VLOOKUP(N97,contoare!A:K,4,FALSE)</f>
        <v>1.4530000000000001</v>
      </c>
      <c r="G97" s="38">
        <f>VLOOKUP(N97,contoare!A:K,5,FALSE)</f>
        <v>2965.2739999999999</v>
      </c>
      <c r="H97" s="38">
        <f>VLOOKUP(N97,contoare!A:K,6,FALSE)</f>
        <v>2.7090000000000001</v>
      </c>
      <c r="I97" s="38">
        <f>VLOOKUP(N97,contoare!A:K,7,FALSE)</f>
        <v>27.103000000000002</v>
      </c>
      <c r="J97" s="38">
        <f>VLOOKUP(N97,contoare!A:K,8,FALSE)</f>
        <v>1.5820000000000001</v>
      </c>
      <c r="K97" s="38">
        <f>VLOOKUP(N97,contoare!A:K,9,FALSE)</f>
        <v>3439.7530000000002</v>
      </c>
      <c r="L97" s="38">
        <f>VLOOKUP(N97,contoare!A:K,10,FALSE)</f>
        <v>3.161</v>
      </c>
      <c r="M97" s="38">
        <f>VLOOKUP(N97,contoare!A:K,11,FALSE)</f>
        <v>29.84</v>
      </c>
      <c r="N97" s="92" t="s">
        <v>74</v>
      </c>
      <c r="O97" s="26">
        <v>300</v>
      </c>
      <c r="P97" s="27">
        <f t="shared" si="25"/>
        <v>38.700000000000003</v>
      </c>
      <c r="Q97" s="27">
        <f t="shared" si="26"/>
        <v>142343.70000000007</v>
      </c>
      <c r="R97" s="303"/>
      <c r="S97" s="271"/>
      <c r="T97" s="38">
        <f>VLOOKUP(X97,contoare!A:K,4,FALSE)</f>
        <v>1.4530000000000001</v>
      </c>
      <c r="U97" s="38">
        <f>VLOOKUP(X97,contoare!A:K,5,FALSE)</f>
        <v>2965.2739999999999</v>
      </c>
      <c r="V97" s="38">
        <f>VLOOKUP(X97,contoare!A:K,8,FALSE)</f>
        <v>1.5820000000000001</v>
      </c>
      <c r="W97" s="38">
        <f>VLOOKUP(X97,contoare!A:K,9,FALSE)</f>
        <v>3439.7530000000002</v>
      </c>
      <c r="X97" s="95" t="s">
        <v>74</v>
      </c>
      <c r="Y97" s="26">
        <v>300</v>
      </c>
      <c r="Z97" s="27">
        <f t="shared" si="44"/>
        <v>38.700000000000003</v>
      </c>
      <c r="AA97" s="27">
        <f t="shared" si="43"/>
        <v>142343.70000000007</v>
      </c>
      <c r="AB97" s="303"/>
      <c r="AC97" s="271"/>
      <c r="AD97" s="263"/>
    </row>
    <row r="98" spans="1:30" x14ac:dyDescent="0.2">
      <c r="A98" s="255"/>
      <c r="B98" s="26" t="s">
        <v>263</v>
      </c>
      <c r="C98" s="217" t="s">
        <v>264</v>
      </c>
      <c r="D98" s="37">
        <f>VLOOKUP(N98,contoare!A:K,2,FALSE)</f>
        <v>45870</v>
      </c>
      <c r="E98" s="37">
        <f>VLOOKUP(N98,contoare!A:K,3,FALSE)</f>
        <v>45901</v>
      </c>
      <c r="F98" s="38">
        <f>VLOOKUP(N98,contoare!A:K,4,FALSE)</f>
        <v>2767.3560000000002</v>
      </c>
      <c r="G98" s="38">
        <f>VLOOKUP(N98,contoare!A:K,5,FALSE)</f>
        <v>86.748999999999995</v>
      </c>
      <c r="H98" s="38">
        <f>VLOOKUP(N98,contoare!A:K,6,FALSE)</f>
        <v>194.64599999999999</v>
      </c>
      <c r="I98" s="38">
        <f>VLOOKUP(N98,contoare!A:K,7,FALSE)</f>
        <v>120.089</v>
      </c>
      <c r="J98" s="38">
        <f>VLOOKUP(N98,contoare!A:K,8,FALSE)</f>
        <v>3152.1680000000001</v>
      </c>
      <c r="K98" s="38">
        <f>VLOOKUP(N98,contoare!A:K,9,FALSE)</f>
        <v>93.043000000000006</v>
      </c>
      <c r="L98" s="38">
        <f>VLOOKUP(N98,contoare!A:K,10,FALSE)</f>
        <v>257.78199999999998</v>
      </c>
      <c r="M98" s="38">
        <f>VLOOKUP(N98,contoare!A:K,11,FALSE)</f>
        <v>120.474</v>
      </c>
      <c r="N98" s="92" t="s">
        <v>73</v>
      </c>
      <c r="O98" s="26">
        <v>500</v>
      </c>
      <c r="P98" s="27">
        <f t="shared" si="25"/>
        <v>192405.99999999994</v>
      </c>
      <c r="Q98" s="27">
        <f t="shared" ref="Q98:Q102" si="45">(K98-G98)*O98</f>
        <v>3147.0000000000055</v>
      </c>
      <c r="R98" s="303"/>
      <c r="S98" s="271"/>
      <c r="T98" s="38">
        <f>VLOOKUP(X98,contoare!A:K,4,FALSE)</f>
        <v>3615.2179999999998</v>
      </c>
      <c r="U98" s="38">
        <f>VLOOKUP(X98,contoare!A:K,5,FALSE)</f>
        <v>0</v>
      </c>
      <c r="V98" s="38">
        <f>VLOOKUP(X98,contoare!A:K,8,FALSE)</f>
        <v>4142.201</v>
      </c>
      <c r="W98" s="38">
        <f>VLOOKUP(X98,contoare!A:K,9,FALSE)</f>
        <v>0</v>
      </c>
      <c r="X98" s="99" t="s">
        <v>71</v>
      </c>
      <c r="Y98" s="26">
        <v>500</v>
      </c>
      <c r="Z98" s="27">
        <f t="shared" si="44"/>
        <v>263491.50000000012</v>
      </c>
      <c r="AA98" s="27">
        <f t="shared" si="43"/>
        <v>0</v>
      </c>
      <c r="AB98" s="303"/>
      <c r="AC98" s="271"/>
      <c r="AD98" s="263"/>
    </row>
    <row r="99" spans="1:30" x14ac:dyDescent="0.2">
      <c r="A99" s="255"/>
      <c r="B99" s="162" t="s">
        <v>265</v>
      </c>
      <c r="C99" s="218" t="s">
        <v>266</v>
      </c>
      <c r="D99" s="161" t="s">
        <v>553</v>
      </c>
      <c r="E99" s="161" t="s">
        <v>553</v>
      </c>
      <c r="F99" s="162" t="e">
        <f>VLOOKUP(N99,contoare!A:K,4,FALSE)</f>
        <v>#N/A</v>
      </c>
      <c r="G99" s="162" t="e">
        <f>VLOOKUP(N99,contoare!A:K,5,FALSE)</f>
        <v>#N/A</v>
      </c>
      <c r="H99" s="162" t="e">
        <f>VLOOKUP(N99,contoare!A:K,6,FALSE)</f>
        <v>#N/A</v>
      </c>
      <c r="I99" s="162" t="e">
        <f>VLOOKUP(N99,contoare!A:K,7,FALSE)</f>
        <v>#N/A</v>
      </c>
      <c r="J99" s="162" t="e">
        <f>VLOOKUP(N99,contoare!A:K,8,FALSE)</f>
        <v>#N/A</v>
      </c>
      <c r="K99" s="162" t="e">
        <f>VLOOKUP(N99,contoare!A:K,9,FALSE)</f>
        <v>#N/A</v>
      </c>
      <c r="L99" s="162" t="e">
        <f>VLOOKUP(N99,contoare!A:K,10,FALSE)</f>
        <v>#N/A</v>
      </c>
      <c r="M99" s="162" t="e">
        <f>VLOOKUP(N99,contoare!A:K,11,FALSE)</f>
        <v>#N/A</v>
      </c>
      <c r="N99" s="167" t="s">
        <v>532</v>
      </c>
      <c r="O99" s="162">
        <f>200/5*200</f>
        <v>8000</v>
      </c>
      <c r="P99" s="164">
        <v>0</v>
      </c>
      <c r="Q99" s="164">
        <v>0</v>
      </c>
      <c r="R99" s="303"/>
      <c r="S99" s="271"/>
      <c r="T99" s="162" t="e">
        <f>VLOOKUP(X99,contoare!A:K,4,FALSE)</f>
        <v>#N/A</v>
      </c>
      <c r="U99" s="162" t="e">
        <f>VLOOKUP(X99,contoare!A:K,5,FALSE)</f>
        <v>#N/A</v>
      </c>
      <c r="V99" s="162" t="e">
        <f>VLOOKUP(X99,contoare!A:K,8,FALSE)</f>
        <v>#N/A</v>
      </c>
      <c r="W99" s="162" t="e">
        <f>VLOOKUP(X99,contoare!A:K,9,FALSE)</f>
        <v>#N/A</v>
      </c>
      <c r="X99" s="163" t="s">
        <v>532</v>
      </c>
      <c r="Y99" s="162">
        <v>8000</v>
      </c>
      <c r="Z99" s="164">
        <v>0</v>
      </c>
      <c r="AA99" s="164">
        <v>0</v>
      </c>
      <c r="AB99" s="303"/>
      <c r="AC99" s="271"/>
      <c r="AD99" s="263"/>
    </row>
    <row r="100" spans="1:30" x14ac:dyDescent="0.2">
      <c r="A100" s="255"/>
      <c r="B100" s="26" t="s">
        <v>545</v>
      </c>
      <c r="C100" s="72" t="s">
        <v>545</v>
      </c>
      <c r="D100" s="37">
        <f>VLOOKUP(N100,contoare!A:K,2,FALSE)</f>
        <v>45870</v>
      </c>
      <c r="E100" s="37">
        <f>VLOOKUP(N100,contoare!A:K,3,FALSE)</f>
        <v>45901</v>
      </c>
      <c r="F100" s="38">
        <f>VLOOKUP(N100,contoare!A:K,4,FALSE)</f>
        <v>303.42200000000003</v>
      </c>
      <c r="G100" s="38">
        <f>VLOOKUP(N100,contoare!A:K,5,FALSE)</f>
        <v>0</v>
      </c>
      <c r="H100" s="38">
        <f>VLOOKUP(N100,contoare!A:K,6,FALSE)</f>
        <v>58.326999999999998</v>
      </c>
      <c r="I100" s="38">
        <f>VLOOKUP(N100,contoare!A:K,7,FALSE)</f>
        <v>4.0000000000000001E-3</v>
      </c>
      <c r="J100" s="38">
        <f>VLOOKUP(N100,contoare!A:K,8,FALSE)</f>
        <v>387.50700000000001</v>
      </c>
      <c r="K100" s="38">
        <f>VLOOKUP(N100,contoare!A:K,9,FALSE)</f>
        <v>0</v>
      </c>
      <c r="L100" s="38">
        <f>VLOOKUP(N100,contoare!A:K,10,FALSE)</f>
        <v>76.441000000000003</v>
      </c>
      <c r="M100" s="38">
        <f>VLOOKUP(N100,contoare!A:K,11,FALSE)</f>
        <v>4.0000000000000001E-3</v>
      </c>
      <c r="N100" s="92" t="s">
        <v>75</v>
      </c>
      <c r="O100" s="26">
        <v>16000</v>
      </c>
      <c r="P100" s="70">
        <f>(J100-F100)*O100</f>
        <v>1345359.9999999998</v>
      </c>
      <c r="Q100" s="27">
        <f t="shared" si="45"/>
        <v>0</v>
      </c>
      <c r="R100" s="34">
        <f>P100</f>
        <v>1345359.9999999998</v>
      </c>
      <c r="S100" s="271"/>
      <c r="T100" s="38">
        <f>VLOOKUP(X100,contoare!A:K,4,FALSE)</f>
        <v>303.42200000000003</v>
      </c>
      <c r="U100" s="38">
        <f>VLOOKUP(X100,contoare!A:K,5,FALSE)</f>
        <v>0</v>
      </c>
      <c r="V100" s="38">
        <f>VLOOKUP(X100,contoare!A:K,8,FALSE)</f>
        <v>387.50700000000001</v>
      </c>
      <c r="W100" s="38">
        <f>VLOOKUP(X100,contoare!A:K,9,FALSE)</f>
        <v>0</v>
      </c>
      <c r="X100" s="95" t="s">
        <v>75</v>
      </c>
      <c r="Y100" s="26">
        <v>16000</v>
      </c>
      <c r="Z100" s="27">
        <f t="shared" si="44"/>
        <v>1345359.9999999998</v>
      </c>
      <c r="AA100" s="27">
        <f t="shared" si="43"/>
        <v>0</v>
      </c>
      <c r="AB100" s="34">
        <f>Z100</f>
        <v>1345359.9999999998</v>
      </c>
      <c r="AC100" s="271"/>
      <c r="AD100" s="263"/>
    </row>
    <row r="101" spans="1:30" x14ac:dyDescent="0.2">
      <c r="A101" s="255"/>
      <c r="B101" s="26" t="s">
        <v>549</v>
      </c>
      <c r="C101" s="217" t="s">
        <v>551</v>
      </c>
      <c r="D101" s="37" t="s">
        <v>553</v>
      </c>
      <c r="E101" s="37" t="s">
        <v>553</v>
      </c>
      <c r="F101" s="38" t="e">
        <f>VLOOKUP(N101,contoare!A:K,4,FALSE)</f>
        <v>#N/A</v>
      </c>
      <c r="G101" s="38" t="e">
        <f>VLOOKUP(N101,contoare!A:K,5,FALSE)</f>
        <v>#N/A</v>
      </c>
      <c r="H101" s="38" t="e">
        <f>VLOOKUP(N101,contoare!A:K,6,FALSE)</f>
        <v>#N/A</v>
      </c>
      <c r="I101" s="38" t="e">
        <f>VLOOKUP(N101,contoare!A:K,7,FALSE)</f>
        <v>#N/A</v>
      </c>
      <c r="J101" s="38" t="e">
        <f>VLOOKUP(N101,contoare!A:K,8,FALSE)</f>
        <v>#N/A</v>
      </c>
      <c r="K101" s="38" t="e">
        <f>VLOOKUP(N101,contoare!A:K,9,FALSE)</f>
        <v>#N/A</v>
      </c>
      <c r="L101" s="38" t="e">
        <f>VLOOKUP(N101,contoare!A:K,10,FALSE)</f>
        <v>#N/A</v>
      </c>
      <c r="M101" s="38" t="e">
        <f>VLOOKUP(N101,contoare!A:K,11,FALSE)</f>
        <v>#N/A</v>
      </c>
      <c r="N101" s="95" t="s">
        <v>530</v>
      </c>
      <c r="O101" s="26">
        <v>16000</v>
      </c>
      <c r="P101" s="70">
        <v>1345360</v>
      </c>
      <c r="Q101" s="27">
        <v>0</v>
      </c>
      <c r="R101" s="34">
        <f>P101</f>
        <v>1345360</v>
      </c>
      <c r="S101" s="271"/>
      <c r="T101" s="38" t="e">
        <f>VLOOKUP(X101,contoare!A:K,4,FALSE)</f>
        <v>#N/A</v>
      </c>
      <c r="U101" s="38" t="e">
        <f>VLOOKUP(X101,contoare!A:K,5,FALSE)</f>
        <v>#N/A</v>
      </c>
      <c r="V101" s="38" t="e">
        <f>VLOOKUP(X101,contoare!A:K,8,FALSE)</f>
        <v>#N/A</v>
      </c>
      <c r="W101" s="38" t="e">
        <f>VLOOKUP(X101,contoare!A:K,9,FALSE)</f>
        <v>#N/A</v>
      </c>
      <c r="X101" s="95" t="s">
        <v>530</v>
      </c>
      <c r="Y101" s="26">
        <v>16000</v>
      </c>
      <c r="Z101" s="27">
        <f t="shared" si="44"/>
        <v>1345360</v>
      </c>
      <c r="AA101" s="27">
        <f t="shared" si="43"/>
        <v>0</v>
      </c>
      <c r="AB101" s="34">
        <f t="shared" ref="AB101:AB103" si="46">Z101</f>
        <v>1345360</v>
      </c>
      <c r="AC101" s="271"/>
      <c r="AD101" s="263"/>
    </row>
    <row r="102" spans="1:30" x14ac:dyDescent="0.2">
      <c r="A102" s="255"/>
      <c r="B102" s="26" t="s">
        <v>546</v>
      </c>
      <c r="C102" s="72" t="s">
        <v>546</v>
      </c>
      <c r="D102" s="37">
        <f>VLOOKUP(N102,contoare!A:K,2,FALSE)</f>
        <v>45870</v>
      </c>
      <c r="E102" s="37">
        <f>VLOOKUP(N102,contoare!A:K,3,FALSE)</f>
        <v>45901</v>
      </c>
      <c r="F102" s="38">
        <f>VLOOKUP(N102,contoare!A:K,4,FALSE)</f>
        <v>1.0780000000000001</v>
      </c>
      <c r="G102" s="38">
        <f>VLOOKUP(N102,contoare!A:K,5,FALSE)</f>
        <v>0</v>
      </c>
      <c r="H102" s="38">
        <f>VLOOKUP(N102,contoare!A:K,6,FALSE)</f>
        <v>0.109</v>
      </c>
      <c r="I102" s="38">
        <f>VLOOKUP(N102,contoare!A:K,7,FALSE)</f>
        <v>3.0000000000000001E-3</v>
      </c>
      <c r="J102" s="38">
        <f>VLOOKUP(N102,contoare!A:K,8,FALSE)</f>
        <v>1.0780000000000001</v>
      </c>
      <c r="K102" s="38">
        <f>VLOOKUP(N102,contoare!A:K,9,FALSE)</f>
        <v>0</v>
      </c>
      <c r="L102" s="38">
        <f>VLOOKUP(N102,contoare!A:K,10,FALSE)</f>
        <v>0.109</v>
      </c>
      <c r="M102" s="38">
        <f>VLOOKUP(N102,contoare!A:K,11,FALSE)</f>
        <v>3.0000000000000001E-3</v>
      </c>
      <c r="N102" s="92" t="s">
        <v>76</v>
      </c>
      <c r="O102" s="26">
        <v>16000</v>
      </c>
      <c r="P102" s="70">
        <f t="shared" ref="P102" si="47">(J102-F102)*O102</f>
        <v>0</v>
      </c>
      <c r="Q102" s="27">
        <f t="shared" si="45"/>
        <v>0</v>
      </c>
      <c r="R102" s="34">
        <f>P102</f>
        <v>0</v>
      </c>
      <c r="S102" s="271"/>
      <c r="T102" s="38">
        <f>VLOOKUP(X102,contoare!A:K,4,FALSE)</f>
        <v>1.0780000000000001</v>
      </c>
      <c r="U102" s="38">
        <f>VLOOKUP(X102,contoare!A:K,5,FALSE)</f>
        <v>0</v>
      </c>
      <c r="V102" s="38">
        <f>VLOOKUP(X102,contoare!A:K,8,FALSE)</f>
        <v>1.0780000000000001</v>
      </c>
      <c r="W102" s="38">
        <f>VLOOKUP(X102,contoare!A:K,9,FALSE)</f>
        <v>0</v>
      </c>
      <c r="X102" s="95" t="s">
        <v>76</v>
      </c>
      <c r="Y102" s="26">
        <v>16000</v>
      </c>
      <c r="Z102" s="27">
        <f t="shared" si="44"/>
        <v>0</v>
      </c>
      <c r="AA102" s="27">
        <f t="shared" si="43"/>
        <v>0</v>
      </c>
      <c r="AB102" s="34">
        <f t="shared" si="46"/>
        <v>0</v>
      </c>
      <c r="AC102" s="271"/>
      <c r="AD102" s="263"/>
    </row>
    <row r="103" spans="1:30" ht="17" thickBot="1" x14ac:dyDescent="0.25">
      <c r="A103" s="350"/>
      <c r="B103" s="49" t="s">
        <v>550</v>
      </c>
      <c r="C103" s="221" t="s">
        <v>552</v>
      </c>
      <c r="D103" s="51" t="s">
        <v>553</v>
      </c>
      <c r="E103" s="51" t="s">
        <v>553</v>
      </c>
      <c r="F103" s="52" t="e">
        <f>VLOOKUP(N103,contoare!A:K,4,FALSE)</f>
        <v>#N/A</v>
      </c>
      <c r="G103" s="52" t="e">
        <f>VLOOKUP(N103,contoare!A:K,5,FALSE)</f>
        <v>#N/A</v>
      </c>
      <c r="H103" s="52" t="e">
        <f>VLOOKUP(N103,contoare!A:K,6,FALSE)</f>
        <v>#N/A</v>
      </c>
      <c r="I103" s="52" t="e">
        <f>VLOOKUP(N103,contoare!A:K,7,FALSE)</f>
        <v>#N/A</v>
      </c>
      <c r="J103" s="52" t="e">
        <f>VLOOKUP(N103,contoare!A:K,8,FALSE)</f>
        <v>#N/A</v>
      </c>
      <c r="K103" s="52" t="e">
        <f>VLOOKUP(N103,contoare!A:K,9,FALSE)</f>
        <v>#N/A</v>
      </c>
      <c r="L103" s="52" t="e">
        <f>VLOOKUP(N103,contoare!A:K,10,FALSE)</f>
        <v>#N/A</v>
      </c>
      <c r="M103" s="52" t="e">
        <f>VLOOKUP(N103,contoare!A:K,11,FALSE)</f>
        <v>#N/A</v>
      </c>
      <c r="N103" s="93" t="s">
        <v>531</v>
      </c>
      <c r="O103" s="49">
        <v>16000</v>
      </c>
      <c r="P103" s="56">
        <v>0</v>
      </c>
      <c r="Q103" s="50">
        <v>0</v>
      </c>
      <c r="R103" s="53">
        <v>0</v>
      </c>
      <c r="S103" s="272"/>
      <c r="T103" s="52" t="e">
        <f>VLOOKUP(X103,contoare!A:K,4,FALSE)</f>
        <v>#N/A</v>
      </c>
      <c r="U103" s="52" t="e">
        <f>VLOOKUP(X103,contoare!A:K,5,FALSE)</f>
        <v>#N/A</v>
      </c>
      <c r="V103" s="52" t="e">
        <f>VLOOKUP(X103,contoare!A:K,8,FALSE)</f>
        <v>#N/A</v>
      </c>
      <c r="W103" s="52" t="e">
        <f>VLOOKUP(X103,contoare!A:K,9,FALSE)</f>
        <v>#N/A</v>
      </c>
      <c r="X103" s="174" t="s">
        <v>531</v>
      </c>
      <c r="Y103" s="49">
        <v>16000</v>
      </c>
      <c r="Z103" s="50">
        <f t="shared" si="44"/>
        <v>0</v>
      </c>
      <c r="AA103" s="50">
        <f t="shared" si="43"/>
        <v>0</v>
      </c>
      <c r="AB103" s="53">
        <f t="shared" si="46"/>
        <v>0</v>
      </c>
      <c r="AC103" s="272"/>
      <c r="AD103" s="309"/>
    </row>
    <row r="104" spans="1:30" x14ac:dyDescent="0.2">
      <c r="A104" s="239" t="s">
        <v>731</v>
      </c>
      <c r="B104" s="39" t="s">
        <v>201</v>
      </c>
      <c r="C104" s="111" t="s">
        <v>198</v>
      </c>
      <c r="D104" s="40">
        <f>VLOOKUP(N104,contoare!A:K,2,FALSE)</f>
        <v>45870</v>
      </c>
      <c r="E104" s="40">
        <f>VLOOKUP(N104,contoare!A:K,3,FALSE)</f>
        <v>45901</v>
      </c>
      <c r="F104" s="41">
        <f>VLOOKUP(N104,contoare!A:K,4,FALSE)</f>
        <v>569.59900000000005</v>
      </c>
      <c r="G104" s="41">
        <f>VLOOKUP(N104,contoare!A:K,5,FALSE)</f>
        <v>910.11099999999999</v>
      </c>
      <c r="H104" s="41">
        <f>VLOOKUP(N104,contoare!A:K,6,FALSE)</f>
        <v>2.4609999999999999</v>
      </c>
      <c r="I104" s="41">
        <f>VLOOKUP(N104,contoare!A:K,7,FALSE)</f>
        <v>209.518</v>
      </c>
      <c r="J104" s="41">
        <f>VLOOKUP(N104,contoare!A:K,8,FALSE)</f>
        <v>597.50300000000004</v>
      </c>
      <c r="K104" s="41">
        <f>VLOOKUP(N104,contoare!A:K,9,FALSE)</f>
        <v>1011.674</v>
      </c>
      <c r="L104" s="41">
        <f>VLOOKUP(N104,contoare!A:K,10,FALSE)</f>
        <v>2.6120000000000001</v>
      </c>
      <c r="M104" s="41">
        <f>VLOOKUP(N104,contoare!A:K,11,FALSE)</f>
        <v>221.804</v>
      </c>
      <c r="N104" s="91" t="s">
        <v>79</v>
      </c>
      <c r="O104" s="39">
        <v>200</v>
      </c>
      <c r="P104" s="69">
        <f t="shared" ref="P104:P106" si="48">(J104-F104)*O104</f>
        <v>5580.7999999999993</v>
      </c>
      <c r="Q104" s="69">
        <f t="shared" ref="Q104:Q106" si="49">(K104-G104)*O104</f>
        <v>20312.599999999999</v>
      </c>
      <c r="R104" s="242">
        <f>P104</f>
        <v>5580.7999999999993</v>
      </c>
      <c r="S104" s="244">
        <f>(R107-R104)/R107</f>
        <v>0.13003897116134072</v>
      </c>
      <c r="T104" s="41">
        <f>VLOOKUP(X104,contoare!A:K,4,FALSE)</f>
        <v>569.59900000000005</v>
      </c>
      <c r="U104" s="41">
        <f>VLOOKUP(X104,contoare!A:K,5,FALSE)</f>
        <v>910.11099999999999</v>
      </c>
      <c r="V104" s="41">
        <f>VLOOKUP(X104,contoare!A:K,8,FALSE)</f>
        <v>597.50300000000004</v>
      </c>
      <c r="W104" s="41">
        <f>VLOOKUP(X104,contoare!A:K,9,FALSE)</f>
        <v>1011.674</v>
      </c>
      <c r="X104" s="91" t="s">
        <v>79</v>
      </c>
      <c r="Y104" s="39">
        <v>200</v>
      </c>
      <c r="Z104" s="42">
        <f t="shared" si="44"/>
        <v>5580.7999999999993</v>
      </c>
      <c r="AA104" s="42">
        <f t="shared" si="43"/>
        <v>20312.599999999999</v>
      </c>
      <c r="AB104" s="242">
        <f>Z104</f>
        <v>5580.7999999999993</v>
      </c>
      <c r="AC104" s="244">
        <f>(AB107-AB104)/AB107</f>
        <v>0.13003897116134072</v>
      </c>
      <c r="AD104" s="247" t="s">
        <v>675</v>
      </c>
    </row>
    <row r="105" spans="1:30" x14ac:dyDescent="0.2">
      <c r="A105" s="240"/>
      <c r="B105" s="26" t="s">
        <v>200</v>
      </c>
      <c r="C105" s="72" t="s">
        <v>199</v>
      </c>
      <c r="D105" s="37">
        <f>VLOOKUP(N105,contoare!A:K,2,FALSE)</f>
        <v>45870</v>
      </c>
      <c r="E105" s="37">
        <f>VLOOKUP(N105,contoare!A:K,3,FALSE)</f>
        <v>45901</v>
      </c>
      <c r="F105" s="38">
        <f>VLOOKUP(N105,contoare!A:K,4,FALSE)</f>
        <v>2.9340000000000002</v>
      </c>
      <c r="G105" s="38">
        <f>VLOOKUP(N105,contoare!A:K,5,FALSE)</f>
        <v>4105.076</v>
      </c>
      <c r="H105" s="38">
        <f>VLOOKUP(N105,contoare!A:K,6,FALSE)</f>
        <v>296.84300000000002</v>
      </c>
      <c r="I105" s="38">
        <f>VLOOKUP(N105,contoare!A:K,7,FALSE)</f>
        <v>70.778000000000006</v>
      </c>
      <c r="J105" s="38">
        <f>VLOOKUP(N105,contoare!A:K,8,FALSE)</f>
        <v>3.0840000000000001</v>
      </c>
      <c r="K105" s="38">
        <f>VLOOKUP(N105,contoare!A:K,9,FALSE)</f>
        <v>4536.3900000000003</v>
      </c>
      <c r="L105" s="38">
        <f>VLOOKUP(N105,contoare!A:K,10,FALSE)</f>
        <v>321.07</v>
      </c>
      <c r="M105" s="38">
        <f>VLOOKUP(N105,contoare!A:K,11,FALSE)</f>
        <v>75.372</v>
      </c>
      <c r="N105" s="92" t="s">
        <v>77</v>
      </c>
      <c r="O105" s="77">
        <v>120</v>
      </c>
      <c r="P105" s="101">
        <f t="shared" si="48"/>
        <v>17.999999999999989</v>
      </c>
      <c r="Q105" s="101">
        <f t="shared" si="49"/>
        <v>51757.680000000037</v>
      </c>
      <c r="R105" s="243"/>
      <c r="S105" s="245"/>
      <c r="T105" s="38">
        <f>VLOOKUP(X105,contoare!A:K,4,FALSE)</f>
        <v>2.9340000000000002</v>
      </c>
      <c r="U105" s="38">
        <f>VLOOKUP(X105,contoare!A:K,5,FALSE)</f>
        <v>4105.076</v>
      </c>
      <c r="V105" s="38">
        <f>VLOOKUP(X105,contoare!A:K,8,FALSE)</f>
        <v>3.0840000000000001</v>
      </c>
      <c r="W105" s="38">
        <f>VLOOKUP(X105,contoare!A:K,9,FALSE)</f>
        <v>4536.3900000000003</v>
      </c>
      <c r="X105" s="92" t="s">
        <v>77</v>
      </c>
      <c r="Y105" s="77">
        <v>120</v>
      </c>
      <c r="Z105" s="101">
        <f t="shared" si="44"/>
        <v>17.999999999999989</v>
      </c>
      <c r="AA105" s="101">
        <f t="shared" si="43"/>
        <v>51757.680000000037</v>
      </c>
      <c r="AB105" s="243"/>
      <c r="AC105" s="245"/>
      <c r="AD105" s="248"/>
    </row>
    <row r="106" spans="1:30" x14ac:dyDescent="0.2">
      <c r="A106" s="240"/>
      <c r="B106" s="26" t="s">
        <v>533</v>
      </c>
      <c r="C106" s="72" t="s">
        <v>533</v>
      </c>
      <c r="D106" s="37">
        <f>VLOOKUP(N106,contoare!A:K,2,FALSE)</f>
        <v>45870</v>
      </c>
      <c r="E106" s="37">
        <f>VLOOKUP(N106,contoare!A:K,3,FALSE)</f>
        <v>45901</v>
      </c>
      <c r="F106" s="38">
        <f>VLOOKUP(N106,contoare!A:K,4,FALSE)</f>
        <v>12.449</v>
      </c>
      <c r="G106" s="38">
        <f>VLOOKUP(N106,contoare!A:K,5,FALSE)</f>
        <v>52.316000000000003</v>
      </c>
      <c r="H106" s="38">
        <f>VLOOKUP(N106,contoare!A:K,6,FALSE)</f>
        <v>24.382000000000001</v>
      </c>
      <c r="I106" s="38">
        <f>VLOOKUP(N106,contoare!A:K,7,FALSE)</f>
        <v>5.0000000000000001E-3</v>
      </c>
      <c r="J106" s="38">
        <f>VLOOKUP(N106,contoare!A:K,8,FALSE)</f>
        <v>17.777999999999999</v>
      </c>
      <c r="K106" s="38">
        <f>VLOOKUP(N106,contoare!A:K,9,FALSE)</f>
        <v>68.896000000000001</v>
      </c>
      <c r="L106" s="38">
        <f>VLOOKUP(N106,contoare!A:K,10,FALSE)</f>
        <v>33.851999999999997</v>
      </c>
      <c r="M106" s="38">
        <f>VLOOKUP(N106,contoare!A:K,11,FALSE)</f>
        <v>7.0000000000000001E-3</v>
      </c>
      <c r="N106" s="92" t="s">
        <v>78</v>
      </c>
      <c r="O106" s="26">
        <v>1200</v>
      </c>
      <c r="P106" s="70">
        <f t="shared" si="48"/>
        <v>6394.7999999999984</v>
      </c>
      <c r="Q106" s="70">
        <f t="shared" si="49"/>
        <v>19895.999999999996</v>
      </c>
      <c r="R106" s="101">
        <f t="shared" ref="R106:R107" si="50">P106</f>
        <v>6394.7999999999984</v>
      </c>
      <c r="S106" s="245"/>
      <c r="T106" s="38">
        <f>VLOOKUP(X106,contoare!A:K,4,FALSE)</f>
        <v>12.449</v>
      </c>
      <c r="U106" s="38">
        <f>VLOOKUP(X106,contoare!A:K,5,FALSE)</f>
        <v>52.316000000000003</v>
      </c>
      <c r="V106" s="38">
        <f>VLOOKUP(X106,contoare!A:K,8,FALSE)</f>
        <v>17.777999999999999</v>
      </c>
      <c r="W106" s="38">
        <f>VLOOKUP(X106,contoare!A:K,9,FALSE)</f>
        <v>68.896000000000001</v>
      </c>
      <c r="X106" s="92" t="s">
        <v>78</v>
      </c>
      <c r="Y106" s="26">
        <v>1200</v>
      </c>
      <c r="Z106" s="27">
        <f t="shared" si="44"/>
        <v>6394.7999999999984</v>
      </c>
      <c r="AA106" s="27">
        <f t="shared" si="43"/>
        <v>19895.999999999996</v>
      </c>
      <c r="AB106" s="101">
        <f t="shared" ref="AB106:AB107" si="51">Z106</f>
        <v>6394.7999999999984</v>
      </c>
      <c r="AC106" s="245"/>
      <c r="AD106" s="248"/>
    </row>
    <row r="107" spans="1:30" ht="17" thickBot="1" x14ac:dyDescent="0.25">
      <c r="A107" s="241"/>
      <c r="B107" s="43" t="s">
        <v>674</v>
      </c>
      <c r="C107" s="73" t="str">
        <f>"59401060000191744771568947"</f>
        <v>59401060000191744771568947</v>
      </c>
      <c r="D107" s="44" t="e">
        <f>VLOOKUP(N107,contoare!A:K,2,FALSE)</f>
        <v>#N/A</v>
      </c>
      <c r="E107" s="44" t="e">
        <f>VLOOKUP(N107,contoare!A:K,3,FALSE)</f>
        <v>#N/A</v>
      </c>
      <c r="F107" s="45" t="e">
        <f>VLOOKUP(N107,contoare!A:K,4,FALSE)</f>
        <v>#N/A</v>
      </c>
      <c r="G107" s="45" t="e">
        <f>VLOOKUP(N107,contoare!A:K,5,FALSE)</f>
        <v>#N/A</v>
      </c>
      <c r="H107" s="45" t="e">
        <f>VLOOKUP(N107,contoare!A:K,6,FALSE)</f>
        <v>#N/A</v>
      </c>
      <c r="I107" s="45" t="e">
        <f>VLOOKUP(N107,contoare!A:K,7,FALSE)</f>
        <v>#N/A</v>
      </c>
      <c r="J107" s="45" t="e">
        <f>VLOOKUP(N107,contoare!A:K,8,FALSE)</f>
        <v>#N/A</v>
      </c>
      <c r="K107" s="45" t="e">
        <f>VLOOKUP(N107,contoare!A:K,9,FALSE)</f>
        <v>#N/A</v>
      </c>
      <c r="L107" s="45" t="e">
        <f>VLOOKUP(N107,contoare!A:K,10,FALSE)</f>
        <v>#N/A</v>
      </c>
      <c r="M107" s="45" t="e">
        <f>VLOOKUP(N107,contoare!A:K,11,FALSE)</f>
        <v>#N/A</v>
      </c>
      <c r="N107" s="94">
        <v>73069392</v>
      </c>
      <c r="O107" s="43">
        <v>1200</v>
      </c>
      <c r="P107" s="71">
        <v>6415</v>
      </c>
      <c r="Q107" s="71">
        <v>19907</v>
      </c>
      <c r="R107" s="47">
        <f t="shared" si="50"/>
        <v>6415</v>
      </c>
      <c r="S107" s="246"/>
      <c r="T107" s="45" t="e">
        <f>VLOOKUP(X107,contoare!A:K,4,FALSE)</f>
        <v>#N/A</v>
      </c>
      <c r="U107" s="45" t="e">
        <f>VLOOKUP(X107,contoare!A:K,5,FALSE)</f>
        <v>#N/A</v>
      </c>
      <c r="V107" s="45" t="e">
        <f>VLOOKUP(X107,contoare!A:K,8,FALSE)</f>
        <v>#N/A</v>
      </c>
      <c r="W107" s="45" t="e">
        <f>VLOOKUP(X107,contoare!A:K,9,FALSE)</f>
        <v>#N/A</v>
      </c>
      <c r="X107" s="94">
        <v>73069392</v>
      </c>
      <c r="Y107" s="43">
        <v>1200</v>
      </c>
      <c r="Z107" s="46">
        <f t="shared" ref="Z107" si="52">IF(LEFT(N107,3)&lt;&gt;"HXE",P107,(V107-T107)*Y107)</f>
        <v>6415</v>
      </c>
      <c r="AA107" s="46">
        <f t="shared" ref="AA107" si="53">IF(LEFT(X107,3)&lt;&gt;"HXE",Q107,(W107-U107)*Y107)</f>
        <v>19907</v>
      </c>
      <c r="AB107" s="47">
        <f t="shared" si="51"/>
        <v>6415</v>
      </c>
      <c r="AC107" s="246"/>
      <c r="AD107" s="249"/>
    </row>
    <row r="108" spans="1:30" x14ac:dyDescent="0.2">
      <c r="A108" s="355" t="s">
        <v>733</v>
      </c>
      <c r="B108" s="146" t="s">
        <v>212</v>
      </c>
      <c r="C108" s="120" t="s">
        <v>202</v>
      </c>
      <c r="D108" s="80">
        <f>VLOOKUP(N108,contoare!A:K,2,FALSE)</f>
        <v>45870</v>
      </c>
      <c r="E108" s="80">
        <f>VLOOKUP(N108,contoare!A:K,3,FALSE)</f>
        <v>45901</v>
      </c>
      <c r="F108" s="81">
        <f>VLOOKUP(N108,contoare!A:K,4,FALSE)</f>
        <v>2655.2020000000002</v>
      </c>
      <c r="G108" s="81">
        <f>VLOOKUP(N108,contoare!A:K,5,FALSE)</f>
        <v>6.8390000000000004</v>
      </c>
      <c r="H108" s="81">
        <f>VLOOKUP(N108,contoare!A:K,6,FALSE)</f>
        <v>361.69499999999999</v>
      </c>
      <c r="I108" s="81">
        <f>VLOOKUP(N108,contoare!A:K,7,FALSE)</f>
        <v>23.885999999999999</v>
      </c>
      <c r="J108" s="81">
        <f>VLOOKUP(N108,contoare!A:K,8,FALSE)</f>
        <v>3010.1370000000002</v>
      </c>
      <c r="K108" s="81">
        <f>VLOOKUP(N108,contoare!A:K,9,FALSE)</f>
        <v>6.859</v>
      </c>
      <c r="L108" s="81">
        <f>VLOOKUP(N108,contoare!A:K,10,FALSE)</f>
        <v>438.77199999999999</v>
      </c>
      <c r="M108" s="81">
        <f>VLOOKUP(N108,contoare!A:K,11,FALSE)</f>
        <v>24.655000000000001</v>
      </c>
      <c r="N108" s="147" t="s">
        <v>83</v>
      </c>
      <c r="O108" s="35">
        <v>120</v>
      </c>
      <c r="P108" s="36">
        <f>(J108-F108)*O108</f>
        <v>42592.2</v>
      </c>
      <c r="Q108" s="36">
        <f t="shared" ref="Q108" si="54">(K108-G108)*O108</f>
        <v>2.3999999999999488</v>
      </c>
      <c r="R108" s="122">
        <f>P108</f>
        <v>42592.2</v>
      </c>
      <c r="S108" s="301">
        <f>(R110-R108)/R110</f>
        <v>-9.4086510263929615</v>
      </c>
      <c r="T108" s="81">
        <f>VLOOKUP(X108,contoare!A:K,4,FALSE)</f>
        <v>3318.95</v>
      </c>
      <c r="U108" s="81">
        <f>VLOOKUP(X108,contoare!A:K,5,FALSE)</f>
        <v>0</v>
      </c>
      <c r="V108" s="81">
        <f>VLOOKUP(X108,contoare!A:K,8,FALSE)</f>
        <v>3764.3609999999999</v>
      </c>
      <c r="W108" s="81">
        <f>VLOOKUP(X108,contoare!A:K,9,FALSE)</f>
        <v>0</v>
      </c>
      <c r="X108" s="176" t="s">
        <v>86</v>
      </c>
      <c r="Y108" s="35">
        <v>120</v>
      </c>
      <c r="Z108" s="36">
        <f t="shared" si="44"/>
        <v>53449.320000000007</v>
      </c>
      <c r="AA108" s="36">
        <f t="shared" si="43"/>
        <v>0</v>
      </c>
      <c r="AB108" s="148">
        <f>Z108</f>
        <v>53449.320000000007</v>
      </c>
      <c r="AC108" s="337">
        <f>(AB110-AB108)/AB110</f>
        <v>-12.061906158357774</v>
      </c>
      <c r="AD108" s="370" t="s">
        <v>567</v>
      </c>
    </row>
    <row r="109" spans="1:30" x14ac:dyDescent="0.2">
      <c r="A109" s="356"/>
      <c r="B109" s="65" t="s">
        <v>545</v>
      </c>
      <c r="C109" s="61" t="s">
        <v>545</v>
      </c>
      <c r="D109" s="37">
        <f>VLOOKUP(N109,contoare!A:K,2,FALSE)</f>
        <v>45870</v>
      </c>
      <c r="E109" s="37">
        <f>VLOOKUP(N109,contoare!A:K,3,FALSE)</f>
        <v>45901</v>
      </c>
      <c r="F109" s="38">
        <f>VLOOKUP(N109,contoare!A:K,4,FALSE)</f>
        <v>7.61</v>
      </c>
      <c r="G109" s="38">
        <f>VLOOKUP(N109,contoare!A:K,5,FALSE)</f>
        <v>0</v>
      </c>
      <c r="H109" s="38">
        <f>VLOOKUP(N109,contoare!A:K,6,FALSE)</f>
        <v>3.7930000000000001</v>
      </c>
      <c r="I109" s="38">
        <f>VLOOKUP(N109,contoare!A:K,7,FALSE)</f>
        <v>5.0000000000000001E-3</v>
      </c>
      <c r="J109" s="38">
        <f>VLOOKUP(N109,contoare!A:K,8,FALSE)</f>
        <v>9.2780000000000005</v>
      </c>
      <c r="K109" s="38">
        <f>VLOOKUP(N109,contoare!A:K,9,FALSE)</f>
        <v>0</v>
      </c>
      <c r="L109" s="38">
        <f>VLOOKUP(N109,contoare!A:K,10,FALSE)</f>
        <v>4.4640000000000004</v>
      </c>
      <c r="M109" s="38">
        <f>VLOOKUP(N109,contoare!A:K,11,FALSE)</f>
        <v>5.0000000000000001E-3</v>
      </c>
      <c r="N109" s="113" t="s">
        <v>89</v>
      </c>
      <c r="O109" s="26">
        <v>1200</v>
      </c>
      <c r="P109" s="70">
        <f t="shared" ref="P109:P112" si="55">(J109-F109)*O109</f>
        <v>2001.6000000000001</v>
      </c>
      <c r="Q109" s="27">
        <f t="shared" ref="Q109" si="56">(K109-G109)*O109</f>
        <v>0</v>
      </c>
      <c r="R109" s="62">
        <f>P109</f>
        <v>2001.6000000000001</v>
      </c>
      <c r="S109" s="245"/>
      <c r="T109" s="38">
        <f>VLOOKUP(X109,contoare!A:K,4,FALSE)</f>
        <v>7.61</v>
      </c>
      <c r="U109" s="38">
        <f>VLOOKUP(X109,contoare!A:K,5,FALSE)</f>
        <v>0</v>
      </c>
      <c r="V109" s="38">
        <f>VLOOKUP(X109,contoare!A:K,8,FALSE)</f>
        <v>9.2780000000000005</v>
      </c>
      <c r="W109" s="38">
        <f>VLOOKUP(X109,contoare!A:K,9,FALSE)</f>
        <v>0</v>
      </c>
      <c r="X109" s="177" t="s">
        <v>89</v>
      </c>
      <c r="Y109" s="26">
        <v>1200</v>
      </c>
      <c r="Z109" s="27">
        <f t="shared" si="44"/>
        <v>2001.6000000000001</v>
      </c>
      <c r="AA109" s="27">
        <f t="shared" si="43"/>
        <v>0</v>
      </c>
      <c r="AB109" s="101">
        <f>Z109</f>
        <v>2001.6000000000001</v>
      </c>
      <c r="AC109" s="292"/>
      <c r="AD109" s="371"/>
    </row>
    <row r="110" spans="1:30" ht="17" thickBot="1" x14ac:dyDescent="0.25">
      <c r="A110" s="356"/>
      <c r="B110" s="66" t="s">
        <v>554</v>
      </c>
      <c r="C110" s="67" t="str">
        <f>"594030200001495040"</f>
        <v>594030200001495040</v>
      </c>
      <c r="D110" s="44" t="s">
        <v>553</v>
      </c>
      <c r="E110" s="44" t="s">
        <v>553</v>
      </c>
      <c r="F110" s="45" t="e">
        <f>VLOOKUP(N110,contoare!A:K,4,FALSE)</f>
        <v>#N/A</v>
      </c>
      <c r="G110" s="45" t="e">
        <f>VLOOKUP(N110,contoare!A:K,5,FALSE)</f>
        <v>#N/A</v>
      </c>
      <c r="H110" s="45" t="e">
        <f>VLOOKUP(N110,contoare!A:K,6,FALSE)</f>
        <v>#N/A</v>
      </c>
      <c r="I110" s="45" t="e">
        <f>VLOOKUP(N110,contoare!A:K,7,FALSE)</f>
        <v>#N/A</v>
      </c>
      <c r="J110" s="45" t="e">
        <f>VLOOKUP(N110,contoare!A:K,8,FALSE)</f>
        <v>#N/A</v>
      </c>
      <c r="K110" s="45" t="e">
        <f>VLOOKUP(N110,contoare!A:K,9,FALSE)</f>
        <v>#N/A</v>
      </c>
      <c r="L110" s="45" t="e">
        <f>VLOOKUP(N110,contoare!A:K,10,FALSE)</f>
        <v>#N/A</v>
      </c>
      <c r="M110" s="45" t="e">
        <f>VLOOKUP(N110,contoare!A:K,11,FALSE)</f>
        <v>#N/A</v>
      </c>
      <c r="N110" s="114" t="s">
        <v>524</v>
      </c>
      <c r="O110" s="43">
        <v>1200</v>
      </c>
      <c r="P110" s="71">
        <v>4092</v>
      </c>
      <c r="Q110" s="46">
        <v>0</v>
      </c>
      <c r="R110" s="68">
        <f>P110</f>
        <v>4092</v>
      </c>
      <c r="S110" s="246"/>
      <c r="T110" s="45" t="e">
        <f>VLOOKUP(X110,contoare!A:K,4,FALSE)</f>
        <v>#N/A</v>
      </c>
      <c r="U110" s="45" t="e">
        <f>VLOOKUP(X110,contoare!A:K,5,FALSE)</f>
        <v>#N/A</v>
      </c>
      <c r="V110" s="45" t="e">
        <f>VLOOKUP(X110,contoare!A:K,8,FALSE)</f>
        <v>#N/A</v>
      </c>
      <c r="W110" s="45" t="e">
        <f>VLOOKUP(X110,contoare!A:K,9,FALSE)</f>
        <v>#N/A</v>
      </c>
      <c r="X110" s="178" t="s">
        <v>524</v>
      </c>
      <c r="Y110" s="43">
        <v>1200</v>
      </c>
      <c r="Z110" s="46">
        <f t="shared" si="44"/>
        <v>4092</v>
      </c>
      <c r="AA110" s="46">
        <f t="shared" si="43"/>
        <v>0</v>
      </c>
      <c r="AB110" s="47">
        <f>Z110</f>
        <v>4092</v>
      </c>
      <c r="AC110" s="338"/>
      <c r="AD110" s="371"/>
    </row>
    <row r="111" spans="1:30" x14ac:dyDescent="0.2">
      <c r="A111" s="356"/>
      <c r="B111" s="64" t="s">
        <v>211</v>
      </c>
      <c r="C111" s="111" t="s">
        <v>203</v>
      </c>
      <c r="D111" s="40">
        <f>VLOOKUP(N111,contoare!A:K,2,FALSE)</f>
        <v>45870</v>
      </c>
      <c r="E111" s="40">
        <f>VLOOKUP(N111,contoare!A:K,3,FALSE)</f>
        <v>45901</v>
      </c>
      <c r="F111" s="41">
        <f>VLOOKUP(N111,contoare!A:K,4,FALSE)</f>
        <v>2179.4360000000001</v>
      </c>
      <c r="G111" s="41">
        <f>VLOOKUP(N111,contoare!A:K,5,FALSE)</f>
        <v>133.18</v>
      </c>
      <c r="H111" s="41">
        <f>VLOOKUP(N111,contoare!A:K,6,FALSE)</f>
        <v>780.94399999999996</v>
      </c>
      <c r="I111" s="41">
        <f>VLOOKUP(N111,contoare!A:K,7,FALSE)</f>
        <v>13.358000000000001</v>
      </c>
      <c r="J111" s="41">
        <f>VLOOKUP(N111,contoare!A:K,8,FALSE)</f>
        <v>2390.5630000000001</v>
      </c>
      <c r="K111" s="41">
        <f>VLOOKUP(N111,contoare!A:K,9,FALSE)</f>
        <v>172.76599999999999</v>
      </c>
      <c r="L111" s="41">
        <f>VLOOKUP(N111,contoare!A:K,10,FALSE)</f>
        <v>967.27300000000002</v>
      </c>
      <c r="M111" s="41">
        <f>VLOOKUP(N111,contoare!A:K,11,FALSE)</f>
        <v>13.359</v>
      </c>
      <c r="N111" s="112" t="s">
        <v>84</v>
      </c>
      <c r="O111" s="39">
        <v>600</v>
      </c>
      <c r="P111" s="69">
        <f t="shared" si="55"/>
        <v>126676.19999999997</v>
      </c>
      <c r="Q111" s="42">
        <f t="shared" ref="Q111:Q120" si="57">(K111-G111)*O111</f>
        <v>23751.599999999991</v>
      </c>
      <c r="R111" s="381">
        <f>P111+P113-Q111</f>
        <v>370171.2</v>
      </c>
      <c r="S111" s="244">
        <f>(R116-R111)/R116</f>
        <v>-0.14264477095937775</v>
      </c>
      <c r="T111" s="41">
        <f>VLOOKUP(X111,contoare!A:K,4,FALSE)</f>
        <v>2179.4360000000001</v>
      </c>
      <c r="U111" s="41">
        <f>VLOOKUP(X111,contoare!A:K,5,FALSE)</f>
        <v>133.18</v>
      </c>
      <c r="V111" s="41">
        <f>VLOOKUP(X111,contoare!A:K,8,FALSE)</f>
        <v>2390.5630000000001</v>
      </c>
      <c r="W111" s="41">
        <f>VLOOKUP(X111,contoare!A:K,9,FALSE)</f>
        <v>172.76599999999999</v>
      </c>
      <c r="X111" s="91" t="s">
        <v>84</v>
      </c>
      <c r="Y111" s="39">
        <v>600</v>
      </c>
      <c r="Z111" s="42">
        <f t="shared" si="44"/>
        <v>126676.19999999997</v>
      </c>
      <c r="AA111" s="42">
        <f t="shared" si="43"/>
        <v>23751.599999999991</v>
      </c>
      <c r="AB111" s="282">
        <f>Z111+Z113-AA111-AA113</f>
        <v>131202</v>
      </c>
      <c r="AC111" s="291">
        <f>(AB116-AB111)/AB116</f>
        <v>0.5950055562415113</v>
      </c>
      <c r="AD111" s="371"/>
    </row>
    <row r="112" spans="1:30" x14ac:dyDescent="0.2">
      <c r="A112" s="356"/>
      <c r="B112" s="65" t="s">
        <v>214</v>
      </c>
      <c r="C112" s="72" t="s">
        <v>206</v>
      </c>
      <c r="D112" s="37">
        <f>VLOOKUP(N112,contoare!A:K,2,FALSE)</f>
        <v>45870</v>
      </c>
      <c r="E112" s="37">
        <f>VLOOKUP(N112,contoare!A:K,3,FALSE)</f>
        <v>45901</v>
      </c>
      <c r="F112" s="38">
        <f>VLOOKUP(N112,contoare!A:K,4,FALSE)</f>
        <v>701.62300000000005</v>
      </c>
      <c r="G112" s="38">
        <f>VLOOKUP(N112,contoare!A:K,5,FALSE)</f>
        <v>1.054</v>
      </c>
      <c r="H112" s="38">
        <f>VLOOKUP(N112,contoare!A:K,6,FALSE)</f>
        <v>3.4089999999999998</v>
      </c>
      <c r="I112" s="38">
        <f>VLOOKUP(N112,contoare!A:K,7,FALSE)</f>
        <v>451.16899999999998</v>
      </c>
      <c r="J112" s="38">
        <f>VLOOKUP(N112,contoare!A:K,8,FALSE)</f>
        <v>1093.107</v>
      </c>
      <c r="K112" s="38">
        <f>VLOOKUP(N112,contoare!A:K,9,FALSE)</f>
        <v>1.4139999999999999</v>
      </c>
      <c r="L112" s="38">
        <f>VLOOKUP(N112,contoare!A:K,10,FALSE)</f>
        <v>7.1870000000000003</v>
      </c>
      <c r="M112" s="38">
        <f>VLOOKUP(N112,contoare!A:K,11,FALSE)</f>
        <v>616.95899999999995</v>
      </c>
      <c r="N112" s="192" t="s">
        <v>81</v>
      </c>
      <c r="O112" s="158">
        <v>300</v>
      </c>
      <c r="P112" s="159">
        <f t="shared" si="55"/>
        <v>117445.19999999998</v>
      </c>
      <c r="Q112" s="159">
        <f t="shared" si="57"/>
        <v>107.99999999999996</v>
      </c>
      <c r="R112" s="382"/>
      <c r="S112" s="245"/>
      <c r="T112" s="38">
        <f>VLOOKUP(X112,contoare!A:K,4,FALSE)</f>
        <v>701.62300000000005</v>
      </c>
      <c r="U112" s="38">
        <f>VLOOKUP(X112,contoare!A:K,5,FALSE)</f>
        <v>1.054</v>
      </c>
      <c r="V112" s="38">
        <f>VLOOKUP(X112,contoare!A:K,8,FALSE)</f>
        <v>1093.107</v>
      </c>
      <c r="W112" s="38">
        <f>VLOOKUP(X112,contoare!A:K,9,FALSE)</f>
        <v>1.4139999999999999</v>
      </c>
      <c r="X112" s="157" t="s">
        <v>81</v>
      </c>
      <c r="Y112" s="158">
        <v>300</v>
      </c>
      <c r="Z112" s="159">
        <f t="shared" si="44"/>
        <v>117445.19999999998</v>
      </c>
      <c r="AA112" s="159">
        <f t="shared" si="43"/>
        <v>107.99999999999996</v>
      </c>
      <c r="AB112" s="283"/>
      <c r="AC112" s="292"/>
      <c r="AD112" s="371"/>
    </row>
    <row r="113" spans="1:30" x14ac:dyDescent="0.2">
      <c r="A113" s="356"/>
      <c r="B113" s="65" t="s">
        <v>210</v>
      </c>
      <c r="C113" s="72" t="s">
        <v>204</v>
      </c>
      <c r="D113" s="37">
        <f>VLOOKUP(N113,contoare!A:K,2,FALSE)</f>
        <v>45870</v>
      </c>
      <c r="E113" s="37">
        <f>VLOOKUP(N113,contoare!A:K,3,FALSE)</f>
        <v>45901</v>
      </c>
      <c r="F113" s="38">
        <f>VLOOKUP(N113,contoare!A:K,4,FALSE)</f>
        <v>3318.95</v>
      </c>
      <c r="G113" s="38">
        <f>VLOOKUP(N113,contoare!A:K,5,FALSE)</f>
        <v>0</v>
      </c>
      <c r="H113" s="38">
        <f>VLOOKUP(N113,contoare!A:K,6,FALSE)</f>
        <v>120.839</v>
      </c>
      <c r="I113" s="38">
        <f>VLOOKUP(N113,contoare!A:K,7,FALSE)</f>
        <v>1347.3820000000001</v>
      </c>
      <c r="J113" s="38">
        <f>VLOOKUP(N113,contoare!A:K,8,FALSE)</f>
        <v>3764.3609999999999</v>
      </c>
      <c r="K113" s="38">
        <f>VLOOKUP(N113,contoare!A:K,9,FALSE)</f>
        <v>0</v>
      </c>
      <c r="L113" s="38">
        <f>VLOOKUP(N113,contoare!A:K,10,FALSE)</f>
        <v>176.97200000000001</v>
      </c>
      <c r="M113" s="38">
        <f>VLOOKUP(N113,contoare!A:K,11,FALSE)</f>
        <v>1366.9069999999999</v>
      </c>
      <c r="N113" s="115" t="s">
        <v>86</v>
      </c>
      <c r="O113" s="26">
        <v>600</v>
      </c>
      <c r="P113" s="70">
        <f>(J113-F113)*O113</f>
        <v>267246.60000000003</v>
      </c>
      <c r="Q113" s="27">
        <f t="shared" si="57"/>
        <v>0</v>
      </c>
      <c r="R113" s="382"/>
      <c r="S113" s="245"/>
      <c r="T113" s="38">
        <f>VLOOKUP(X113,contoare!A:K,4,FALSE)</f>
        <v>617.99</v>
      </c>
      <c r="U113" s="38">
        <f>VLOOKUP(X113,contoare!A:K,5,FALSE)</f>
        <v>0</v>
      </c>
      <c r="V113" s="38">
        <f>VLOOKUP(X113,contoare!A:K,8,FALSE)</f>
        <v>665.11900000000003</v>
      </c>
      <c r="W113" s="38">
        <f>VLOOKUP(X113,contoare!A:K,9,FALSE)</f>
        <v>0</v>
      </c>
      <c r="X113" s="179" t="s">
        <v>80</v>
      </c>
      <c r="Y113" s="26">
        <v>600</v>
      </c>
      <c r="Z113" s="27">
        <f t="shared" si="44"/>
        <v>28277.400000000012</v>
      </c>
      <c r="AA113" s="27">
        <f t="shared" si="43"/>
        <v>0</v>
      </c>
      <c r="AB113" s="283"/>
      <c r="AC113" s="292"/>
      <c r="AD113" s="371"/>
    </row>
    <row r="114" spans="1:30" x14ac:dyDescent="0.2">
      <c r="A114" s="356"/>
      <c r="B114" s="65" t="s">
        <v>213</v>
      </c>
      <c r="C114" s="72" t="s">
        <v>207</v>
      </c>
      <c r="D114" s="37">
        <f>VLOOKUP(N114,contoare!A:K,2,FALSE)</f>
        <v>45870</v>
      </c>
      <c r="E114" s="37">
        <f>VLOOKUP(N114,contoare!A:K,3,FALSE)</f>
        <v>45901</v>
      </c>
      <c r="F114" s="38">
        <f>VLOOKUP(N114,contoare!A:K,4,FALSE)</f>
        <v>622.89700000000005</v>
      </c>
      <c r="G114" s="38">
        <f>VLOOKUP(N114,contoare!A:K,5,FALSE)</f>
        <v>0.64</v>
      </c>
      <c r="H114" s="38">
        <f>VLOOKUP(N114,contoare!A:K,6,FALSE)</f>
        <v>2.31</v>
      </c>
      <c r="I114" s="38">
        <f>VLOOKUP(N114,contoare!A:K,7,FALSE)</f>
        <v>362.02</v>
      </c>
      <c r="J114" s="38">
        <f>VLOOKUP(N114,contoare!A:K,8,FALSE)</f>
        <v>1057.4390000000001</v>
      </c>
      <c r="K114" s="38">
        <f>VLOOKUP(N114,contoare!A:K,9,FALSE)</f>
        <v>0.93700000000000006</v>
      </c>
      <c r="L114" s="38">
        <f>VLOOKUP(N114,contoare!A:K,10,FALSE)</f>
        <v>4.0419999999999998</v>
      </c>
      <c r="M114" s="38">
        <f>VLOOKUP(N114,contoare!A:K,11,FALSE)</f>
        <v>501.28</v>
      </c>
      <c r="N114" s="192" t="s">
        <v>85</v>
      </c>
      <c r="O114" s="158">
        <v>400</v>
      </c>
      <c r="P114" s="159">
        <f>(J114-F114)*O114</f>
        <v>173816.80000000002</v>
      </c>
      <c r="Q114" s="159">
        <f t="shared" si="57"/>
        <v>118.80000000000001</v>
      </c>
      <c r="R114" s="382"/>
      <c r="S114" s="245"/>
      <c r="T114" s="38">
        <f>VLOOKUP(X114,contoare!A:K,4,FALSE)</f>
        <v>622.89700000000005</v>
      </c>
      <c r="U114" s="38">
        <f>VLOOKUP(X114,contoare!A:K,5,FALSE)</f>
        <v>0.64</v>
      </c>
      <c r="V114" s="38">
        <f>VLOOKUP(X114,contoare!A:K,8,FALSE)</f>
        <v>1057.4390000000001</v>
      </c>
      <c r="W114" s="38">
        <f>VLOOKUP(X114,contoare!A:K,9,FALSE)</f>
        <v>0.93700000000000006</v>
      </c>
      <c r="X114" s="157" t="s">
        <v>85</v>
      </c>
      <c r="Y114" s="158">
        <v>400</v>
      </c>
      <c r="Z114" s="159">
        <f t="shared" si="44"/>
        <v>173816.80000000002</v>
      </c>
      <c r="AA114" s="159">
        <f t="shared" si="43"/>
        <v>118.80000000000001</v>
      </c>
      <c r="AB114" s="283"/>
      <c r="AC114" s="292"/>
      <c r="AD114" s="371"/>
    </row>
    <row r="115" spans="1:30" x14ac:dyDescent="0.2">
      <c r="A115" s="356"/>
      <c r="B115" s="65" t="s">
        <v>546</v>
      </c>
      <c r="C115" s="72" t="s">
        <v>546</v>
      </c>
      <c r="D115" s="37">
        <f>VLOOKUP(N115,contoare!A:K,2,FALSE)</f>
        <v>45870</v>
      </c>
      <c r="E115" s="37">
        <f>VLOOKUP(N115,contoare!A:K,3,FALSE)</f>
        <v>45901</v>
      </c>
      <c r="F115" s="38">
        <f>VLOOKUP(N115,contoare!A:K,4,FALSE)</f>
        <v>305.52999999999997</v>
      </c>
      <c r="G115" s="38">
        <f>VLOOKUP(N115,contoare!A:K,5,FALSE)</f>
        <v>1.0900000000000001</v>
      </c>
      <c r="H115" s="38">
        <f>VLOOKUP(N115,contoare!A:K,6,FALSE)</f>
        <v>215.90299999999999</v>
      </c>
      <c r="I115" s="38">
        <f>VLOOKUP(N115,contoare!A:K,7,FALSE)</f>
        <v>6.2E-2</v>
      </c>
      <c r="J115" s="38">
        <f>VLOOKUP(N115,contoare!A:K,8,FALSE)</f>
        <v>386.685</v>
      </c>
      <c r="K115" s="38">
        <f>VLOOKUP(N115,contoare!A:K,9,FALSE)</f>
        <v>1.091</v>
      </c>
      <c r="L115" s="38">
        <f>VLOOKUP(N115,contoare!A:K,10,FALSE)</f>
        <v>270.00099999999998</v>
      </c>
      <c r="M115" s="38">
        <f>VLOOKUP(N115,contoare!A:K,11,FALSE)</f>
        <v>6.2E-2</v>
      </c>
      <c r="N115" s="115" t="s">
        <v>88</v>
      </c>
      <c r="O115" s="26">
        <v>4000</v>
      </c>
      <c r="P115" s="70">
        <f>(J115-F115)*O115</f>
        <v>324620.00000000012</v>
      </c>
      <c r="Q115" s="27">
        <f t="shared" si="57"/>
        <v>3.9999999999995595</v>
      </c>
      <c r="R115" s="62">
        <f t="shared" ref="R115:R121" si="58">P115</f>
        <v>324620.00000000012</v>
      </c>
      <c r="S115" s="245"/>
      <c r="T115" s="38">
        <f>VLOOKUP(X115,contoare!A:K,4,FALSE)</f>
        <v>305.52999999999997</v>
      </c>
      <c r="U115" s="38">
        <f>VLOOKUP(X115,contoare!A:K,5,FALSE)</f>
        <v>1.0900000000000001</v>
      </c>
      <c r="V115" s="38">
        <f>VLOOKUP(X115,contoare!A:K,8,FALSE)</f>
        <v>386.685</v>
      </c>
      <c r="W115" s="38">
        <f>VLOOKUP(X115,contoare!A:K,9,FALSE)</f>
        <v>1.091</v>
      </c>
      <c r="X115" s="92" t="s">
        <v>88</v>
      </c>
      <c r="Y115" s="26">
        <f>O115</f>
        <v>4000</v>
      </c>
      <c r="Z115" s="27">
        <f t="shared" si="44"/>
        <v>324620.00000000012</v>
      </c>
      <c r="AA115" s="27">
        <f t="shared" si="43"/>
        <v>3.9999999999995595</v>
      </c>
      <c r="AB115" s="34">
        <f t="shared" ref="AB115:AB121" si="59">Z115</f>
        <v>324620.00000000012</v>
      </c>
      <c r="AC115" s="292"/>
      <c r="AD115" s="371"/>
    </row>
    <row r="116" spans="1:30" ht="17" thickBot="1" x14ac:dyDescent="0.25">
      <c r="A116" s="356"/>
      <c r="B116" s="66" t="s">
        <v>555</v>
      </c>
      <c r="C116" s="73" t="str">
        <f>"594030200001494937"</f>
        <v>594030200001494937</v>
      </c>
      <c r="D116" s="44" t="s">
        <v>553</v>
      </c>
      <c r="E116" s="44" t="s">
        <v>553</v>
      </c>
      <c r="F116" s="45" t="e">
        <f>VLOOKUP(N116,contoare!A:K,4,FALSE)</f>
        <v>#N/A</v>
      </c>
      <c r="G116" s="45" t="e">
        <f>VLOOKUP(N116,contoare!A:K,5,FALSE)</f>
        <v>#N/A</v>
      </c>
      <c r="H116" s="45" t="e">
        <f>VLOOKUP(N116,contoare!A:K,6,FALSE)</f>
        <v>#N/A</v>
      </c>
      <c r="I116" s="45" t="e">
        <f>VLOOKUP(N116,contoare!A:K,7,FALSE)</f>
        <v>#N/A</v>
      </c>
      <c r="J116" s="45" t="e">
        <f>VLOOKUP(N116,contoare!A:K,8,FALSE)</f>
        <v>#N/A</v>
      </c>
      <c r="K116" s="45" t="e">
        <f>VLOOKUP(N116,contoare!A:K,9,FALSE)</f>
        <v>#N/A</v>
      </c>
      <c r="L116" s="45" t="e">
        <f>VLOOKUP(N116,contoare!A:K,10,FALSE)</f>
        <v>#N/A</v>
      </c>
      <c r="M116" s="45" t="e">
        <f>VLOOKUP(N116,contoare!A:K,11,FALSE)</f>
        <v>#N/A</v>
      </c>
      <c r="N116" s="116" t="s">
        <v>522</v>
      </c>
      <c r="O116" s="43">
        <v>4000</v>
      </c>
      <c r="P116" s="71">
        <v>323960</v>
      </c>
      <c r="Q116" s="46">
        <v>0</v>
      </c>
      <c r="R116" s="68">
        <f t="shared" si="58"/>
        <v>323960</v>
      </c>
      <c r="S116" s="246"/>
      <c r="T116" s="45" t="e">
        <f>VLOOKUP(X116,contoare!A:K,4,FALSE)</f>
        <v>#N/A</v>
      </c>
      <c r="U116" s="45" t="e">
        <f>VLOOKUP(X116,contoare!A:K,5,FALSE)</f>
        <v>#N/A</v>
      </c>
      <c r="V116" s="45" t="e">
        <f>VLOOKUP(X116,contoare!A:K,8,FALSE)</f>
        <v>#N/A</v>
      </c>
      <c r="W116" s="45" t="e">
        <f>VLOOKUP(X116,contoare!A:K,9,FALSE)</f>
        <v>#N/A</v>
      </c>
      <c r="X116" s="94" t="s">
        <v>522</v>
      </c>
      <c r="Y116" s="43">
        <f>O116</f>
        <v>4000</v>
      </c>
      <c r="Z116" s="46">
        <f t="shared" si="44"/>
        <v>323960</v>
      </c>
      <c r="AA116" s="46">
        <f t="shared" si="43"/>
        <v>0</v>
      </c>
      <c r="AB116" s="48">
        <f t="shared" si="59"/>
        <v>323960</v>
      </c>
      <c r="AC116" s="338"/>
      <c r="AD116" s="371"/>
    </row>
    <row r="117" spans="1:30" x14ac:dyDescent="0.2">
      <c r="A117" s="356"/>
      <c r="B117" s="64" t="s">
        <v>209</v>
      </c>
      <c r="C117" s="110" t="s">
        <v>205</v>
      </c>
      <c r="D117" s="40">
        <f>VLOOKUP(N117,contoare!A:K,2,FALSE)</f>
        <v>45870</v>
      </c>
      <c r="E117" s="40">
        <f>VLOOKUP(N117,contoare!A:K,3,FALSE)</f>
        <v>45901</v>
      </c>
      <c r="F117" s="41">
        <f>VLOOKUP(N117,contoare!A:K,4,FALSE)</f>
        <v>617.99</v>
      </c>
      <c r="G117" s="41">
        <f>VLOOKUP(N117,contoare!A:K,5,FALSE)</f>
        <v>0</v>
      </c>
      <c r="H117" s="41">
        <f>VLOOKUP(N117,contoare!A:K,6,FALSE)</f>
        <v>36.988</v>
      </c>
      <c r="I117" s="41">
        <f>VLOOKUP(N117,contoare!A:K,7,FALSE)</f>
        <v>57.456000000000003</v>
      </c>
      <c r="J117" s="41">
        <f>VLOOKUP(N117,contoare!A:K,8,FALSE)</f>
        <v>665.11900000000003</v>
      </c>
      <c r="K117" s="41">
        <f>VLOOKUP(N117,contoare!A:K,9,FALSE)</f>
        <v>0</v>
      </c>
      <c r="L117" s="41">
        <f>VLOOKUP(N117,contoare!A:K,10,FALSE)</f>
        <v>41.189</v>
      </c>
      <c r="M117" s="41">
        <f>VLOOKUP(N117,contoare!A:K,11,FALSE)</f>
        <v>62.694000000000003</v>
      </c>
      <c r="N117" s="112" t="s">
        <v>80</v>
      </c>
      <c r="O117" s="39">
        <v>120</v>
      </c>
      <c r="P117" s="69">
        <f>(J117-F117)*O117</f>
        <v>5655.4800000000023</v>
      </c>
      <c r="Q117" s="42">
        <f t="shared" si="57"/>
        <v>0</v>
      </c>
      <c r="R117" s="63">
        <f t="shared" si="58"/>
        <v>5655.4800000000023</v>
      </c>
      <c r="S117" s="244">
        <f>(R119-R117)/R119</f>
        <v>0.89660157964019305</v>
      </c>
      <c r="T117" s="41">
        <f>VLOOKUP(X117,contoare!A:K,4,FALSE)</f>
        <v>2655.2020000000002</v>
      </c>
      <c r="U117" s="41">
        <f>VLOOKUP(X117,contoare!A:K,5,FALSE)</f>
        <v>6.8390000000000004</v>
      </c>
      <c r="V117" s="41">
        <f>VLOOKUP(X117,contoare!A:K,8,FALSE)</f>
        <v>3010.1370000000002</v>
      </c>
      <c r="W117" s="41">
        <f>VLOOKUP(X117,contoare!A:K,9,FALSE)</f>
        <v>6.859</v>
      </c>
      <c r="X117" s="124" t="s">
        <v>83</v>
      </c>
      <c r="Y117" s="39">
        <v>120</v>
      </c>
      <c r="Z117" s="42">
        <f t="shared" si="44"/>
        <v>42592.2</v>
      </c>
      <c r="AA117" s="42">
        <f t="shared" si="43"/>
        <v>2.3999999999999488</v>
      </c>
      <c r="AB117" s="118">
        <f t="shared" si="59"/>
        <v>42592.2</v>
      </c>
      <c r="AC117" s="291">
        <f>(AB119-AB117)/AB119</f>
        <v>0.22129223343571747</v>
      </c>
      <c r="AD117" s="371"/>
    </row>
    <row r="118" spans="1:30" x14ac:dyDescent="0.2">
      <c r="A118" s="356"/>
      <c r="B118" s="65" t="s">
        <v>560</v>
      </c>
      <c r="C118" s="61" t="s">
        <v>560</v>
      </c>
      <c r="D118" s="37">
        <f>VLOOKUP(N118,contoare!A:K,2,FALSE)</f>
        <v>45870</v>
      </c>
      <c r="E118" s="37">
        <f>VLOOKUP(N118,contoare!A:K,3,FALSE)</f>
        <v>45901</v>
      </c>
      <c r="F118" s="38">
        <f>VLOOKUP(N118,contoare!A:K,4,FALSE)</f>
        <v>328.38299999999998</v>
      </c>
      <c r="G118" s="38">
        <f>VLOOKUP(N118,contoare!A:K,5,FALSE)</f>
        <v>0</v>
      </c>
      <c r="H118" s="38">
        <f>VLOOKUP(N118,contoare!A:K,6,FALSE)</f>
        <v>28.045000000000002</v>
      </c>
      <c r="I118" s="38">
        <f>VLOOKUP(N118,contoare!A:K,7,FALSE)</f>
        <v>99.650999999999996</v>
      </c>
      <c r="J118" s="38">
        <f>VLOOKUP(N118,contoare!A:K,8,FALSE)</f>
        <v>419.80700000000002</v>
      </c>
      <c r="K118" s="38">
        <f>VLOOKUP(N118,contoare!A:K,9,FALSE)</f>
        <v>0</v>
      </c>
      <c r="L118" s="38">
        <f>VLOOKUP(N118,contoare!A:K,10,FALSE)</f>
        <v>44.332999999999998</v>
      </c>
      <c r="M118" s="38">
        <f>VLOOKUP(N118,contoare!A:K,11,FALSE)</f>
        <v>100.935</v>
      </c>
      <c r="N118" s="113" t="s">
        <v>87</v>
      </c>
      <c r="O118" s="26">
        <v>600</v>
      </c>
      <c r="P118" s="70">
        <f>(J118-F118)*O118</f>
        <v>54854.400000000023</v>
      </c>
      <c r="Q118" s="27">
        <f t="shared" si="57"/>
        <v>0</v>
      </c>
      <c r="R118" s="62">
        <f t="shared" si="58"/>
        <v>54854.400000000023</v>
      </c>
      <c r="S118" s="245"/>
      <c r="T118" s="38">
        <f>VLOOKUP(X118,contoare!A:K,4,FALSE)</f>
        <v>421.10700000000003</v>
      </c>
      <c r="U118" s="38">
        <f>VLOOKUP(X118,contoare!A:K,5,FALSE)</f>
        <v>1E-3</v>
      </c>
      <c r="V118" s="38">
        <f>VLOOKUP(X118,contoare!A:K,8,FALSE)</f>
        <v>531.279</v>
      </c>
      <c r="W118" s="38">
        <f>VLOOKUP(X118,contoare!A:K,9,FALSE)</f>
        <v>1E-3</v>
      </c>
      <c r="X118" s="177" t="s">
        <v>69</v>
      </c>
      <c r="Y118" s="26">
        <v>600</v>
      </c>
      <c r="Z118" s="27">
        <f t="shared" si="44"/>
        <v>66103.199999999983</v>
      </c>
      <c r="AA118" s="27">
        <f t="shared" si="43"/>
        <v>0</v>
      </c>
      <c r="AB118" s="101">
        <f t="shared" si="59"/>
        <v>66103.199999999983</v>
      </c>
      <c r="AC118" s="292"/>
      <c r="AD118" s="371"/>
    </row>
    <row r="119" spans="1:30" ht="17" thickBot="1" x14ac:dyDescent="0.25">
      <c r="A119" s="356"/>
      <c r="B119" s="66" t="s">
        <v>556</v>
      </c>
      <c r="C119" s="67" t="str">
        <f>"594030200001243351"</f>
        <v>594030200001243351</v>
      </c>
      <c r="D119" s="44" t="s">
        <v>553</v>
      </c>
      <c r="E119" s="44" t="s">
        <v>553</v>
      </c>
      <c r="F119" s="45" t="e">
        <f>VLOOKUP(N119,contoare!A:K,4,FALSE)</f>
        <v>#N/A</v>
      </c>
      <c r="G119" s="45" t="e">
        <f>VLOOKUP(N119,contoare!A:K,5,FALSE)</f>
        <v>#N/A</v>
      </c>
      <c r="H119" s="45" t="e">
        <f>VLOOKUP(N119,contoare!A:K,6,FALSE)</f>
        <v>#N/A</v>
      </c>
      <c r="I119" s="45" t="e">
        <f>VLOOKUP(N119,contoare!A:K,7,FALSE)</f>
        <v>#N/A</v>
      </c>
      <c r="J119" s="45" t="e">
        <f>VLOOKUP(N119,contoare!A:K,8,FALSE)</f>
        <v>#N/A</v>
      </c>
      <c r="K119" s="45" t="e">
        <f>VLOOKUP(N119,contoare!A:K,9,FALSE)</f>
        <v>#N/A</v>
      </c>
      <c r="L119" s="45" t="e">
        <f>VLOOKUP(N119,contoare!A:K,10,FALSE)</f>
        <v>#N/A</v>
      </c>
      <c r="M119" s="45" t="e">
        <f>VLOOKUP(N119,contoare!A:K,11,FALSE)</f>
        <v>#N/A</v>
      </c>
      <c r="N119" s="117" t="s">
        <v>523</v>
      </c>
      <c r="O119" s="43">
        <v>600</v>
      </c>
      <c r="P119" s="71">
        <v>54696</v>
      </c>
      <c r="Q119" s="46">
        <v>0</v>
      </c>
      <c r="R119" s="68">
        <f t="shared" si="58"/>
        <v>54696</v>
      </c>
      <c r="S119" s="246"/>
      <c r="T119" s="45" t="e">
        <f>VLOOKUP(X119,contoare!A:K,4,FALSE)</f>
        <v>#N/A</v>
      </c>
      <c r="U119" s="45" t="e">
        <f>VLOOKUP(X119,contoare!A:K,5,FALSE)</f>
        <v>#N/A</v>
      </c>
      <c r="V119" s="45" t="e">
        <f>VLOOKUP(X119,contoare!A:K,8,FALSE)</f>
        <v>#N/A</v>
      </c>
      <c r="W119" s="45" t="e">
        <f>VLOOKUP(X119,contoare!A:K,9,FALSE)</f>
        <v>#N/A</v>
      </c>
      <c r="X119" s="178" t="s">
        <v>523</v>
      </c>
      <c r="Y119" s="43">
        <f>O119</f>
        <v>600</v>
      </c>
      <c r="Z119" s="46">
        <f t="shared" si="44"/>
        <v>54696</v>
      </c>
      <c r="AA119" s="46">
        <f t="shared" si="43"/>
        <v>0</v>
      </c>
      <c r="AB119" s="47">
        <f t="shared" si="59"/>
        <v>54696</v>
      </c>
      <c r="AC119" s="338"/>
      <c r="AD119" s="371"/>
    </row>
    <row r="120" spans="1:30" x14ac:dyDescent="0.2">
      <c r="A120" s="240"/>
      <c r="B120" s="35" t="s">
        <v>558</v>
      </c>
      <c r="C120" s="120" t="s">
        <v>559</v>
      </c>
      <c r="D120" s="80">
        <f>VLOOKUP(N120,contoare!A:K,2,FALSE)</f>
        <v>45870</v>
      </c>
      <c r="E120" s="80">
        <f>VLOOKUP(N120,contoare!A:K,3,FALSE)</f>
        <v>45901</v>
      </c>
      <c r="F120" s="81">
        <f>VLOOKUP(N120,contoare!A:K,4,FALSE)</f>
        <v>247.37799999999999</v>
      </c>
      <c r="G120" s="81">
        <f>VLOOKUP(N120,contoare!A:K,5,FALSE)</f>
        <v>0</v>
      </c>
      <c r="H120" s="81">
        <f>VLOOKUP(N120,contoare!A:K,6,FALSE)</f>
        <v>0.51100000000000001</v>
      </c>
      <c r="I120" s="81">
        <f>VLOOKUP(N120,contoare!A:K,7,FALSE)</f>
        <v>27.855</v>
      </c>
      <c r="J120" s="81">
        <f>VLOOKUP(N120,contoare!A:K,8,FALSE)</f>
        <v>281.69799999999998</v>
      </c>
      <c r="K120" s="81">
        <f>VLOOKUP(N120,contoare!A:K,9,FALSE)</f>
        <v>0</v>
      </c>
      <c r="L120" s="81">
        <f>VLOOKUP(N120,contoare!A:K,10,FALSE)</f>
        <v>0.51100000000000001</v>
      </c>
      <c r="M120" s="81">
        <f>VLOOKUP(N120,contoare!A:K,11,FALSE)</f>
        <v>29.765000000000001</v>
      </c>
      <c r="N120" s="98" t="s">
        <v>82</v>
      </c>
      <c r="O120" s="35">
        <v>120</v>
      </c>
      <c r="P120" s="119">
        <f>(J120-F120)*O120</f>
        <v>4118.3999999999996</v>
      </c>
      <c r="Q120" s="36">
        <f t="shared" si="57"/>
        <v>0</v>
      </c>
      <c r="R120" s="122">
        <f t="shared" si="58"/>
        <v>4118.3999999999996</v>
      </c>
      <c r="S120" s="301">
        <f>(R121-R120)/R121</f>
        <v>0.25323662737987312</v>
      </c>
      <c r="T120" s="81">
        <f>VLOOKUP(X120,contoare!A:K,4,FALSE)</f>
        <v>247.37799999999999</v>
      </c>
      <c r="U120" s="81">
        <f>VLOOKUP(X120,contoare!A:K,5,FALSE)</f>
        <v>0</v>
      </c>
      <c r="V120" s="81">
        <f>VLOOKUP(X120,contoare!A:K,8,FALSE)</f>
        <v>281.69799999999998</v>
      </c>
      <c r="W120" s="81">
        <f>VLOOKUP(X120,contoare!A:K,9,FALSE)</f>
        <v>0</v>
      </c>
      <c r="X120" s="180" t="s">
        <v>82</v>
      </c>
      <c r="Y120" s="35">
        <v>160</v>
      </c>
      <c r="Z120" s="36">
        <f t="shared" si="44"/>
        <v>5491.1999999999989</v>
      </c>
      <c r="AA120" s="36">
        <f t="shared" si="43"/>
        <v>0</v>
      </c>
      <c r="AB120" s="121">
        <f t="shared" si="59"/>
        <v>5491.1999999999989</v>
      </c>
      <c r="AC120" s="317">
        <f>(AB121-AB120)/AB121</f>
        <v>4.3155031731642955E-3</v>
      </c>
      <c r="AD120" s="248"/>
    </row>
    <row r="121" spans="1:30" ht="17" thickBot="1" x14ac:dyDescent="0.25">
      <c r="A121" s="345"/>
      <c r="B121" s="49" t="s">
        <v>557</v>
      </c>
      <c r="C121" s="150" t="s">
        <v>208</v>
      </c>
      <c r="D121" s="51" t="s">
        <v>553</v>
      </c>
      <c r="E121" s="51" t="s">
        <v>553</v>
      </c>
      <c r="F121" s="52" t="e">
        <f>VLOOKUP(N121,contoare!A:K,4,FALSE)</f>
        <v>#N/A</v>
      </c>
      <c r="G121" s="52" t="e">
        <f>VLOOKUP(N121,contoare!A:K,5,FALSE)</f>
        <v>#N/A</v>
      </c>
      <c r="H121" s="52" t="e">
        <f>VLOOKUP(N121,contoare!A:K,6,FALSE)</f>
        <v>#N/A</v>
      </c>
      <c r="I121" s="52" t="e">
        <f>VLOOKUP(N121,contoare!A:K,7,FALSE)</f>
        <v>#N/A</v>
      </c>
      <c r="J121" s="52" t="e">
        <f>VLOOKUP(N121,contoare!A:K,8,FALSE)</f>
        <v>#N/A</v>
      </c>
      <c r="K121" s="52" t="e">
        <f>VLOOKUP(N121,contoare!A:K,9,FALSE)</f>
        <v>#N/A</v>
      </c>
      <c r="L121" s="52" t="e">
        <f>VLOOKUP(N121,contoare!A:K,10,FALSE)</f>
        <v>#N/A</v>
      </c>
      <c r="M121" s="52" t="e">
        <f>VLOOKUP(N121,contoare!A:K,11,FALSE)</f>
        <v>#N/A</v>
      </c>
      <c r="N121" s="93">
        <v>2744825</v>
      </c>
      <c r="O121" s="49">
        <v>120</v>
      </c>
      <c r="P121" s="56">
        <v>5515</v>
      </c>
      <c r="Q121" s="49">
        <v>0</v>
      </c>
      <c r="R121" s="151">
        <f t="shared" si="58"/>
        <v>5515</v>
      </c>
      <c r="S121" s="287"/>
      <c r="T121" s="52" t="e">
        <f>VLOOKUP(X121,contoare!A:K,4,FALSE)</f>
        <v>#N/A</v>
      </c>
      <c r="U121" s="52" t="e">
        <f>VLOOKUP(X121,contoare!A:K,5,FALSE)</f>
        <v>#N/A</v>
      </c>
      <c r="V121" s="52" t="e">
        <f>VLOOKUP(X121,contoare!A:K,8,FALSE)</f>
        <v>#N/A</v>
      </c>
      <c r="W121" s="52" t="e">
        <f>VLOOKUP(X121,contoare!A:K,9,FALSE)</f>
        <v>#N/A</v>
      </c>
      <c r="X121" s="181">
        <v>2744825</v>
      </c>
      <c r="Y121" s="49">
        <f>O121</f>
        <v>120</v>
      </c>
      <c r="Z121" s="50">
        <f t="shared" si="44"/>
        <v>5515</v>
      </c>
      <c r="AA121" s="50">
        <f t="shared" si="43"/>
        <v>0</v>
      </c>
      <c r="AB121" s="53">
        <f t="shared" si="59"/>
        <v>5515</v>
      </c>
      <c r="AC121" s="272"/>
      <c r="AD121" s="372"/>
    </row>
    <row r="122" spans="1:30" ht="16" customHeight="1" x14ac:dyDescent="0.2">
      <c r="A122" s="254" t="s">
        <v>734</v>
      </c>
      <c r="B122" s="39" t="s">
        <v>427</v>
      </c>
      <c r="C122" s="110" t="s">
        <v>428</v>
      </c>
      <c r="D122" s="40">
        <f>VLOOKUP(N122,contoare!A:K,2,FALSE)</f>
        <v>45870</v>
      </c>
      <c r="E122" s="40">
        <f>VLOOKUP(N122,contoare!A:K,3,FALSE)</f>
        <v>45901</v>
      </c>
      <c r="F122" s="41">
        <f>VLOOKUP(N122,contoare!A:K,4,FALSE)</f>
        <v>1574.1389999999999</v>
      </c>
      <c r="G122" s="41">
        <f>VLOOKUP(N122,contoare!A:K,5,FALSE)</f>
        <v>15.082000000000001</v>
      </c>
      <c r="H122" s="41">
        <f>VLOOKUP(N122,contoare!A:K,6,FALSE)</f>
        <v>125.312</v>
      </c>
      <c r="I122" s="41">
        <f>VLOOKUP(N122,contoare!A:K,7,FALSE)</f>
        <v>136.91999999999999</v>
      </c>
      <c r="J122" s="41">
        <f>VLOOKUP(N122,contoare!A:K,8,FALSE)</f>
        <v>1774.748</v>
      </c>
      <c r="K122" s="41">
        <f>VLOOKUP(N122,contoare!A:K,9,FALSE)</f>
        <v>16.45</v>
      </c>
      <c r="L122" s="41">
        <f>VLOOKUP(N122,contoare!A:K,10,FALSE)</f>
        <v>167.77099999999999</v>
      </c>
      <c r="M122" s="41">
        <f>VLOOKUP(N122,contoare!A:K,11,FALSE)</f>
        <v>142.11199999999999</v>
      </c>
      <c r="N122" s="91" t="s">
        <v>90</v>
      </c>
      <c r="O122" s="39">
        <v>200</v>
      </c>
      <c r="P122" s="42">
        <f t="shared" ref="P122:P164" si="60">(J122-F122)*O122</f>
        <v>40121.800000000032</v>
      </c>
      <c r="Q122" s="42">
        <f t="shared" ref="Q122:Q164" si="61">(K122-G122)*O122</f>
        <v>273.59999999999968</v>
      </c>
      <c r="R122" s="257">
        <f>P122</f>
        <v>40121.800000000032</v>
      </c>
      <c r="S122" s="259">
        <f>(R125-R122)/R125</f>
        <v>8.1292361238321301E-2</v>
      </c>
      <c r="T122" s="41">
        <f>VLOOKUP(X122,contoare!A:K,4,FALSE)</f>
        <v>1574.1389999999999</v>
      </c>
      <c r="U122" s="41">
        <f>VLOOKUP(X122,contoare!A:K,5,FALSE)</f>
        <v>15.082000000000001</v>
      </c>
      <c r="V122" s="41">
        <f>VLOOKUP(X122,contoare!A:K,8,FALSE)</f>
        <v>1774.748</v>
      </c>
      <c r="W122" s="41">
        <f>VLOOKUP(X122,contoare!A:K,9,FALSE)</f>
        <v>16.45</v>
      </c>
      <c r="X122" s="91" t="s">
        <v>90</v>
      </c>
      <c r="Y122" s="39">
        <v>200</v>
      </c>
      <c r="Z122" s="42">
        <f t="shared" ref="Z122" si="62">IF(LEFT(N122,3)&lt;&gt;"HXE",P122,(V122-T122)*Y122)</f>
        <v>40121.800000000032</v>
      </c>
      <c r="AA122" s="42">
        <f t="shared" ref="AA122" si="63">IF(LEFT(X122,3)&lt;&gt;"HXE",Q122,(W122-U122)*Y122)</f>
        <v>273.59999999999968</v>
      </c>
      <c r="AB122" s="242">
        <f>Z122</f>
        <v>40121.800000000032</v>
      </c>
      <c r="AC122" s="244">
        <f>(AB125-AB122)/AB125</f>
        <v>8.1292361238321301E-2</v>
      </c>
      <c r="AD122" s="262" t="s">
        <v>736</v>
      </c>
    </row>
    <row r="123" spans="1:30" x14ac:dyDescent="0.2">
      <c r="A123" s="255"/>
      <c r="B123" s="26" t="s">
        <v>517</v>
      </c>
      <c r="C123" s="61" t="s">
        <v>518</v>
      </c>
      <c r="D123" s="37">
        <f>VLOOKUP(N123,contoare!A:K,2,FALSE)</f>
        <v>45870</v>
      </c>
      <c r="E123" s="37">
        <f>VLOOKUP(N123,contoare!A:K,3,FALSE)</f>
        <v>45901</v>
      </c>
      <c r="F123" s="38">
        <f>VLOOKUP(N123,contoare!A:K,4,FALSE)</f>
        <v>828.20100000000002</v>
      </c>
      <c r="G123" s="38">
        <f>VLOOKUP(N123,contoare!A:K,5,FALSE)</f>
        <v>4.3879999999999999</v>
      </c>
      <c r="H123" s="38">
        <f>VLOOKUP(N123,contoare!A:K,6,FALSE)</f>
        <v>45.893999999999998</v>
      </c>
      <c r="I123" s="38">
        <f>VLOOKUP(N123,contoare!A:K,7,FALSE)</f>
        <v>170.69499999999999</v>
      </c>
      <c r="J123" s="38">
        <f>VLOOKUP(N123,contoare!A:K,8,FALSE)</f>
        <v>968.25599999999997</v>
      </c>
      <c r="K123" s="38">
        <f>VLOOKUP(N123,contoare!A:K,9,FALSE)</f>
        <v>4.5860000000000003</v>
      </c>
      <c r="L123" s="38">
        <f>VLOOKUP(N123,contoare!A:K,10,FALSE)</f>
        <v>50.210999999999999</v>
      </c>
      <c r="M123" s="38">
        <f>VLOOKUP(N123,contoare!A:K,11,FALSE)</f>
        <v>195.251</v>
      </c>
      <c r="N123" s="157" t="s">
        <v>91</v>
      </c>
      <c r="O123" s="158">
        <v>120</v>
      </c>
      <c r="P123" s="159">
        <f t="shared" si="60"/>
        <v>16806.599999999995</v>
      </c>
      <c r="Q123" s="159">
        <f t="shared" si="61"/>
        <v>23.760000000000048</v>
      </c>
      <c r="R123" s="258"/>
      <c r="S123" s="260"/>
      <c r="T123" s="38">
        <f>VLOOKUP(X123,contoare!A:K,4,FALSE)</f>
        <v>828.20100000000002</v>
      </c>
      <c r="U123" s="38">
        <f>VLOOKUP(X123,contoare!A:K,5,FALSE)</f>
        <v>4.3879999999999999</v>
      </c>
      <c r="V123" s="38">
        <f>VLOOKUP(X123,contoare!A:K,8,FALSE)</f>
        <v>968.25599999999997</v>
      </c>
      <c r="W123" s="38">
        <f>VLOOKUP(X123,contoare!A:K,9,FALSE)</f>
        <v>4.5860000000000003</v>
      </c>
      <c r="X123" s="157" t="s">
        <v>91</v>
      </c>
      <c r="Y123" s="158">
        <v>120</v>
      </c>
      <c r="Z123" s="159">
        <f t="shared" ref="Z123:Z125" si="64">IF(LEFT(N123,3)&lt;&gt;"HXE",P123,(V123-T123)*Y123)</f>
        <v>16806.599999999995</v>
      </c>
      <c r="AA123" s="159">
        <f t="shared" ref="AA123:AA125" si="65">IF(LEFT(X123,3)&lt;&gt;"HXE",Q123,(W123-U123)*Y123)</f>
        <v>23.760000000000048</v>
      </c>
      <c r="AB123" s="243"/>
      <c r="AC123" s="245"/>
      <c r="AD123" s="263"/>
    </row>
    <row r="124" spans="1:30" x14ac:dyDescent="0.2">
      <c r="A124" s="255"/>
      <c r="B124" s="162" t="s">
        <v>533</v>
      </c>
      <c r="C124" s="220" t="s">
        <v>533</v>
      </c>
      <c r="D124" s="161" t="e">
        <f>VLOOKUP(N124,contoare!A:K,2,FALSE)</f>
        <v>#N/A</v>
      </c>
      <c r="E124" s="161" t="e">
        <f>VLOOKUP(N124,contoare!A:K,3,FALSE)</f>
        <v>#N/A</v>
      </c>
      <c r="F124" s="162" t="e">
        <f>VLOOKUP(N124,contoare!A:K,4,FALSE)</f>
        <v>#N/A</v>
      </c>
      <c r="G124" s="162" t="e">
        <f>VLOOKUP(N124,contoare!A:K,5,FALSE)</f>
        <v>#N/A</v>
      </c>
      <c r="H124" s="162" t="e">
        <f>VLOOKUP(N124,contoare!A:K,6,FALSE)</f>
        <v>#N/A</v>
      </c>
      <c r="I124" s="162" t="e">
        <f>VLOOKUP(N124,contoare!A:K,7,FALSE)</f>
        <v>#N/A</v>
      </c>
      <c r="J124" s="162" t="e">
        <f>VLOOKUP(N124,contoare!A:K,8,FALSE)</f>
        <v>#N/A</v>
      </c>
      <c r="K124" s="162" t="e">
        <f>VLOOKUP(N124,contoare!A:K,9,FALSE)</f>
        <v>#N/A</v>
      </c>
      <c r="L124" s="162" t="e">
        <f>VLOOKUP(N124,contoare!A:K,10,FALSE)</f>
        <v>#N/A</v>
      </c>
      <c r="M124" s="162" t="e">
        <f>VLOOKUP(N124,contoare!A:K,11,FALSE)</f>
        <v>#N/A</v>
      </c>
      <c r="N124" s="167" t="s">
        <v>533</v>
      </c>
      <c r="O124" s="162">
        <v>800</v>
      </c>
      <c r="P124" s="164" t="e">
        <f t="shared" ref="P124" si="66">(J124-F124)*O124</f>
        <v>#N/A</v>
      </c>
      <c r="Q124" s="164" t="e">
        <f t="shared" ref="Q124" si="67">(K124-G124)*O124</f>
        <v>#N/A</v>
      </c>
      <c r="R124" s="164" t="e">
        <f t="shared" ref="R124:R125" si="68">P124</f>
        <v>#N/A</v>
      </c>
      <c r="S124" s="260"/>
      <c r="T124" s="38" t="e">
        <f>VLOOKUP(X124,contoare!A:K,4,FALSE)</f>
        <v>#N/A</v>
      </c>
      <c r="U124" s="38" t="e">
        <f>VLOOKUP(X124,contoare!A:K,5,FALSE)</f>
        <v>#N/A</v>
      </c>
      <c r="V124" s="38" t="e">
        <f>VLOOKUP(X124,contoare!A:K,8,FALSE)</f>
        <v>#N/A</v>
      </c>
      <c r="W124" s="38" t="e">
        <f>VLOOKUP(X124,contoare!A:K,9,FALSE)</f>
        <v>#N/A</v>
      </c>
      <c r="X124" s="167" t="s">
        <v>533</v>
      </c>
      <c r="Y124" s="162">
        <v>800</v>
      </c>
      <c r="Z124" s="164" t="e">
        <f t="shared" si="64"/>
        <v>#N/A</v>
      </c>
      <c r="AA124" s="164" t="e">
        <f t="shared" si="65"/>
        <v>#N/A</v>
      </c>
      <c r="AB124" s="164" t="e">
        <f t="shared" ref="AB124:AB125" si="69">Z124</f>
        <v>#N/A</v>
      </c>
      <c r="AC124" s="245"/>
      <c r="AD124" s="263"/>
    </row>
    <row r="125" spans="1:30" ht="17" thickBot="1" x14ac:dyDescent="0.25">
      <c r="A125" s="256"/>
      <c r="B125" s="43" t="s">
        <v>677</v>
      </c>
      <c r="C125" s="67" t="s">
        <v>678</v>
      </c>
      <c r="D125" s="44" t="e">
        <f>VLOOKUP(N125,contoare!A:K,2,FALSE)</f>
        <v>#N/A</v>
      </c>
      <c r="E125" s="44" t="e">
        <f>VLOOKUP(N125,contoare!A:K,3,FALSE)</f>
        <v>#N/A</v>
      </c>
      <c r="F125" s="45" t="e">
        <f>VLOOKUP(N125,contoare!A:K,4,FALSE)</f>
        <v>#N/A</v>
      </c>
      <c r="G125" s="45" t="e">
        <f>VLOOKUP(N125,contoare!A:K,5,FALSE)</f>
        <v>#N/A</v>
      </c>
      <c r="H125" s="45" t="e">
        <f>VLOOKUP(N125,contoare!A:K,6,FALSE)</f>
        <v>#N/A</v>
      </c>
      <c r="I125" s="45" t="e">
        <f>VLOOKUP(N125,contoare!A:K,7,FALSE)</f>
        <v>#N/A</v>
      </c>
      <c r="J125" s="45" t="e">
        <f>VLOOKUP(N125,contoare!A:K,8,FALSE)</f>
        <v>#N/A</v>
      </c>
      <c r="K125" s="45" t="e">
        <f>VLOOKUP(N125,contoare!A:K,9,FALSE)</f>
        <v>#N/A</v>
      </c>
      <c r="L125" s="45" t="e">
        <f>VLOOKUP(N125,contoare!A:K,10,FALSE)</f>
        <v>#N/A</v>
      </c>
      <c r="M125" s="45" t="e">
        <f>VLOOKUP(N125,contoare!A:K,11,FALSE)</f>
        <v>#N/A</v>
      </c>
      <c r="N125" s="94" t="s">
        <v>679</v>
      </c>
      <c r="O125" s="43">
        <v>800</v>
      </c>
      <c r="P125" s="46">
        <v>43672</v>
      </c>
      <c r="Q125" s="46">
        <v>231</v>
      </c>
      <c r="R125" s="149">
        <f t="shared" si="68"/>
        <v>43672</v>
      </c>
      <c r="S125" s="261"/>
      <c r="T125" s="45" t="e">
        <f>VLOOKUP(X125,contoare!A:K,4,FALSE)</f>
        <v>#N/A</v>
      </c>
      <c r="U125" s="45" t="e">
        <f>VLOOKUP(X125,contoare!A:K,5,FALSE)</f>
        <v>#N/A</v>
      </c>
      <c r="V125" s="45" t="e">
        <f>VLOOKUP(X125,contoare!A:K,8,FALSE)</f>
        <v>#N/A</v>
      </c>
      <c r="W125" s="45" t="e">
        <f>VLOOKUP(X125,contoare!A:K,9,FALSE)</f>
        <v>#N/A</v>
      </c>
      <c r="X125" s="94" t="s">
        <v>679</v>
      </c>
      <c r="Y125" s="43">
        <v>800</v>
      </c>
      <c r="Z125" s="46">
        <f t="shared" si="64"/>
        <v>43672</v>
      </c>
      <c r="AA125" s="46">
        <f t="shared" si="65"/>
        <v>231</v>
      </c>
      <c r="AB125" s="47">
        <f t="shared" si="69"/>
        <v>43672</v>
      </c>
      <c r="AC125" s="246"/>
      <c r="AD125" s="264"/>
    </row>
    <row r="126" spans="1:30" x14ac:dyDescent="0.2">
      <c r="A126" s="351" t="s">
        <v>737</v>
      </c>
      <c r="B126" s="146" t="s">
        <v>321</v>
      </c>
      <c r="C126" s="152" t="s">
        <v>322</v>
      </c>
      <c r="D126" s="80">
        <f>VLOOKUP(N126,contoare!A:K,2,FALSE)</f>
        <v>45870</v>
      </c>
      <c r="E126" s="80">
        <f>VLOOKUP(N126,contoare!A:K,3,FALSE)</f>
        <v>45901</v>
      </c>
      <c r="F126" s="81">
        <f>VLOOKUP(N126,contoare!A:K,4,FALSE)</f>
        <v>3241.1120000000001</v>
      </c>
      <c r="G126" s="81">
        <f>VLOOKUP(N126,contoare!A:K,5,FALSE)</f>
        <v>0.26300000000000001</v>
      </c>
      <c r="H126" s="81">
        <f>VLOOKUP(N126,contoare!A:K,6,FALSE)</f>
        <v>457.27699999999999</v>
      </c>
      <c r="I126" s="81">
        <f>VLOOKUP(N126,contoare!A:K,7,FALSE)</f>
        <v>7.6689999999999996</v>
      </c>
      <c r="J126" s="81">
        <f>VLOOKUP(N126,contoare!A:K,8,FALSE)</f>
        <v>3850.2829999999999</v>
      </c>
      <c r="K126" s="81">
        <f>VLOOKUP(N126,contoare!A:K,9,FALSE)</f>
        <v>0.26300000000000001</v>
      </c>
      <c r="L126" s="81">
        <f>VLOOKUP(N126,contoare!A:K,10,FALSE)</f>
        <v>590.33000000000004</v>
      </c>
      <c r="M126" s="81">
        <f>VLOOKUP(N126,contoare!A:K,11,FALSE)</f>
        <v>7.6859999999999999</v>
      </c>
      <c r="N126" s="98" t="s">
        <v>96</v>
      </c>
      <c r="O126" s="35">
        <v>800</v>
      </c>
      <c r="P126" s="36">
        <f t="shared" si="60"/>
        <v>487336.79999999987</v>
      </c>
      <c r="Q126" s="36">
        <f t="shared" si="61"/>
        <v>0</v>
      </c>
      <c r="R126" s="300">
        <f>P126+P127</f>
        <v>1168235.1999999995</v>
      </c>
      <c r="S126" s="301">
        <f>(R130-R126)/R130</f>
        <v>-0.40224121375071958</v>
      </c>
      <c r="T126" s="81">
        <f>VLOOKUP(X126,contoare!A:K,4,FALSE)</f>
        <v>3025.8760000000002</v>
      </c>
      <c r="U126" s="81">
        <f>VLOOKUP(X126,contoare!A:K,5,FALSE)</f>
        <v>0</v>
      </c>
      <c r="V126" s="81">
        <f>VLOOKUP(X126,contoare!A:K,8,FALSE)</f>
        <v>3592.8359999999998</v>
      </c>
      <c r="W126" s="81">
        <f>VLOOKUP(X126,contoare!A:K,9,FALSE)</f>
        <v>0</v>
      </c>
      <c r="X126" s="182" t="s">
        <v>95</v>
      </c>
      <c r="Y126" s="35">
        <v>800</v>
      </c>
      <c r="Z126" s="36">
        <f t="shared" si="44"/>
        <v>453567.99999999965</v>
      </c>
      <c r="AA126" s="36">
        <f t="shared" si="43"/>
        <v>0</v>
      </c>
      <c r="AB126" s="302">
        <f>Z126+Z127</f>
        <v>822812.7999999997</v>
      </c>
      <c r="AC126" s="304">
        <f>(AB130-AB126)/AB130</f>
        <v>1.2371807182639119E-2</v>
      </c>
      <c r="AD126" s="379" t="s">
        <v>574</v>
      </c>
    </row>
    <row r="127" spans="1:30" x14ac:dyDescent="0.2">
      <c r="A127" s="352"/>
      <c r="B127" s="65" t="s">
        <v>323</v>
      </c>
      <c r="C127" s="72" t="s">
        <v>324</v>
      </c>
      <c r="D127" s="37">
        <f>VLOOKUP(N127,contoare!A:K,2,FALSE)</f>
        <v>45870</v>
      </c>
      <c r="E127" s="37">
        <f>VLOOKUP(N127,contoare!A:K,3,FALSE)</f>
        <v>45901</v>
      </c>
      <c r="F127" s="38">
        <f>VLOOKUP(N127,contoare!A:K,4,FALSE)</f>
        <v>5238.433</v>
      </c>
      <c r="G127" s="38">
        <f>VLOOKUP(N127,contoare!A:K,5,FALSE)</f>
        <v>0</v>
      </c>
      <c r="H127" s="38">
        <f>VLOOKUP(N127,contoare!A:K,6,FALSE)</f>
        <v>449.541</v>
      </c>
      <c r="I127" s="38">
        <f>VLOOKUP(N127,contoare!A:K,7,FALSE)</f>
        <v>32.593000000000004</v>
      </c>
      <c r="J127" s="38">
        <f>VLOOKUP(N127,contoare!A:K,8,FALSE)</f>
        <v>6089.5559999999996</v>
      </c>
      <c r="K127" s="38">
        <f>VLOOKUP(N127,contoare!A:K,9,FALSE)</f>
        <v>0</v>
      </c>
      <c r="L127" s="38">
        <f>VLOOKUP(N127,contoare!A:K,10,FALSE)</f>
        <v>614.75599999999997</v>
      </c>
      <c r="M127" s="38">
        <f>VLOOKUP(N127,contoare!A:K,11,FALSE)</f>
        <v>34.088000000000001</v>
      </c>
      <c r="N127" s="92" t="s">
        <v>94</v>
      </c>
      <c r="O127" s="26">
        <v>800</v>
      </c>
      <c r="P127" s="27">
        <f t="shared" si="60"/>
        <v>680898.39999999967</v>
      </c>
      <c r="Q127" s="27">
        <f t="shared" si="61"/>
        <v>0</v>
      </c>
      <c r="R127" s="283"/>
      <c r="S127" s="245"/>
      <c r="T127" s="38">
        <f>VLOOKUP(X127,contoare!A:K,4,FALSE)</f>
        <v>3081.9589999999998</v>
      </c>
      <c r="U127" s="38">
        <f>VLOOKUP(X127,contoare!A:K,5,FALSE)</f>
        <v>0</v>
      </c>
      <c r="V127" s="38">
        <f>VLOOKUP(X127,contoare!A:K,8,FALSE)</f>
        <v>3543.5149999999999</v>
      </c>
      <c r="W127" s="38">
        <f>VLOOKUP(X127,contoare!A:K,9,FALSE)</f>
        <v>0</v>
      </c>
      <c r="X127" s="97" t="s">
        <v>92</v>
      </c>
      <c r="Y127" s="26">
        <v>800</v>
      </c>
      <c r="Z127" s="27">
        <f t="shared" si="44"/>
        <v>369244.80000000005</v>
      </c>
      <c r="AA127" s="27">
        <f t="shared" si="43"/>
        <v>0</v>
      </c>
      <c r="AB127" s="303"/>
      <c r="AC127" s="305"/>
      <c r="AD127" s="368"/>
    </row>
    <row r="128" spans="1:30" x14ac:dyDescent="0.2">
      <c r="A128" s="352"/>
      <c r="B128" s="65" t="s">
        <v>473</v>
      </c>
      <c r="C128" s="72" t="s">
        <v>474</v>
      </c>
      <c r="D128" s="37">
        <f>VLOOKUP(N128,contoare!A:K,2,FALSE)</f>
        <v>45870</v>
      </c>
      <c r="E128" s="37">
        <f>VLOOKUP(N128,contoare!A:K,3,FALSE)</f>
        <v>45901</v>
      </c>
      <c r="F128" s="38">
        <f>VLOOKUP(N128,contoare!A:K,4,FALSE)</f>
        <v>2327.2020000000002</v>
      </c>
      <c r="G128" s="38">
        <f>VLOOKUP(N128,contoare!A:K,5,FALSE)</f>
        <v>1.736</v>
      </c>
      <c r="H128" s="38">
        <f>VLOOKUP(N128,contoare!A:K,6,FALSE)</f>
        <v>18.048999999999999</v>
      </c>
      <c r="I128" s="38">
        <f>VLOOKUP(N128,contoare!A:K,7,FALSE)</f>
        <v>2.2690000000000001</v>
      </c>
      <c r="J128" s="38">
        <f>VLOOKUP(N128,contoare!A:K,8,FALSE)</f>
        <v>2780.029</v>
      </c>
      <c r="K128" s="38">
        <f>VLOOKUP(N128,contoare!A:K,9,FALSE)</f>
        <v>1.9159999999999999</v>
      </c>
      <c r="L128" s="38">
        <f>VLOOKUP(N128,contoare!A:K,10,FALSE)</f>
        <v>20.388000000000002</v>
      </c>
      <c r="M128" s="38">
        <f>VLOOKUP(N128,contoare!A:K,11,FALSE)</f>
        <v>2.556</v>
      </c>
      <c r="N128" s="157" t="s">
        <v>93</v>
      </c>
      <c r="O128" s="158">
        <v>160</v>
      </c>
      <c r="P128" s="159">
        <f t="shared" ref="P128:P136" si="70">(J128-F128)*O128</f>
        <v>72452.319999999963</v>
      </c>
      <c r="Q128" s="159">
        <f t="shared" ref="Q128:Q136" si="71">(K128-G128)*O128</f>
        <v>28.79999999999999</v>
      </c>
      <c r="R128" s="283"/>
      <c r="S128" s="245"/>
      <c r="T128" s="38">
        <f>VLOOKUP(X128,contoare!A:K,4,FALSE)</f>
        <v>2327.2020000000002</v>
      </c>
      <c r="U128" s="38">
        <f>VLOOKUP(X128,contoare!A:K,5,FALSE)</f>
        <v>1.736</v>
      </c>
      <c r="V128" s="38">
        <f>VLOOKUP(X128,contoare!A:K,8,FALSE)</f>
        <v>2780.029</v>
      </c>
      <c r="W128" s="38">
        <f>VLOOKUP(X128,contoare!A:K,9,FALSE)</f>
        <v>1.9159999999999999</v>
      </c>
      <c r="X128" s="92" t="s">
        <v>93</v>
      </c>
      <c r="Y128" s="26">
        <v>160</v>
      </c>
      <c r="Z128" s="27">
        <f t="shared" si="44"/>
        <v>72452.319999999963</v>
      </c>
      <c r="AA128" s="27">
        <f t="shared" si="43"/>
        <v>28.79999999999999</v>
      </c>
      <c r="AB128" s="303"/>
      <c r="AC128" s="305"/>
      <c r="AD128" s="368"/>
    </row>
    <row r="129" spans="1:30" x14ac:dyDescent="0.2">
      <c r="A129" s="352"/>
      <c r="B129" s="65" t="s">
        <v>545</v>
      </c>
      <c r="C129" s="72" t="s">
        <v>545</v>
      </c>
      <c r="D129" s="37">
        <f>VLOOKUP(N129,contoare!A:K,2,FALSE)</f>
        <v>45870</v>
      </c>
      <c r="E129" s="37">
        <f>VLOOKUP(N129,contoare!A:K,3,FALSE)</f>
        <v>45901</v>
      </c>
      <c r="F129" s="38">
        <f>VLOOKUP(N129,contoare!A:K,4,FALSE)</f>
        <v>201.06399999999999</v>
      </c>
      <c r="G129" s="38">
        <f>VLOOKUP(N129,contoare!A:K,5,FALSE)</f>
        <v>0</v>
      </c>
      <c r="H129" s="38">
        <f>VLOOKUP(N129,contoare!A:K,6,FALSE)</f>
        <v>48.808999999999997</v>
      </c>
      <c r="I129" s="38">
        <f>VLOOKUP(N129,contoare!A:K,7,FALSE)</f>
        <v>4.0000000000000001E-3</v>
      </c>
      <c r="J129" s="38">
        <f>VLOOKUP(N129,contoare!A:K,8,FALSE)</f>
        <v>274.84100000000001</v>
      </c>
      <c r="K129" s="38">
        <f>VLOOKUP(N129,contoare!A:K,9,FALSE)</f>
        <v>0</v>
      </c>
      <c r="L129" s="38">
        <f>VLOOKUP(N129,contoare!A:K,10,FALSE)</f>
        <v>70.331999999999994</v>
      </c>
      <c r="M129" s="38">
        <f>VLOOKUP(N129,contoare!A:K,11,FALSE)</f>
        <v>4.0000000000000001E-3</v>
      </c>
      <c r="N129" s="92" t="s">
        <v>97</v>
      </c>
      <c r="O129" s="26">
        <v>16000</v>
      </c>
      <c r="P129" s="27">
        <f t="shared" si="70"/>
        <v>1180432.0000000002</v>
      </c>
      <c r="Q129" s="27">
        <f t="shared" si="71"/>
        <v>0</v>
      </c>
      <c r="R129" s="102">
        <f>P129</f>
        <v>1180432.0000000002</v>
      </c>
      <c r="S129" s="245"/>
      <c r="T129" s="38">
        <f>VLOOKUP(X129,contoare!A:K,4,FALSE)</f>
        <v>139.934</v>
      </c>
      <c r="U129" s="38">
        <f>VLOOKUP(X129,contoare!A:K,5,FALSE)</f>
        <v>0</v>
      </c>
      <c r="V129" s="38">
        <f>VLOOKUP(X129,contoare!A:K,8,FALSE)</f>
        <v>191.922</v>
      </c>
      <c r="W129" s="38">
        <f>VLOOKUP(X129,contoare!A:K,9,FALSE)</f>
        <v>0</v>
      </c>
      <c r="X129" s="97" t="s">
        <v>98</v>
      </c>
      <c r="Y129" s="26">
        <v>16000</v>
      </c>
      <c r="Z129" s="27">
        <f t="shared" si="44"/>
        <v>831808</v>
      </c>
      <c r="AA129" s="27">
        <f t="shared" si="43"/>
        <v>0</v>
      </c>
      <c r="AB129" s="103">
        <f>Z129</f>
        <v>831808</v>
      </c>
      <c r="AC129" s="305"/>
      <c r="AD129" s="368"/>
    </row>
    <row r="130" spans="1:30" ht="17" thickBot="1" x14ac:dyDescent="0.25">
      <c r="A130" s="352"/>
      <c r="B130" s="66" t="s">
        <v>569</v>
      </c>
      <c r="C130" s="73" t="s">
        <v>568</v>
      </c>
      <c r="D130" s="44" t="e">
        <f>VLOOKUP(N130,contoare!A:K,2,FALSE)</f>
        <v>#N/A</v>
      </c>
      <c r="E130" s="44" t="e">
        <f>VLOOKUP(N130,contoare!A:K,3,FALSE)</f>
        <v>#N/A</v>
      </c>
      <c r="F130" s="45" t="e">
        <f>VLOOKUP(N130,contoare!A:K,4,FALSE)</f>
        <v>#N/A</v>
      </c>
      <c r="G130" s="45" t="e">
        <f>VLOOKUP(N130,contoare!A:K,5,FALSE)</f>
        <v>#N/A</v>
      </c>
      <c r="H130" s="45" t="e">
        <f>VLOOKUP(N130,contoare!A:K,6,FALSE)</f>
        <v>#N/A</v>
      </c>
      <c r="I130" s="45" t="e">
        <f>VLOOKUP(N130,contoare!A:K,7,FALSE)</f>
        <v>#N/A</v>
      </c>
      <c r="J130" s="45" t="e">
        <f>VLOOKUP(N130,contoare!A:K,8,FALSE)</f>
        <v>#N/A</v>
      </c>
      <c r="K130" s="45" t="e">
        <f>VLOOKUP(N130,contoare!A:K,9,FALSE)</f>
        <v>#N/A</v>
      </c>
      <c r="L130" s="45" t="e">
        <f>VLOOKUP(N130,contoare!A:K,10,FALSE)</f>
        <v>#N/A</v>
      </c>
      <c r="M130" s="45" t="e">
        <f>VLOOKUP(N130,contoare!A:K,11,FALSE)</f>
        <v>#N/A</v>
      </c>
      <c r="N130" s="94" t="s">
        <v>572</v>
      </c>
      <c r="O130" s="43">
        <v>16000</v>
      </c>
      <c r="P130" s="46">
        <v>833120</v>
      </c>
      <c r="Q130" s="46">
        <v>0</v>
      </c>
      <c r="R130" s="105">
        <f>P130</f>
        <v>833120</v>
      </c>
      <c r="S130" s="246"/>
      <c r="T130" s="45" t="e">
        <f>VLOOKUP(X130,contoare!A:K,4,FALSE)</f>
        <v>#N/A</v>
      </c>
      <c r="U130" s="45" t="e">
        <f>VLOOKUP(X130,contoare!A:K,5,FALSE)</f>
        <v>#N/A</v>
      </c>
      <c r="V130" s="45" t="e">
        <f>VLOOKUP(X130,contoare!A:K,8,FALSE)</f>
        <v>#N/A</v>
      </c>
      <c r="W130" s="45" t="e">
        <f>VLOOKUP(X130,contoare!A:K,9,FALSE)</f>
        <v>#N/A</v>
      </c>
      <c r="X130" s="94" t="s">
        <v>572</v>
      </c>
      <c r="Y130" s="43">
        <v>16000</v>
      </c>
      <c r="Z130" s="46">
        <f t="shared" si="44"/>
        <v>833120</v>
      </c>
      <c r="AA130" s="46">
        <f t="shared" si="43"/>
        <v>0</v>
      </c>
      <c r="AB130" s="104">
        <f>Z130</f>
        <v>833120</v>
      </c>
      <c r="AC130" s="306"/>
      <c r="AD130" s="368"/>
    </row>
    <row r="131" spans="1:30" x14ac:dyDescent="0.2">
      <c r="A131" s="352"/>
      <c r="B131" s="64" t="s">
        <v>325</v>
      </c>
      <c r="C131" s="111" t="s">
        <v>326</v>
      </c>
      <c r="D131" s="40">
        <f>VLOOKUP(N131,contoare!A:K,2,FALSE)</f>
        <v>45870</v>
      </c>
      <c r="E131" s="40">
        <f>VLOOKUP(N131,contoare!A:K,3,FALSE)</f>
        <v>45901</v>
      </c>
      <c r="F131" s="41">
        <f>VLOOKUP(N131,contoare!A:K,4,FALSE)</f>
        <v>3025.8760000000002</v>
      </c>
      <c r="G131" s="41">
        <f>VLOOKUP(N131,contoare!A:K,5,FALSE)</f>
        <v>0</v>
      </c>
      <c r="H131" s="41">
        <f>VLOOKUP(N131,contoare!A:K,6,FALSE)</f>
        <v>659.86500000000001</v>
      </c>
      <c r="I131" s="41">
        <f>VLOOKUP(N131,contoare!A:K,7,FALSE)</f>
        <v>5.0000000000000001E-3</v>
      </c>
      <c r="J131" s="41">
        <f>VLOOKUP(N131,contoare!A:K,8,FALSE)</f>
        <v>3592.8359999999998</v>
      </c>
      <c r="K131" s="41">
        <f>VLOOKUP(N131,contoare!A:K,9,FALSE)</f>
        <v>0</v>
      </c>
      <c r="L131" s="41">
        <f>VLOOKUP(N131,contoare!A:K,10,FALSE)</f>
        <v>818.86099999999999</v>
      </c>
      <c r="M131" s="41">
        <f>VLOOKUP(N131,contoare!A:K,11,FALSE)</f>
        <v>6.0000000000000001E-3</v>
      </c>
      <c r="N131" s="91" t="s">
        <v>95</v>
      </c>
      <c r="O131" s="39">
        <v>800</v>
      </c>
      <c r="P131" s="42">
        <f t="shared" si="70"/>
        <v>453567.99999999965</v>
      </c>
      <c r="Q131" s="42">
        <f t="shared" si="71"/>
        <v>0</v>
      </c>
      <c r="R131" s="282">
        <f>P131+P132</f>
        <v>822812.7999999997</v>
      </c>
      <c r="S131" s="244">
        <f>(R134-R131)/R134</f>
        <v>0.30373950717573817</v>
      </c>
      <c r="T131" s="41">
        <f>VLOOKUP(X131,contoare!A:K,4,FALSE)</f>
        <v>3241.1120000000001</v>
      </c>
      <c r="U131" s="41">
        <f>VLOOKUP(X131,contoare!A:K,5,FALSE)</f>
        <v>0.26300000000000001</v>
      </c>
      <c r="V131" s="41">
        <f>VLOOKUP(X131,contoare!A:K,8,FALSE)</f>
        <v>3850.2829999999999</v>
      </c>
      <c r="W131" s="41">
        <f>VLOOKUP(X131,contoare!A:K,9,FALSE)</f>
        <v>0.26300000000000001</v>
      </c>
      <c r="X131" s="124" t="s">
        <v>96</v>
      </c>
      <c r="Y131" s="39">
        <v>800</v>
      </c>
      <c r="Z131" s="42">
        <f t="shared" si="44"/>
        <v>487336.79999999987</v>
      </c>
      <c r="AA131" s="42">
        <f t="shared" si="43"/>
        <v>0</v>
      </c>
      <c r="AB131" s="307">
        <f>Z131+Z132</f>
        <v>1168235.1999999995</v>
      </c>
      <c r="AC131" s="308">
        <f>(AB134-AB131)/AB134</f>
        <v>1.1444624966152613E-2</v>
      </c>
      <c r="AD131" s="368"/>
    </row>
    <row r="132" spans="1:30" x14ac:dyDescent="0.2">
      <c r="A132" s="352"/>
      <c r="B132" s="65" t="s">
        <v>327</v>
      </c>
      <c r="C132" s="72" t="s">
        <v>328</v>
      </c>
      <c r="D132" s="37">
        <f>VLOOKUP(N132,contoare!A:K,2,FALSE)</f>
        <v>45870</v>
      </c>
      <c r="E132" s="37">
        <f>VLOOKUP(N132,contoare!A:K,3,FALSE)</f>
        <v>45901</v>
      </c>
      <c r="F132" s="38">
        <f>VLOOKUP(N132,contoare!A:K,4,FALSE)</f>
        <v>3081.9589999999998</v>
      </c>
      <c r="G132" s="38">
        <f>VLOOKUP(N132,contoare!A:K,5,FALSE)</f>
        <v>0</v>
      </c>
      <c r="H132" s="38">
        <f>VLOOKUP(N132,contoare!A:K,6,FALSE)</f>
        <v>98.858999999999995</v>
      </c>
      <c r="I132" s="38">
        <f>VLOOKUP(N132,contoare!A:K,7,FALSE)</f>
        <v>24.884</v>
      </c>
      <c r="J132" s="38">
        <f>VLOOKUP(N132,contoare!A:K,8,FALSE)</f>
        <v>3543.5149999999999</v>
      </c>
      <c r="K132" s="38">
        <f>VLOOKUP(N132,contoare!A:K,9,FALSE)</f>
        <v>0</v>
      </c>
      <c r="L132" s="38">
        <f>VLOOKUP(N132,contoare!A:K,10,FALSE)</f>
        <v>135.01599999999999</v>
      </c>
      <c r="M132" s="38">
        <f>VLOOKUP(N132,contoare!A:K,11,FALSE)</f>
        <v>27.259</v>
      </c>
      <c r="N132" s="92" t="s">
        <v>92</v>
      </c>
      <c r="O132" s="26">
        <v>800</v>
      </c>
      <c r="P132" s="27">
        <f t="shared" si="70"/>
        <v>369244.80000000005</v>
      </c>
      <c r="Q132" s="27">
        <f t="shared" si="71"/>
        <v>0</v>
      </c>
      <c r="R132" s="283"/>
      <c r="S132" s="245"/>
      <c r="T132" s="38">
        <f>VLOOKUP(X132,contoare!A:K,4,FALSE)</f>
        <v>5238.433</v>
      </c>
      <c r="U132" s="38">
        <f>VLOOKUP(X132,contoare!A:K,5,FALSE)</f>
        <v>0</v>
      </c>
      <c r="V132" s="38">
        <f>VLOOKUP(X132,contoare!A:K,8,FALSE)</f>
        <v>6089.5559999999996</v>
      </c>
      <c r="W132" s="38">
        <f>VLOOKUP(X132,contoare!A:K,9,FALSE)</f>
        <v>0</v>
      </c>
      <c r="X132" s="97" t="s">
        <v>94</v>
      </c>
      <c r="Y132" s="26">
        <v>800</v>
      </c>
      <c r="Z132" s="27">
        <f t="shared" si="44"/>
        <v>680898.39999999967</v>
      </c>
      <c r="AA132" s="27">
        <f t="shared" si="43"/>
        <v>0</v>
      </c>
      <c r="AB132" s="303"/>
      <c r="AC132" s="305"/>
      <c r="AD132" s="368"/>
    </row>
    <row r="133" spans="1:30" x14ac:dyDescent="0.2">
      <c r="A133" s="352"/>
      <c r="B133" s="65" t="s">
        <v>546</v>
      </c>
      <c r="C133" s="72" t="s">
        <v>546</v>
      </c>
      <c r="D133" s="37">
        <f>VLOOKUP(N133,contoare!A:K,2,FALSE)</f>
        <v>45870</v>
      </c>
      <c r="E133" s="37">
        <f>VLOOKUP(N133,contoare!A:K,3,FALSE)</f>
        <v>45901</v>
      </c>
      <c r="F133" s="38">
        <f>VLOOKUP(N133,contoare!A:K,4,FALSE)</f>
        <v>139.934</v>
      </c>
      <c r="G133" s="38">
        <f>VLOOKUP(N133,contoare!A:K,5,FALSE)</f>
        <v>0</v>
      </c>
      <c r="H133" s="38">
        <f>VLOOKUP(N133,contoare!A:K,6,FALSE)</f>
        <v>31.725999999999999</v>
      </c>
      <c r="I133" s="38">
        <f>VLOOKUP(N133,contoare!A:K,7,FALSE)</f>
        <v>3.0000000000000001E-3</v>
      </c>
      <c r="J133" s="38">
        <f>VLOOKUP(N133,contoare!A:K,8,FALSE)</f>
        <v>191.922</v>
      </c>
      <c r="K133" s="38">
        <f>VLOOKUP(N133,contoare!A:K,9,FALSE)</f>
        <v>0</v>
      </c>
      <c r="L133" s="38">
        <f>VLOOKUP(N133,contoare!A:K,10,FALSE)</f>
        <v>47.322000000000003</v>
      </c>
      <c r="M133" s="38">
        <f>VLOOKUP(N133,contoare!A:K,11,FALSE)</f>
        <v>3.0000000000000001E-3</v>
      </c>
      <c r="N133" s="92" t="s">
        <v>98</v>
      </c>
      <c r="O133" s="26">
        <v>16000</v>
      </c>
      <c r="P133" s="27">
        <f t="shared" si="70"/>
        <v>831808</v>
      </c>
      <c r="Q133" s="27">
        <f t="shared" si="71"/>
        <v>0</v>
      </c>
      <c r="R133" s="102">
        <f>P133</f>
        <v>831808</v>
      </c>
      <c r="S133" s="245"/>
      <c r="T133" s="38">
        <f>VLOOKUP(X133,contoare!A:K,4,FALSE)</f>
        <v>201.06399999999999</v>
      </c>
      <c r="U133" s="38">
        <f>VLOOKUP(X133,contoare!A:K,5,FALSE)</f>
        <v>0</v>
      </c>
      <c r="V133" s="38">
        <f>VLOOKUP(X133,contoare!A:K,8,FALSE)</f>
        <v>274.84100000000001</v>
      </c>
      <c r="W133" s="38">
        <f>VLOOKUP(X133,contoare!A:K,9,FALSE)</f>
        <v>0</v>
      </c>
      <c r="X133" s="97" t="s">
        <v>97</v>
      </c>
      <c r="Y133" s="26">
        <v>16000</v>
      </c>
      <c r="Z133" s="27">
        <f t="shared" si="44"/>
        <v>1180432.0000000002</v>
      </c>
      <c r="AA133" s="27">
        <f t="shared" si="43"/>
        <v>0</v>
      </c>
      <c r="AB133" s="103">
        <f>Z133</f>
        <v>1180432.0000000002</v>
      </c>
      <c r="AC133" s="305"/>
      <c r="AD133" s="368"/>
    </row>
    <row r="134" spans="1:30" ht="17" thickBot="1" x14ac:dyDescent="0.25">
      <c r="A134" s="353"/>
      <c r="B134" s="79" t="s">
        <v>570</v>
      </c>
      <c r="C134" s="193" t="s">
        <v>571</v>
      </c>
      <c r="D134" s="51" t="e">
        <f>VLOOKUP(N134,contoare!A:K,2,FALSE)</f>
        <v>#N/A</v>
      </c>
      <c r="E134" s="51" t="e">
        <f>VLOOKUP(N134,contoare!A:K,3,FALSE)</f>
        <v>#N/A</v>
      </c>
      <c r="F134" s="52" t="e">
        <f>VLOOKUP(N134,contoare!A:K,4,FALSE)</f>
        <v>#N/A</v>
      </c>
      <c r="G134" s="52" t="e">
        <f>VLOOKUP(N134,contoare!A:K,5,FALSE)</f>
        <v>#N/A</v>
      </c>
      <c r="H134" s="52" t="e">
        <f>VLOOKUP(N134,contoare!A:K,6,FALSE)</f>
        <v>#N/A</v>
      </c>
      <c r="I134" s="52" t="e">
        <f>VLOOKUP(N134,contoare!A:K,7,FALSE)</f>
        <v>#N/A</v>
      </c>
      <c r="J134" s="52" t="e">
        <f>VLOOKUP(N134,contoare!A:K,8,FALSE)</f>
        <v>#N/A</v>
      </c>
      <c r="K134" s="52" t="e">
        <f>VLOOKUP(N134,contoare!A:K,9,FALSE)</f>
        <v>#N/A</v>
      </c>
      <c r="L134" s="52" t="e">
        <f>VLOOKUP(N134,contoare!A:K,10,FALSE)</f>
        <v>#N/A</v>
      </c>
      <c r="M134" s="52" t="e">
        <f>VLOOKUP(N134,contoare!A:K,11,FALSE)</f>
        <v>#N/A</v>
      </c>
      <c r="N134" s="93" t="s">
        <v>573</v>
      </c>
      <c r="O134" s="49">
        <v>16000</v>
      </c>
      <c r="P134" s="50">
        <v>1181760</v>
      </c>
      <c r="Q134" s="50">
        <v>0</v>
      </c>
      <c r="R134" s="107">
        <f>P134</f>
        <v>1181760</v>
      </c>
      <c r="S134" s="287"/>
      <c r="T134" s="52" t="e">
        <f>VLOOKUP(X134,contoare!A:K,4,FALSE)</f>
        <v>#N/A</v>
      </c>
      <c r="U134" s="52" t="e">
        <f>VLOOKUP(X134,contoare!A:K,5,FALSE)</f>
        <v>#N/A</v>
      </c>
      <c r="V134" s="52" t="e">
        <f>VLOOKUP(X134,contoare!A:K,8,FALSE)</f>
        <v>#N/A</v>
      </c>
      <c r="W134" s="52" t="e">
        <f>VLOOKUP(X134,contoare!A:K,9,FALSE)</f>
        <v>#N/A</v>
      </c>
      <c r="X134" s="93" t="s">
        <v>573</v>
      </c>
      <c r="Y134" s="49">
        <v>16000</v>
      </c>
      <c r="Z134" s="50">
        <f t="shared" ref="Z134:Z136" si="72">IF(LEFT(N134,3)&lt;&gt;"HXE",P134,(V134-T134)*Y134)</f>
        <v>1181760</v>
      </c>
      <c r="AA134" s="50">
        <f t="shared" ref="AA134:AA136" si="73">IF(LEFT(X134,3)&lt;&gt;"HXE",Q134,(W134-U134)*Y134)</f>
        <v>0</v>
      </c>
      <c r="AB134" s="106">
        <f>Z134</f>
        <v>1181760</v>
      </c>
      <c r="AC134" s="330"/>
      <c r="AD134" s="380"/>
    </row>
    <row r="135" spans="1:30" x14ac:dyDescent="0.2">
      <c r="A135" s="298" t="s">
        <v>99</v>
      </c>
      <c r="B135" s="64" t="s">
        <v>249</v>
      </c>
      <c r="C135" s="111" t="s">
        <v>250</v>
      </c>
      <c r="D135" s="40">
        <f>VLOOKUP(N135,contoare!A:K,2,FALSE)</f>
        <v>45870</v>
      </c>
      <c r="E135" s="40">
        <f>VLOOKUP(N135,contoare!A:K,3,FALSE)</f>
        <v>45901</v>
      </c>
      <c r="F135" s="41">
        <f>VLOOKUP(N135,contoare!A:K,4,FALSE)</f>
        <v>1767.4580000000001</v>
      </c>
      <c r="G135" s="41">
        <f>VLOOKUP(N135,contoare!A:K,5,FALSE)</f>
        <v>110.762</v>
      </c>
      <c r="H135" s="41">
        <f>VLOOKUP(N135,contoare!A:K,6,FALSE)</f>
        <v>77.052999999999997</v>
      </c>
      <c r="I135" s="41">
        <f>VLOOKUP(N135,contoare!A:K,7,FALSE)</f>
        <v>60.747999999999998</v>
      </c>
      <c r="J135" s="41">
        <f>VLOOKUP(N135,contoare!A:K,8,FALSE)</f>
        <v>1962.5930000000001</v>
      </c>
      <c r="K135" s="41">
        <f>VLOOKUP(N135,contoare!A:K,9,FALSE)</f>
        <v>120.955</v>
      </c>
      <c r="L135" s="41">
        <f>VLOOKUP(N135,contoare!A:K,10,FALSE)</f>
        <v>83.608999999999995</v>
      </c>
      <c r="M135" s="41">
        <f>VLOOKUP(N135,contoare!A:K,11,FALSE)</f>
        <v>100.009</v>
      </c>
      <c r="N135" s="91" t="s">
        <v>103</v>
      </c>
      <c r="O135" s="39">
        <v>800</v>
      </c>
      <c r="P135" s="42">
        <f t="shared" si="70"/>
        <v>156108</v>
      </c>
      <c r="Q135" s="42">
        <f t="shared" si="71"/>
        <v>8154.3999999999978</v>
      </c>
      <c r="R135" s="282">
        <f>P135+P136-Q135+P138</f>
        <v>524063.99999999965</v>
      </c>
      <c r="S135" s="244">
        <f>(R141-R135)/R141</f>
        <v>-8.3269254619867811E-2</v>
      </c>
      <c r="T135" s="41">
        <f>VLOOKUP(X135,contoare!A:K,4,FALSE)</f>
        <v>1767.4580000000001</v>
      </c>
      <c r="U135" s="41">
        <f>VLOOKUP(X135,contoare!A:K,5,FALSE)</f>
        <v>110.762</v>
      </c>
      <c r="V135" s="41">
        <f>VLOOKUP(X135,contoare!A:K,8,FALSE)</f>
        <v>1962.5930000000001</v>
      </c>
      <c r="W135" s="41">
        <f>VLOOKUP(X135,contoare!A:K,9,FALSE)</f>
        <v>120.955</v>
      </c>
      <c r="X135" s="91" t="s">
        <v>103</v>
      </c>
      <c r="Y135" s="39">
        <v>800</v>
      </c>
      <c r="Z135" s="42">
        <f t="shared" si="72"/>
        <v>156108</v>
      </c>
      <c r="AA135" s="42">
        <f t="shared" si="73"/>
        <v>8154.3999999999978</v>
      </c>
      <c r="AB135" s="282">
        <f>Z135+Z136-AA135+Z138</f>
        <v>487115.6</v>
      </c>
      <c r="AC135" s="291">
        <f>(AB141-AB135)/AB141</f>
        <v>1.4255301926501585E-2</v>
      </c>
      <c r="AD135" s="297" t="s">
        <v>669</v>
      </c>
    </row>
    <row r="136" spans="1:30" x14ac:dyDescent="0.2">
      <c r="A136" s="298"/>
      <c r="B136" s="65" t="s">
        <v>251</v>
      </c>
      <c r="C136" s="72" t="s">
        <v>252</v>
      </c>
      <c r="D136" s="37">
        <f>VLOOKUP(N136,contoare!A:K,2,FALSE)</f>
        <v>45870</v>
      </c>
      <c r="E136" s="37">
        <f>VLOOKUP(N136,contoare!A:K,3,FALSE)</f>
        <v>45901</v>
      </c>
      <c r="F136" s="38">
        <f>VLOOKUP(N136,contoare!A:K,4,FALSE)</f>
        <v>3004.0970000000002</v>
      </c>
      <c r="G136" s="38">
        <f>VLOOKUP(N136,contoare!A:K,5,FALSE)</f>
        <v>0</v>
      </c>
      <c r="H136" s="38">
        <f>VLOOKUP(N136,contoare!A:K,6,FALSE)</f>
        <v>317.43200000000002</v>
      </c>
      <c r="I136" s="38">
        <f>VLOOKUP(N136,contoare!A:K,7,FALSE)</f>
        <v>2.5000000000000001E-2</v>
      </c>
      <c r="J136" s="38">
        <f>VLOOKUP(N136,contoare!A:K,8,FALSE)</f>
        <v>3387.16</v>
      </c>
      <c r="K136" s="38">
        <f>VLOOKUP(N136,contoare!A:K,9,FALSE)</f>
        <v>0</v>
      </c>
      <c r="L136" s="38">
        <f>VLOOKUP(N136,contoare!A:K,10,FALSE)</f>
        <v>384.94600000000003</v>
      </c>
      <c r="M136" s="38">
        <f>VLOOKUP(N136,contoare!A:K,11,FALSE)</f>
        <v>2.5000000000000001E-2</v>
      </c>
      <c r="N136" s="92" t="s">
        <v>107</v>
      </c>
      <c r="O136" s="26">
        <v>800</v>
      </c>
      <c r="P136" s="27">
        <f t="shared" si="70"/>
        <v>306450.39999999973</v>
      </c>
      <c r="Q136" s="27">
        <f t="shared" si="71"/>
        <v>0</v>
      </c>
      <c r="R136" s="283"/>
      <c r="S136" s="245"/>
      <c r="T136" s="38">
        <f>VLOOKUP(X136,contoare!A:K,4,FALSE)</f>
        <v>3001.4929999999999</v>
      </c>
      <c r="U136" s="38">
        <f>VLOOKUP(X136,contoare!A:K,5,FALSE)</f>
        <v>0</v>
      </c>
      <c r="V136" s="38">
        <f>VLOOKUP(X136,contoare!A:K,8,FALSE)</f>
        <v>3450.663</v>
      </c>
      <c r="W136" s="38">
        <f>VLOOKUP(X136,contoare!A:K,9,FALSE)</f>
        <v>0</v>
      </c>
      <c r="X136" s="97" t="s">
        <v>101</v>
      </c>
      <c r="Y136" s="26">
        <v>600</v>
      </c>
      <c r="Z136" s="27">
        <f t="shared" si="72"/>
        <v>269502.00000000006</v>
      </c>
      <c r="AA136" s="27">
        <f t="shared" si="73"/>
        <v>0</v>
      </c>
      <c r="AB136" s="283"/>
      <c r="AC136" s="292"/>
      <c r="AD136" s="298"/>
    </row>
    <row r="137" spans="1:30" x14ac:dyDescent="0.2">
      <c r="A137" s="298"/>
      <c r="B137" s="65" t="s">
        <v>449</v>
      </c>
      <c r="C137" s="72" t="s">
        <v>450</v>
      </c>
      <c r="D137" s="37">
        <f>VLOOKUP(N137,contoare!A:K,2,FALSE)</f>
        <v>45870</v>
      </c>
      <c r="E137" s="37">
        <f>VLOOKUP(N137,contoare!A:K,3,FALSE)</f>
        <v>45901</v>
      </c>
      <c r="F137" s="38">
        <f>VLOOKUP(N137,contoare!A:K,4,FALSE)</f>
        <v>2832.6680000000001</v>
      </c>
      <c r="G137" s="38">
        <f>VLOOKUP(N137,contoare!A:K,5,FALSE)</f>
        <v>7.7050000000000001</v>
      </c>
      <c r="H137" s="38">
        <f>VLOOKUP(N137,contoare!A:K,6,FALSE)</f>
        <v>40.576000000000001</v>
      </c>
      <c r="I137" s="38">
        <f>VLOOKUP(N137,contoare!A:K,7,FALSE)</f>
        <v>1180.837</v>
      </c>
      <c r="J137" s="38">
        <f>VLOOKUP(N137,contoare!A:K,8,FALSE)</f>
        <v>3366.6689999999999</v>
      </c>
      <c r="K137" s="38">
        <f>VLOOKUP(N137,contoare!A:K,9,FALSE)</f>
        <v>9.2590000000000003</v>
      </c>
      <c r="L137" s="38">
        <f>VLOOKUP(N137,contoare!A:K,10,FALSE)</f>
        <v>57.207000000000001</v>
      </c>
      <c r="M137" s="38">
        <f>VLOOKUP(N137,contoare!A:K,11,FALSE)</f>
        <v>1239.038</v>
      </c>
      <c r="N137" s="157" t="s">
        <v>102</v>
      </c>
      <c r="O137" s="158">
        <v>400</v>
      </c>
      <c r="P137" s="159">
        <f t="shared" ref="P137:P145" si="74">(J137-F137)*O137</f>
        <v>213600.39999999991</v>
      </c>
      <c r="Q137" s="159">
        <f t="shared" ref="Q137:Q145" si="75">(K137-G137)*O137</f>
        <v>621.60000000000014</v>
      </c>
      <c r="R137" s="283"/>
      <c r="S137" s="245"/>
      <c r="T137" s="38">
        <f>VLOOKUP(X137,contoare!A:K,4,FALSE)</f>
        <v>2832.6680000000001</v>
      </c>
      <c r="U137" s="38">
        <f>VLOOKUP(X137,contoare!A:K,5,FALSE)</f>
        <v>7.7050000000000001</v>
      </c>
      <c r="V137" s="38">
        <f>VLOOKUP(X137,contoare!A:K,8,FALSE)</f>
        <v>3366.6689999999999</v>
      </c>
      <c r="W137" s="38">
        <f>VLOOKUP(X137,contoare!A:K,9,FALSE)</f>
        <v>9.2590000000000003</v>
      </c>
      <c r="X137" s="92" t="s">
        <v>102</v>
      </c>
      <c r="Y137" s="26">
        <v>400</v>
      </c>
      <c r="Z137" s="27">
        <f t="shared" ref="Z137:Z145" si="76">IF(LEFT(N137,3)&lt;&gt;"HXE",P137,(V137-T137)*Y137)</f>
        <v>213600.39999999991</v>
      </c>
      <c r="AA137" s="27">
        <f t="shared" ref="AA137:AA146" si="77">IF(LEFT(X137,3)&lt;&gt;"HXE",Q137,(W137-U137)*Y137)</f>
        <v>621.60000000000014</v>
      </c>
      <c r="AB137" s="283"/>
      <c r="AC137" s="292"/>
      <c r="AD137" s="298"/>
    </row>
    <row r="138" spans="1:30" x14ac:dyDescent="0.2">
      <c r="A138" s="298"/>
      <c r="B138" s="65" t="s">
        <v>740</v>
      </c>
      <c r="C138" s="72" t="s">
        <v>738</v>
      </c>
      <c r="D138" s="37">
        <f>VLOOKUP(N138,contoare!A:K,2,FALSE)</f>
        <v>45870</v>
      </c>
      <c r="E138" s="37">
        <f>VLOOKUP(N138,contoare!A:K,3,FALSE)</f>
        <v>45901</v>
      </c>
      <c r="F138" s="38">
        <f>VLOOKUP(N138,contoare!A:K,4,FALSE)</f>
        <v>1044.336</v>
      </c>
      <c r="G138" s="38">
        <f>VLOOKUP(N138,contoare!A:K,5,FALSE)</f>
        <v>0</v>
      </c>
      <c r="H138" s="38">
        <f>VLOOKUP(N138,contoare!A:K,6,FALSE)</f>
        <v>126.437</v>
      </c>
      <c r="I138" s="38">
        <f>VLOOKUP(N138,contoare!A:K,7,FALSE)</f>
        <v>0.97599999999999998</v>
      </c>
      <c r="J138" s="38">
        <f>VLOOKUP(N138,contoare!A:K,8,FALSE)</f>
        <v>1183.6559999999999</v>
      </c>
      <c r="K138" s="38">
        <f>VLOOKUP(N138,contoare!A:K,9,FALSE)</f>
        <v>0</v>
      </c>
      <c r="L138" s="38">
        <f>VLOOKUP(N138,contoare!A:K,10,FALSE)</f>
        <v>156.554</v>
      </c>
      <c r="M138" s="38">
        <f>VLOOKUP(N138,contoare!A:K,11,FALSE)</f>
        <v>1.0369999999999999</v>
      </c>
      <c r="N138" s="92" t="s">
        <v>105</v>
      </c>
      <c r="O138" s="26">
        <v>500</v>
      </c>
      <c r="P138" s="27">
        <f t="shared" si="74"/>
        <v>69659.999999999971</v>
      </c>
      <c r="Q138" s="27">
        <f t="shared" si="75"/>
        <v>0</v>
      </c>
      <c r="R138" s="283"/>
      <c r="S138" s="245"/>
      <c r="T138" s="38">
        <f>VLOOKUP(X138,contoare!A:K,4,FALSE)</f>
        <v>1044.336</v>
      </c>
      <c r="U138" s="38">
        <f>VLOOKUP(X138,contoare!A:K,5,FALSE)</f>
        <v>0</v>
      </c>
      <c r="V138" s="38">
        <f>VLOOKUP(X138,contoare!A:K,8,FALSE)</f>
        <v>1183.6559999999999</v>
      </c>
      <c r="W138" s="38">
        <f>VLOOKUP(X138,contoare!A:K,9,FALSE)</f>
        <v>0</v>
      </c>
      <c r="X138" s="92" t="s">
        <v>105</v>
      </c>
      <c r="Y138" s="26">
        <v>500</v>
      </c>
      <c r="Z138" s="27">
        <f t="shared" si="76"/>
        <v>69659.999999999971</v>
      </c>
      <c r="AA138" s="27">
        <f t="shared" si="77"/>
        <v>0</v>
      </c>
      <c r="AB138" s="283"/>
      <c r="AC138" s="292"/>
      <c r="AD138" s="298"/>
    </row>
    <row r="139" spans="1:30" x14ac:dyDescent="0.2">
      <c r="A139" s="298"/>
      <c r="B139" s="65" t="s">
        <v>740</v>
      </c>
      <c r="C139" s="72" t="s">
        <v>739</v>
      </c>
      <c r="D139" s="37">
        <f>VLOOKUP(N139,contoare!A:K,2,FALSE)</f>
        <v>45870</v>
      </c>
      <c r="E139" s="37">
        <f>VLOOKUP(N139,contoare!A:K,3,FALSE)</f>
        <v>45901</v>
      </c>
      <c r="F139" s="38">
        <f>VLOOKUP(N139,contoare!A:K,4,FALSE)</f>
        <v>6324.8429999999998</v>
      </c>
      <c r="G139" s="38">
        <f>VLOOKUP(N139,contoare!A:K,5,FALSE)</f>
        <v>0</v>
      </c>
      <c r="H139" s="38">
        <f>VLOOKUP(N139,contoare!A:K,6,FALSE)</f>
        <v>735.32500000000005</v>
      </c>
      <c r="I139" s="38">
        <f>VLOOKUP(N139,contoare!A:K,7,FALSE)</f>
        <v>6.8949999999999996</v>
      </c>
      <c r="J139" s="38">
        <f>VLOOKUP(N139,contoare!A:K,8,FALSE)</f>
        <v>7067.549</v>
      </c>
      <c r="K139" s="38">
        <f>VLOOKUP(N139,contoare!A:K,9,FALSE)</f>
        <v>0</v>
      </c>
      <c r="L139" s="38">
        <f>VLOOKUP(N139,contoare!A:K,10,FALSE)</f>
        <v>899.90599999999995</v>
      </c>
      <c r="M139" s="38">
        <f>VLOOKUP(N139,contoare!A:K,11,FALSE)</f>
        <v>7.0259999999999998</v>
      </c>
      <c r="N139" s="92" t="s">
        <v>106</v>
      </c>
      <c r="O139" s="26">
        <v>80</v>
      </c>
      <c r="P139" s="27">
        <f t="shared" si="74"/>
        <v>59416.48000000001</v>
      </c>
      <c r="Q139" s="27">
        <f t="shared" si="75"/>
        <v>0</v>
      </c>
      <c r="R139" s="283"/>
      <c r="S139" s="245"/>
      <c r="T139" s="38">
        <f>VLOOKUP(X139,contoare!A:K,4,FALSE)</f>
        <v>6324.8429999999998</v>
      </c>
      <c r="U139" s="38">
        <f>VLOOKUP(X139,contoare!A:K,5,FALSE)</f>
        <v>0</v>
      </c>
      <c r="V139" s="38">
        <f>VLOOKUP(X139,contoare!A:K,8,FALSE)</f>
        <v>7067.549</v>
      </c>
      <c r="W139" s="38">
        <f>VLOOKUP(X139,contoare!A:K,9,FALSE)</f>
        <v>0</v>
      </c>
      <c r="X139" s="92" t="s">
        <v>106</v>
      </c>
      <c r="Y139" s="26">
        <v>80</v>
      </c>
      <c r="Z139" s="27">
        <f t="shared" si="76"/>
        <v>59416.48000000001</v>
      </c>
      <c r="AA139" s="27">
        <f t="shared" si="77"/>
        <v>0</v>
      </c>
      <c r="AB139" s="283"/>
      <c r="AC139" s="292"/>
      <c r="AD139" s="298"/>
    </row>
    <row r="140" spans="1:30" x14ac:dyDescent="0.2">
      <c r="A140" s="298"/>
      <c r="B140" s="65" t="s">
        <v>545</v>
      </c>
      <c r="C140" s="72" t="s">
        <v>545</v>
      </c>
      <c r="D140" s="37">
        <f>VLOOKUP(N140,contoare!A:K,2,FALSE)</f>
        <v>45870</v>
      </c>
      <c r="E140" s="37">
        <f>VLOOKUP(N140,contoare!A:K,3,FALSE)</f>
        <v>45901</v>
      </c>
      <c r="F140" s="38">
        <f>VLOOKUP(N140,contoare!A:K,4,FALSE)</f>
        <v>284.56</v>
      </c>
      <c r="G140" s="38">
        <f>VLOOKUP(N140,contoare!A:K,5,FALSE)</f>
        <v>0.151</v>
      </c>
      <c r="H140" s="38">
        <f>VLOOKUP(N140,contoare!A:K,6,FALSE)</f>
        <v>73.710999999999999</v>
      </c>
      <c r="I140" s="38">
        <f>VLOOKUP(N140,contoare!A:K,7,FALSE)</f>
        <v>0.252</v>
      </c>
      <c r="J140" s="38">
        <f>VLOOKUP(N140,contoare!A:K,8,FALSE)</f>
        <v>365.27300000000002</v>
      </c>
      <c r="K140" s="38">
        <f>VLOOKUP(N140,contoare!A:K,9,FALSE)</f>
        <v>0.151</v>
      </c>
      <c r="L140" s="38">
        <f>VLOOKUP(N140,contoare!A:K,10,FALSE)</f>
        <v>89.423000000000002</v>
      </c>
      <c r="M140" s="38">
        <f>VLOOKUP(N140,contoare!A:K,11,FALSE)</f>
        <v>0.32800000000000001</v>
      </c>
      <c r="N140" s="92" t="s">
        <v>109</v>
      </c>
      <c r="O140" s="26">
        <v>6000</v>
      </c>
      <c r="P140" s="27">
        <f t="shared" si="74"/>
        <v>484278.00000000012</v>
      </c>
      <c r="Q140" s="27">
        <f t="shared" si="75"/>
        <v>0</v>
      </c>
      <c r="R140" s="102">
        <f>P140</f>
        <v>484278.00000000012</v>
      </c>
      <c r="S140" s="245"/>
      <c r="T140" s="38">
        <f>VLOOKUP(X140,contoare!A:K,4,FALSE)</f>
        <v>584.31200000000001</v>
      </c>
      <c r="U140" s="38">
        <f>VLOOKUP(X140,contoare!A:K,5,FALSE)</f>
        <v>0</v>
      </c>
      <c r="V140" s="38">
        <f>VLOOKUP(X140,contoare!A:K,8,FALSE)</f>
        <v>749.226</v>
      </c>
      <c r="W140" s="38">
        <f>VLOOKUP(X140,contoare!A:K,9,FALSE)</f>
        <v>0</v>
      </c>
      <c r="X140" s="155" t="s">
        <v>108</v>
      </c>
      <c r="Y140" s="26">
        <v>3000</v>
      </c>
      <c r="Z140" s="27">
        <f t="shared" si="76"/>
        <v>494741.99999999994</v>
      </c>
      <c r="AA140" s="27">
        <f t="shared" si="77"/>
        <v>0</v>
      </c>
      <c r="AB140" s="102">
        <f>Z140</f>
        <v>494741.99999999994</v>
      </c>
      <c r="AC140" s="292"/>
      <c r="AD140" s="298"/>
    </row>
    <row r="141" spans="1:30" ht="17" thickBot="1" x14ac:dyDescent="0.25">
      <c r="A141" s="298"/>
      <c r="B141" s="79" t="s">
        <v>665</v>
      </c>
      <c r="C141" s="193" t="str">
        <f>"594030500002463001"</f>
        <v>594030500002463001</v>
      </c>
      <c r="D141" s="51" t="e">
        <f>VLOOKUP(N141,contoare!A:K,2,FALSE)</f>
        <v>#N/A</v>
      </c>
      <c r="E141" s="51" t="e">
        <f>VLOOKUP(N141,contoare!A:K,3,FALSE)</f>
        <v>#N/A</v>
      </c>
      <c r="F141" s="52" t="e">
        <f>VLOOKUP(N141,contoare!A:K,4,FALSE)</f>
        <v>#N/A</v>
      </c>
      <c r="G141" s="52" t="e">
        <f>VLOOKUP(N141,contoare!A:K,5,FALSE)</f>
        <v>#N/A</v>
      </c>
      <c r="H141" s="52" t="e">
        <f>VLOOKUP(N141,contoare!A:K,6,FALSE)</f>
        <v>#N/A</v>
      </c>
      <c r="I141" s="52" t="e">
        <f>VLOOKUP(N141,contoare!A:K,7,FALSE)</f>
        <v>#N/A</v>
      </c>
      <c r="J141" s="52" t="e">
        <f>VLOOKUP(N141,contoare!A:K,8,FALSE)</f>
        <v>#N/A</v>
      </c>
      <c r="K141" s="52" t="e">
        <f>VLOOKUP(N141,contoare!A:K,9,FALSE)</f>
        <v>#N/A</v>
      </c>
      <c r="L141" s="52" t="e">
        <f>VLOOKUP(N141,contoare!A:K,10,FALSE)</f>
        <v>#N/A</v>
      </c>
      <c r="M141" s="52" t="e">
        <f>VLOOKUP(N141,contoare!A:K,11,FALSE)</f>
        <v>#N/A</v>
      </c>
      <c r="N141" s="93" t="s">
        <v>667</v>
      </c>
      <c r="O141" s="49">
        <v>6000</v>
      </c>
      <c r="P141" s="50">
        <v>483780</v>
      </c>
      <c r="Q141" s="50">
        <v>0</v>
      </c>
      <c r="R141" s="107">
        <f>P141</f>
        <v>483780</v>
      </c>
      <c r="S141" s="287"/>
      <c r="T141" s="52" t="e">
        <f>VLOOKUP(X141,contoare!A:K,4,FALSE)</f>
        <v>#N/A</v>
      </c>
      <c r="U141" s="52" t="e">
        <f>VLOOKUP(X141,contoare!A:K,5,FALSE)</f>
        <v>#N/A</v>
      </c>
      <c r="V141" s="52" t="e">
        <f>VLOOKUP(X141,contoare!A:K,8,FALSE)</f>
        <v>#N/A</v>
      </c>
      <c r="W141" s="52" t="e">
        <f>VLOOKUP(X141,contoare!A:K,9,FALSE)</f>
        <v>#N/A</v>
      </c>
      <c r="X141" s="194" t="s">
        <v>668</v>
      </c>
      <c r="Y141" s="49">
        <v>3000</v>
      </c>
      <c r="Z141" s="195">
        <f>P146</f>
        <v>494160</v>
      </c>
      <c r="AA141" s="50">
        <f t="shared" si="77"/>
        <v>0</v>
      </c>
      <c r="AB141" s="107">
        <f>Z141</f>
        <v>494160</v>
      </c>
      <c r="AC141" s="293"/>
      <c r="AD141" s="298"/>
    </row>
    <row r="142" spans="1:30" x14ac:dyDescent="0.2">
      <c r="A142" s="298"/>
      <c r="B142" s="64" t="s">
        <v>253</v>
      </c>
      <c r="C142" s="111" t="s">
        <v>254</v>
      </c>
      <c r="D142" s="199">
        <f>VLOOKUP(N142,contoare!A:K,2,FALSE)</f>
        <v>45870</v>
      </c>
      <c r="E142" s="200">
        <f>VLOOKUP(N142,contoare!A:K,3,FALSE)</f>
        <v>45901</v>
      </c>
      <c r="F142" s="201">
        <f>VLOOKUP(N142,contoare!A:K,4,FALSE)</f>
        <v>3001.4929999999999</v>
      </c>
      <c r="G142" s="201">
        <f>VLOOKUP(N142,contoare!A:K,5,FALSE)</f>
        <v>0</v>
      </c>
      <c r="H142" s="201">
        <f>VLOOKUP(N142,contoare!A:K,6,FALSE)</f>
        <v>902.38499999999999</v>
      </c>
      <c r="I142" s="201">
        <f>VLOOKUP(N142,contoare!A:K,7,FALSE)</f>
        <v>0</v>
      </c>
      <c r="J142" s="201">
        <f>VLOOKUP(N142,contoare!A:K,8,FALSE)</f>
        <v>3450.663</v>
      </c>
      <c r="K142" s="201">
        <f>VLOOKUP(N142,contoare!A:K,9,FALSE)</f>
        <v>0</v>
      </c>
      <c r="L142" s="201">
        <f>VLOOKUP(N142,contoare!A:K,10,FALSE)</f>
        <v>1086.674</v>
      </c>
      <c r="M142" s="202">
        <f>VLOOKUP(N142,contoare!A:K,11,FALSE)</f>
        <v>0</v>
      </c>
      <c r="N142" s="203" t="s">
        <v>101</v>
      </c>
      <c r="O142" s="204">
        <v>600</v>
      </c>
      <c r="P142" s="205">
        <f t="shared" si="74"/>
        <v>269502.00000000006</v>
      </c>
      <c r="Q142" s="205">
        <f t="shared" si="75"/>
        <v>0</v>
      </c>
      <c r="R142" s="284">
        <f>P142+P143-Q143</f>
        <v>440206.80000000005</v>
      </c>
      <c r="S142" s="288">
        <f>(R146-R142)/R146</f>
        <v>0.10918164157357932</v>
      </c>
      <c r="T142" s="201">
        <f>VLOOKUP(X142,contoare!A:K,4,FALSE)</f>
        <v>3004.0970000000002</v>
      </c>
      <c r="U142" s="201">
        <f>VLOOKUP(X142,contoare!A:K,5,FALSE)</f>
        <v>0</v>
      </c>
      <c r="V142" s="201">
        <f>VLOOKUP(X142,contoare!A:K,8,FALSE)</f>
        <v>3387.16</v>
      </c>
      <c r="W142" s="201">
        <f>VLOOKUP(X142,contoare!A:K,9,FALSE)</f>
        <v>0</v>
      </c>
      <c r="X142" s="206" t="s">
        <v>107</v>
      </c>
      <c r="Y142" s="204">
        <v>800</v>
      </c>
      <c r="Z142" s="42">
        <f t="shared" si="76"/>
        <v>306450.39999999973</v>
      </c>
      <c r="AA142" s="42">
        <f t="shared" si="77"/>
        <v>0</v>
      </c>
      <c r="AB142" s="284">
        <f>Z142+Z143-AA143</f>
        <v>477155.19999999972</v>
      </c>
      <c r="AC142" s="294">
        <f>(AB146-AB142)/AB146</f>
        <v>1.3693827772955226E-2</v>
      </c>
      <c r="AD142" s="298"/>
    </row>
    <row r="143" spans="1:30" x14ac:dyDescent="0.2">
      <c r="A143" s="298"/>
      <c r="B143" s="65" t="s">
        <v>255</v>
      </c>
      <c r="C143" s="72" t="s">
        <v>256</v>
      </c>
      <c r="D143" s="32">
        <f>VLOOKUP(N143,contoare!A:K,2,FALSE)</f>
        <v>45870</v>
      </c>
      <c r="E143" s="153">
        <f>VLOOKUP(N143,contoare!A:K,3,FALSE)</f>
        <v>45901</v>
      </c>
      <c r="F143" s="30">
        <f>VLOOKUP(N143,contoare!A:K,4,FALSE)</f>
        <v>2236.13</v>
      </c>
      <c r="G143" s="30">
        <f>VLOOKUP(N143,contoare!A:K,5,FALSE)</f>
        <v>158.255</v>
      </c>
      <c r="H143" s="30">
        <f>VLOOKUP(N143,contoare!A:K,6,FALSE)</f>
        <v>417.846</v>
      </c>
      <c r="I143" s="30">
        <f>VLOOKUP(N143,contoare!A:K,7,FALSE)</f>
        <v>28.238</v>
      </c>
      <c r="J143" s="30">
        <f>VLOOKUP(N143,contoare!A:K,8,FALSE)</f>
        <v>2460.0830000000001</v>
      </c>
      <c r="K143" s="30">
        <f>VLOOKUP(N143,contoare!A:K,9,FALSE)</f>
        <v>168.827</v>
      </c>
      <c r="L143" s="30">
        <f>VLOOKUP(N143,contoare!A:K,10,FALSE)</f>
        <v>476.57499999999999</v>
      </c>
      <c r="M143" s="31">
        <f>VLOOKUP(N143,contoare!A:K,11,FALSE)</f>
        <v>30.123999999999999</v>
      </c>
      <c r="N143" s="90" t="s">
        <v>100</v>
      </c>
      <c r="O143">
        <v>800</v>
      </c>
      <c r="P143" s="33">
        <f t="shared" si="74"/>
        <v>179162.39999999997</v>
      </c>
      <c r="Q143" s="33">
        <f t="shared" si="75"/>
        <v>8457.6000000000022</v>
      </c>
      <c r="R143" s="285"/>
      <c r="S143" s="289"/>
      <c r="T143" s="30">
        <f>VLOOKUP(X143,contoare!A:K,4,FALSE)</f>
        <v>2236.13</v>
      </c>
      <c r="U143" s="30">
        <f>VLOOKUP(X143,contoare!A:K,5,FALSE)</f>
        <v>158.255</v>
      </c>
      <c r="V143" s="30">
        <f>VLOOKUP(X143,contoare!A:K,8,FALSE)</f>
        <v>2460.0830000000001</v>
      </c>
      <c r="W143" s="30">
        <f>VLOOKUP(X143,contoare!A:K,9,FALSE)</f>
        <v>168.827</v>
      </c>
      <c r="X143" s="90" t="s">
        <v>100</v>
      </c>
      <c r="Y143">
        <v>800</v>
      </c>
      <c r="Z143" s="27">
        <f t="shared" si="76"/>
        <v>179162.39999999997</v>
      </c>
      <c r="AA143" s="27">
        <f t="shared" si="77"/>
        <v>8457.6000000000022</v>
      </c>
      <c r="AB143" s="285"/>
      <c r="AC143" s="295"/>
      <c r="AD143" s="298"/>
    </row>
    <row r="144" spans="1:30" x14ac:dyDescent="0.2">
      <c r="A144" s="298"/>
      <c r="B144" s="65" t="s">
        <v>451</v>
      </c>
      <c r="C144" s="72" t="s">
        <v>452</v>
      </c>
      <c r="D144" s="32">
        <f>VLOOKUP(N144,contoare!A:K,2,FALSE)</f>
        <v>45870</v>
      </c>
      <c r="E144" s="153">
        <f>VLOOKUP(N144,contoare!A:K,3,FALSE)</f>
        <v>45901</v>
      </c>
      <c r="F144" s="30">
        <f>VLOOKUP(N144,contoare!A:K,4,FALSE)</f>
        <v>2800.4459999999999</v>
      </c>
      <c r="G144" s="30">
        <f>VLOOKUP(N144,contoare!A:K,5,FALSE)</f>
        <v>1.139</v>
      </c>
      <c r="H144" s="30">
        <f>VLOOKUP(N144,contoare!A:K,6,FALSE)</f>
        <v>31.062999999999999</v>
      </c>
      <c r="I144" s="30">
        <f>VLOOKUP(N144,contoare!A:K,7,FALSE)</f>
        <v>14.606</v>
      </c>
      <c r="J144" s="30">
        <f>VLOOKUP(N144,contoare!A:K,8,FALSE)</f>
        <v>3314.172</v>
      </c>
      <c r="K144" s="30">
        <f>VLOOKUP(N144,contoare!A:K,9,FALSE)</f>
        <v>1.232</v>
      </c>
      <c r="L144" s="30">
        <f>VLOOKUP(N144,contoare!A:K,10,FALSE)</f>
        <v>34.357999999999997</v>
      </c>
      <c r="M144" s="31">
        <f>VLOOKUP(N144,contoare!A:K,11,FALSE)</f>
        <v>14.629</v>
      </c>
      <c r="N144" s="197" t="s">
        <v>104</v>
      </c>
      <c r="O144" s="132">
        <v>300</v>
      </c>
      <c r="P144" s="198">
        <f t="shared" si="74"/>
        <v>154117.80000000005</v>
      </c>
      <c r="Q144" s="198">
        <f t="shared" si="75"/>
        <v>27.899999999999991</v>
      </c>
      <c r="R144" s="286"/>
      <c r="S144" s="289"/>
      <c r="T144" s="30">
        <f>VLOOKUP(X144,contoare!A:K,4,FALSE)</f>
        <v>2800.4459999999999</v>
      </c>
      <c r="U144" s="30">
        <f>VLOOKUP(X144,contoare!A:K,5,FALSE)</f>
        <v>1.139</v>
      </c>
      <c r="V144" s="30">
        <f>VLOOKUP(X144,contoare!A:K,8,FALSE)</f>
        <v>3314.172</v>
      </c>
      <c r="W144" s="30">
        <f>VLOOKUP(X144,contoare!A:K,9,FALSE)</f>
        <v>1.232</v>
      </c>
      <c r="X144" s="90" t="s">
        <v>104</v>
      </c>
      <c r="Y144">
        <v>300</v>
      </c>
      <c r="Z144" s="27">
        <f t="shared" si="76"/>
        <v>154117.80000000005</v>
      </c>
      <c r="AA144" s="27">
        <f t="shared" si="77"/>
        <v>27.899999999999991</v>
      </c>
      <c r="AB144" s="286"/>
      <c r="AC144" s="295"/>
      <c r="AD144" s="298"/>
    </row>
    <row r="145" spans="1:30" x14ac:dyDescent="0.2">
      <c r="A145" s="298"/>
      <c r="B145" s="65" t="s">
        <v>546</v>
      </c>
      <c r="C145" s="72" t="s">
        <v>546</v>
      </c>
      <c r="D145" s="32">
        <f>VLOOKUP(N145,contoare!A:K,2,FALSE)</f>
        <v>45870</v>
      </c>
      <c r="E145" s="153">
        <f>VLOOKUP(N145,contoare!A:K,3,FALSE)</f>
        <v>45901</v>
      </c>
      <c r="F145" s="30">
        <f>VLOOKUP(N145,contoare!A:K,4,FALSE)</f>
        <v>584.31200000000001</v>
      </c>
      <c r="G145" s="30">
        <f>VLOOKUP(N145,contoare!A:K,5,FALSE)</f>
        <v>0</v>
      </c>
      <c r="H145" s="30">
        <f>VLOOKUP(N145,contoare!A:K,6,FALSE)</f>
        <v>119.724</v>
      </c>
      <c r="I145" s="30">
        <f>VLOOKUP(N145,contoare!A:K,7,FALSE)</f>
        <v>0.11700000000000001</v>
      </c>
      <c r="J145" s="30">
        <f>VLOOKUP(N145,contoare!A:K,8,FALSE)</f>
        <v>749.226</v>
      </c>
      <c r="K145" s="30">
        <f>VLOOKUP(N145,contoare!A:K,9,FALSE)</f>
        <v>0</v>
      </c>
      <c r="L145" s="30">
        <f>VLOOKUP(N145,contoare!A:K,10,FALSE)</f>
        <v>149.33199999999999</v>
      </c>
      <c r="M145" s="31">
        <f>VLOOKUP(N145,contoare!A:K,11,FALSE)</f>
        <v>0.183</v>
      </c>
      <c r="N145" s="90" t="s">
        <v>108</v>
      </c>
      <c r="O145">
        <v>3000</v>
      </c>
      <c r="P145" s="33">
        <f t="shared" si="74"/>
        <v>494741.99999999994</v>
      </c>
      <c r="Q145" s="33">
        <f t="shared" si="75"/>
        <v>0</v>
      </c>
      <c r="R145" s="102">
        <f>P145</f>
        <v>494741.99999999994</v>
      </c>
      <c r="S145" s="289"/>
      <c r="T145" s="30">
        <f>VLOOKUP(X145,contoare!A:K,4,FALSE)</f>
        <v>284.56</v>
      </c>
      <c r="U145" s="30">
        <f>VLOOKUP(X145,contoare!A:K,5,FALSE)</f>
        <v>0.151</v>
      </c>
      <c r="V145" s="30">
        <f>VLOOKUP(X145,contoare!A:K,8,FALSE)</f>
        <v>365.27300000000002</v>
      </c>
      <c r="W145" s="30">
        <f>VLOOKUP(X145,contoare!A:K,9,FALSE)</f>
        <v>0.151</v>
      </c>
      <c r="X145" s="129" t="s">
        <v>109</v>
      </c>
      <c r="Y145">
        <v>6000</v>
      </c>
      <c r="Z145" s="27">
        <f t="shared" si="76"/>
        <v>484278.00000000012</v>
      </c>
      <c r="AA145" s="27">
        <f t="shared" si="77"/>
        <v>0</v>
      </c>
      <c r="AB145" s="102">
        <f>Z145</f>
        <v>484278.00000000012</v>
      </c>
      <c r="AC145" s="295"/>
      <c r="AD145" s="298"/>
    </row>
    <row r="146" spans="1:30" ht="17" thickBot="1" x14ac:dyDescent="0.25">
      <c r="A146" s="298"/>
      <c r="B146" s="66" t="s">
        <v>666</v>
      </c>
      <c r="C146" s="73" t="str">
        <f>"594030500002463001"</f>
        <v>594030500002463001</v>
      </c>
      <c r="D146" s="207" t="e">
        <f>VLOOKUP(N146,contoare!A:K,2,FALSE)</f>
        <v>#N/A</v>
      </c>
      <c r="E146" s="208" t="e">
        <f>VLOOKUP(N146,contoare!A:K,3,FALSE)</f>
        <v>#N/A</v>
      </c>
      <c r="F146" s="209" t="e">
        <f>VLOOKUP(N146,contoare!A:K,4,FALSE)</f>
        <v>#N/A</v>
      </c>
      <c r="G146" s="209" t="e">
        <f>VLOOKUP(N146,contoare!A:K,5,FALSE)</f>
        <v>#N/A</v>
      </c>
      <c r="H146" s="209" t="e">
        <f>VLOOKUP(N146,contoare!A:K,6,FALSE)</f>
        <v>#N/A</v>
      </c>
      <c r="I146" s="209" t="e">
        <f>VLOOKUP(N146,contoare!A:K,7,FALSE)</f>
        <v>#N/A</v>
      </c>
      <c r="J146" s="209" t="e">
        <f>VLOOKUP(N146,contoare!A:K,8,FALSE)</f>
        <v>#N/A</v>
      </c>
      <c r="K146" s="209" t="e">
        <f>VLOOKUP(N146,contoare!A:K,9,FALSE)</f>
        <v>#N/A</v>
      </c>
      <c r="L146" s="209" t="e">
        <f>VLOOKUP(N146,contoare!A:K,10,FALSE)</f>
        <v>#N/A</v>
      </c>
      <c r="M146" s="210" t="e">
        <f>VLOOKUP(N146,contoare!A:K,11,FALSE)</f>
        <v>#N/A</v>
      </c>
      <c r="N146" s="211" t="s">
        <v>668</v>
      </c>
      <c r="O146" s="212">
        <v>3000</v>
      </c>
      <c r="P146" s="213">
        <v>494160</v>
      </c>
      <c r="Q146" s="213">
        <v>0</v>
      </c>
      <c r="R146" s="105">
        <f>P146</f>
        <v>494160</v>
      </c>
      <c r="S146" s="290"/>
      <c r="T146" s="209" t="e">
        <f>VLOOKUP(X146,contoare!A:K,4,FALSE)</f>
        <v>#N/A</v>
      </c>
      <c r="U146" s="209" t="e">
        <f>VLOOKUP(X146,contoare!A:K,5,FALSE)</f>
        <v>#N/A</v>
      </c>
      <c r="V146" s="209" t="e">
        <f>VLOOKUP(X146,contoare!A:K,8,FALSE)</f>
        <v>#N/A</v>
      </c>
      <c r="W146" s="209" t="e">
        <f>VLOOKUP(X146,contoare!A:K,9,FALSE)</f>
        <v>#N/A</v>
      </c>
      <c r="X146" s="214" t="s">
        <v>667</v>
      </c>
      <c r="Y146" s="212">
        <v>6000</v>
      </c>
      <c r="Z146" s="149">
        <f>P141</f>
        <v>483780</v>
      </c>
      <c r="AA146" s="46">
        <f t="shared" si="77"/>
        <v>0</v>
      </c>
      <c r="AB146" s="105">
        <f>Z146</f>
        <v>483780</v>
      </c>
      <c r="AC146" s="296"/>
      <c r="AD146" s="299"/>
    </row>
    <row r="147" spans="1:30" x14ac:dyDescent="0.2">
      <c r="A147" s="357" t="s">
        <v>110</v>
      </c>
      <c r="B147" s="196" t="s">
        <v>375</v>
      </c>
      <c r="C147" s="152" t="s">
        <v>376</v>
      </c>
      <c r="D147" s="80">
        <f>VLOOKUP(N147,contoare!A:K,2,FALSE)</f>
        <v>45870</v>
      </c>
      <c r="E147" s="80">
        <f>VLOOKUP(N147,contoare!A:K,3,FALSE)</f>
        <v>45901</v>
      </c>
      <c r="F147" s="81">
        <f>VLOOKUP(N147,contoare!A:K,4,FALSE)</f>
        <v>749.08299999999997</v>
      </c>
      <c r="G147" s="81">
        <f>VLOOKUP(N147,contoare!A:K,5,FALSE)</f>
        <v>185.66300000000001</v>
      </c>
      <c r="H147" s="81">
        <f>VLOOKUP(N147,contoare!A:K,6,FALSE)</f>
        <v>86.07</v>
      </c>
      <c r="I147" s="81">
        <f>VLOOKUP(N147,contoare!A:K,7,FALSE)</f>
        <v>169.012</v>
      </c>
      <c r="J147" s="81">
        <f>VLOOKUP(N147,contoare!A:K,8,FALSE)</f>
        <v>849.28700000000003</v>
      </c>
      <c r="K147" s="81">
        <f>VLOOKUP(N147,contoare!A:K,9,FALSE)</f>
        <v>198.876</v>
      </c>
      <c r="L147" s="81">
        <f>VLOOKUP(N147,contoare!A:K,10,FALSE)</f>
        <v>109.99299999999999</v>
      </c>
      <c r="M147" s="81">
        <f>VLOOKUP(N147,contoare!A:K,11,FALSE)</f>
        <v>183.54400000000001</v>
      </c>
      <c r="N147" s="98" t="s">
        <v>111</v>
      </c>
      <c r="O147" s="35">
        <v>800</v>
      </c>
      <c r="P147" s="36">
        <f t="shared" si="60"/>
        <v>80163.200000000055</v>
      </c>
      <c r="Q147" s="36">
        <f t="shared" si="61"/>
        <v>10570.399999999994</v>
      </c>
      <c r="R147" s="226">
        <f>P147</f>
        <v>80163.200000000055</v>
      </c>
      <c r="S147" s="373">
        <f>(R149-R147)/R149</f>
        <v>0.73082977408869887</v>
      </c>
      <c r="T147" s="81">
        <f>VLOOKUP(X147,contoare!A:K,4,FALSE)</f>
        <v>749.08299999999997</v>
      </c>
      <c r="U147" s="81">
        <f>VLOOKUP(X147,contoare!A:K,5,FALSE)</f>
        <v>185.66300000000001</v>
      </c>
      <c r="V147" s="81">
        <f>VLOOKUP(X147,contoare!A:K,8,FALSE)</f>
        <v>849.28700000000003</v>
      </c>
      <c r="W147" s="81">
        <f>VLOOKUP(X147,contoare!A:K,9,FALSE)</f>
        <v>198.876</v>
      </c>
      <c r="X147" s="182" t="s">
        <v>111</v>
      </c>
      <c r="Y147" s="35">
        <v>800</v>
      </c>
      <c r="Z147" s="36">
        <f t="shared" si="44"/>
        <v>80163.200000000055</v>
      </c>
      <c r="AA147" s="36">
        <f t="shared" si="43"/>
        <v>10570.399999999994</v>
      </c>
      <c r="AB147" s="148">
        <f>Z147</f>
        <v>80163.200000000055</v>
      </c>
      <c r="AC147" s="383">
        <f>(AB149-AB147)/AB149</f>
        <v>0.73082977408869887</v>
      </c>
      <c r="AD147" s="376" t="s">
        <v>599</v>
      </c>
    </row>
    <row r="148" spans="1:30" x14ac:dyDescent="0.2">
      <c r="A148" s="358"/>
      <c r="B148" s="88" t="s">
        <v>545</v>
      </c>
      <c r="C148" s="72" t="s">
        <v>545</v>
      </c>
      <c r="D148" s="37">
        <f>VLOOKUP(N148,contoare!A:K,2,FALSE)</f>
        <v>45870</v>
      </c>
      <c r="E148" s="37">
        <f>VLOOKUP(N148,contoare!A:K,3,FALSE)</f>
        <v>45901</v>
      </c>
      <c r="F148" s="38">
        <f>VLOOKUP(N148,contoare!A:K,4,FALSE)</f>
        <v>168.613</v>
      </c>
      <c r="G148" s="38">
        <f>VLOOKUP(N148,contoare!A:K,5,FALSE)</f>
        <v>0</v>
      </c>
      <c r="H148" s="38">
        <f>VLOOKUP(N148,contoare!A:K,6,FALSE)</f>
        <v>1.6080000000000001</v>
      </c>
      <c r="I148" s="38">
        <f>VLOOKUP(N148,contoare!A:K,7,FALSE)</f>
        <v>16.991</v>
      </c>
      <c r="J148" s="38">
        <f>VLOOKUP(N148,contoare!A:K,8,FALSE)</f>
        <v>205.399</v>
      </c>
      <c r="K148" s="38">
        <f>VLOOKUP(N148,contoare!A:K,9,FALSE)</f>
        <v>0</v>
      </c>
      <c r="L148" s="38">
        <f>VLOOKUP(N148,contoare!A:K,10,FALSE)</f>
        <v>1.704</v>
      </c>
      <c r="M148" s="38">
        <f>VLOOKUP(N148,contoare!A:K,11,FALSE)</f>
        <v>20.808</v>
      </c>
      <c r="N148" s="92" t="s">
        <v>119</v>
      </c>
      <c r="O148" s="26">
        <v>8000</v>
      </c>
      <c r="P148" s="27">
        <f t="shared" si="60"/>
        <v>294288</v>
      </c>
      <c r="Q148" s="27">
        <f t="shared" si="61"/>
        <v>0</v>
      </c>
      <c r="R148" s="102">
        <f>P148</f>
        <v>294288</v>
      </c>
      <c r="S148" s="374"/>
      <c r="T148" s="38">
        <f>VLOOKUP(X148,contoare!A:K,4,FALSE)</f>
        <v>168.613</v>
      </c>
      <c r="U148" s="38">
        <f>VLOOKUP(X148,contoare!A:K,5,FALSE)</f>
        <v>0</v>
      </c>
      <c r="V148" s="38">
        <f>VLOOKUP(X148,contoare!A:K,8,FALSE)</f>
        <v>205.399</v>
      </c>
      <c r="W148" s="38">
        <f>VLOOKUP(X148,contoare!A:K,9,FALSE)</f>
        <v>0</v>
      </c>
      <c r="X148" s="92" t="s">
        <v>119</v>
      </c>
      <c r="Y148" s="26">
        <v>8000</v>
      </c>
      <c r="Z148" s="27">
        <f t="shared" si="44"/>
        <v>294288</v>
      </c>
      <c r="AA148" s="27">
        <f t="shared" si="43"/>
        <v>0</v>
      </c>
      <c r="AB148" s="101">
        <f>Z148</f>
        <v>294288</v>
      </c>
      <c r="AC148" s="384"/>
      <c r="AD148" s="377"/>
    </row>
    <row r="149" spans="1:30" ht="17" thickBot="1" x14ac:dyDescent="0.25">
      <c r="A149" s="358"/>
      <c r="B149" s="89" t="s">
        <v>585</v>
      </c>
      <c r="C149" s="73" t="s">
        <v>590</v>
      </c>
      <c r="D149" s="44" t="e">
        <f>VLOOKUP(N149,contoare!A:K,2,FALSE)</f>
        <v>#N/A</v>
      </c>
      <c r="E149" s="44" t="e">
        <f>VLOOKUP(N149,contoare!A:K,3,FALSE)</f>
        <v>#N/A</v>
      </c>
      <c r="F149" s="45" t="e">
        <f>VLOOKUP(N149,contoare!A:K,4,FALSE)</f>
        <v>#N/A</v>
      </c>
      <c r="G149" s="45" t="e">
        <f>VLOOKUP(N149,contoare!A:K,5,FALSE)</f>
        <v>#N/A</v>
      </c>
      <c r="H149" s="45" t="e">
        <f>VLOOKUP(N149,contoare!A:K,6,FALSE)</f>
        <v>#N/A</v>
      </c>
      <c r="I149" s="45" t="e">
        <f>VLOOKUP(N149,contoare!A:K,7,FALSE)</f>
        <v>#N/A</v>
      </c>
      <c r="J149" s="45" t="e">
        <f>VLOOKUP(N149,contoare!A:K,8,FALSE)</f>
        <v>#N/A</v>
      </c>
      <c r="K149" s="45" t="e">
        <f>VLOOKUP(N149,contoare!A:K,9,FALSE)</f>
        <v>#N/A</v>
      </c>
      <c r="L149" s="45" t="e">
        <f>VLOOKUP(N149,contoare!A:K,10,FALSE)</f>
        <v>#N/A</v>
      </c>
      <c r="M149" s="45" t="e">
        <f>VLOOKUP(N149,contoare!A:K,11,FALSE)</f>
        <v>#N/A</v>
      </c>
      <c r="N149" s="94" t="s">
        <v>594</v>
      </c>
      <c r="O149" s="43">
        <v>8000</v>
      </c>
      <c r="P149" s="46">
        <v>297816</v>
      </c>
      <c r="Q149" s="46">
        <v>0</v>
      </c>
      <c r="R149" s="105">
        <f>P149</f>
        <v>297816</v>
      </c>
      <c r="S149" s="375"/>
      <c r="T149" s="45" t="e">
        <f>VLOOKUP(X149,contoare!A:K,4,FALSE)</f>
        <v>#N/A</v>
      </c>
      <c r="U149" s="45" t="e">
        <f>VLOOKUP(X149,contoare!A:K,5,FALSE)</f>
        <v>#N/A</v>
      </c>
      <c r="V149" s="45" t="e">
        <f>VLOOKUP(X149,contoare!A:K,8,FALSE)</f>
        <v>#N/A</v>
      </c>
      <c r="W149" s="45" t="e">
        <f>VLOOKUP(X149,contoare!A:K,9,FALSE)</f>
        <v>#N/A</v>
      </c>
      <c r="X149" s="94" t="s">
        <v>594</v>
      </c>
      <c r="Y149" s="43">
        <v>8000</v>
      </c>
      <c r="Z149" s="46">
        <f t="shared" si="44"/>
        <v>297816</v>
      </c>
      <c r="AA149" s="46">
        <f t="shared" ref="AA149:AA234" si="78">IF(LEFT(X149,3)&lt;&gt;"HXE",Q149,(W149-U149)*Y149)</f>
        <v>0</v>
      </c>
      <c r="AB149" s="47">
        <f>Z149</f>
        <v>297816</v>
      </c>
      <c r="AC149" s="385"/>
      <c r="AD149" s="377"/>
    </row>
    <row r="150" spans="1:30" x14ac:dyDescent="0.2">
      <c r="A150" s="358"/>
      <c r="B150" s="87" t="s">
        <v>377</v>
      </c>
      <c r="C150" s="111" t="s">
        <v>378</v>
      </c>
      <c r="D150" s="40">
        <f>VLOOKUP(N150,contoare!A:K,2,FALSE)</f>
        <v>45870</v>
      </c>
      <c r="E150" s="40">
        <f>VLOOKUP(N150,contoare!A:K,3,FALSE)</f>
        <v>45901</v>
      </c>
      <c r="F150" s="41">
        <f>VLOOKUP(N150,contoare!A:K,4,FALSE)</f>
        <v>1737.1610000000001</v>
      </c>
      <c r="G150" s="41">
        <f>VLOOKUP(N150,contoare!A:K,5,FALSE)</f>
        <v>1.081</v>
      </c>
      <c r="H150" s="41">
        <f>VLOOKUP(N150,contoare!A:K,6,FALSE)</f>
        <v>6.23</v>
      </c>
      <c r="I150" s="41">
        <f>VLOOKUP(N150,contoare!A:K,7,FALSE)</f>
        <v>186.87700000000001</v>
      </c>
      <c r="J150" s="41">
        <f>VLOOKUP(N150,contoare!A:K,8,FALSE)</f>
        <v>1925.7349999999999</v>
      </c>
      <c r="K150" s="41">
        <f>VLOOKUP(N150,contoare!A:K,9,FALSE)</f>
        <v>1.081</v>
      </c>
      <c r="L150" s="41">
        <f>VLOOKUP(N150,contoare!A:K,10,FALSE)</f>
        <v>8.9629999999999992</v>
      </c>
      <c r="M150" s="41">
        <f>VLOOKUP(N150,contoare!A:K,11,FALSE)</f>
        <v>194.643</v>
      </c>
      <c r="N150" s="91" t="s">
        <v>114</v>
      </c>
      <c r="O150" s="39">
        <v>600</v>
      </c>
      <c r="P150" s="42">
        <f t="shared" ref="P150:P161" si="79">(J150-F150)*O150</f>
        <v>113144.39999999991</v>
      </c>
      <c r="Q150" s="42">
        <f t="shared" ref="Q150:Q161" si="80">(K150-G150)*O150</f>
        <v>0</v>
      </c>
      <c r="R150" s="282">
        <f>P150+P152-Q152</f>
        <v>113144.39999999991</v>
      </c>
      <c r="S150" s="321">
        <f>(R155-R150)/R155</f>
        <v>0.82736166888419627</v>
      </c>
      <c r="T150" s="41">
        <f>VLOOKUP(X150,contoare!A:K,4,FALSE)</f>
        <v>1737.1610000000001</v>
      </c>
      <c r="U150" s="41">
        <f>VLOOKUP(X150,contoare!A:K,5,FALSE)</f>
        <v>1.081</v>
      </c>
      <c r="V150" s="41">
        <f>VLOOKUP(X150,contoare!A:K,8,FALSE)</f>
        <v>1925.7349999999999</v>
      </c>
      <c r="W150" s="41">
        <f>VLOOKUP(X150,contoare!A:K,9,FALSE)</f>
        <v>1.081</v>
      </c>
      <c r="X150" s="91" t="s">
        <v>114</v>
      </c>
      <c r="Y150" s="39">
        <v>600</v>
      </c>
      <c r="Z150" s="42">
        <f t="shared" si="44"/>
        <v>113144.39999999991</v>
      </c>
      <c r="AA150" s="42">
        <f t="shared" si="78"/>
        <v>0</v>
      </c>
      <c r="AB150" s="347">
        <f>Z150+Z152-AA150-AA152</f>
        <v>599962.20000000007</v>
      </c>
      <c r="AC150" s="318">
        <f>(AB155-AB150)/AB155</f>
        <v>8.4563858745407172E-2</v>
      </c>
      <c r="AD150" s="377"/>
    </row>
    <row r="151" spans="1:30" x14ac:dyDescent="0.2">
      <c r="A151" s="358"/>
      <c r="B151" s="88" t="s">
        <v>507</v>
      </c>
      <c r="C151" s="72" t="s">
        <v>508</v>
      </c>
      <c r="D151" s="37">
        <f>VLOOKUP(N151,contoare!A:K,2,FALSE)</f>
        <v>45870</v>
      </c>
      <c r="E151" s="37">
        <f>VLOOKUP(N151,contoare!A:K,3,FALSE)</f>
        <v>45901</v>
      </c>
      <c r="F151" s="38">
        <f>VLOOKUP(N151,contoare!A:K,4,FALSE)</f>
        <v>1.802</v>
      </c>
      <c r="G151" s="38">
        <f>VLOOKUP(N151,contoare!A:K,5,FALSE)</f>
        <v>1521.3920000000001</v>
      </c>
      <c r="H151" s="38">
        <f>VLOOKUP(N151,contoare!A:K,6,FALSE)</f>
        <v>0.45400000000000001</v>
      </c>
      <c r="I151" s="38">
        <f>VLOOKUP(N151,contoare!A:K,7,FALSE)</f>
        <v>33.802</v>
      </c>
      <c r="J151" s="38">
        <f>VLOOKUP(N151,contoare!A:K,8,FALSE)</f>
        <v>1.958</v>
      </c>
      <c r="K151" s="38">
        <f>VLOOKUP(N151,contoare!A:K,9,FALSE)</f>
        <v>1669.441</v>
      </c>
      <c r="L151" s="38">
        <f>VLOOKUP(N151,contoare!A:K,10,FALSE)</f>
        <v>0.53</v>
      </c>
      <c r="M151" s="38">
        <f>VLOOKUP(N151,contoare!A:K,11,FALSE)</f>
        <v>35.972000000000001</v>
      </c>
      <c r="N151" s="92" t="s">
        <v>115</v>
      </c>
      <c r="O151" s="26">
        <v>200</v>
      </c>
      <c r="P151" s="27">
        <f t="shared" si="79"/>
        <v>31.199999999999982</v>
      </c>
      <c r="Q151" s="27">
        <f t="shared" si="80"/>
        <v>29609.799999999996</v>
      </c>
      <c r="R151" s="283"/>
      <c r="S151" s="322"/>
      <c r="T151" s="38">
        <f>VLOOKUP(X151,contoare!A:K,4,FALSE)</f>
        <v>1.802</v>
      </c>
      <c r="U151" s="38">
        <f>VLOOKUP(X151,contoare!A:K,5,FALSE)</f>
        <v>1521.3920000000001</v>
      </c>
      <c r="V151" s="38">
        <f>VLOOKUP(X151,contoare!A:K,8,FALSE)</f>
        <v>1.958</v>
      </c>
      <c r="W151" s="38">
        <f>VLOOKUP(X151,contoare!A:K,9,FALSE)</f>
        <v>1669.441</v>
      </c>
      <c r="X151" s="92" t="s">
        <v>115</v>
      </c>
      <c r="Y151" s="26">
        <v>200</v>
      </c>
      <c r="Z151" s="27">
        <f t="shared" si="44"/>
        <v>31.199999999999982</v>
      </c>
      <c r="AA151" s="27">
        <f t="shared" si="78"/>
        <v>29609.799999999996</v>
      </c>
      <c r="AB151" s="348"/>
      <c r="AC151" s="319"/>
      <c r="AD151" s="377"/>
    </row>
    <row r="152" spans="1:30" x14ac:dyDescent="0.2">
      <c r="A152" s="358"/>
      <c r="B152" s="225" t="s">
        <v>379</v>
      </c>
      <c r="C152" s="220" t="s">
        <v>380</v>
      </c>
      <c r="D152" s="161" t="e">
        <f>VLOOKUP(N152,contoare!A:K,2,FALSE)</f>
        <v>#N/A</v>
      </c>
      <c r="E152" s="161" t="e">
        <f>VLOOKUP(N152,contoare!A:K,3,FALSE)</f>
        <v>#N/A</v>
      </c>
      <c r="F152" s="162" t="e">
        <f>VLOOKUP(N152,contoare!A:K,4,FALSE)</f>
        <v>#N/A</v>
      </c>
      <c r="G152" s="162" t="e">
        <f>VLOOKUP(N152,contoare!A:K,5,FALSE)</f>
        <v>#N/A</v>
      </c>
      <c r="H152" s="162" t="e">
        <f>VLOOKUP(N152,contoare!A:K,6,FALSE)</f>
        <v>#N/A</v>
      </c>
      <c r="I152" s="162" t="e">
        <f>VLOOKUP(N152,contoare!A:K,7,FALSE)</f>
        <v>#N/A</v>
      </c>
      <c r="J152" s="162" t="e">
        <f>VLOOKUP(N152,contoare!A:K,8,FALSE)</f>
        <v>#N/A</v>
      </c>
      <c r="K152" s="162" t="e">
        <f>VLOOKUP(N152,contoare!A:K,9,FALSE)</f>
        <v>#N/A</v>
      </c>
      <c r="L152" s="162" t="e">
        <f>VLOOKUP(N152,contoare!A:K,10,FALSE)</f>
        <v>#N/A</v>
      </c>
      <c r="M152" s="162" t="e">
        <f>VLOOKUP(N152,contoare!A:K,11,FALSE)</f>
        <v>#N/A</v>
      </c>
      <c r="N152" s="167"/>
      <c r="O152" s="162">
        <v>0</v>
      </c>
      <c r="P152" s="164">
        <v>0</v>
      </c>
      <c r="Q152" s="164">
        <v>0</v>
      </c>
      <c r="R152" s="283"/>
      <c r="S152" s="322"/>
      <c r="T152" s="38">
        <f>VLOOKUP(X152,contoare!A:K,4,FALSE)</f>
        <v>5540.3969999999999</v>
      </c>
      <c r="U152" s="38">
        <f>VLOOKUP(X152,contoare!A:K,5,FALSE)</f>
        <v>0</v>
      </c>
      <c r="V152" s="38">
        <f>VLOOKUP(X152,contoare!A:K,8,FALSE)</f>
        <v>6351.76</v>
      </c>
      <c r="W152" s="38">
        <f>VLOOKUP(X152,contoare!A:K,9,FALSE)</f>
        <v>0</v>
      </c>
      <c r="X152" s="167" t="s">
        <v>113</v>
      </c>
      <c r="Y152" s="162">
        <v>600</v>
      </c>
      <c r="Z152" s="164">
        <f>(V152-T152)*Y152</f>
        <v>486817.80000000016</v>
      </c>
      <c r="AA152" s="164">
        <f>(W152-U152)*Y152</f>
        <v>0</v>
      </c>
      <c r="AB152" s="348"/>
      <c r="AC152" s="319"/>
      <c r="AD152" s="377"/>
    </row>
    <row r="153" spans="1:30" x14ac:dyDescent="0.2">
      <c r="A153" s="358"/>
      <c r="B153" s="88" t="s">
        <v>509</v>
      </c>
      <c r="C153" s="72" t="s">
        <v>510</v>
      </c>
      <c r="D153" s="37">
        <f>VLOOKUP(N153,contoare!A:K,2,FALSE)</f>
        <v>45870</v>
      </c>
      <c r="E153" s="37">
        <f>VLOOKUP(N153,contoare!A:K,3,FALSE)</f>
        <v>45901</v>
      </c>
      <c r="F153" s="38">
        <f>VLOOKUP(N153,contoare!A:K,4,FALSE)</f>
        <v>1.137</v>
      </c>
      <c r="G153" s="38">
        <f>VLOOKUP(N153,contoare!A:K,5,FALSE)</f>
        <v>2656.085</v>
      </c>
      <c r="H153" s="38">
        <f>VLOOKUP(N153,contoare!A:K,6,FALSE)</f>
        <v>0.3</v>
      </c>
      <c r="I153" s="38">
        <f>VLOOKUP(N153,contoare!A:K,7,FALSE)</f>
        <v>39.707999999999998</v>
      </c>
      <c r="J153" s="38">
        <f>VLOOKUP(N153,contoare!A:K,8,FALSE)</f>
        <v>1.228</v>
      </c>
      <c r="K153" s="38">
        <f>VLOOKUP(N153,contoare!A:K,9,FALSE)</f>
        <v>3127.402</v>
      </c>
      <c r="L153" s="38">
        <f>VLOOKUP(N153,contoare!A:K,10,FALSE)</f>
        <v>0.30199999999999999</v>
      </c>
      <c r="M153" s="38">
        <f>VLOOKUP(N153,contoare!A:K,11,FALSE)</f>
        <v>43.615000000000002</v>
      </c>
      <c r="N153" s="92" t="s">
        <v>116</v>
      </c>
      <c r="O153" s="26">
        <v>200</v>
      </c>
      <c r="P153" s="27">
        <f t="shared" si="79"/>
        <v>18.199999999999996</v>
      </c>
      <c r="Q153" s="27">
        <f t="shared" si="80"/>
        <v>94263.4</v>
      </c>
      <c r="R153" s="283"/>
      <c r="S153" s="322"/>
      <c r="T153" s="38">
        <f>VLOOKUP(X153,contoare!A:K,4,FALSE)</f>
        <v>1.137</v>
      </c>
      <c r="U153" s="38">
        <f>VLOOKUP(X153,contoare!A:K,5,FALSE)</f>
        <v>2656.085</v>
      </c>
      <c r="V153" s="38">
        <f>VLOOKUP(X153,contoare!A:K,8,FALSE)</f>
        <v>1.228</v>
      </c>
      <c r="W153" s="38">
        <f>VLOOKUP(X153,contoare!A:K,9,FALSE)</f>
        <v>3127.402</v>
      </c>
      <c r="X153" s="92" t="s">
        <v>116</v>
      </c>
      <c r="Y153" s="26">
        <v>200</v>
      </c>
      <c r="Z153" s="27">
        <f t="shared" ref="Z153" si="81">IF(LEFT(N153,3)&lt;&gt;"HXE",P153,(V153-T153)*Y153)</f>
        <v>18.199999999999996</v>
      </c>
      <c r="AA153" s="27">
        <f t="shared" si="78"/>
        <v>94263.4</v>
      </c>
      <c r="AB153" s="348"/>
      <c r="AC153" s="319"/>
      <c r="AD153" s="377"/>
    </row>
    <row r="154" spans="1:30" x14ac:dyDescent="0.2">
      <c r="A154" s="358"/>
      <c r="B154" s="88" t="s">
        <v>546</v>
      </c>
      <c r="C154" s="72" t="s">
        <v>546</v>
      </c>
      <c r="D154" s="37">
        <f>VLOOKUP(N154,contoare!A:K,2,FALSE)</f>
        <v>45870</v>
      </c>
      <c r="E154" s="37">
        <f>VLOOKUP(N154,contoare!A:K,3,FALSE)</f>
        <v>45901</v>
      </c>
      <c r="F154" s="38">
        <f>VLOOKUP(N154,contoare!A:K,4,FALSE)</f>
        <v>277.238</v>
      </c>
      <c r="G154" s="38">
        <f>VLOOKUP(N154,contoare!A:K,5,FALSE)</f>
        <v>0</v>
      </c>
      <c r="H154" s="38">
        <f>VLOOKUP(N154,contoare!A:K,6,FALSE)</f>
        <v>74.67</v>
      </c>
      <c r="I154" s="38">
        <f>VLOOKUP(N154,contoare!A:K,7,FALSE)</f>
        <v>3.0000000000000001E-3</v>
      </c>
      <c r="J154" s="38">
        <f>VLOOKUP(N154,contoare!A:K,8,FALSE)</f>
        <v>359.28300000000002</v>
      </c>
      <c r="K154" s="38">
        <f>VLOOKUP(N154,contoare!A:K,9,FALSE)</f>
        <v>0</v>
      </c>
      <c r="L154" s="38">
        <f>VLOOKUP(N154,contoare!A:K,10,FALSE)</f>
        <v>100.40900000000001</v>
      </c>
      <c r="M154" s="38">
        <f>VLOOKUP(N154,contoare!A:K,11,FALSE)</f>
        <v>3.0000000000000001E-3</v>
      </c>
      <c r="N154" s="92" t="s">
        <v>117</v>
      </c>
      <c r="O154" s="26">
        <v>8000</v>
      </c>
      <c r="P154" s="27">
        <f t="shared" si="79"/>
        <v>656360.00000000012</v>
      </c>
      <c r="Q154" s="27">
        <f t="shared" si="80"/>
        <v>0</v>
      </c>
      <c r="R154" s="102">
        <f>P154</f>
        <v>656360.00000000012</v>
      </c>
      <c r="S154" s="322"/>
      <c r="T154" s="38">
        <f>VLOOKUP(X154,contoare!A:K,4,FALSE)</f>
        <v>277.238</v>
      </c>
      <c r="U154" s="38">
        <f>VLOOKUP(X154,contoare!A:K,5,FALSE)</f>
        <v>0</v>
      </c>
      <c r="V154" s="38">
        <f>VLOOKUP(X154,contoare!A:K,8,FALSE)</f>
        <v>359.28300000000002</v>
      </c>
      <c r="W154" s="38">
        <f>VLOOKUP(X154,contoare!A:K,9,FALSE)</f>
        <v>0</v>
      </c>
      <c r="X154" s="92" t="s">
        <v>117</v>
      </c>
      <c r="Y154" s="26">
        <v>8000</v>
      </c>
      <c r="Z154" s="27">
        <f t="shared" ref="Z154:Z236" si="82">IF(LEFT(N154,3)&lt;&gt;"HXE",P154,(V154-T154)*Y154)</f>
        <v>656360.00000000012</v>
      </c>
      <c r="AA154" s="27">
        <f t="shared" si="78"/>
        <v>0</v>
      </c>
      <c r="AB154" s="103">
        <f>Z154</f>
        <v>656360.00000000012</v>
      </c>
      <c r="AC154" s="319"/>
      <c r="AD154" s="377"/>
    </row>
    <row r="155" spans="1:30" ht="17" thickBot="1" x14ac:dyDescent="0.25">
      <c r="A155" s="358"/>
      <c r="B155" s="89" t="s">
        <v>586</v>
      </c>
      <c r="C155" s="73" t="s">
        <v>591</v>
      </c>
      <c r="D155" s="44" t="e">
        <f>VLOOKUP(N155,contoare!A:K,2,FALSE)</f>
        <v>#N/A</v>
      </c>
      <c r="E155" s="44" t="e">
        <f>VLOOKUP(N155,contoare!A:K,3,FALSE)</f>
        <v>#N/A</v>
      </c>
      <c r="F155" s="45" t="e">
        <f>VLOOKUP(N155,contoare!A:K,4,FALSE)</f>
        <v>#N/A</v>
      </c>
      <c r="G155" s="45" t="e">
        <f>VLOOKUP(N155,contoare!A:K,5,FALSE)</f>
        <v>#N/A</v>
      </c>
      <c r="H155" s="45" t="e">
        <f>VLOOKUP(N155,contoare!A:K,6,FALSE)</f>
        <v>#N/A</v>
      </c>
      <c r="I155" s="45" t="e">
        <f>VLOOKUP(N155,contoare!A:K,7,FALSE)</f>
        <v>#N/A</v>
      </c>
      <c r="J155" s="45" t="e">
        <f>VLOOKUP(N155,contoare!A:K,8,FALSE)</f>
        <v>#N/A</v>
      </c>
      <c r="K155" s="45" t="e">
        <f>VLOOKUP(N155,contoare!A:K,9,FALSE)</f>
        <v>#N/A</v>
      </c>
      <c r="L155" s="45" t="e">
        <f>VLOOKUP(N155,contoare!A:K,10,FALSE)</f>
        <v>#N/A</v>
      </c>
      <c r="M155" s="45" t="e">
        <f>VLOOKUP(N155,contoare!A:K,11,FALSE)</f>
        <v>#N/A</v>
      </c>
      <c r="N155" s="94" t="s">
        <v>595</v>
      </c>
      <c r="O155" s="43">
        <v>8000</v>
      </c>
      <c r="P155" s="46">
        <v>655384</v>
      </c>
      <c r="Q155" s="46">
        <v>0</v>
      </c>
      <c r="R155" s="105">
        <f>P155</f>
        <v>655384</v>
      </c>
      <c r="S155" s="323"/>
      <c r="T155" s="45" t="e">
        <f>VLOOKUP(X155,contoare!A:K,4,FALSE)</f>
        <v>#N/A</v>
      </c>
      <c r="U155" s="45" t="e">
        <f>VLOOKUP(X155,contoare!A:K,5,FALSE)</f>
        <v>#N/A</v>
      </c>
      <c r="V155" s="45" t="e">
        <f>VLOOKUP(X155,contoare!A:K,8,FALSE)</f>
        <v>#N/A</v>
      </c>
      <c r="W155" s="45" t="e">
        <f>VLOOKUP(X155,contoare!A:K,9,FALSE)</f>
        <v>#N/A</v>
      </c>
      <c r="X155" s="94" t="s">
        <v>595</v>
      </c>
      <c r="Y155" s="43">
        <v>8000</v>
      </c>
      <c r="Z155" s="46">
        <f t="shared" si="82"/>
        <v>655384</v>
      </c>
      <c r="AA155" s="46">
        <f t="shared" si="78"/>
        <v>0</v>
      </c>
      <c r="AB155" s="104">
        <f>Z155</f>
        <v>655384</v>
      </c>
      <c r="AC155" s="320"/>
      <c r="AD155" s="377"/>
    </row>
    <row r="156" spans="1:30" x14ac:dyDescent="0.2">
      <c r="A156" s="358"/>
      <c r="B156" s="87" t="s">
        <v>381</v>
      </c>
      <c r="C156" s="111" t="s">
        <v>382</v>
      </c>
      <c r="D156" s="40">
        <f>VLOOKUP(N156,contoare!A:K,2,FALSE)</f>
        <v>45870</v>
      </c>
      <c r="E156" s="40">
        <f>VLOOKUP(N156,contoare!A:K,3,FALSE)</f>
        <v>45901</v>
      </c>
      <c r="F156" s="41">
        <f>VLOOKUP(N156,contoare!A:K,4,FALSE)</f>
        <v>2739.3470000000002</v>
      </c>
      <c r="G156" s="41">
        <f>VLOOKUP(N156,contoare!A:K,5,FALSE)</f>
        <v>0</v>
      </c>
      <c r="H156" s="41">
        <f>VLOOKUP(N156,contoare!A:K,6,FALSE)</f>
        <v>1086.4349999999999</v>
      </c>
      <c r="I156" s="41">
        <f>VLOOKUP(N156,contoare!A:K,7,FALSE)</f>
        <v>137.31399999999999</v>
      </c>
      <c r="J156" s="41">
        <f>VLOOKUP(N156,contoare!A:K,8,FALSE)</f>
        <v>2943.6460000000002</v>
      </c>
      <c r="K156" s="41">
        <f>VLOOKUP(N156,contoare!A:K,9,FALSE)</f>
        <v>0</v>
      </c>
      <c r="L156" s="41">
        <f>VLOOKUP(N156,contoare!A:K,10,FALSE)</f>
        <v>1197.502</v>
      </c>
      <c r="M156" s="41">
        <f>VLOOKUP(N156,contoare!A:K,11,FALSE)</f>
        <v>149.05699999999999</v>
      </c>
      <c r="N156" s="91" t="s">
        <v>121</v>
      </c>
      <c r="O156" s="39">
        <v>120</v>
      </c>
      <c r="P156" s="42">
        <f t="shared" si="79"/>
        <v>24515.879999999997</v>
      </c>
      <c r="Q156" s="42">
        <f t="shared" si="80"/>
        <v>0</v>
      </c>
      <c r="R156" s="123">
        <f>P156</f>
        <v>24515.879999999997</v>
      </c>
      <c r="S156" s="324">
        <f>(R158-R156)/R158</f>
        <v>4.2983955966740942E-2</v>
      </c>
      <c r="T156" s="41">
        <f>VLOOKUP(X156,contoare!A:K,4,FALSE)</f>
        <v>2739.3470000000002</v>
      </c>
      <c r="U156" s="41">
        <f>VLOOKUP(X156,contoare!A:K,5,FALSE)</f>
        <v>0</v>
      </c>
      <c r="V156" s="41">
        <f>VLOOKUP(X156,contoare!A:K,8,FALSE)</f>
        <v>2943.6460000000002</v>
      </c>
      <c r="W156" s="41">
        <f>VLOOKUP(X156,contoare!A:K,9,FALSE)</f>
        <v>0</v>
      </c>
      <c r="X156" s="91" t="s">
        <v>121</v>
      </c>
      <c r="Y156" s="39">
        <v>120</v>
      </c>
      <c r="Z156" s="42">
        <f t="shared" si="82"/>
        <v>24515.879999999997</v>
      </c>
      <c r="AA156" s="42">
        <f t="shared" si="78"/>
        <v>0</v>
      </c>
      <c r="AB156" s="123">
        <f>Z156</f>
        <v>24515.879999999997</v>
      </c>
      <c r="AC156" s="388">
        <f>(AB158-AB156)/AB158</f>
        <v>4.2983955966740942E-2</v>
      </c>
      <c r="AD156" s="377"/>
    </row>
    <row r="157" spans="1:30" x14ac:dyDescent="0.2">
      <c r="A157" s="358"/>
      <c r="B157" s="88" t="s">
        <v>560</v>
      </c>
      <c r="C157" s="72" t="s">
        <v>560</v>
      </c>
      <c r="D157" s="37">
        <f>VLOOKUP(N157,contoare!A:K,2,FALSE)</f>
        <v>45870</v>
      </c>
      <c r="E157" s="37">
        <f>VLOOKUP(N157,contoare!A:K,3,FALSE)</f>
        <v>45901</v>
      </c>
      <c r="F157" s="38">
        <f>VLOOKUP(N157,contoare!A:K,4,FALSE)</f>
        <v>368.226</v>
      </c>
      <c r="G157" s="38">
        <f>VLOOKUP(N157,contoare!A:K,5,FALSE)</f>
        <v>0</v>
      </c>
      <c r="H157" s="38">
        <f>VLOOKUP(N157,contoare!A:K,6,FALSE)</f>
        <v>206.18100000000001</v>
      </c>
      <c r="I157" s="38">
        <f>VLOOKUP(N157,contoare!A:K,7,FALSE)</f>
        <v>13.848000000000001</v>
      </c>
      <c r="J157" s="38">
        <f>VLOOKUP(N157,contoare!A:K,8,FALSE)</f>
        <v>453.73399999999998</v>
      </c>
      <c r="K157" s="38">
        <f>VLOOKUP(N157,contoare!A:K,9,FALSE)</f>
        <v>0</v>
      </c>
      <c r="L157" s="38">
        <f>VLOOKUP(N157,contoare!A:K,10,FALSE)</f>
        <v>254.095</v>
      </c>
      <c r="M157" s="38">
        <f>VLOOKUP(N157,contoare!A:K,11,FALSE)</f>
        <v>17.126999999999999</v>
      </c>
      <c r="N157" s="92" t="s">
        <v>120</v>
      </c>
      <c r="O157" s="26">
        <v>300</v>
      </c>
      <c r="P157" s="27">
        <f t="shared" si="79"/>
        <v>25652.399999999994</v>
      </c>
      <c r="Q157" s="27">
        <f t="shared" si="80"/>
        <v>0</v>
      </c>
      <c r="R157" s="103">
        <f>P157</f>
        <v>25652.399999999994</v>
      </c>
      <c r="S157" s="325"/>
      <c r="T157" s="38">
        <f>VLOOKUP(X157,contoare!A:K,4,FALSE)</f>
        <v>368.226</v>
      </c>
      <c r="U157" s="38">
        <f>VLOOKUP(X157,contoare!A:K,5,FALSE)</f>
        <v>0</v>
      </c>
      <c r="V157" s="38">
        <f>VLOOKUP(X157,contoare!A:K,8,FALSE)</f>
        <v>453.73399999999998</v>
      </c>
      <c r="W157" s="38">
        <f>VLOOKUP(X157,contoare!A:K,9,FALSE)</f>
        <v>0</v>
      </c>
      <c r="X157" s="92" t="s">
        <v>120</v>
      </c>
      <c r="Y157" s="26">
        <v>300</v>
      </c>
      <c r="Z157" s="27">
        <f t="shared" si="82"/>
        <v>25652.399999999994</v>
      </c>
      <c r="AA157" s="27">
        <f t="shared" si="78"/>
        <v>0</v>
      </c>
      <c r="AB157" s="103">
        <f>Z157</f>
        <v>25652.399999999994</v>
      </c>
      <c r="AC157" s="389"/>
      <c r="AD157" s="377"/>
    </row>
    <row r="158" spans="1:30" ht="17" thickBot="1" x14ac:dyDescent="0.25">
      <c r="A158" s="358"/>
      <c r="B158" s="89" t="s">
        <v>587</v>
      </c>
      <c r="C158" s="73" t="s">
        <v>592</v>
      </c>
      <c r="D158" s="44" t="e">
        <f>VLOOKUP(N158,contoare!A:K,2,FALSE)</f>
        <v>#N/A</v>
      </c>
      <c r="E158" s="44" t="e">
        <f>VLOOKUP(N158,contoare!A:K,3,FALSE)</f>
        <v>#N/A</v>
      </c>
      <c r="F158" s="45" t="e">
        <f>VLOOKUP(N158,contoare!A:K,4,FALSE)</f>
        <v>#N/A</v>
      </c>
      <c r="G158" s="45" t="e">
        <f>VLOOKUP(N158,contoare!A:K,5,FALSE)</f>
        <v>#N/A</v>
      </c>
      <c r="H158" s="45" t="e">
        <f>VLOOKUP(N158,contoare!A:K,6,FALSE)</f>
        <v>#N/A</v>
      </c>
      <c r="I158" s="45" t="e">
        <f>VLOOKUP(N158,contoare!A:K,7,FALSE)</f>
        <v>#N/A</v>
      </c>
      <c r="J158" s="45" t="e">
        <f>VLOOKUP(N158,contoare!A:K,8,FALSE)</f>
        <v>#N/A</v>
      </c>
      <c r="K158" s="45" t="e">
        <f>VLOOKUP(N158,contoare!A:K,9,FALSE)</f>
        <v>#N/A</v>
      </c>
      <c r="L158" s="45" t="e">
        <f>VLOOKUP(N158,contoare!A:K,10,FALSE)</f>
        <v>#N/A</v>
      </c>
      <c r="M158" s="45" t="e">
        <f>VLOOKUP(N158,contoare!A:K,11,FALSE)</f>
        <v>#N/A</v>
      </c>
      <c r="N158" s="94" t="s">
        <v>596</v>
      </c>
      <c r="O158" s="43">
        <v>300</v>
      </c>
      <c r="P158" s="46">
        <v>25617</v>
      </c>
      <c r="Q158" s="46">
        <v>0</v>
      </c>
      <c r="R158" s="104">
        <f>P158</f>
        <v>25617</v>
      </c>
      <c r="S158" s="326"/>
      <c r="T158" s="45" t="e">
        <f>VLOOKUP(X158,contoare!A:K,4,FALSE)</f>
        <v>#N/A</v>
      </c>
      <c r="U158" s="45" t="e">
        <f>VLOOKUP(X158,contoare!A:K,5,FALSE)</f>
        <v>#N/A</v>
      </c>
      <c r="V158" s="45" t="e">
        <f>VLOOKUP(X158,contoare!A:K,8,FALSE)</f>
        <v>#N/A</v>
      </c>
      <c r="W158" s="45" t="e">
        <f>VLOOKUP(X158,contoare!A:K,9,FALSE)</f>
        <v>#N/A</v>
      </c>
      <c r="X158" s="94" t="s">
        <v>596</v>
      </c>
      <c r="Y158" s="43">
        <v>300</v>
      </c>
      <c r="Z158" s="46">
        <f t="shared" si="82"/>
        <v>25617</v>
      </c>
      <c r="AA158" s="46">
        <f t="shared" si="78"/>
        <v>0</v>
      </c>
      <c r="AB158" s="104">
        <f>Z158</f>
        <v>25617</v>
      </c>
      <c r="AC158" s="390"/>
      <c r="AD158" s="377"/>
    </row>
    <row r="159" spans="1:30" x14ac:dyDescent="0.2">
      <c r="A159" s="359"/>
      <c r="B159" s="83" t="s">
        <v>383</v>
      </c>
      <c r="C159" s="152" t="s">
        <v>384</v>
      </c>
      <c r="D159" s="80">
        <f>VLOOKUP(N159,contoare!A:K,2,FALSE)</f>
        <v>45870</v>
      </c>
      <c r="E159" s="80">
        <f>VLOOKUP(N159,contoare!A:K,3,FALSE)</f>
        <v>45901</v>
      </c>
      <c r="F159" s="81">
        <f>VLOOKUP(N159,contoare!A:K,4,FALSE)</f>
        <v>3866.3539999999998</v>
      </c>
      <c r="G159" s="81">
        <f>VLOOKUP(N159,contoare!A:K,5,FALSE)</f>
        <v>0</v>
      </c>
      <c r="H159" s="81">
        <f>VLOOKUP(N159,contoare!A:K,6,FALSE)</f>
        <v>11.686</v>
      </c>
      <c r="I159" s="81">
        <f>VLOOKUP(N159,contoare!A:K,7,FALSE)</f>
        <v>649.92600000000004</v>
      </c>
      <c r="J159" s="81">
        <f>VLOOKUP(N159,contoare!A:K,8,FALSE)</f>
        <v>4229.8850000000002</v>
      </c>
      <c r="K159" s="81">
        <f>VLOOKUP(N159,contoare!A:K,9,FALSE)</f>
        <v>0</v>
      </c>
      <c r="L159" s="81">
        <f>VLOOKUP(N159,contoare!A:K,10,FALSE)</f>
        <v>12.157999999999999</v>
      </c>
      <c r="M159" s="81">
        <f>VLOOKUP(N159,contoare!A:K,11,FALSE)</f>
        <v>713.71100000000001</v>
      </c>
      <c r="N159" s="98" t="s">
        <v>112</v>
      </c>
      <c r="O159" s="35">
        <v>600</v>
      </c>
      <c r="P159" s="36">
        <f t="shared" si="79"/>
        <v>218118.60000000024</v>
      </c>
      <c r="Q159" s="36">
        <f t="shared" si="80"/>
        <v>0</v>
      </c>
      <c r="R159" s="300">
        <f>P159+P160</f>
        <v>704936.40000000037</v>
      </c>
      <c r="S159" s="327">
        <f>(R162-R159)/R162</f>
        <v>-2.0837112860892404</v>
      </c>
      <c r="T159" s="81">
        <f>VLOOKUP(X159,contoare!A:K,4,FALSE)</f>
        <v>3866.3539999999998</v>
      </c>
      <c r="U159" s="81">
        <f>VLOOKUP(X159,contoare!A:K,5,FALSE)</f>
        <v>0</v>
      </c>
      <c r="V159" s="81">
        <f>VLOOKUP(X159,contoare!A:K,8,FALSE)</f>
        <v>4229.8850000000002</v>
      </c>
      <c r="W159" s="81">
        <f>VLOOKUP(X159,contoare!A:K,9,FALSE)</f>
        <v>0</v>
      </c>
      <c r="X159" s="98" t="s">
        <v>112</v>
      </c>
      <c r="Y159" s="35">
        <v>600</v>
      </c>
      <c r="Z159" s="36">
        <f t="shared" si="82"/>
        <v>218118.60000000024</v>
      </c>
      <c r="AA159" s="36">
        <f t="shared" si="78"/>
        <v>0</v>
      </c>
      <c r="AB159" s="302">
        <f>Z159+Z160</f>
        <v>218118.60000000024</v>
      </c>
      <c r="AC159" s="386">
        <f>(AB162-AB159)/AB162</f>
        <v>4.5850393700786356E-2</v>
      </c>
      <c r="AD159" s="251"/>
    </row>
    <row r="160" spans="1:30" x14ac:dyDescent="0.2">
      <c r="A160" s="359"/>
      <c r="B160" s="3" t="s">
        <v>385</v>
      </c>
      <c r="C160" s="72" t="s">
        <v>386</v>
      </c>
      <c r="D160" s="37">
        <f>VLOOKUP(N160,contoare!A:K,2,FALSE)</f>
        <v>45870</v>
      </c>
      <c r="E160" s="37">
        <f>VLOOKUP(N160,contoare!A:K,3,FALSE)</f>
        <v>45901</v>
      </c>
      <c r="F160" s="38">
        <f>VLOOKUP(N160,contoare!A:K,4,FALSE)</f>
        <v>5540.3969999999999</v>
      </c>
      <c r="G160" s="38">
        <f>VLOOKUP(N160,contoare!A:K,5,FALSE)</f>
        <v>0</v>
      </c>
      <c r="H160" s="38">
        <f>VLOOKUP(N160,contoare!A:K,6,FALSE)</f>
        <v>988.827</v>
      </c>
      <c r="I160" s="38">
        <f>VLOOKUP(N160,contoare!A:K,7,FALSE)</f>
        <v>0.11899999999999999</v>
      </c>
      <c r="J160" s="38">
        <f>VLOOKUP(N160,contoare!A:K,8,FALSE)</f>
        <v>6351.76</v>
      </c>
      <c r="K160" s="38">
        <f>VLOOKUP(N160,contoare!A:K,9,FALSE)</f>
        <v>0</v>
      </c>
      <c r="L160" s="38">
        <f>VLOOKUP(N160,contoare!A:K,10,FALSE)</f>
        <v>1215.085</v>
      </c>
      <c r="M160" s="38">
        <f>VLOOKUP(N160,contoare!A:K,11,FALSE)</f>
        <v>0.11899999999999999</v>
      </c>
      <c r="N160" s="92" t="s">
        <v>113</v>
      </c>
      <c r="O160" s="26">
        <v>600</v>
      </c>
      <c r="P160" s="27">
        <f t="shared" si="79"/>
        <v>486817.80000000016</v>
      </c>
      <c r="Q160" s="27">
        <f t="shared" si="80"/>
        <v>0</v>
      </c>
      <c r="R160" s="283"/>
      <c r="S160" s="322"/>
      <c r="T160" s="38" t="e">
        <f>VLOOKUP(X160,contoare!A:K,4,FALSE)</f>
        <v>#N/A</v>
      </c>
      <c r="U160" s="38" t="e">
        <f>VLOOKUP(X160,contoare!A:K,5,FALSE)</f>
        <v>#N/A</v>
      </c>
      <c r="V160" s="38" t="e">
        <f>VLOOKUP(X160,contoare!A:K,8,FALSE)</f>
        <v>#N/A</v>
      </c>
      <c r="W160" s="38" t="e">
        <f>VLOOKUP(X160,contoare!A:K,9,FALSE)</f>
        <v>#N/A</v>
      </c>
      <c r="X160" s="167"/>
      <c r="Y160" s="162">
        <v>0</v>
      </c>
      <c r="Z160" s="164">
        <v>0</v>
      </c>
      <c r="AA160" s="164">
        <f t="shared" si="78"/>
        <v>0</v>
      </c>
      <c r="AB160" s="303"/>
      <c r="AC160" s="325"/>
      <c r="AD160" s="251"/>
    </row>
    <row r="161" spans="1:30" x14ac:dyDescent="0.2">
      <c r="A161" s="359"/>
      <c r="B161" s="3" t="s">
        <v>588</v>
      </c>
      <c r="C161" s="72" t="s">
        <v>588</v>
      </c>
      <c r="D161" s="37">
        <f>VLOOKUP(N161,contoare!A:K,2,FALSE)</f>
        <v>45870</v>
      </c>
      <c r="E161" s="37">
        <f>VLOOKUP(N161,contoare!A:K,3,FALSE)</f>
        <v>45901</v>
      </c>
      <c r="F161" s="38">
        <f>VLOOKUP(N161,contoare!A:K,4,FALSE)</f>
        <v>183.38900000000001</v>
      </c>
      <c r="G161" s="38">
        <f>VLOOKUP(N161,contoare!A:K,5,FALSE)</f>
        <v>0</v>
      </c>
      <c r="H161" s="38">
        <f>VLOOKUP(N161,contoare!A:K,6,FALSE)</f>
        <v>20.666</v>
      </c>
      <c r="I161" s="38">
        <f>VLOOKUP(N161,contoare!A:K,7,FALSE)</f>
        <v>5.3940000000000001</v>
      </c>
      <c r="J161" s="38">
        <f>VLOOKUP(N161,contoare!A:K,8,FALSE)</f>
        <v>240.542</v>
      </c>
      <c r="K161" s="38">
        <f>VLOOKUP(N161,contoare!A:K,9,FALSE)</f>
        <v>0</v>
      </c>
      <c r="L161" s="38">
        <f>VLOOKUP(N161,contoare!A:K,10,FALSE)</f>
        <v>29.719000000000001</v>
      </c>
      <c r="M161" s="38">
        <f>VLOOKUP(N161,contoare!A:K,11,FALSE)</f>
        <v>6.3040000000000003</v>
      </c>
      <c r="N161" s="92" t="s">
        <v>118</v>
      </c>
      <c r="O161" s="26">
        <v>4000</v>
      </c>
      <c r="P161" s="27">
        <f t="shared" si="79"/>
        <v>228611.99999999997</v>
      </c>
      <c r="Q161" s="27">
        <f t="shared" si="80"/>
        <v>0</v>
      </c>
      <c r="R161" s="102">
        <f>P161</f>
        <v>228611.99999999997</v>
      </c>
      <c r="S161" s="322"/>
      <c r="T161" s="38">
        <f>VLOOKUP(X161,contoare!A:K,4,FALSE)</f>
        <v>183.38900000000001</v>
      </c>
      <c r="U161" s="38">
        <f>VLOOKUP(X161,contoare!A:K,5,FALSE)</f>
        <v>0</v>
      </c>
      <c r="V161" s="38">
        <f>VLOOKUP(X161,contoare!A:K,8,FALSE)</f>
        <v>240.542</v>
      </c>
      <c r="W161" s="38">
        <f>VLOOKUP(X161,contoare!A:K,9,FALSE)</f>
        <v>0</v>
      </c>
      <c r="X161" s="92" t="s">
        <v>118</v>
      </c>
      <c r="Y161" s="26">
        <v>4000</v>
      </c>
      <c r="Z161" s="27">
        <f t="shared" si="82"/>
        <v>228611.99999999997</v>
      </c>
      <c r="AA161" s="27">
        <f t="shared" si="78"/>
        <v>0</v>
      </c>
      <c r="AB161" s="103">
        <f>Z161</f>
        <v>228611.99999999997</v>
      </c>
      <c r="AC161" s="325"/>
      <c r="AD161" s="251"/>
    </row>
    <row r="162" spans="1:30" ht="17" thickBot="1" x14ac:dyDescent="0.25">
      <c r="A162" s="360"/>
      <c r="B162" s="134" t="s">
        <v>589</v>
      </c>
      <c r="C162" s="193" t="s">
        <v>593</v>
      </c>
      <c r="D162" s="51" t="e">
        <f>VLOOKUP(N162,contoare!A:K,2,FALSE)</f>
        <v>#N/A</v>
      </c>
      <c r="E162" s="51" t="e">
        <f>VLOOKUP(N162,contoare!A:K,3,FALSE)</f>
        <v>#N/A</v>
      </c>
      <c r="F162" s="52" t="e">
        <f>VLOOKUP(N162,contoare!A:K,4,FALSE)</f>
        <v>#N/A</v>
      </c>
      <c r="G162" s="52" t="e">
        <f>VLOOKUP(N162,contoare!A:K,5,FALSE)</f>
        <v>#N/A</v>
      </c>
      <c r="H162" s="52" t="e">
        <f>VLOOKUP(N162,contoare!A:K,6,FALSE)</f>
        <v>#N/A</v>
      </c>
      <c r="I162" s="52" t="e">
        <f>VLOOKUP(N162,contoare!A:K,7,FALSE)</f>
        <v>#N/A</v>
      </c>
      <c r="J162" s="52" t="e">
        <f>VLOOKUP(N162,contoare!A:K,8,FALSE)</f>
        <v>#N/A</v>
      </c>
      <c r="K162" s="52" t="e">
        <f>VLOOKUP(N162,contoare!A:K,9,FALSE)</f>
        <v>#N/A</v>
      </c>
      <c r="L162" s="52" t="e">
        <f>VLOOKUP(N162,contoare!A:K,10,FALSE)</f>
        <v>#N/A</v>
      </c>
      <c r="M162" s="52" t="e">
        <f>VLOOKUP(N162,contoare!A:K,11,FALSE)</f>
        <v>#N/A</v>
      </c>
      <c r="N162" s="93" t="s">
        <v>597</v>
      </c>
      <c r="O162" s="49">
        <v>4000</v>
      </c>
      <c r="P162" s="50">
        <v>228600</v>
      </c>
      <c r="Q162" s="50">
        <v>0</v>
      </c>
      <c r="R162" s="107">
        <f>P162</f>
        <v>228600</v>
      </c>
      <c r="S162" s="328"/>
      <c r="T162" s="52" t="e">
        <f>VLOOKUP(X162,contoare!A:K,4,FALSE)</f>
        <v>#N/A</v>
      </c>
      <c r="U162" s="52" t="e">
        <f>VLOOKUP(X162,contoare!A:K,5,FALSE)</f>
        <v>#N/A</v>
      </c>
      <c r="V162" s="52" t="e">
        <f>VLOOKUP(X162,contoare!A:K,8,FALSE)</f>
        <v>#N/A</v>
      </c>
      <c r="W162" s="52" t="e">
        <f>VLOOKUP(X162,contoare!A:K,9,FALSE)</f>
        <v>#N/A</v>
      </c>
      <c r="X162" s="93" t="s">
        <v>597</v>
      </c>
      <c r="Y162" s="49">
        <v>4000</v>
      </c>
      <c r="Z162" s="50">
        <f t="shared" si="82"/>
        <v>228600</v>
      </c>
      <c r="AA162" s="50">
        <f t="shared" si="78"/>
        <v>0</v>
      </c>
      <c r="AB162" s="106">
        <f>Z162</f>
        <v>228600</v>
      </c>
      <c r="AC162" s="387"/>
      <c r="AD162" s="378"/>
    </row>
    <row r="163" spans="1:30" x14ac:dyDescent="0.2">
      <c r="A163" s="361" t="s">
        <v>122</v>
      </c>
      <c r="B163" s="64" t="s">
        <v>345</v>
      </c>
      <c r="C163" s="216" t="s">
        <v>346</v>
      </c>
      <c r="D163" s="40">
        <f>VLOOKUP(N163,contoare!A:K,2,FALSE)</f>
        <v>45870</v>
      </c>
      <c r="E163" s="40">
        <f>VLOOKUP(N163,contoare!A:K,3,FALSE)</f>
        <v>45901</v>
      </c>
      <c r="F163" s="41">
        <f>VLOOKUP(N163,contoare!A:K,4,FALSE)</f>
        <v>3458.8330000000001</v>
      </c>
      <c r="G163" s="41">
        <f>VLOOKUP(N163,contoare!A:K,5,FALSE)</f>
        <v>0</v>
      </c>
      <c r="H163" s="41">
        <f>VLOOKUP(N163,contoare!A:K,6,FALSE)</f>
        <v>261.262</v>
      </c>
      <c r="I163" s="41">
        <f>VLOOKUP(N163,contoare!A:K,7,FALSE)</f>
        <v>45.417000000000002</v>
      </c>
      <c r="J163" s="41">
        <f>VLOOKUP(N163,contoare!A:K,8,FALSE)</f>
        <v>3958.0729999999999</v>
      </c>
      <c r="K163" s="41">
        <f>VLOOKUP(N163,contoare!A:K,9,FALSE)</f>
        <v>0</v>
      </c>
      <c r="L163" s="41">
        <f>VLOOKUP(N163,contoare!A:K,10,FALSE)</f>
        <v>340.67</v>
      </c>
      <c r="M163" s="41">
        <f>VLOOKUP(N163,contoare!A:K,11,FALSE)</f>
        <v>48.176000000000002</v>
      </c>
      <c r="N163" s="91" t="s">
        <v>128</v>
      </c>
      <c r="O163" s="39">
        <v>400</v>
      </c>
      <c r="P163" s="42">
        <f t="shared" si="60"/>
        <v>199695.99999999991</v>
      </c>
      <c r="Q163" s="42">
        <f t="shared" si="61"/>
        <v>0</v>
      </c>
      <c r="R163" s="307">
        <f>P163+P164+P166+P167+P168</f>
        <v>949529.59999999963</v>
      </c>
      <c r="S163" s="324">
        <f>(R170-R163)/R170</f>
        <v>4.4969423881558147E-2</v>
      </c>
      <c r="T163" s="41">
        <f>VLOOKUP(X163,contoare!A:K,4,FALSE)</f>
        <v>2744.904</v>
      </c>
      <c r="U163" s="41">
        <f>VLOOKUP(X163,contoare!A:K,5,FALSE)</f>
        <v>0</v>
      </c>
      <c r="V163" s="41">
        <f>VLOOKUP(X163,contoare!A:K,8,FALSE)</f>
        <v>3117.0639999999999</v>
      </c>
      <c r="W163" s="41">
        <f>VLOOKUP(X163,contoare!A:K,9,FALSE)</f>
        <v>0</v>
      </c>
      <c r="X163" s="124" t="s">
        <v>130</v>
      </c>
      <c r="Y163" s="39">
        <v>400</v>
      </c>
      <c r="Z163" s="42">
        <f t="shared" si="82"/>
        <v>148863.99999999994</v>
      </c>
      <c r="AA163" s="42">
        <f t="shared" si="78"/>
        <v>0</v>
      </c>
      <c r="AB163" s="307">
        <f>Z163+Z164+Z166+Z167+Z168</f>
        <v>949529.59999999963</v>
      </c>
      <c r="AC163" s="388">
        <f>(AB170-AB163)/AB170</f>
        <v>4.4969423881558147E-2</v>
      </c>
      <c r="AD163" s="392" t="s">
        <v>628</v>
      </c>
    </row>
    <row r="164" spans="1:30" x14ac:dyDescent="0.2">
      <c r="A164" s="356"/>
      <c r="B164" s="65" t="s">
        <v>347</v>
      </c>
      <c r="C164" s="217" t="s">
        <v>348</v>
      </c>
      <c r="D164" s="37">
        <f>VLOOKUP(N164,contoare!A:K,2,FALSE)</f>
        <v>45870</v>
      </c>
      <c r="E164" s="37">
        <f>VLOOKUP(N164,contoare!A:K,3,FALSE)</f>
        <v>45901</v>
      </c>
      <c r="F164" s="38">
        <f>VLOOKUP(N164,contoare!A:K,4,FALSE)</f>
        <v>2744.904</v>
      </c>
      <c r="G164" s="38">
        <f>VLOOKUP(N164,contoare!A:K,5,FALSE)</f>
        <v>0</v>
      </c>
      <c r="H164" s="38">
        <f>VLOOKUP(N164,contoare!A:K,6,FALSE)</f>
        <v>185.19399999999999</v>
      </c>
      <c r="I164" s="38">
        <f>VLOOKUP(N164,contoare!A:K,7,FALSE)</f>
        <v>12.832000000000001</v>
      </c>
      <c r="J164" s="38">
        <f>VLOOKUP(N164,contoare!A:K,8,FALSE)</f>
        <v>3117.0639999999999</v>
      </c>
      <c r="K164" s="38">
        <f>VLOOKUP(N164,contoare!A:K,9,FALSE)</f>
        <v>0</v>
      </c>
      <c r="L164" s="38">
        <f>VLOOKUP(N164,contoare!A:K,10,FALSE)</f>
        <v>224.62100000000001</v>
      </c>
      <c r="M164" s="38">
        <f>VLOOKUP(N164,contoare!A:K,11,FALSE)</f>
        <v>12.884</v>
      </c>
      <c r="N164" s="92" t="s">
        <v>130</v>
      </c>
      <c r="O164" s="26">
        <v>400</v>
      </c>
      <c r="P164" s="27">
        <f t="shared" si="60"/>
        <v>148863.99999999994</v>
      </c>
      <c r="Q164" s="27">
        <f t="shared" si="61"/>
        <v>0</v>
      </c>
      <c r="R164" s="303"/>
      <c r="S164" s="325"/>
      <c r="T164" s="38">
        <f>VLOOKUP(X164,contoare!A:K,4,FALSE)</f>
        <v>3458.8330000000001</v>
      </c>
      <c r="U164" s="38">
        <f>VLOOKUP(X164,contoare!A:K,5,FALSE)</f>
        <v>0</v>
      </c>
      <c r="V164" s="38">
        <f>VLOOKUP(X164,contoare!A:K,8,FALSE)</f>
        <v>3958.0729999999999</v>
      </c>
      <c r="W164" s="38">
        <f>VLOOKUP(X164,contoare!A:K,9,FALSE)</f>
        <v>0</v>
      </c>
      <c r="X164" s="97" t="s">
        <v>128</v>
      </c>
      <c r="Y164" s="26">
        <v>400</v>
      </c>
      <c r="Z164" s="27">
        <f t="shared" si="82"/>
        <v>199695.99999999991</v>
      </c>
      <c r="AA164" s="27">
        <f t="shared" si="78"/>
        <v>0</v>
      </c>
      <c r="AB164" s="303"/>
      <c r="AC164" s="389"/>
      <c r="AD164" s="371"/>
    </row>
    <row r="165" spans="1:30" x14ac:dyDescent="0.2">
      <c r="A165" s="356"/>
      <c r="B165" s="65" t="s">
        <v>487</v>
      </c>
      <c r="C165" s="217" t="s">
        <v>488</v>
      </c>
      <c r="D165" s="37">
        <f>VLOOKUP(N165,contoare!A:K,2,FALSE)</f>
        <v>45870</v>
      </c>
      <c r="E165" s="37">
        <f>VLOOKUP(N165,contoare!A:K,3,FALSE)</f>
        <v>45901</v>
      </c>
      <c r="F165" s="38">
        <f>VLOOKUP(N165,contoare!A:K,4,FALSE)</f>
        <v>1728.5719999999999</v>
      </c>
      <c r="G165" s="38">
        <f>VLOOKUP(N165,contoare!A:K,5,FALSE)</f>
        <v>2.4159999999999999</v>
      </c>
      <c r="H165" s="38">
        <f>VLOOKUP(N165,contoare!A:K,6,FALSE)</f>
        <v>25.899000000000001</v>
      </c>
      <c r="I165" s="38">
        <f>VLOOKUP(N165,contoare!A:K,7,FALSE)</f>
        <v>120.488</v>
      </c>
      <c r="J165" s="38">
        <f>VLOOKUP(N165,contoare!A:K,8,FALSE)</f>
        <v>2122.8470000000002</v>
      </c>
      <c r="K165" s="38">
        <f>VLOOKUP(N165,contoare!A:K,9,FALSE)</f>
        <v>2.83</v>
      </c>
      <c r="L165" s="38">
        <f>VLOOKUP(N165,contoare!A:K,10,FALSE)</f>
        <v>30.379000000000001</v>
      </c>
      <c r="M165" s="38">
        <f>VLOOKUP(N165,contoare!A:K,11,FALSE)</f>
        <v>143.441</v>
      </c>
      <c r="N165" s="157" t="s">
        <v>123</v>
      </c>
      <c r="O165" s="158">
        <v>50</v>
      </c>
      <c r="P165" s="159">
        <f t="shared" ref="P165:P206" si="83">(J165-F165)*O165</f>
        <v>19713.750000000015</v>
      </c>
      <c r="Q165" s="159">
        <f t="shared" ref="Q165:Q206" si="84">(K165-G165)*O165</f>
        <v>20.700000000000006</v>
      </c>
      <c r="R165" s="303"/>
      <c r="S165" s="325"/>
      <c r="T165" s="38">
        <f>VLOOKUP(X165,contoare!A:K,4,FALSE)</f>
        <v>1728.5719999999999</v>
      </c>
      <c r="U165" s="38">
        <f>VLOOKUP(X165,contoare!A:K,5,FALSE)</f>
        <v>2.4159999999999999</v>
      </c>
      <c r="V165" s="38">
        <f>VLOOKUP(X165,contoare!A:K,8,FALSE)</f>
        <v>2122.8470000000002</v>
      </c>
      <c r="W165" s="38">
        <f>VLOOKUP(X165,contoare!A:K,9,FALSE)</f>
        <v>2.83</v>
      </c>
      <c r="X165" s="157" t="s">
        <v>123</v>
      </c>
      <c r="Y165" s="158">
        <v>50</v>
      </c>
      <c r="Z165" s="159">
        <f t="shared" ref="Z165" si="85">IF(LEFT(N165,3)&lt;&gt;"HXE",P165,(V165-T165)*Y165)</f>
        <v>19713.750000000015</v>
      </c>
      <c r="AA165" s="159">
        <f t="shared" ref="AA165" si="86">IF(LEFT(X165,3)&lt;&gt;"HXE",Q165,(W165-U165)*Y165)</f>
        <v>20.700000000000006</v>
      </c>
      <c r="AB165" s="303"/>
      <c r="AC165" s="389"/>
      <c r="AD165" s="371"/>
    </row>
    <row r="166" spans="1:30" x14ac:dyDescent="0.2">
      <c r="A166" s="356"/>
      <c r="B166" s="65" t="s">
        <v>349</v>
      </c>
      <c r="C166" s="217" t="s">
        <v>350</v>
      </c>
      <c r="D166" s="37">
        <f>VLOOKUP(N166,contoare!A:K,2,FALSE)</f>
        <v>45870</v>
      </c>
      <c r="E166" s="37">
        <f>VLOOKUP(N166,contoare!A:K,3,FALSE)</f>
        <v>45901</v>
      </c>
      <c r="F166" s="38">
        <f>VLOOKUP(N166,contoare!A:K,4,FALSE)</f>
        <v>3090.0320000000002</v>
      </c>
      <c r="G166" s="38">
        <f>VLOOKUP(N166,contoare!A:K,5,FALSE)</f>
        <v>0</v>
      </c>
      <c r="H166" s="38">
        <f>VLOOKUP(N166,contoare!A:K,6,FALSE)</f>
        <v>496.43200000000002</v>
      </c>
      <c r="I166" s="38">
        <f>VLOOKUP(N166,contoare!A:K,7,FALSE)</f>
        <v>2E-3</v>
      </c>
      <c r="J166" s="38">
        <f>VLOOKUP(N166,contoare!A:K,8,FALSE)</f>
        <v>3586.65</v>
      </c>
      <c r="K166" s="38">
        <f>VLOOKUP(N166,contoare!A:K,9,FALSE)</f>
        <v>0</v>
      </c>
      <c r="L166" s="38">
        <f>VLOOKUP(N166,contoare!A:K,10,FALSE)</f>
        <v>588.98699999999997</v>
      </c>
      <c r="M166" s="38">
        <f>VLOOKUP(N166,contoare!A:K,11,FALSE)</f>
        <v>2E-3</v>
      </c>
      <c r="N166" s="92" t="s">
        <v>134</v>
      </c>
      <c r="O166" s="26">
        <v>400</v>
      </c>
      <c r="P166" s="27">
        <f t="shared" si="83"/>
        <v>198647.19999999998</v>
      </c>
      <c r="Q166" s="27">
        <f t="shared" si="84"/>
        <v>0</v>
      </c>
      <c r="R166" s="303"/>
      <c r="S166" s="325"/>
      <c r="T166" s="38">
        <f>VLOOKUP(X166,contoare!A:K,4,FALSE)</f>
        <v>3090.0320000000002</v>
      </c>
      <c r="U166" s="38">
        <f>VLOOKUP(X166,contoare!A:K,5,FALSE)</f>
        <v>0</v>
      </c>
      <c r="V166" s="38">
        <f>VLOOKUP(X166,contoare!A:K,8,FALSE)</f>
        <v>3586.65</v>
      </c>
      <c r="W166" s="38">
        <f>VLOOKUP(X166,contoare!A:K,9,FALSE)</f>
        <v>0</v>
      </c>
      <c r="X166" s="92" t="s">
        <v>134</v>
      </c>
      <c r="Y166" s="26">
        <v>400</v>
      </c>
      <c r="Z166" s="27">
        <f t="shared" ref="Z166:Z183" si="87">IF(LEFT(N166,3)&lt;&gt;"HXE",P166,(V166-T166)*Y166)</f>
        <v>198647.19999999998</v>
      </c>
      <c r="AA166" s="27">
        <f t="shared" ref="AA166:AA183" si="88">IF(LEFT(X166,3)&lt;&gt;"HXE",Q166,(W166-U166)*Y166)</f>
        <v>0</v>
      </c>
      <c r="AB166" s="303"/>
      <c r="AC166" s="389"/>
      <c r="AD166" s="371"/>
    </row>
    <row r="167" spans="1:30" x14ac:dyDescent="0.2">
      <c r="A167" s="356"/>
      <c r="B167" s="65" t="s">
        <v>351</v>
      </c>
      <c r="C167" s="217" t="s">
        <v>352</v>
      </c>
      <c r="D167" s="37">
        <f>VLOOKUP(N167,contoare!A:K,2,FALSE)</f>
        <v>45870</v>
      </c>
      <c r="E167" s="37">
        <f>VLOOKUP(N167,contoare!A:K,3,FALSE)</f>
        <v>45901</v>
      </c>
      <c r="F167" s="38">
        <f>VLOOKUP(N167,contoare!A:K,4,FALSE)</f>
        <v>2801.7310000000002</v>
      </c>
      <c r="G167" s="38">
        <f>VLOOKUP(N167,contoare!A:K,5,FALSE)</f>
        <v>0</v>
      </c>
      <c r="H167" s="38">
        <f>VLOOKUP(N167,contoare!A:K,6,FALSE)</f>
        <v>396.77699999999999</v>
      </c>
      <c r="I167" s="38">
        <f>VLOOKUP(N167,contoare!A:K,7,FALSE)</f>
        <v>0.23200000000000001</v>
      </c>
      <c r="J167" s="38">
        <f>VLOOKUP(N167,contoare!A:K,8,FALSE)</f>
        <v>3250.89</v>
      </c>
      <c r="K167" s="38">
        <f>VLOOKUP(N167,contoare!A:K,9,FALSE)</f>
        <v>0</v>
      </c>
      <c r="L167" s="38">
        <f>VLOOKUP(N167,contoare!A:K,10,FALSE)</f>
        <v>498.48</v>
      </c>
      <c r="M167" s="38">
        <f>VLOOKUP(N167,contoare!A:K,11,FALSE)</f>
        <v>0.23200000000000001</v>
      </c>
      <c r="N167" s="92" t="s">
        <v>131</v>
      </c>
      <c r="O167" s="26">
        <v>400</v>
      </c>
      <c r="P167" s="27">
        <f t="shared" ref="P167:P182" si="89">(J167-F167)*O167</f>
        <v>179663.59999999986</v>
      </c>
      <c r="Q167" s="27">
        <f t="shared" ref="Q167:Q182" si="90">(K167-G167)*O167</f>
        <v>0</v>
      </c>
      <c r="R167" s="303"/>
      <c r="S167" s="325"/>
      <c r="T167" s="38">
        <f>VLOOKUP(X167,contoare!A:K,4,FALSE)</f>
        <v>2801.7310000000002</v>
      </c>
      <c r="U167" s="38">
        <f>VLOOKUP(X167,contoare!A:K,5,FALSE)</f>
        <v>0</v>
      </c>
      <c r="V167" s="38">
        <f>VLOOKUP(X167,contoare!A:K,8,FALSE)</f>
        <v>3250.89</v>
      </c>
      <c r="W167" s="38">
        <f>VLOOKUP(X167,contoare!A:K,9,FALSE)</f>
        <v>0</v>
      </c>
      <c r="X167" s="92" t="s">
        <v>131</v>
      </c>
      <c r="Y167" s="26">
        <v>400</v>
      </c>
      <c r="Z167" s="27">
        <f t="shared" si="87"/>
        <v>179663.59999999986</v>
      </c>
      <c r="AA167" s="27">
        <f t="shared" si="88"/>
        <v>0</v>
      </c>
      <c r="AB167" s="303"/>
      <c r="AC167" s="389"/>
      <c r="AD167" s="371"/>
    </row>
    <row r="168" spans="1:30" x14ac:dyDescent="0.2">
      <c r="A168" s="356"/>
      <c r="B168" s="65" t="s">
        <v>353</v>
      </c>
      <c r="C168" s="217" t="s">
        <v>354</v>
      </c>
      <c r="D168" s="37">
        <f>VLOOKUP(N168,contoare!A:K,2,FALSE)</f>
        <v>45870</v>
      </c>
      <c r="E168" s="37">
        <f>VLOOKUP(N168,contoare!A:K,3,FALSE)</f>
        <v>45901</v>
      </c>
      <c r="F168" s="38">
        <f>VLOOKUP(N168,contoare!A:K,4,FALSE)</f>
        <v>3901.732</v>
      </c>
      <c r="G168" s="38">
        <f>VLOOKUP(N168,contoare!A:K,5,FALSE)</f>
        <v>0</v>
      </c>
      <c r="H168" s="38">
        <f>VLOOKUP(N168,contoare!A:K,6,FALSE)</f>
        <v>161.64699999999999</v>
      </c>
      <c r="I168" s="38">
        <f>VLOOKUP(N168,contoare!A:K,7,FALSE)</f>
        <v>83.284000000000006</v>
      </c>
      <c r="J168" s="38">
        <f>VLOOKUP(N168,contoare!A:K,8,FALSE)</f>
        <v>4458.3789999999999</v>
      </c>
      <c r="K168" s="38">
        <f>VLOOKUP(N168,contoare!A:K,9,FALSE)</f>
        <v>0</v>
      </c>
      <c r="L168" s="38">
        <f>VLOOKUP(N168,contoare!A:K,10,FALSE)</f>
        <v>203.4</v>
      </c>
      <c r="M168" s="38">
        <f>VLOOKUP(N168,contoare!A:K,11,FALSE)</f>
        <v>86.63</v>
      </c>
      <c r="N168" s="92" t="s">
        <v>129</v>
      </c>
      <c r="O168" s="26">
        <v>400</v>
      </c>
      <c r="P168" s="27">
        <f t="shared" si="89"/>
        <v>222658.8</v>
      </c>
      <c r="Q168" s="27">
        <f t="shared" si="90"/>
        <v>0</v>
      </c>
      <c r="R168" s="303"/>
      <c r="S168" s="325"/>
      <c r="T168" s="38">
        <f>VLOOKUP(X168,contoare!A:K,4,FALSE)</f>
        <v>3901.732</v>
      </c>
      <c r="U168" s="38">
        <f>VLOOKUP(X168,contoare!A:K,5,FALSE)</f>
        <v>0</v>
      </c>
      <c r="V168" s="38">
        <f>VLOOKUP(X168,contoare!A:K,8,FALSE)</f>
        <v>4458.3789999999999</v>
      </c>
      <c r="W168" s="38">
        <f>VLOOKUP(X168,contoare!A:K,9,FALSE)</f>
        <v>0</v>
      </c>
      <c r="X168" s="92" t="s">
        <v>129</v>
      </c>
      <c r="Y168" s="26">
        <v>400</v>
      </c>
      <c r="Z168" s="27">
        <f t="shared" si="87"/>
        <v>222658.8</v>
      </c>
      <c r="AA168" s="27">
        <f t="shared" si="88"/>
        <v>0</v>
      </c>
      <c r="AB168" s="303"/>
      <c r="AC168" s="389"/>
      <c r="AD168" s="371"/>
    </row>
    <row r="169" spans="1:30" x14ac:dyDescent="0.2">
      <c r="A169" s="356"/>
      <c r="B169" s="65" t="s">
        <v>545</v>
      </c>
      <c r="C169" s="217"/>
      <c r="D169" s="37">
        <f>VLOOKUP(N169,contoare!A:K,2,FALSE)</f>
        <v>45870</v>
      </c>
      <c r="E169" s="37">
        <f>VLOOKUP(N169,contoare!A:K,3,FALSE)</f>
        <v>45901</v>
      </c>
      <c r="F169" s="38">
        <f>VLOOKUP(N169,contoare!A:K,4,FALSE)</f>
        <v>257.392</v>
      </c>
      <c r="G169" s="38">
        <f>VLOOKUP(N169,contoare!A:K,5,FALSE)</f>
        <v>0</v>
      </c>
      <c r="H169" s="38">
        <f>VLOOKUP(N169,contoare!A:K,6,FALSE)</f>
        <v>27.61</v>
      </c>
      <c r="I169" s="38">
        <f>VLOOKUP(N169,contoare!A:K,7,FALSE)</f>
        <v>9.9000000000000005E-2</v>
      </c>
      <c r="J169" s="38">
        <f>VLOOKUP(N169,contoare!A:K,8,FALSE)</f>
        <v>319.62799999999999</v>
      </c>
      <c r="K169" s="38">
        <f>VLOOKUP(N169,contoare!A:K,9,FALSE)</f>
        <v>0</v>
      </c>
      <c r="L169" s="38">
        <f>VLOOKUP(N169,contoare!A:K,10,FALSE)</f>
        <v>36.322000000000003</v>
      </c>
      <c r="M169" s="38">
        <f>VLOOKUP(N169,contoare!A:K,11,FALSE)</f>
        <v>0.10199999999999999</v>
      </c>
      <c r="N169" s="92" t="s">
        <v>139</v>
      </c>
      <c r="O169" s="26">
        <v>16000</v>
      </c>
      <c r="P169" s="27">
        <f t="shared" si="89"/>
        <v>995775.99999999988</v>
      </c>
      <c r="Q169" s="27">
        <f t="shared" si="90"/>
        <v>0</v>
      </c>
      <c r="R169" s="34">
        <f>P169</f>
        <v>995775.99999999988</v>
      </c>
      <c r="S169" s="325"/>
      <c r="T169" s="38">
        <f>VLOOKUP(X169,contoare!A:K,4,FALSE)</f>
        <v>257.392</v>
      </c>
      <c r="U169" s="38">
        <f>VLOOKUP(X169,contoare!A:K,5,FALSE)</f>
        <v>0</v>
      </c>
      <c r="V169" s="38">
        <f>VLOOKUP(X169,contoare!A:K,8,FALSE)</f>
        <v>319.62799999999999</v>
      </c>
      <c r="W169" s="38">
        <f>VLOOKUP(X169,contoare!A:K,9,FALSE)</f>
        <v>0</v>
      </c>
      <c r="X169" s="92" t="s">
        <v>139</v>
      </c>
      <c r="Y169" s="26">
        <v>16000</v>
      </c>
      <c r="Z169" s="27">
        <f t="shared" si="87"/>
        <v>995775.99999999988</v>
      </c>
      <c r="AA169" s="27">
        <f t="shared" si="88"/>
        <v>0</v>
      </c>
      <c r="AB169" s="34">
        <f>Z169</f>
        <v>995775.99999999988</v>
      </c>
      <c r="AC169" s="389"/>
      <c r="AD169" s="371"/>
    </row>
    <row r="170" spans="1:30" ht="17" thickBot="1" x14ac:dyDescent="0.25">
      <c r="A170" s="356"/>
      <c r="B170" s="66" t="s">
        <v>617</v>
      </c>
      <c r="C170" s="219" t="s">
        <v>620</v>
      </c>
      <c r="D170" s="44" t="e">
        <f>VLOOKUP(N170,contoare!A:K,2,FALSE)</f>
        <v>#N/A</v>
      </c>
      <c r="E170" s="44" t="e">
        <f>VLOOKUP(N170,contoare!A:K,3,FALSE)</f>
        <v>#N/A</v>
      </c>
      <c r="F170" s="45" t="e">
        <f>VLOOKUP(N170,contoare!A:K,4,FALSE)</f>
        <v>#N/A</v>
      </c>
      <c r="G170" s="45" t="e">
        <f>VLOOKUP(N170,contoare!A:K,5,FALSE)</f>
        <v>#N/A</v>
      </c>
      <c r="H170" s="45" t="e">
        <f>VLOOKUP(N170,contoare!A:K,6,FALSE)</f>
        <v>#N/A</v>
      </c>
      <c r="I170" s="45" t="e">
        <f>VLOOKUP(N170,contoare!A:K,7,FALSE)</f>
        <v>#N/A</v>
      </c>
      <c r="J170" s="45" t="e">
        <f>VLOOKUP(N170,contoare!A:K,8,FALSE)</f>
        <v>#N/A</v>
      </c>
      <c r="K170" s="45" t="e">
        <f>VLOOKUP(N170,contoare!A:K,9,FALSE)</f>
        <v>#N/A</v>
      </c>
      <c r="L170" s="45" t="e">
        <f>VLOOKUP(N170,contoare!A:K,10,FALSE)</f>
        <v>#N/A</v>
      </c>
      <c r="M170" s="45" t="e">
        <f>VLOOKUP(N170,contoare!A:K,11,FALSE)</f>
        <v>#N/A</v>
      </c>
      <c r="N170" s="94" t="s">
        <v>623</v>
      </c>
      <c r="O170" s="43">
        <v>16000</v>
      </c>
      <c r="P170" s="46">
        <v>994240</v>
      </c>
      <c r="Q170" s="46">
        <v>0</v>
      </c>
      <c r="R170" s="48">
        <f>P170</f>
        <v>994240</v>
      </c>
      <c r="S170" s="326"/>
      <c r="T170" s="45" t="e">
        <f>VLOOKUP(X170,contoare!A:K,4,FALSE)</f>
        <v>#N/A</v>
      </c>
      <c r="U170" s="45" t="e">
        <f>VLOOKUP(X170,contoare!A:K,5,FALSE)</f>
        <v>#N/A</v>
      </c>
      <c r="V170" s="45" t="e">
        <f>VLOOKUP(X170,contoare!A:K,8,FALSE)</f>
        <v>#N/A</v>
      </c>
      <c r="W170" s="45" t="e">
        <f>VLOOKUP(X170,contoare!A:K,9,FALSE)</f>
        <v>#N/A</v>
      </c>
      <c r="X170" s="94" t="s">
        <v>623</v>
      </c>
      <c r="Y170" s="43">
        <v>16000</v>
      </c>
      <c r="Z170" s="46">
        <f t="shared" si="87"/>
        <v>994240</v>
      </c>
      <c r="AA170" s="46">
        <f t="shared" si="88"/>
        <v>0</v>
      </c>
      <c r="AB170" s="48">
        <f>Z170</f>
        <v>994240</v>
      </c>
      <c r="AC170" s="390"/>
      <c r="AD170" s="371"/>
    </row>
    <row r="171" spans="1:30" x14ac:dyDescent="0.2">
      <c r="A171" s="356"/>
      <c r="B171" s="64" t="s">
        <v>355</v>
      </c>
      <c r="C171" s="216" t="s">
        <v>356</v>
      </c>
      <c r="D171" s="40">
        <f>VLOOKUP(N171,contoare!A:K,2,FALSE)</f>
        <v>45870</v>
      </c>
      <c r="E171" s="40">
        <f>VLOOKUP(N171,contoare!A:K,3,FALSE)</f>
        <v>45901</v>
      </c>
      <c r="F171" s="41">
        <f>VLOOKUP(N171,contoare!A:K,4,FALSE)</f>
        <v>3673.9279999999999</v>
      </c>
      <c r="G171" s="41">
        <f>VLOOKUP(N171,contoare!A:K,5,FALSE)</f>
        <v>0</v>
      </c>
      <c r="H171" s="41">
        <f>VLOOKUP(N171,contoare!A:K,6,FALSE)</f>
        <v>417.10599999999999</v>
      </c>
      <c r="I171" s="41">
        <f>VLOOKUP(N171,contoare!A:K,7,FALSE)</f>
        <v>3.105</v>
      </c>
      <c r="J171" s="41">
        <f>VLOOKUP(N171,contoare!A:K,8,FALSE)</f>
        <v>4262.74</v>
      </c>
      <c r="K171" s="41">
        <f>VLOOKUP(N171,contoare!A:K,9,FALSE)</f>
        <v>0</v>
      </c>
      <c r="L171" s="41">
        <f>VLOOKUP(N171,contoare!A:K,10,FALSE)</f>
        <v>539.60199999999998</v>
      </c>
      <c r="M171" s="41">
        <f>VLOOKUP(N171,contoare!A:K,11,FALSE)</f>
        <v>3.5670000000000002</v>
      </c>
      <c r="N171" s="91" t="s">
        <v>132</v>
      </c>
      <c r="O171" s="39">
        <v>400</v>
      </c>
      <c r="P171" s="42">
        <f t="shared" si="89"/>
        <v>235524.79999999996</v>
      </c>
      <c r="Q171" s="42">
        <f t="shared" si="90"/>
        <v>0</v>
      </c>
      <c r="R171" s="307">
        <f>P171+P172+P173+P174</f>
        <v>820697.39999999979</v>
      </c>
      <c r="S171" s="324">
        <f>(R176-R171)/R176</f>
        <v>7.728750674581783E-2</v>
      </c>
      <c r="T171" s="41">
        <f>VLOOKUP(X171,contoare!A:K,4,FALSE)</f>
        <v>3673.9279999999999</v>
      </c>
      <c r="U171" s="41">
        <f>VLOOKUP(X171,contoare!A:K,5,FALSE)</f>
        <v>0</v>
      </c>
      <c r="V171" s="41">
        <f>VLOOKUP(X171,contoare!A:K,8,FALSE)</f>
        <v>4262.74</v>
      </c>
      <c r="W171" s="41">
        <f>VLOOKUP(X171,contoare!A:K,9,FALSE)</f>
        <v>0</v>
      </c>
      <c r="X171" s="91" t="s">
        <v>132</v>
      </c>
      <c r="Y171" s="39">
        <v>400</v>
      </c>
      <c r="Z171" s="42">
        <f t="shared" si="87"/>
        <v>235524.79999999996</v>
      </c>
      <c r="AA171" s="42">
        <f t="shared" si="88"/>
        <v>0</v>
      </c>
      <c r="AB171" s="307">
        <f>Z171+Z172+Z173+Z174</f>
        <v>820697.39999999979</v>
      </c>
      <c r="AC171" s="388">
        <f>(AB176-AB171)/AB176</f>
        <v>7.728750674581783E-2</v>
      </c>
      <c r="AD171" s="371"/>
    </row>
    <row r="172" spans="1:30" x14ac:dyDescent="0.2">
      <c r="A172" s="356"/>
      <c r="B172" s="65" t="s">
        <v>357</v>
      </c>
      <c r="C172" s="217" t="s">
        <v>358</v>
      </c>
      <c r="D172" s="37">
        <f>VLOOKUP(N172,contoare!A:K,2,FALSE)</f>
        <v>45870</v>
      </c>
      <c r="E172" s="37">
        <f>VLOOKUP(N172,contoare!A:K,3,FALSE)</f>
        <v>45901</v>
      </c>
      <c r="F172" s="38">
        <f>VLOOKUP(N172,contoare!A:K,4,FALSE)</f>
        <v>2508.9520000000002</v>
      </c>
      <c r="G172" s="38">
        <f>VLOOKUP(N172,contoare!A:K,5,FALSE)</f>
        <v>0</v>
      </c>
      <c r="H172" s="38">
        <f>VLOOKUP(N172,contoare!A:K,6,FALSE)</f>
        <v>9.6959999999999997</v>
      </c>
      <c r="I172" s="38">
        <f>VLOOKUP(N172,contoare!A:K,7,FALSE)</f>
        <v>236.74600000000001</v>
      </c>
      <c r="J172" s="38">
        <f>VLOOKUP(N172,contoare!A:K,8,FALSE)</f>
        <v>2922.7420000000002</v>
      </c>
      <c r="K172" s="38">
        <f>VLOOKUP(N172,contoare!A:K,9,FALSE)</f>
        <v>0</v>
      </c>
      <c r="L172" s="38">
        <f>VLOOKUP(N172,contoare!A:K,10,FALSE)</f>
        <v>12.164999999999999</v>
      </c>
      <c r="M172" s="38">
        <f>VLOOKUP(N172,contoare!A:K,11,FALSE)</f>
        <v>261.57400000000001</v>
      </c>
      <c r="N172" s="92" t="s">
        <v>135</v>
      </c>
      <c r="O172" s="26">
        <v>500</v>
      </c>
      <c r="P172" s="27">
        <f t="shared" si="89"/>
        <v>206894.99999999997</v>
      </c>
      <c r="Q172" s="27">
        <f t="shared" si="90"/>
        <v>0</v>
      </c>
      <c r="R172" s="303"/>
      <c r="S172" s="325"/>
      <c r="T172" s="38">
        <f>VLOOKUP(X172,contoare!A:K,4,FALSE)</f>
        <v>2508.9520000000002</v>
      </c>
      <c r="U172" s="38">
        <f>VLOOKUP(X172,contoare!A:K,5,FALSE)</f>
        <v>0</v>
      </c>
      <c r="V172" s="38">
        <f>VLOOKUP(X172,contoare!A:K,8,FALSE)</f>
        <v>2922.7420000000002</v>
      </c>
      <c r="W172" s="38">
        <f>VLOOKUP(X172,contoare!A:K,9,FALSE)</f>
        <v>0</v>
      </c>
      <c r="X172" s="92" t="s">
        <v>135</v>
      </c>
      <c r="Y172" s="26">
        <v>500</v>
      </c>
      <c r="Z172" s="27">
        <f t="shared" si="87"/>
        <v>206894.99999999997</v>
      </c>
      <c r="AA172" s="27">
        <f t="shared" si="88"/>
        <v>0</v>
      </c>
      <c r="AB172" s="303"/>
      <c r="AC172" s="389"/>
      <c r="AD172" s="371"/>
    </row>
    <row r="173" spans="1:30" x14ac:dyDescent="0.2">
      <c r="A173" s="356"/>
      <c r="B173" s="65" t="s">
        <v>359</v>
      </c>
      <c r="C173" s="217" t="s">
        <v>360</v>
      </c>
      <c r="D173" s="37">
        <f>VLOOKUP(N173,contoare!A:K,2,FALSE)</f>
        <v>45870</v>
      </c>
      <c r="E173" s="37">
        <f>VLOOKUP(N173,contoare!A:K,3,FALSE)</f>
        <v>45901</v>
      </c>
      <c r="F173" s="38">
        <f>VLOOKUP(N173,contoare!A:K,4,FALSE)</f>
        <v>3166.422</v>
      </c>
      <c r="G173" s="38">
        <f>VLOOKUP(N173,contoare!A:K,5,FALSE)</f>
        <v>0</v>
      </c>
      <c r="H173" s="38">
        <f>VLOOKUP(N173,contoare!A:K,6,FALSE)</f>
        <v>111.31399999999999</v>
      </c>
      <c r="I173" s="38">
        <f>VLOOKUP(N173,contoare!A:K,7,FALSE)</f>
        <v>109.755</v>
      </c>
      <c r="J173" s="38">
        <f>VLOOKUP(N173,contoare!A:K,8,FALSE)</f>
        <v>3594.73</v>
      </c>
      <c r="K173" s="38">
        <f>VLOOKUP(N173,contoare!A:K,9,FALSE)</f>
        <v>0</v>
      </c>
      <c r="L173" s="38">
        <f>VLOOKUP(N173,contoare!A:K,10,FALSE)</f>
        <v>145.80000000000001</v>
      </c>
      <c r="M173" s="38">
        <f>VLOOKUP(N173,contoare!A:K,11,FALSE)</f>
        <v>110.78700000000001</v>
      </c>
      <c r="N173" s="92" t="s">
        <v>124</v>
      </c>
      <c r="O173" s="26">
        <v>400</v>
      </c>
      <c r="P173" s="27">
        <f t="shared" si="89"/>
        <v>171323.2</v>
      </c>
      <c r="Q173" s="27">
        <f t="shared" si="90"/>
        <v>0</v>
      </c>
      <c r="R173" s="303"/>
      <c r="S173" s="325"/>
      <c r="T173" s="38">
        <f>VLOOKUP(X173,contoare!A:K,4,FALSE)</f>
        <v>3166.422</v>
      </c>
      <c r="U173" s="38">
        <f>VLOOKUP(X173,contoare!A:K,5,FALSE)</f>
        <v>0</v>
      </c>
      <c r="V173" s="38">
        <f>VLOOKUP(X173,contoare!A:K,8,FALSE)</f>
        <v>3594.73</v>
      </c>
      <c r="W173" s="38">
        <f>VLOOKUP(X173,contoare!A:K,9,FALSE)</f>
        <v>0</v>
      </c>
      <c r="X173" s="92" t="s">
        <v>124</v>
      </c>
      <c r="Y173" s="26">
        <v>400</v>
      </c>
      <c r="Z173" s="27">
        <f t="shared" si="87"/>
        <v>171323.2</v>
      </c>
      <c r="AA173" s="27">
        <f t="shared" si="88"/>
        <v>0</v>
      </c>
      <c r="AB173" s="303"/>
      <c r="AC173" s="389"/>
      <c r="AD173" s="371"/>
    </row>
    <row r="174" spans="1:30" x14ac:dyDescent="0.2">
      <c r="A174" s="356"/>
      <c r="B174" s="65" t="s">
        <v>361</v>
      </c>
      <c r="C174" s="217" t="s">
        <v>362</v>
      </c>
      <c r="D174" s="37">
        <f>VLOOKUP(N174,contoare!A:K,2,FALSE)</f>
        <v>45870</v>
      </c>
      <c r="E174" s="37">
        <f>VLOOKUP(N174,contoare!A:K,3,FALSE)</f>
        <v>45901</v>
      </c>
      <c r="F174" s="38">
        <f>VLOOKUP(N174,contoare!A:K,4,FALSE)</f>
        <v>3666.6120000000001</v>
      </c>
      <c r="G174" s="38">
        <f>VLOOKUP(N174,contoare!A:K,5,FALSE)</f>
        <v>0</v>
      </c>
      <c r="H174" s="38">
        <f>VLOOKUP(N174,contoare!A:K,6,FALSE)</f>
        <v>477.78699999999998</v>
      </c>
      <c r="I174" s="38">
        <f>VLOOKUP(N174,contoare!A:K,7,FALSE)</f>
        <v>17.283000000000001</v>
      </c>
      <c r="J174" s="38">
        <f>VLOOKUP(N174,contoare!A:K,8,FALSE)</f>
        <v>4183.9979999999996</v>
      </c>
      <c r="K174" s="38">
        <f>VLOOKUP(N174,contoare!A:K,9,FALSE)</f>
        <v>0</v>
      </c>
      <c r="L174" s="38">
        <f>VLOOKUP(N174,contoare!A:K,10,FALSE)</f>
        <v>582.41999999999996</v>
      </c>
      <c r="M174" s="38">
        <f>VLOOKUP(N174,contoare!A:K,11,FALSE)</f>
        <v>17.350000000000001</v>
      </c>
      <c r="N174" s="92" t="s">
        <v>126</v>
      </c>
      <c r="O174" s="26">
        <v>400</v>
      </c>
      <c r="P174" s="27">
        <f t="shared" si="89"/>
        <v>206954.39999999979</v>
      </c>
      <c r="Q174" s="27">
        <f t="shared" si="90"/>
        <v>0</v>
      </c>
      <c r="R174" s="303"/>
      <c r="S174" s="325"/>
      <c r="T174" s="38">
        <f>VLOOKUP(X174,contoare!A:K,4,FALSE)</f>
        <v>3666.6120000000001</v>
      </c>
      <c r="U174" s="38">
        <f>VLOOKUP(X174,contoare!A:K,5,FALSE)</f>
        <v>0</v>
      </c>
      <c r="V174" s="38">
        <f>VLOOKUP(X174,contoare!A:K,8,FALSE)</f>
        <v>4183.9979999999996</v>
      </c>
      <c r="W174" s="38">
        <f>VLOOKUP(X174,contoare!A:K,9,FALSE)</f>
        <v>0</v>
      </c>
      <c r="X174" s="92" t="s">
        <v>126</v>
      </c>
      <c r="Y174" s="26">
        <v>400</v>
      </c>
      <c r="Z174" s="27">
        <f t="shared" si="87"/>
        <v>206954.39999999979</v>
      </c>
      <c r="AA174" s="27">
        <f t="shared" si="88"/>
        <v>0</v>
      </c>
      <c r="AB174" s="303"/>
      <c r="AC174" s="389"/>
      <c r="AD174" s="371"/>
    </row>
    <row r="175" spans="1:30" x14ac:dyDescent="0.2">
      <c r="A175" s="356"/>
      <c r="B175" s="65" t="s">
        <v>546</v>
      </c>
      <c r="C175" s="217"/>
      <c r="D175" s="37">
        <f>VLOOKUP(N175,contoare!A:K,2,FALSE)</f>
        <v>45870</v>
      </c>
      <c r="E175" s="37">
        <f>VLOOKUP(N175,contoare!A:K,3,FALSE)</f>
        <v>45901</v>
      </c>
      <c r="F175" s="38">
        <f>VLOOKUP(N175,contoare!A:K,4,FALSE)</f>
        <v>238.24700000000001</v>
      </c>
      <c r="G175" s="38">
        <f>VLOOKUP(N175,contoare!A:K,5,FALSE)</f>
        <v>0</v>
      </c>
      <c r="H175" s="38">
        <f>VLOOKUP(N175,contoare!A:K,6,FALSE)</f>
        <v>28.25</v>
      </c>
      <c r="I175" s="38">
        <f>VLOOKUP(N175,contoare!A:K,7,FALSE)</f>
        <v>0.34699999999999998</v>
      </c>
      <c r="J175" s="38">
        <f>VLOOKUP(N175,contoare!A:K,8,FALSE)</f>
        <v>293.88799999999998</v>
      </c>
      <c r="K175" s="38">
        <f>VLOOKUP(N175,contoare!A:K,9,FALSE)</f>
        <v>0</v>
      </c>
      <c r="L175" s="38">
        <f>VLOOKUP(N175,contoare!A:K,10,FALSE)</f>
        <v>36.884999999999998</v>
      </c>
      <c r="M175" s="38">
        <f>VLOOKUP(N175,contoare!A:K,11,FALSE)</f>
        <v>0.34699999999999998</v>
      </c>
      <c r="N175" s="92" t="s">
        <v>140</v>
      </c>
      <c r="O175" s="26">
        <v>16000</v>
      </c>
      <c r="P175" s="27">
        <f t="shared" si="89"/>
        <v>890255.99999999942</v>
      </c>
      <c r="Q175" s="27">
        <f t="shared" si="90"/>
        <v>0</v>
      </c>
      <c r="R175" s="103">
        <f>P175</f>
        <v>890255.99999999942</v>
      </c>
      <c r="S175" s="325"/>
      <c r="T175" s="38">
        <f>VLOOKUP(X175,contoare!A:K,4,FALSE)</f>
        <v>238.24700000000001</v>
      </c>
      <c r="U175" s="38">
        <f>VLOOKUP(X175,contoare!A:K,5,FALSE)</f>
        <v>0</v>
      </c>
      <c r="V175" s="38">
        <f>VLOOKUP(X175,contoare!A:K,8,FALSE)</f>
        <v>293.88799999999998</v>
      </c>
      <c r="W175" s="38">
        <f>VLOOKUP(X175,contoare!A:K,9,FALSE)</f>
        <v>0</v>
      </c>
      <c r="X175" s="92" t="s">
        <v>140</v>
      </c>
      <c r="Y175" s="26">
        <v>16000</v>
      </c>
      <c r="Z175" s="27">
        <f t="shared" si="87"/>
        <v>890255.99999999942</v>
      </c>
      <c r="AA175" s="27">
        <f t="shared" si="88"/>
        <v>0</v>
      </c>
      <c r="AB175" s="103">
        <f>Z175</f>
        <v>890255.99999999942</v>
      </c>
      <c r="AC175" s="389"/>
      <c r="AD175" s="371"/>
    </row>
    <row r="176" spans="1:30" ht="17" thickBot="1" x14ac:dyDescent="0.25">
      <c r="A176" s="356"/>
      <c r="B176" s="66" t="s">
        <v>618</v>
      </c>
      <c r="C176" s="219" t="s">
        <v>621</v>
      </c>
      <c r="D176" s="44" t="e">
        <f>VLOOKUP(N176,contoare!A:K,2,FALSE)</f>
        <v>#N/A</v>
      </c>
      <c r="E176" s="44" t="e">
        <f>VLOOKUP(N176,contoare!A:K,3,FALSE)</f>
        <v>#N/A</v>
      </c>
      <c r="F176" s="45" t="e">
        <f>VLOOKUP(N176,contoare!A:K,4,FALSE)</f>
        <v>#N/A</v>
      </c>
      <c r="G176" s="45" t="e">
        <f>VLOOKUP(N176,contoare!A:K,5,FALSE)</f>
        <v>#N/A</v>
      </c>
      <c r="H176" s="45" t="e">
        <f>VLOOKUP(N176,contoare!A:K,6,FALSE)</f>
        <v>#N/A</v>
      </c>
      <c r="I176" s="45" t="e">
        <f>VLOOKUP(N176,contoare!A:K,7,FALSE)</f>
        <v>#N/A</v>
      </c>
      <c r="J176" s="45" t="e">
        <f>VLOOKUP(N176,contoare!A:K,8,FALSE)</f>
        <v>#N/A</v>
      </c>
      <c r="K176" s="45" t="e">
        <f>VLOOKUP(N176,contoare!A:K,9,FALSE)</f>
        <v>#N/A</v>
      </c>
      <c r="L176" s="45" t="e">
        <f>VLOOKUP(N176,contoare!A:K,10,FALSE)</f>
        <v>#N/A</v>
      </c>
      <c r="M176" s="45" t="e">
        <f>VLOOKUP(N176,contoare!A:K,11,FALSE)</f>
        <v>#N/A</v>
      </c>
      <c r="N176" s="94" t="s">
        <v>624</v>
      </c>
      <c r="O176" s="43">
        <v>16000</v>
      </c>
      <c r="P176" s="46">
        <v>889440</v>
      </c>
      <c r="Q176" s="46">
        <v>0</v>
      </c>
      <c r="R176" s="104">
        <f>P176</f>
        <v>889440</v>
      </c>
      <c r="S176" s="326"/>
      <c r="T176" s="45" t="e">
        <f>VLOOKUP(X176,contoare!A:K,4,FALSE)</f>
        <v>#N/A</v>
      </c>
      <c r="U176" s="45" t="e">
        <f>VLOOKUP(X176,contoare!A:K,5,FALSE)</f>
        <v>#N/A</v>
      </c>
      <c r="V176" s="45" t="e">
        <f>VLOOKUP(X176,contoare!A:K,8,FALSE)</f>
        <v>#N/A</v>
      </c>
      <c r="W176" s="45" t="e">
        <f>VLOOKUP(X176,contoare!A:K,9,FALSE)</f>
        <v>#N/A</v>
      </c>
      <c r="X176" s="94" t="s">
        <v>624</v>
      </c>
      <c r="Y176" s="43">
        <v>16000</v>
      </c>
      <c r="Z176" s="46">
        <f t="shared" si="87"/>
        <v>889440</v>
      </c>
      <c r="AA176" s="46">
        <f t="shared" si="88"/>
        <v>0</v>
      </c>
      <c r="AB176" s="104">
        <f>Z176</f>
        <v>889440</v>
      </c>
      <c r="AC176" s="390"/>
      <c r="AD176" s="371"/>
    </row>
    <row r="177" spans="1:37" x14ac:dyDescent="0.2">
      <c r="A177" s="356"/>
      <c r="B177" s="64" t="s">
        <v>363</v>
      </c>
      <c r="C177" s="216" t="s">
        <v>364</v>
      </c>
      <c r="D177" s="40">
        <f>VLOOKUP(N177,contoare!A:K,2,FALSE)</f>
        <v>45870</v>
      </c>
      <c r="E177" s="40">
        <f>VLOOKUP(N177,contoare!A:K,3,FALSE)</f>
        <v>45901</v>
      </c>
      <c r="F177" s="41">
        <f>VLOOKUP(N177,contoare!A:K,4,FALSE)</f>
        <v>2039.085</v>
      </c>
      <c r="G177" s="41">
        <f>VLOOKUP(N177,contoare!A:K,5,FALSE)</f>
        <v>0</v>
      </c>
      <c r="H177" s="41">
        <f>VLOOKUP(N177,contoare!A:K,6,FALSE)</f>
        <v>175.98400000000001</v>
      </c>
      <c r="I177" s="41">
        <f>VLOOKUP(N177,contoare!A:K,7,FALSE)</f>
        <v>1.2450000000000001</v>
      </c>
      <c r="J177" s="41">
        <f>VLOOKUP(N177,contoare!A:K,8,FALSE)</f>
        <v>2311.4029999999998</v>
      </c>
      <c r="K177" s="41">
        <f>VLOOKUP(N177,contoare!A:K,9,FALSE)</f>
        <v>0</v>
      </c>
      <c r="L177" s="41">
        <f>VLOOKUP(N177,contoare!A:K,10,FALSE)</f>
        <v>218.804</v>
      </c>
      <c r="M177" s="41">
        <f>VLOOKUP(N177,contoare!A:K,11,FALSE)</f>
        <v>1.2450000000000001</v>
      </c>
      <c r="N177" s="91" t="s">
        <v>127</v>
      </c>
      <c r="O177" s="39">
        <v>400</v>
      </c>
      <c r="P177" s="42">
        <f t="shared" si="89"/>
        <v>108927.1999999999</v>
      </c>
      <c r="Q177" s="42">
        <f t="shared" si="90"/>
        <v>0</v>
      </c>
      <c r="R177" s="307">
        <f>P177+P178+P180+P181+P179</f>
        <v>747044.40000000014</v>
      </c>
      <c r="S177" s="321">
        <f>(R183-R177)/R183</f>
        <v>-0.63384102599993031</v>
      </c>
      <c r="T177" s="41">
        <f>VLOOKUP(X177,contoare!A:K,4,FALSE)</f>
        <v>2039.085</v>
      </c>
      <c r="U177" s="41">
        <f>VLOOKUP(X177,contoare!A:K,5,FALSE)</f>
        <v>0</v>
      </c>
      <c r="V177" s="41">
        <f>VLOOKUP(X177,contoare!A:K,8,FALSE)</f>
        <v>2311.4029999999998</v>
      </c>
      <c r="W177" s="41">
        <f>VLOOKUP(X177,contoare!A:K,9,FALSE)</f>
        <v>0</v>
      </c>
      <c r="X177" s="91" t="s">
        <v>127</v>
      </c>
      <c r="Y177" s="39">
        <v>400</v>
      </c>
      <c r="Z177" s="42">
        <f t="shared" si="87"/>
        <v>108927.1999999999</v>
      </c>
      <c r="AA177" s="42">
        <f t="shared" si="88"/>
        <v>0</v>
      </c>
      <c r="AB177" s="307">
        <f>Z177+Z178+Z180+Z181+Z179</f>
        <v>450645.19999999995</v>
      </c>
      <c r="AC177" s="391">
        <f>(AB183-AB177)/AB183</f>
        <v>1.440581586590625E-2</v>
      </c>
      <c r="AD177" s="371"/>
      <c r="AI177" t="s">
        <v>127</v>
      </c>
      <c r="AJ177">
        <v>295.99299999999999</v>
      </c>
      <c r="AK177">
        <f>AJ177*O177</f>
        <v>118397.2</v>
      </c>
    </row>
    <row r="178" spans="1:37" x14ac:dyDescent="0.2">
      <c r="A178" s="356"/>
      <c r="B178" s="65" t="s">
        <v>365</v>
      </c>
      <c r="C178" s="217" t="s">
        <v>366</v>
      </c>
      <c r="D178" s="37">
        <f>VLOOKUP(N178,contoare!A:K,2,FALSE)</f>
        <v>45870</v>
      </c>
      <c r="E178" s="37">
        <f>VLOOKUP(N178,contoare!A:K,3,FALSE)</f>
        <v>45901</v>
      </c>
      <c r="F178" s="38">
        <f>VLOOKUP(N178,contoare!A:K,4,FALSE)</f>
        <v>2187.7379999999998</v>
      </c>
      <c r="G178" s="38">
        <f>VLOOKUP(N178,contoare!A:K,5,FALSE)</f>
        <v>5.2999999999999999E-2</v>
      </c>
      <c r="H178" s="38">
        <f>VLOOKUP(N178,contoare!A:K,6,FALSE)</f>
        <v>620.92100000000005</v>
      </c>
      <c r="I178" s="38">
        <f>VLOOKUP(N178,contoare!A:K,7,FALSE)</f>
        <v>2.4E-2</v>
      </c>
      <c r="J178" s="38">
        <f>VLOOKUP(N178,contoare!A:K,8,FALSE)</f>
        <v>2585.3989999999999</v>
      </c>
      <c r="K178" s="38">
        <f>VLOOKUP(N178,contoare!A:K,9,FALSE)</f>
        <v>5.2999999999999999E-2</v>
      </c>
      <c r="L178" s="38">
        <f>VLOOKUP(N178,contoare!A:K,10,FALSE)</f>
        <v>738.98500000000001</v>
      </c>
      <c r="M178" s="38">
        <f>VLOOKUP(N178,contoare!A:K,11,FALSE)</f>
        <v>4.4999999999999998E-2</v>
      </c>
      <c r="N178" s="92" t="s">
        <v>133</v>
      </c>
      <c r="O178" s="26">
        <v>400</v>
      </c>
      <c r="P178" s="27">
        <f t="shared" si="89"/>
        <v>159064.40000000002</v>
      </c>
      <c r="Q178" s="27">
        <f t="shared" si="90"/>
        <v>0</v>
      </c>
      <c r="R178" s="303"/>
      <c r="S178" s="322"/>
      <c r="T178" s="38">
        <f>VLOOKUP(X178,contoare!A:K,4,FALSE)</f>
        <v>2187.7379999999998</v>
      </c>
      <c r="U178" s="38">
        <f>VLOOKUP(X178,contoare!A:K,5,FALSE)</f>
        <v>5.2999999999999999E-2</v>
      </c>
      <c r="V178" s="38">
        <f>VLOOKUP(X178,contoare!A:K,8,FALSE)</f>
        <v>2585.3989999999999</v>
      </c>
      <c r="W178" s="38">
        <f>VLOOKUP(X178,contoare!A:K,9,FALSE)</f>
        <v>5.2999999999999999E-2</v>
      </c>
      <c r="X178" s="92" t="s">
        <v>133</v>
      </c>
      <c r="Y178" s="26">
        <v>400</v>
      </c>
      <c r="Z178" s="27">
        <f t="shared" si="87"/>
        <v>159064.40000000002</v>
      </c>
      <c r="AA178" s="27">
        <f t="shared" si="88"/>
        <v>0</v>
      </c>
      <c r="AB178" s="303"/>
      <c r="AC178" s="384"/>
      <c r="AD178" s="371"/>
      <c r="AI178" t="s">
        <v>133</v>
      </c>
      <c r="AJ178">
        <v>444.49299999999999</v>
      </c>
      <c r="AK178">
        <f t="shared" ref="AK178:AK181" si="91">AJ178*O178</f>
        <v>177797.2</v>
      </c>
    </row>
    <row r="179" spans="1:37" x14ac:dyDescent="0.2">
      <c r="A179" s="356"/>
      <c r="B179" s="65" t="s">
        <v>367</v>
      </c>
      <c r="C179" s="217" t="s">
        <v>368</v>
      </c>
      <c r="D179" s="37">
        <f>VLOOKUP(N179,contoare!A:K,2,FALSE)</f>
        <v>45870</v>
      </c>
      <c r="E179" s="37">
        <f>VLOOKUP(N179,contoare!A:K,3,FALSE)</f>
        <v>45901</v>
      </c>
      <c r="F179" s="38">
        <f>VLOOKUP(N179,contoare!A:K,4,FALSE)</f>
        <v>4352.2129999999997</v>
      </c>
      <c r="G179" s="38">
        <f>VLOOKUP(N179,contoare!A:K,5,FALSE)</f>
        <v>0</v>
      </c>
      <c r="H179" s="38">
        <f>VLOOKUP(N179,contoare!A:K,6,FALSE)</f>
        <v>759.28599999999994</v>
      </c>
      <c r="I179" s="38">
        <f>VLOOKUP(N179,contoare!A:K,7,FALSE)</f>
        <v>0</v>
      </c>
      <c r="J179" s="38">
        <f>VLOOKUP(N179,contoare!A:K,8,FALSE)</f>
        <v>5093.2110000000002</v>
      </c>
      <c r="K179" s="38">
        <f>VLOOKUP(N179,contoare!A:K,9,FALSE)</f>
        <v>0</v>
      </c>
      <c r="L179" s="38">
        <f>VLOOKUP(N179,contoare!A:K,10,FALSE)</f>
        <v>956.05399999999997</v>
      </c>
      <c r="M179" s="38">
        <f>VLOOKUP(N179,contoare!A:K,11,FALSE)</f>
        <v>0</v>
      </c>
      <c r="N179" s="92" t="s">
        <v>125</v>
      </c>
      <c r="O179" s="26">
        <v>400</v>
      </c>
      <c r="P179" s="27">
        <f t="shared" si="89"/>
        <v>296399.20000000019</v>
      </c>
      <c r="Q179" s="27">
        <f t="shared" si="90"/>
        <v>0</v>
      </c>
      <c r="R179" s="303"/>
      <c r="S179" s="322"/>
      <c r="T179" s="38">
        <f>VLOOKUP(X179,contoare!A:K,4,FALSE)</f>
        <v>4352.2129999999997</v>
      </c>
      <c r="U179" s="38">
        <f>VLOOKUP(X179,contoare!A:K,5,FALSE)</f>
        <v>0</v>
      </c>
      <c r="V179" s="38">
        <f>VLOOKUP(X179,contoare!A:K,8,FALSE)</f>
        <v>5093.2110000000002</v>
      </c>
      <c r="W179" s="38">
        <f>VLOOKUP(X179,contoare!A:K,9,FALSE)</f>
        <v>0</v>
      </c>
      <c r="X179" s="97" t="s">
        <v>125</v>
      </c>
      <c r="Y179" s="26">
        <v>400</v>
      </c>
      <c r="Z179" s="27">
        <v>0</v>
      </c>
      <c r="AA179" s="27">
        <f t="shared" si="88"/>
        <v>0</v>
      </c>
      <c r="AB179" s="303"/>
      <c r="AC179" s="384"/>
      <c r="AD179" s="371"/>
      <c r="AI179" t="s">
        <v>125</v>
      </c>
      <c r="AJ179">
        <v>796.99800000000005</v>
      </c>
      <c r="AK179">
        <f t="shared" si="91"/>
        <v>318799.2</v>
      </c>
    </row>
    <row r="180" spans="1:37" x14ac:dyDescent="0.2">
      <c r="A180" s="356"/>
      <c r="B180" s="65" t="s">
        <v>369</v>
      </c>
      <c r="C180" s="217" t="s">
        <v>370</v>
      </c>
      <c r="D180" s="37">
        <f>VLOOKUP(N180,contoare!A:K,2,FALSE)</f>
        <v>45870</v>
      </c>
      <c r="E180" s="37">
        <f>VLOOKUP(N180,contoare!A:K,3,FALSE)</f>
        <v>45901</v>
      </c>
      <c r="F180" s="38">
        <f>VLOOKUP(N180,contoare!A:K,4,FALSE)</f>
        <v>1190.451</v>
      </c>
      <c r="G180" s="38">
        <f>VLOOKUP(N180,contoare!A:K,5,FALSE)</f>
        <v>0</v>
      </c>
      <c r="H180" s="38">
        <f>VLOOKUP(N180,contoare!A:K,6,FALSE)</f>
        <v>0.63300000000000001</v>
      </c>
      <c r="I180" s="38">
        <f>VLOOKUP(N180,contoare!A:K,7,FALSE)</f>
        <v>283.94400000000002</v>
      </c>
      <c r="J180" s="38">
        <f>VLOOKUP(N180,contoare!A:K,8,FALSE)</f>
        <v>1352.2550000000001</v>
      </c>
      <c r="K180" s="38">
        <f>VLOOKUP(N180,contoare!A:K,9,FALSE)</f>
        <v>0</v>
      </c>
      <c r="L180" s="38">
        <f>VLOOKUP(N180,contoare!A:K,10,FALSE)</f>
        <v>0.73799999999999999</v>
      </c>
      <c r="M180" s="38">
        <f>VLOOKUP(N180,contoare!A:K,11,FALSE)</f>
        <v>321.07499999999999</v>
      </c>
      <c r="N180" s="92" t="s">
        <v>137</v>
      </c>
      <c r="O180" s="26">
        <v>400</v>
      </c>
      <c r="P180" s="27">
        <f t="shared" si="89"/>
        <v>64721.600000000035</v>
      </c>
      <c r="Q180" s="27">
        <f t="shared" si="90"/>
        <v>0</v>
      </c>
      <c r="R180" s="303"/>
      <c r="S180" s="322"/>
      <c r="T180" s="38">
        <f>VLOOKUP(X180,contoare!A:K,4,FALSE)</f>
        <v>1190.451</v>
      </c>
      <c r="U180" s="38">
        <f>VLOOKUP(X180,contoare!A:K,5,FALSE)</f>
        <v>0</v>
      </c>
      <c r="V180" s="38">
        <f>VLOOKUP(X180,contoare!A:K,8,FALSE)</f>
        <v>1352.2550000000001</v>
      </c>
      <c r="W180" s="38">
        <f>VLOOKUP(X180,contoare!A:K,9,FALSE)</f>
        <v>0</v>
      </c>
      <c r="X180" s="92" t="s">
        <v>137</v>
      </c>
      <c r="Y180" s="26">
        <v>400</v>
      </c>
      <c r="Z180" s="27">
        <f t="shared" si="87"/>
        <v>64721.600000000035</v>
      </c>
      <c r="AA180" s="27">
        <f t="shared" si="88"/>
        <v>0</v>
      </c>
      <c r="AB180" s="303"/>
      <c r="AC180" s="384"/>
      <c r="AD180" s="371"/>
      <c r="AH180">
        <f>15.41*16000</f>
        <v>246560</v>
      </c>
      <c r="AI180" t="s">
        <v>137</v>
      </c>
      <c r="AJ180">
        <v>163.16999999999999</v>
      </c>
      <c r="AK180">
        <f t="shared" si="91"/>
        <v>65267.999999999993</v>
      </c>
    </row>
    <row r="181" spans="1:37" x14ac:dyDescent="0.2">
      <c r="A181" s="356"/>
      <c r="B181" s="65" t="s">
        <v>626</v>
      </c>
      <c r="C181" s="217" t="s">
        <v>627</v>
      </c>
      <c r="D181" s="37">
        <f>VLOOKUP(N181,contoare!A:K,2,FALSE)</f>
        <v>45870</v>
      </c>
      <c r="E181" s="37">
        <f>VLOOKUP(N181,contoare!A:K,3,FALSE)</f>
        <v>45901</v>
      </c>
      <c r="F181" s="38">
        <f>VLOOKUP(N181,contoare!A:K,4,FALSE)</f>
        <v>1033.1769999999999</v>
      </c>
      <c r="G181" s="38">
        <f>VLOOKUP(N181,contoare!A:K,5,FALSE)</f>
        <v>0</v>
      </c>
      <c r="H181" s="38">
        <f>VLOOKUP(N181,contoare!A:K,6,FALSE)</f>
        <v>0.33800000000000002</v>
      </c>
      <c r="I181" s="38">
        <f>VLOOKUP(N181,contoare!A:K,7,FALSE)</f>
        <v>47.387999999999998</v>
      </c>
      <c r="J181" s="38">
        <f>VLOOKUP(N181,contoare!A:K,8,FALSE)</f>
        <v>1269.0409999999999</v>
      </c>
      <c r="K181" s="38">
        <f>VLOOKUP(N181,contoare!A:K,9,FALSE)</f>
        <v>0</v>
      </c>
      <c r="L181" s="38">
        <f>VLOOKUP(N181,contoare!A:K,10,FALSE)</f>
        <v>0.33800000000000002</v>
      </c>
      <c r="M181" s="38">
        <f>VLOOKUP(N181,contoare!A:K,11,FALSE)</f>
        <v>58.113999999999997</v>
      </c>
      <c r="N181" s="92" t="s">
        <v>136</v>
      </c>
      <c r="O181" s="26">
        <v>500</v>
      </c>
      <c r="P181" s="27">
        <f t="shared" si="89"/>
        <v>117932.00000000001</v>
      </c>
      <c r="Q181" s="27">
        <f t="shared" si="90"/>
        <v>0</v>
      </c>
      <c r="R181" s="303"/>
      <c r="S181" s="322"/>
      <c r="T181" s="38">
        <f>VLOOKUP(X181,contoare!A:K,4,FALSE)</f>
        <v>1033.1769999999999</v>
      </c>
      <c r="U181" s="38">
        <f>VLOOKUP(X181,contoare!A:K,5,FALSE)</f>
        <v>0</v>
      </c>
      <c r="V181" s="38">
        <f>VLOOKUP(X181,contoare!A:K,8,FALSE)</f>
        <v>1269.0409999999999</v>
      </c>
      <c r="W181" s="38">
        <f>VLOOKUP(X181,contoare!A:K,9,FALSE)</f>
        <v>0</v>
      </c>
      <c r="X181" s="92" t="s">
        <v>136</v>
      </c>
      <c r="Y181" s="26">
        <v>500</v>
      </c>
      <c r="Z181" s="27">
        <f t="shared" si="87"/>
        <v>117932.00000000001</v>
      </c>
      <c r="AA181" s="27">
        <f t="shared" si="88"/>
        <v>0</v>
      </c>
      <c r="AB181" s="303"/>
      <c r="AC181" s="384"/>
      <c r="AD181" s="371"/>
      <c r="AI181" t="s">
        <v>136</v>
      </c>
      <c r="AJ181">
        <v>286.42599999999999</v>
      </c>
      <c r="AK181">
        <f t="shared" si="91"/>
        <v>143213</v>
      </c>
    </row>
    <row r="182" spans="1:37" x14ac:dyDescent="0.2">
      <c r="A182" s="356"/>
      <c r="B182" s="65" t="s">
        <v>560</v>
      </c>
      <c r="C182" s="217"/>
      <c r="D182" s="37">
        <f>VLOOKUP(N182,contoare!A:K,2,FALSE)</f>
        <v>45870</v>
      </c>
      <c r="E182" s="37">
        <f>VLOOKUP(N182,contoare!A:K,3,FALSE)</f>
        <v>45901</v>
      </c>
      <c r="F182" s="38">
        <f>VLOOKUP(N182,contoare!A:K,4,FALSE)</f>
        <v>58.249000000000002</v>
      </c>
      <c r="G182" s="38">
        <f>VLOOKUP(N182,contoare!A:K,5,FALSE)</f>
        <v>0</v>
      </c>
      <c r="H182" s="38">
        <f>VLOOKUP(N182,contoare!A:K,6,FALSE)</f>
        <v>6.6050000000000004</v>
      </c>
      <c r="I182" s="38">
        <f>VLOOKUP(N182,contoare!A:K,7,FALSE)</f>
        <v>6.0000000000000001E-3</v>
      </c>
      <c r="J182" s="38">
        <f>VLOOKUP(N182,contoare!A:K,8,FALSE)</f>
        <v>72.082999999999998</v>
      </c>
      <c r="K182" s="38">
        <f>VLOOKUP(N182,contoare!A:K,9,FALSE)</f>
        <v>0</v>
      </c>
      <c r="L182" s="38">
        <f>VLOOKUP(N182,contoare!A:K,10,FALSE)</f>
        <v>8.6240000000000006</v>
      </c>
      <c r="M182" s="38">
        <f>VLOOKUP(N182,contoare!A:K,11,FALSE)</f>
        <v>7.0000000000000001E-3</v>
      </c>
      <c r="N182" s="92" t="s">
        <v>138</v>
      </c>
      <c r="O182" s="26">
        <v>16000</v>
      </c>
      <c r="P182" s="27">
        <f t="shared" si="89"/>
        <v>221343.99999999994</v>
      </c>
      <c r="Q182" s="27">
        <f t="shared" si="90"/>
        <v>0</v>
      </c>
      <c r="R182" s="101">
        <f>P182</f>
        <v>221343.99999999994</v>
      </c>
      <c r="S182" s="322"/>
      <c r="T182" s="38">
        <f>VLOOKUP(X182,contoare!A:K,4,FALSE)</f>
        <v>58.249000000000002</v>
      </c>
      <c r="U182" s="38">
        <f>VLOOKUP(X182,contoare!A:K,5,FALSE)</f>
        <v>0</v>
      </c>
      <c r="V182" s="38">
        <f>VLOOKUP(X182,contoare!A:K,8,FALSE)</f>
        <v>72.082999999999998</v>
      </c>
      <c r="W182" s="38">
        <f>VLOOKUP(X182,contoare!A:K,9,FALSE)</f>
        <v>0</v>
      </c>
      <c r="X182" s="97" t="s">
        <v>138</v>
      </c>
      <c r="Y182" s="26">
        <v>16000</v>
      </c>
      <c r="Z182" s="27">
        <f t="shared" si="87"/>
        <v>221343.99999999994</v>
      </c>
      <c r="AA182" s="27">
        <f t="shared" si="88"/>
        <v>0</v>
      </c>
      <c r="AB182" s="101">
        <f>Z182</f>
        <v>221343.99999999994</v>
      </c>
      <c r="AC182" s="384"/>
      <c r="AD182" s="371"/>
    </row>
    <row r="183" spans="1:37" ht="17" thickBot="1" x14ac:dyDescent="0.25">
      <c r="A183" s="362"/>
      <c r="B183" s="66" t="s">
        <v>619</v>
      </c>
      <c r="C183" s="219" t="s">
        <v>622</v>
      </c>
      <c r="D183" s="44" t="e">
        <f>VLOOKUP(N183,contoare!A:K,2,FALSE)</f>
        <v>#N/A</v>
      </c>
      <c r="E183" s="44" t="e">
        <f>VLOOKUP(N183,contoare!A:K,3,FALSE)</f>
        <v>#N/A</v>
      </c>
      <c r="F183" s="45" t="e">
        <f>VLOOKUP(N183,contoare!A:K,4,FALSE)</f>
        <v>#N/A</v>
      </c>
      <c r="G183" s="45" t="e">
        <f>VLOOKUP(N183,contoare!A:K,5,FALSE)</f>
        <v>#N/A</v>
      </c>
      <c r="H183" s="45" t="e">
        <f>VLOOKUP(N183,contoare!A:K,6,FALSE)</f>
        <v>#N/A</v>
      </c>
      <c r="I183" s="45" t="e">
        <f>VLOOKUP(N183,contoare!A:K,7,FALSE)</f>
        <v>#N/A</v>
      </c>
      <c r="J183" s="45" t="e">
        <f>VLOOKUP(N183,contoare!A:K,8,FALSE)</f>
        <v>#N/A</v>
      </c>
      <c r="K183" s="45" t="e">
        <f>VLOOKUP(N183,contoare!A:K,9,FALSE)</f>
        <v>#N/A</v>
      </c>
      <c r="L183" s="45" t="e">
        <f>VLOOKUP(N183,contoare!A:K,10,FALSE)</f>
        <v>#N/A</v>
      </c>
      <c r="M183" s="45" t="e">
        <f>VLOOKUP(N183,contoare!A:K,11,FALSE)</f>
        <v>#N/A</v>
      </c>
      <c r="N183" s="94" t="s">
        <v>625</v>
      </c>
      <c r="O183" s="43">
        <v>16000</v>
      </c>
      <c r="P183" s="46">
        <v>457232</v>
      </c>
      <c r="Q183" s="46">
        <v>0</v>
      </c>
      <c r="R183" s="47">
        <f>P183</f>
        <v>457232</v>
      </c>
      <c r="S183" s="323"/>
      <c r="T183" s="45" t="e">
        <f>VLOOKUP(X183,contoare!A:K,4,FALSE)</f>
        <v>#N/A</v>
      </c>
      <c r="U183" s="45" t="e">
        <f>VLOOKUP(X183,contoare!A:K,5,FALSE)</f>
        <v>#N/A</v>
      </c>
      <c r="V183" s="45" t="e">
        <f>VLOOKUP(X183,contoare!A:K,8,FALSE)</f>
        <v>#N/A</v>
      </c>
      <c r="W183" s="45" t="e">
        <f>VLOOKUP(X183,contoare!A:K,9,FALSE)</f>
        <v>#N/A</v>
      </c>
      <c r="X183" s="94" t="s">
        <v>625</v>
      </c>
      <c r="Y183" s="43">
        <v>16000</v>
      </c>
      <c r="Z183" s="46">
        <f t="shared" si="87"/>
        <v>457232</v>
      </c>
      <c r="AA183" s="46">
        <f t="shared" si="88"/>
        <v>0</v>
      </c>
      <c r="AB183" s="47">
        <f>Z183</f>
        <v>457232</v>
      </c>
      <c r="AC183" s="385"/>
      <c r="AD183" s="393"/>
    </row>
    <row r="184" spans="1:37" ht="16" customHeight="1" x14ac:dyDescent="0.2">
      <c r="A184" s="349" t="s">
        <v>744</v>
      </c>
      <c r="B184" s="35" t="s">
        <v>229</v>
      </c>
      <c r="C184" s="222" t="s">
        <v>230</v>
      </c>
      <c r="D184" s="80">
        <f>VLOOKUP(N184,contoare!A:K,2,FALSE)</f>
        <v>45870</v>
      </c>
      <c r="E184" s="80">
        <f>VLOOKUP(N184,contoare!A:K,3,FALSE)</f>
        <v>45901</v>
      </c>
      <c r="F184" s="81">
        <f>VLOOKUP(N184,contoare!A:K,4,FALSE)</f>
        <v>2737.7510000000002</v>
      </c>
      <c r="G184" s="81">
        <f>VLOOKUP(N184,contoare!A:K,5,FALSE)</f>
        <v>0</v>
      </c>
      <c r="H184" s="81">
        <f>VLOOKUP(N184,contoare!A:K,6,FALSE)</f>
        <v>109.333</v>
      </c>
      <c r="I184" s="81">
        <f>VLOOKUP(N184,contoare!A:K,7,FALSE)</f>
        <v>45.628999999999998</v>
      </c>
      <c r="J184" s="81">
        <f>VLOOKUP(N184,contoare!A:K,8,FALSE)</f>
        <v>3154.2440000000001</v>
      </c>
      <c r="K184" s="81">
        <f>VLOOKUP(N184,contoare!A:K,9,FALSE)</f>
        <v>0</v>
      </c>
      <c r="L184" s="81">
        <f>VLOOKUP(N184,contoare!A:K,10,FALSE)</f>
        <v>149.773</v>
      </c>
      <c r="M184" s="81">
        <f>VLOOKUP(N184,contoare!A:K,11,FALSE)</f>
        <v>46.256</v>
      </c>
      <c r="N184" s="98" t="s">
        <v>142</v>
      </c>
      <c r="O184" s="35">
        <v>600</v>
      </c>
      <c r="P184" s="36">
        <f t="shared" si="83"/>
        <v>249895.79999999996</v>
      </c>
      <c r="Q184" s="36">
        <f t="shared" si="84"/>
        <v>0</v>
      </c>
      <c r="R184" s="302">
        <f>P184+P185-Q184-Q185</f>
        <v>348706.79999999993</v>
      </c>
      <c r="S184" s="317">
        <f>(R188-R184)/R188</f>
        <v>7.3770718232044383E-2</v>
      </c>
      <c r="T184" s="81">
        <f>VLOOKUP(X184,contoare!A:K,4,FALSE)</f>
        <v>2737.7510000000002</v>
      </c>
      <c r="U184" s="81">
        <f>VLOOKUP(X184,contoare!A:K,5,FALSE)</f>
        <v>0</v>
      </c>
      <c r="V184" s="81">
        <f>VLOOKUP(X184,contoare!A:K,8,FALSE)</f>
        <v>3154.2440000000001</v>
      </c>
      <c r="W184" s="81">
        <f>VLOOKUP(X184,contoare!A:K,9,FALSE)</f>
        <v>0</v>
      </c>
      <c r="X184" s="98" t="s">
        <v>142</v>
      </c>
      <c r="Y184" s="35">
        <v>600</v>
      </c>
      <c r="Z184" s="36">
        <f t="shared" si="82"/>
        <v>249895.79999999996</v>
      </c>
      <c r="AA184" s="36">
        <f t="shared" si="78"/>
        <v>0</v>
      </c>
      <c r="AB184" s="302">
        <f>Z184+Z185-AA184-AA185</f>
        <v>348706.79999999993</v>
      </c>
      <c r="AC184" s="317">
        <f>(AB188-AB184)/AB188</f>
        <v>7.3770718232044383E-2</v>
      </c>
      <c r="AD184" s="394" t="s">
        <v>602</v>
      </c>
    </row>
    <row r="185" spans="1:37" x14ac:dyDescent="0.2">
      <c r="A185" s="266"/>
      <c r="B185" s="26" t="s">
        <v>231</v>
      </c>
      <c r="C185" s="217" t="s">
        <v>232</v>
      </c>
      <c r="D185" s="37">
        <f>VLOOKUP(N185,contoare!A:K,2,FALSE)</f>
        <v>45870</v>
      </c>
      <c r="E185" s="37">
        <f>VLOOKUP(N185,contoare!A:K,3,FALSE)</f>
        <v>45901</v>
      </c>
      <c r="F185" s="38">
        <f>VLOOKUP(N185,contoare!A:K,4,FALSE)</f>
        <v>2236.9589999999998</v>
      </c>
      <c r="G185" s="38">
        <f>VLOOKUP(N185,contoare!A:K,5,FALSE)</f>
        <v>265.495</v>
      </c>
      <c r="H185" s="38">
        <f>VLOOKUP(N185,contoare!A:K,6,FALSE)</f>
        <v>145.102</v>
      </c>
      <c r="I185" s="38">
        <f>VLOOKUP(N185,contoare!A:K,7,FALSE)</f>
        <v>5.54</v>
      </c>
      <c r="J185" s="38">
        <f>VLOOKUP(N185,contoare!A:K,8,FALSE)</f>
        <v>2483.5189999999998</v>
      </c>
      <c r="K185" s="38">
        <f>VLOOKUP(N185,contoare!A:K,9,FALSE)</f>
        <v>314.43299999999999</v>
      </c>
      <c r="L185" s="38">
        <f>VLOOKUP(N185,contoare!A:K,10,FALSE)</f>
        <v>196.46600000000001</v>
      </c>
      <c r="M185" s="38">
        <f>VLOOKUP(N185,contoare!A:K,11,FALSE)</f>
        <v>5.915</v>
      </c>
      <c r="N185" s="92" t="s">
        <v>143</v>
      </c>
      <c r="O185" s="26">
        <v>500</v>
      </c>
      <c r="P185" s="27">
        <f t="shared" si="83"/>
        <v>123279.99999999997</v>
      </c>
      <c r="Q185" s="27">
        <f t="shared" si="84"/>
        <v>24468.999999999993</v>
      </c>
      <c r="R185" s="303"/>
      <c r="S185" s="271"/>
      <c r="T185" s="38">
        <f>VLOOKUP(X185,contoare!A:K,4,FALSE)</f>
        <v>2236.9589999999998</v>
      </c>
      <c r="U185" s="38">
        <f>VLOOKUP(X185,contoare!A:K,5,FALSE)</f>
        <v>265.495</v>
      </c>
      <c r="V185" s="38">
        <f>VLOOKUP(X185,contoare!A:K,8,FALSE)</f>
        <v>2483.5189999999998</v>
      </c>
      <c r="W185" s="38">
        <f>VLOOKUP(X185,contoare!A:K,9,FALSE)</f>
        <v>314.43299999999999</v>
      </c>
      <c r="X185" s="92" t="s">
        <v>143</v>
      </c>
      <c r="Y185" s="26">
        <v>500</v>
      </c>
      <c r="Z185" s="27">
        <f t="shared" si="82"/>
        <v>123279.99999999997</v>
      </c>
      <c r="AA185" s="27">
        <f t="shared" si="78"/>
        <v>24468.999999999993</v>
      </c>
      <c r="AB185" s="303"/>
      <c r="AC185" s="271"/>
      <c r="AD185" s="274"/>
    </row>
    <row r="186" spans="1:37" x14ac:dyDescent="0.2">
      <c r="A186" s="266"/>
      <c r="B186" s="26" t="s">
        <v>437</v>
      </c>
      <c r="C186" s="217" t="s">
        <v>438</v>
      </c>
      <c r="D186" s="37">
        <f>VLOOKUP(N186,contoare!A:K,2,FALSE)</f>
        <v>45870</v>
      </c>
      <c r="E186" s="37">
        <f>VLOOKUP(N186,contoare!A:K,3,FALSE)</f>
        <v>45901</v>
      </c>
      <c r="F186" s="38">
        <f>VLOOKUP(N186,contoare!A:K,4,FALSE)</f>
        <v>0.13</v>
      </c>
      <c r="G186" s="38">
        <f>VLOOKUP(N186,contoare!A:K,5,FALSE)</f>
        <v>2287.9609999999998</v>
      </c>
      <c r="H186" s="38">
        <f>VLOOKUP(N186,contoare!A:K,6,FALSE)</f>
        <v>0.29399999999999998</v>
      </c>
      <c r="I186" s="38">
        <f>VLOOKUP(N186,contoare!A:K,7,FALSE)</f>
        <v>30.565000000000001</v>
      </c>
      <c r="J186" s="38">
        <f>VLOOKUP(N186,contoare!A:K,8,FALSE)</f>
        <v>0.25</v>
      </c>
      <c r="K186" s="38">
        <f>VLOOKUP(N186,contoare!A:K,9,FALSE)</f>
        <v>2752.297</v>
      </c>
      <c r="L186" s="38">
        <f>VLOOKUP(N186,contoare!A:K,10,FALSE)</f>
        <v>22.919</v>
      </c>
      <c r="M186" s="38">
        <f>VLOOKUP(N186,contoare!A:K,11,FALSE)</f>
        <v>33.863</v>
      </c>
      <c r="N186" s="92" t="s">
        <v>141</v>
      </c>
      <c r="O186" s="26">
        <v>400</v>
      </c>
      <c r="P186" s="27">
        <f t="shared" si="83"/>
        <v>48</v>
      </c>
      <c r="Q186" s="27">
        <f t="shared" si="84"/>
        <v>185734.40000000008</v>
      </c>
      <c r="R186" s="303"/>
      <c r="S186" s="271"/>
      <c r="T186" s="38">
        <f>VLOOKUP(X186,contoare!A:K,4,FALSE)</f>
        <v>0.13</v>
      </c>
      <c r="U186" s="38">
        <f>VLOOKUP(X186,contoare!A:K,5,FALSE)</f>
        <v>2287.9609999999998</v>
      </c>
      <c r="V186" s="38">
        <f>VLOOKUP(X186,contoare!A:K,8,FALSE)</f>
        <v>0.25</v>
      </c>
      <c r="W186" s="38">
        <f>VLOOKUP(X186,contoare!A:K,9,FALSE)</f>
        <v>2752.297</v>
      </c>
      <c r="X186" s="92" t="s">
        <v>141</v>
      </c>
      <c r="Y186" s="26">
        <v>400</v>
      </c>
      <c r="Z186" s="27">
        <f t="shared" si="82"/>
        <v>48</v>
      </c>
      <c r="AA186" s="27">
        <f t="shared" si="78"/>
        <v>185734.40000000008</v>
      </c>
      <c r="AB186" s="303"/>
      <c r="AC186" s="271"/>
      <c r="AD186" s="274"/>
    </row>
    <row r="187" spans="1:37" x14ac:dyDescent="0.2">
      <c r="A187" s="266"/>
      <c r="B187" s="162" t="s">
        <v>533</v>
      </c>
      <c r="C187" s="218" t="s">
        <v>533</v>
      </c>
      <c r="D187" s="161" t="e">
        <f>VLOOKUP(N187,contoare!A:K,2,FALSE)</f>
        <v>#N/A</v>
      </c>
      <c r="E187" s="161" t="e">
        <f>VLOOKUP(N187,contoare!A:K,3,FALSE)</f>
        <v>#N/A</v>
      </c>
      <c r="F187" s="162" t="e">
        <f>VLOOKUP(N187,contoare!A:K,4,FALSE)</f>
        <v>#N/A</v>
      </c>
      <c r="G187" s="162" t="e">
        <f>VLOOKUP(N187,contoare!A:K,5,FALSE)</f>
        <v>#N/A</v>
      </c>
      <c r="H187" s="162" t="e">
        <f>VLOOKUP(N187,contoare!A:K,6,FALSE)</f>
        <v>#N/A</v>
      </c>
      <c r="I187" s="162" t="e">
        <f>VLOOKUP(N187,contoare!A:K,7,FALSE)</f>
        <v>#N/A</v>
      </c>
      <c r="J187" s="162" t="e">
        <f>VLOOKUP(N187,contoare!A:K,8,FALSE)</f>
        <v>#N/A</v>
      </c>
      <c r="K187" s="162" t="e">
        <f>VLOOKUP(N187,contoare!A:K,9,FALSE)</f>
        <v>#N/A</v>
      </c>
      <c r="L187" s="162" t="e">
        <f>VLOOKUP(N187,contoare!A:K,10,FALSE)</f>
        <v>#N/A</v>
      </c>
      <c r="M187" s="162" t="e">
        <f>VLOOKUP(N187,contoare!A:K,11,FALSE)</f>
        <v>#N/A</v>
      </c>
      <c r="N187" s="167" t="str">
        <f>B187</f>
        <v>MT SDI</v>
      </c>
      <c r="O187" s="162">
        <v>4000</v>
      </c>
      <c r="P187" s="164">
        <v>0</v>
      </c>
      <c r="Q187" s="164">
        <v>0</v>
      </c>
      <c r="R187" s="164">
        <f>P187</f>
        <v>0</v>
      </c>
      <c r="S187" s="271"/>
      <c r="T187" s="38" t="e">
        <f>VLOOKUP(X187,contoare!A:K,4,FALSE)</f>
        <v>#N/A</v>
      </c>
      <c r="U187" s="38" t="e">
        <f>VLOOKUP(X187,contoare!A:K,5,FALSE)</f>
        <v>#N/A</v>
      </c>
      <c r="V187" s="38" t="e">
        <f>VLOOKUP(X187,contoare!A:K,8,FALSE)</f>
        <v>#N/A</v>
      </c>
      <c r="W187" s="38" t="e">
        <f>VLOOKUP(X187,contoare!A:K,9,FALSE)</f>
        <v>#N/A</v>
      </c>
      <c r="X187" s="167" t="e">
        <f>L187</f>
        <v>#N/A</v>
      </c>
      <c r="Y187" s="162">
        <v>4000</v>
      </c>
      <c r="Z187" s="164">
        <f>P187</f>
        <v>0</v>
      </c>
      <c r="AA187" s="164">
        <f>Q187</f>
        <v>0</v>
      </c>
      <c r="AB187" s="164">
        <f>Z187</f>
        <v>0</v>
      </c>
      <c r="AC187" s="271"/>
      <c r="AD187" s="274"/>
    </row>
    <row r="188" spans="1:37" ht="17" thickBot="1" x14ac:dyDescent="0.25">
      <c r="A188" s="267"/>
      <c r="B188" s="49" t="s">
        <v>600</v>
      </c>
      <c r="C188" s="221" t="s">
        <v>601</v>
      </c>
      <c r="D188" s="51" t="e">
        <f>VLOOKUP(N188,contoare!A:K,2,FALSE)</f>
        <v>#N/A</v>
      </c>
      <c r="E188" s="51" t="e">
        <f>VLOOKUP(N188,contoare!A:K,3,FALSE)</f>
        <v>#N/A</v>
      </c>
      <c r="F188" s="52" t="e">
        <f>VLOOKUP(N188,contoare!A:K,4,FALSE)</f>
        <v>#N/A</v>
      </c>
      <c r="G188" s="52" t="e">
        <f>VLOOKUP(N188,contoare!A:K,5,FALSE)</f>
        <v>#N/A</v>
      </c>
      <c r="H188" s="52" t="e">
        <f>VLOOKUP(N188,contoare!A:K,6,FALSE)</f>
        <v>#N/A</v>
      </c>
      <c r="I188" s="52" t="e">
        <f>VLOOKUP(N188,contoare!A:K,7,FALSE)</f>
        <v>#N/A</v>
      </c>
      <c r="J188" s="52" t="e">
        <f>VLOOKUP(N188,contoare!A:K,8,FALSE)</f>
        <v>#N/A</v>
      </c>
      <c r="K188" s="52" t="e">
        <f>VLOOKUP(N188,contoare!A:K,9,FALSE)</f>
        <v>#N/A</v>
      </c>
      <c r="L188" s="52" t="e">
        <f>VLOOKUP(N188,contoare!A:K,10,FALSE)</f>
        <v>#N/A</v>
      </c>
      <c r="M188" s="52" t="e">
        <f>VLOOKUP(N188,contoare!A:K,11,FALSE)</f>
        <v>#N/A</v>
      </c>
      <c r="N188" s="93">
        <v>53047288</v>
      </c>
      <c r="O188" s="49">
        <v>4000</v>
      </c>
      <c r="P188" s="50">
        <v>376480</v>
      </c>
      <c r="Q188" s="50">
        <v>0</v>
      </c>
      <c r="R188" s="53">
        <f>P188</f>
        <v>376480</v>
      </c>
      <c r="S188" s="272"/>
      <c r="T188" s="38" t="e">
        <f>VLOOKUP(X188,contoare!A:K,4,FALSE)</f>
        <v>#N/A</v>
      </c>
      <c r="U188" s="38" t="e">
        <f>VLOOKUP(X188,contoare!A:K,5,FALSE)</f>
        <v>#N/A</v>
      </c>
      <c r="V188" s="38" t="e">
        <f>VLOOKUP(X188,contoare!A:K,8,FALSE)</f>
        <v>#N/A</v>
      </c>
      <c r="W188" s="38" t="e">
        <f>VLOOKUP(X188,contoare!A:K,9,FALSE)</f>
        <v>#N/A</v>
      </c>
      <c r="X188" s="93">
        <v>53047288</v>
      </c>
      <c r="Y188" s="49">
        <v>4000</v>
      </c>
      <c r="Z188" s="50">
        <f t="shared" ref="Z188" si="92">IF(LEFT(N188,3)&lt;&gt;"HXE",P188,(V188-T188)*Y188)</f>
        <v>376480</v>
      </c>
      <c r="AA188" s="50">
        <f t="shared" ref="AA188" si="93">IF(LEFT(X188,3)&lt;&gt;"HXE",Q188,(W188-U188)*Y188)</f>
        <v>0</v>
      </c>
      <c r="AB188" s="53">
        <f>Z188</f>
        <v>376480</v>
      </c>
      <c r="AC188" s="272"/>
      <c r="AD188" s="275"/>
    </row>
    <row r="189" spans="1:37" ht="16" customHeight="1" x14ac:dyDescent="0.2">
      <c r="A189" s="254" t="s">
        <v>144</v>
      </c>
      <c r="B189" s="39" t="s">
        <v>307</v>
      </c>
      <c r="C189" s="216" t="s">
        <v>308</v>
      </c>
      <c r="D189" s="40">
        <f>VLOOKUP(N189,contoare!A:K,2,FALSE)</f>
        <v>45870</v>
      </c>
      <c r="E189" s="40">
        <f>VLOOKUP(N189,contoare!A:K,3,FALSE)</f>
        <v>45901</v>
      </c>
      <c r="F189" s="41">
        <f>VLOOKUP(N189,contoare!A:K,4,FALSE)</f>
        <v>6051.2790000000005</v>
      </c>
      <c r="G189" s="41">
        <f>VLOOKUP(N189,contoare!A:K,5,FALSE)</f>
        <v>0</v>
      </c>
      <c r="H189" s="41">
        <f>VLOOKUP(N189,contoare!A:K,6,FALSE)</f>
        <v>4.274</v>
      </c>
      <c r="I189" s="41">
        <f>VLOOKUP(N189,contoare!A:K,7,FALSE)</f>
        <v>311.79199999999997</v>
      </c>
      <c r="J189" s="41">
        <f>VLOOKUP(N189,contoare!A:K,8,FALSE)</f>
        <v>6756.3829999999998</v>
      </c>
      <c r="K189" s="41">
        <f>VLOOKUP(N189,contoare!A:K,9,FALSE)</f>
        <v>0</v>
      </c>
      <c r="L189" s="41">
        <f>VLOOKUP(N189,contoare!A:K,10,FALSE)</f>
        <v>5.4870000000000001</v>
      </c>
      <c r="M189" s="41">
        <f>VLOOKUP(N189,contoare!A:K,11,FALSE)</f>
        <v>335.23399999999998</v>
      </c>
      <c r="N189" s="91" t="s">
        <v>148</v>
      </c>
      <c r="O189" s="39">
        <v>500</v>
      </c>
      <c r="P189" s="42">
        <f t="shared" si="83"/>
        <v>352551.99999999965</v>
      </c>
      <c r="Q189" s="42">
        <f t="shared" si="84"/>
        <v>0</v>
      </c>
      <c r="R189" s="282">
        <f>P189+P191+P192+P193-Q193-Q192-Q191-Q189</f>
        <v>856502.49999999907</v>
      </c>
      <c r="S189" s="244">
        <f>(R195-R189)/R195</f>
        <v>0.42966752343916531</v>
      </c>
      <c r="T189" s="41">
        <f>VLOOKUP(X189,contoare!A:K,4,FALSE)</f>
        <v>6051.2790000000005</v>
      </c>
      <c r="U189" s="41">
        <f>VLOOKUP(X189,contoare!A:K,5,FALSE)</f>
        <v>0</v>
      </c>
      <c r="V189" s="41">
        <f>VLOOKUP(X189,contoare!A:K,8,FALSE)</f>
        <v>6756.3829999999998</v>
      </c>
      <c r="W189" s="41">
        <f>VLOOKUP(X189,contoare!A:K,9,FALSE)</f>
        <v>0</v>
      </c>
      <c r="X189" s="91" t="s">
        <v>148</v>
      </c>
      <c r="Y189" s="39">
        <v>500</v>
      </c>
      <c r="Z189" s="42">
        <f t="shared" si="82"/>
        <v>352551.99999999965</v>
      </c>
      <c r="AA189" s="42">
        <f t="shared" si="78"/>
        <v>0</v>
      </c>
      <c r="AB189" s="307">
        <f>Z189+Z191+Z192+Z193-AA193-AA192-AA191-AA189</f>
        <v>1382772.4999999995</v>
      </c>
      <c r="AC189" s="270">
        <f>(AB195-AB189)/AB195</f>
        <v>7.9232034412955774E-2</v>
      </c>
      <c r="AD189" s="262" t="s">
        <v>606</v>
      </c>
    </row>
    <row r="190" spans="1:37" x14ac:dyDescent="0.2">
      <c r="A190" s="255"/>
      <c r="B190" s="26" t="s">
        <v>469</v>
      </c>
      <c r="C190" s="217" t="s">
        <v>470</v>
      </c>
      <c r="D190" s="37">
        <f>VLOOKUP(N190,contoare!A:K,2,FALSE)</f>
        <v>45870</v>
      </c>
      <c r="E190" s="37">
        <f>VLOOKUP(N190,contoare!A:K,3,FALSE)</f>
        <v>45901</v>
      </c>
      <c r="F190" s="38">
        <f>VLOOKUP(N190,contoare!A:K,4,FALSE)</f>
        <v>1.33</v>
      </c>
      <c r="G190" s="38">
        <f>VLOOKUP(N190,contoare!A:K,5,FALSE)</f>
        <v>1648.7329999999999</v>
      </c>
      <c r="H190" s="38">
        <f>VLOOKUP(N190,contoare!A:K,6,FALSE)</f>
        <v>24.815000000000001</v>
      </c>
      <c r="I190" s="38">
        <f>VLOOKUP(N190,contoare!A:K,7,FALSE)</f>
        <v>457.411</v>
      </c>
      <c r="J190" s="38">
        <f>VLOOKUP(N190,contoare!A:K,8,FALSE)</f>
        <v>1.33</v>
      </c>
      <c r="K190" s="38">
        <f>VLOOKUP(N190,contoare!A:K,9,FALSE)</f>
        <v>1979.61</v>
      </c>
      <c r="L190" s="38">
        <f>VLOOKUP(N190,contoare!A:K,10,FALSE)</f>
        <v>27.63</v>
      </c>
      <c r="M190" s="38">
        <f>VLOOKUP(N190,contoare!A:K,11,FALSE)</f>
        <v>592.81100000000004</v>
      </c>
      <c r="N190" s="92" t="s">
        <v>149</v>
      </c>
      <c r="O190" s="26">
        <v>160</v>
      </c>
      <c r="P190" s="27">
        <f t="shared" si="83"/>
        <v>0</v>
      </c>
      <c r="Q190" s="27">
        <f t="shared" si="84"/>
        <v>52940.319999999992</v>
      </c>
      <c r="R190" s="283"/>
      <c r="S190" s="245"/>
      <c r="T190" s="38">
        <f>VLOOKUP(X190,contoare!A:K,4,FALSE)</f>
        <v>1.33</v>
      </c>
      <c r="U190" s="38">
        <f>VLOOKUP(X190,contoare!A:K,5,FALSE)</f>
        <v>1648.7329999999999</v>
      </c>
      <c r="V190" s="38">
        <f>VLOOKUP(X190,contoare!A:K,8,FALSE)</f>
        <v>1.33</v>
      </c>
      <c r="W190" s="38">
        <f>VLOOKUP(X190,contoare!A:K,9,FALSE)</f>
        <v>1979.61</v>
      </c>
      <c r="X190" s="92" t="s">
        <v>149</v>
      </c>
      <c r="Y190" s="26">
        <v>160</v>
      </c>
      <c r="Z190" s="101">
        <f t="shared" si="82"/>
        <v>0</v>
      </c>
      <c r="AA190" s="101">
        <f t="shared" si="78"/>
        <v>52940.319999999992</v>
      </c>
      <c r="AB190" s="303"/>
      <c r="AC190" s="271"/>
      <c r="AD190" s="263"/>
    </row>
    <row r="191" spans="1:37" x14ac:dyDescent="0.2">
      <c r="A191" s="255"/>
      <c r="B191" s="26" t="s">
        <v>309</v>
      </c>
      <c r="C191" s="217" t="s">
        <v>310</v>
      </c>
      <c r="D191" s="37">
        <f>VLOOKUP(N191,contoare!A:K,2,FALSE)</f>
        <v>45870</v>
      </c>
      <c r="E191" s="37">
        <f>VLOOKUP(N191,contoare!A:K,3,FALSE)</f>
        <v>45901</v>
      </c>
      <c r="F191" s="38">
        <f>VLOOKUP(N191,contoare!A:K,4,FALSE)</f>
        <v>6682.7939999999999</v>
      </c>
      <c r="G191" s="38">
        <f>VLOOKUP(N191,contoare!A:K,5,FALSE)</f>
        <v>0</v>
      </c>
      <c r="H191" s="38">
        <f>VLOOKUP(N191,contoare!A:K,6,FALSE)</f>
        <v>231.18700000000001</v>
      </c>
      <c r="I191" s="38">
        <f>VLOOKUP(N191,contoare!A:K,7,FALSE)</f>
        <v>116.437</v>
      </c>
      <c r="J191" s="38">
        <f>VLOOKUP(N191,contoare!A:K,8,FALSE)</f>
        <v>7374.5649999999996</v>
      </c>
      <c r="K191" s="38">
        <f>VLOOKUP(N191,contoare!A:K,9,FALSE)</f>
        <v>0</v>
      </c>
      <c r="L191" s="38">
        <f>VLOOKUP(N191,contoare!A:K,10,FALSE)</f>
        <v>262.76900000000001</v>
      </c>
      <c r="M191" s="38">
        <f>VLOOKUP(N191,contoare!A:K,11,FALSE)</f>
        <v>129.26499999999999</v>
      </c>
      <c r="N191" s="92" t="s">
        <v>150</v>
      </c>
      <c r="O191" s="26">
        <v>500</v>
      </c>
      <c r="P191" s="27">
        <f t="shared" si="83"/>
        <v>345885.49999999988</v>
      </c>
      <c r="Q191" s="27">
        <f t="shared" si="84"/>
        <v>0</v>
      </c>
      <c r="R191" s="283"/>
      <c r="S191" s="245"/>
      <c r="T191" s="38">
        <f>VLOOKUP(X191,contoare!A:K,4,FALSE)</f>
        <v>6682.7939999999999</v>
      </c>
      <c r="U191" s="38">
        <f>VLOOKUP(X191,contoare!A:K,5,FALSE)</f>
        <v>0</v>
      </c>
      <c r="V191" s="38">
        <f>VLOOKUP(X191,contoare!A:K,8,FALSE)</f>
        <v>7374.5649999999996</v>
      </c>
      <c r="W191" s="38">
        <f>VLOOKUP(X191,contoare!A:K,9,FALSE)</f>
        <v>0</v>
      </c>
      <c r="X191" s="92" t="s">
        <v>150</v>
      </c>
      <c r="Y191" s="26">
        <v>500</v>
      </c>
      <c r="Z191" s="27">
        <f t="shared" si="82"/>
        <v>345885.49999999988</v>
      </c>
      <c r="AA191" s="27">
        <f t="shared" si="78"/>
        <v>0</v>
      </c>
      <c r="AB191" s="303"/>
      <c r="AC191" s="271"/>
      <c r="AD191" s="263"/>
    </row>
    <row r="192" spans="1:37" x14ac:dyDescent="0.2">
      <c r="A192" s="255"/>
      <c r="B192" s="26" t="s">
        <v>311</v>
      </c>
      <c r="C192" s="217" t="s">
        <v>312</v>
      </c>
      <c r="D192" s="37">
        <f>VLOOKUP(N192,contoare!A:K,2,FALSE)</f>
        <v>45870</v>
      </c>
      <c r="E192" s="37">
        <f>VLOOKUP(N192,contoare!A:K,3,FALSE)</f>
        <v>45901</v>
      </c>
      <c r="F192" s="38">
        <f>VLOOKUP(N192,contoare!A:K,4,FALSE)</f>
        <v>8281.1470000000008</v>
      </c>
      <c r="G192" s="38">
        <f>VLOOKUP(N192,contoare!A:K,5,FALSE)</f>
        <v>0</v>
      </c>
      <c r="H192" s="38">
        <f>VLOOKUP(N192,contoare!A:K,6,FALSE)</f>
        <v>1128.2950000000001</v>
      </c>
      <c r="I192" s="38">
        <f>VLOOKUP(N192,contoare!A:K,7,FALSE)</f>
        <v>0.32300000000000001</v>
      </c>
      <c r="J192" s="38">
        <f>VLOOKUP(N192,contoare!A:K,8,FALSE)</f>
        <v>9123.5470000000005</v>
      </c>
      <c r="K192" s="38">
        <f>VLOOKUP(N192,contoare!A:K,9,FALSE)</f>
        <v>0</v>
      </c>
      <c r="L192" s="38">
        <f>VLOOKUP(N192,contoare!A:K,10,FALSE)</f>
        <v>1254.2860000000001</v>
      </c>
      <c r="M192" s="38">
        <f>VLOOKUP(N192,contoare!A:K,11,FALSE)</f>
        <v>0.32300000000000001</v>
      </c>
      <c r="N192" s="92" t="s">
        <v>146</v>
      </c>
      <c r="O192" s="26">
        <v>500</v>
      </c>
      <c r="P192" s="27">
        <f t="shared" si="83"/>
        <v>421199.99999999983</v>
      </c>
      <c r="Q192" s="27">
        <f t="shared" si="84"/>
        <v>0</v>
      </c>
      <c r="R192" s="283"/>
      <c r="S192" s="245"/>
      <c r="T192" s="38">
        <f>VLOOKUP(X192,contoare!A:K,4,FALSE)</f>
        <v>8281.1470000000008</v>
      </c>
      <c r="U192" s="38">
        <f>VLOOKUP(X192,contoare!A:K,5,FALSE)</f>
        <v>0</v>
      </c>
      <c r="V192" s="38">
        <f>VLOOKUP(X192,contoare!A:K,8,FALSE)</f>
        <v>9123.5470000000005</v>
      </c>
      <c r="W192" s="38">
        <f>VLOOKUP(X192,contoare!A:K,9,FALSE)</f>
        <v>0</v>
      </c>
      <c r="X192" s="92" t="s">
        <v>146</v>
      </c>
      <c r="Y192" s="26">
        <v>500</v>
      </c>
      <c r="Z192" s="27">
        <f t="shared" si="82"/>
        <v>421199.99999999983</v>
      </c>
      <c r="AA192" s="27">
        <f t="shared" si="78"/>
        <v>0</v>
      </c>
      <c r="AB192" s="303"/>
      <c r="AC192" s="271"/>
      <c r="AD192" s="263"/>
    </row>
    <row r="193" spans="1:30" x14ac:dyDescent="0.2">
      <c r="A193" s="255"/>
      <c r="B193" s="26" t="s">
        <v>313</v>
      </c>
      <c r="C193" s="217" t="s">
        <v>314</v>
      </c>
      <c r="D193" s="37">
        <f>VLOOKUP(N193,contoare!A:K,2,FALSE)</f>
        <v>45870</v>
      </c>
      <c r="E193" s="37">
        <f>VLOOKUP(N193,contoare!A:K,3,FALSE)</f>
        <v>45901</v>
      </c>
      <c r="F193" s="38">
        <f>VLOOKUP(N193,contoare!A:K,4,FALSE)</f>
        <v>0.88600000000000001</v>
      </c>
      <c r="G193" s="38">
        <f>VLOOKUP(N193,contoare!A:K,5,FALSE)</f>
        <v>4075.6469999999999</v>
      </c>
      <c r="H193" s="38">
        <f>VLOOKUP(N193,contoare!A:K,6,FALSE)</f>
        <v>5361.0770000000002</v>
      </c>
      <c r="I193" s="38">
        <f>VLOOKUP(N193,contoare!A:K,7,FALSE)</f>
        <v>1.4710000000000001</v>
      </c>
      <c r="J193" s="38">
        <f>VLOOKUP(N193,contoare!A:K,8,FALSE)</f>
        <v>0.88600000000000001</v>
      </c>
      <c r="K193" s="38">
        <f>VLOOKUP(N193,contoare!A:K,9,FALSE)</f>
        <v>4601.9170000000004</v>
      </c>
      <c r="L193" s="38">
        <f>VLOOKUP(N193,contoare!A:K,10,FALSE)</f>
        <v>5899.0230000000001</v>
      </c>
      <c r="M193" s="38">
        <f>VLOOKUP(N193,contoare!A:K,11,FALSE)</f>
        <v>1.478</v>
      </c>
      <c r="N193" s="157" t="s">
        <v>145</v>
      </c>
      <c r="O193" s="158">
        <v>500</v>
      </c>
      <c r="P193" s="159">
        <f t="shared" ref="P193:P194" si="94">(J193-F193)*O193</f>
        <v>0</v>
      </c>
      <c r="Q193" s="159">
        <f t="shared" ref="Q193:Q194" si="95">(K193-G193)*O193</f>
        <v>263135.00000000023</v>
      </c>
      <c r="R193" s="283"/>
      <c r="S193" s="245"/>
      <c r="T193" s="38">
        <f>VLOOKUP(X193,contoare!A:K,4,FALSE)</f>
        <v>0.88600000000000001</v>
      </c>
      <c r="U193" s="38">
        <f>VLOOKUP(X193,contoare!A:K,5,FALSE)</f>
        <v>4075.6469999999999</v>
      </c>
      <c r="V193" s="38">
        <f>VLOOKUP(X193,contoare!A:K,8,FALSE)</f>
        <v>0.88600000000000001</v>
      </c>
      <c r="W193" s="38">
        <f>VLOOKUP(X193,contoare!A:K,9,FALSE)</f>
        <v>4601.9170000000004</v>
      </c>
      <c r="X193" s="157" t="s">
        <v>145</v>
      </c>
      <c r="Y193" s="158">
        <v>500</v>
      </c>
      <c r="Z193" s="159">
        <f>Q193</f>
        <v>263135.00000000023</v>
      </c>
      <c r="AA193" s="159">
        <f>P193</f>
        <v>0</v>
      </c>
      <c r="AB193" s="303"/>
      <c r="AC193" s="271"/>
      <c r="AD193" s="263"/>
    </row>
    <row r="194" spans="1:30" x14ac:dyDescent="0.2">
      <c r="A194" s="255"/>
      <c r="B194" s="26" t="s">
        <v>533</v>
      </c>
      <c r="C194" s="217" t="s">
        <v>533</v>
      </c>
      <c r="D194" s="37">
        <f>VLOOKUP(N194,contoare!A:K,2,FALSE)</f>
        <v>45870</v>
      </c>
      <c r="E194" s="37">
        <f>VLOOKUP(N194,contoare!A:K,3,FALSE)</f>
        <v>45901</v>
      </c>
      <c r="F194" s="38">
        <f>VLOOKUP(N194,contoare!A:K,4,FALSE)</f>
        <v>815.74400000000003</v>
      </c>
      <c r="G194" s="38">
        <f>VLOOKUP(N194,contoare!A:K,5,FALSE)</f>
        <v>0</v>
      </c>
      <c r="H194" s="38">
        <f>VLOOKUP(N194,contoare!A:K,6,FALSE)</f>
        <v>110.35899999999999</v>
      </c>
      <c r="I194" s="38">
        <f>VLOOKUP(N194,contoare!A:K,7,FALSE)</f>
        <v>4.0000000000000001E-3</v>
      </c>
      <c r="J194" s="38">
        <f>VLOOKUP(N194,contoare!A:K,8,FALSE)</f>
        <v>1003.337</v>
      </c>
      <c r="K194" s="38">
        <f>VLOOKUP(N194,contoare!A:K,9,FALSE)</f>
        <v>0</v>
      </c>
      <c r="L194" s="38">
        <f>VLOOKUP(N194,contoare!A:K,10,FALSE)</f>
        <v>139.09</v>
      </c>
      <c r="M194" s="38">
        <f>VLOOKUP(N194,contoare!A:K,11,FALSE)</f>
        <v>4.0000000000000001E-3</v>
      </c>
      <c r="N194" s="92" t="s">
        <v>147</v>
      </c>
      <c r="O194" s="26">
        <v>8000</v>
      </c>
      <c r="P194" s="27">
        <f t="shared" si="94"/>
        <v>1500743.9999999998</v>
      </c>
      <c r="Q194" s="27">
        <f t="shared" si="95"/>
        <v>0</v>
      </c>
      <c r="R194" s="34">
        <f>P194</f>
        <v>1500743.9999999998</v>
      </c>
      <c r="S194" s="245"/>
      <c r="T194" s="38">
        <f>VLOOKUP(X194,contoare!A:K,4,FALSE)</f>
        <v>815.74400000000003</v>
      </c>
      <c r="U194" s="38">
        <f>VLOOKUP(X194,contoare!A:K,5,FALSE)</f>
        <v>0</v>
      </c>
      <c r="V194" s="38">
        <f>VLOOKUP(X194,contoare!A:K,8,FALSE)</f>
        <v>1003.337</v>
      </c>
      <c r="W194" s="38">
        <f>VLOOKUP(X194,contoare!A:K,9,FALSE)</f>
        <v>0</v>
      </c>
      <c r="X194" s="92" t="s">
        <v>147</v>
      </c>
      <c r="Y194" s="26">
        <v>8000</v>
      </c>
      <c r="Z194" s="27">
        <f t="shared" si="82"/>
        <v>1500743.9999999998</v>
      </c>
      <c r="AA194" s="27">
        <f t="shared" si="78"/>
        <v>0</v>
      </c>
      <c r="AB194" s="34">
        <f>Z194</f>
        <v>1500743.9999999998</v>
      </c>
      <c r="AC194" s="271"/>
      <c r="AD194" s="263"/>
    </row>
    <row r="195" spans="1:30" ht="17" thickBot="1" x14ac:dyDescent="0.25">
      <c r="A195" s="350"/>
      <c r="B195" s="49" t="s">
        <v>605</v>
      </c>
      <c r="C195" s="221" t="s">
        <v>603</v>
      </c>
      <c r="D195" s="51" t="e">
        <f>VLOOKUP(N195,contoare!A:K,2,FALSE)</f>
        <v>#N/A</v>
      </c>
      <c r="E195" s="51" t="e">
        <f>VLOOKUP(N195,contoare!A:K,3,FALSE)</f>
        <v>#N/A</v>
      </c>
      <c r="F195" s="52" t="e">
        <f>VLOOKUP(N195,contoare!A:K,4,FALSE)</f>
        <v>#N/A</v>
      </c>
      <c r="G195" s="52" t="e">
        <f>VLOOKUP(N195,contoare!A:K,5,FALSE)</f>
        <v>#N/A</v>
      </c>
      <c r="H195" s="52" t="e">
        <f>VLOOKUP(N195,contoare!A:K,6,FALSE)</f>
        <v>#N/A</v>
      </c>
      <c r="I195" s="52" t="e">
        <f>VLOOKUP(N195,contoare!A:K,7,FALSE)</f>
        <v>#N/A</v>
      </c>
      <c r="J195" s="52" t="e">
        <f>VLOOKUP(N195,contoare!A:K,8,FALSE)</f>
        <v>#N/A</v>
      </c>
      <c r="K195" s="52" t="e">
        <f>VLOOKUP(N195,contoare!A:K,9,FALSE)</f>
        <v>#N/A</v>
      </c>
      <c r="L195" s="52" t="e">
        <f>VLOOKUP(N195,contoare!A:K,10,FALSE)</f>
        <v>#N/A</v>
      </c>
      <c r="M195" s="52" t="e">
        <f>VLOOKUP(N195,contoare!A:K,11,FALSE)</f>
        <v>#N/A</v>
      </c>
      <c r="N195" s="93" t="s">
        <v>604</v>
      </c>
      <c r="O195" s="49">
        <v>8000</v>
      </c>
      <c r="P195" s="50">
        <v>1501760</v>
      </c>
      <c r="Q195" s="50">
        <v>0</v>
      </c>
      <c r="R195" s="53">
        <f>P195</f>
        <v>1501760</v>
      </c>
      <c r="S195" s="287"/>
      <c r="T195" s="52"/>
      <c r="U195" s="52"/>
      <c r="V195" s="52"/>
      <c r="W195" s="52"/>
      <c r="X195" s="93" t="s">
        <v>604</v>
      </c>
      <c r="Y195" s="49">
        <v>8000</v>
      </c>
      <c r="Z195" s="50">
        <f>P195</f>
        <v>1501760</v>
      </c>
      <c r="AA195" s="50">
        <f>Q195</f>
        <v>0</v>
      </c>
      <c r="AB195" s="53">
        <f>Z195</f>
        <v>1501760</v>
      </c>
      <c r="AC195" s="272"/>
      <c r="AD195" s="309"/>
    </row>
    <row r="196" spans="1:30" x14ac:dyDescent="0.2">
      <c r="A196" s="254" t="s">
        <v>747</v>
      </c>
      <c r="B196" s="39" t="s">
        <v>223</v>
      </c>
      <c r="C196" s="216" t="s">
        <v>224</v>
      </c>
      <c r="D196" s="40">
        <f>VLOOKUP(N196,contoare!A:K,2,FALSE)</f>
        <v>45870</v>
      </c>
      <c r="E196" s="40">
        <f>VLOOKUP(N196,contoare!A:K,3,FALSE)</f>
        <v>45901</v>
      </c>
      <c r="F196" s="41">
        <f>VLOOKUP(N196,contoare!A:K,4,FALSE)</f>
        <v>3756.6280000000002</v>
      </c>
      <c r="G196" s="41">
        <f>VLOOKUP(N196,contoare!A:K,5,FALSE)</f>
        <v>0</v>
      </c>
      <c r="H196" s="41">
        <f>VLOOKUP(N196,contoare!A:K,6,FALSE)</f>
        <v>140.55000000000001</v>
      </c>
      <c r="I196" s="41">
        <f>VLOOKUP(N196,contoare!A:K,7,FALSE)</f>
        <v>125.343</v>
      </c>
      <c r="J196" s="41">
        <f>VLOOKUP(N196,contoare!A:K,8,FALSE)</f>
        <v>4421.3190000000004</v>
      </c>
      <c r="K196" s="41">
        <f>VLOOKUP(N196,contoare!A:K,9,FALSE)</f>
        <v>0</v>
      </c>
      <c r="L196" s="41">
        <f>VLOOKUP(N196,contoare!A:K,10,FALSE)</f>
        <v>201.97499999999999</v>
      </c>
      <c r="M196" s="41">
        <f>VLOOKUP(N196,contoare!A:K,11,FALSE)</f>
        <v>134.761</v>
      </c>
      <c r="N196" s="91" t="s">
        <v>154</v>
      </c>
      <c r="O196" s="39">
        <v>600</v>
      </c>
      <c r="P196" s="42">
        <f t="shared" si="83"/>
        <v>398814.60000000015</v>
      </c>
      <c r="Q196" s="42">
        <f t="shared" si="84"/>
        <v>0</v>
      </c>
      <c r="R196" s="307">
        <f>P196+P197+P199-Q199-Q196-Q197</f>
        <v>776924</v>
      </c>
      <c r="S196" s="270">
        <f>(R202-R196)/R202</f>
        <v>1.2677595628415301E-2</v>
      </c>
      <c r="T196" s="41">
        <f>VLOOKUP(X196,contoare!A:K,4,FALSE)</f>
        <v>3756.6280000000002</v>
      </c>
      <c r="U196" s="41">
        <f>VLOOKUP(X196,contoare!A:K,5,FALSE)</f>
        <v>0</v>
      </c>
      <c r="V196" s="41">
        <f>VLOOKUP(X196,contoare!A:K,8,FALSE)</f>
        <v>4421.3190000000004</v>
      </c>
      <c r="W196" s="41">
        <f>VLOOKUP(X196,contoare!A:K,9,FALSE)</f>
        <v>0</v>
      </c>
      <c r="X196" s="91" t="s">
        <v>154</v>
      </c>
      <c r="Y196" s="39">
        <v>600</v>
      </c>
      <c r="Z196" s="42">
        <f t="shared" si="82"/>
        <v>398814.60000000015</v>
      </c>
      <c r="AA196" s="42">
        <f t="shared" si="78"/>
        <v>0</v>
      </c>
      <c r="AB196" s="307">
        <f>Z196+Z197+Z199-AA199-AA196-AA197</f>
        <v>776924</v>
      </c>
      <c r="AC196" s="270">
        <f>(AB202-AB196)/AB202</f>
        <v>1.2677595628415301E-2</v>
      </c>
      <c r="AD196" s="262" t="s">
        <v>610</v>
      </c>
    </row>
    <row r="197" spans="1:30" x14ac:dyDescent="0.2">
      <c r="A197" s="255"/>
      <c r="B197" s="26" t="s">
        <v>225</v>
      </c>
      <c r="C197" s="217" t="s">
        <v>226</v>
      </c>
      <c r="D197" s="37">
        <f>VLOOKUP(N197,contoare!A:K,2,FALSE)</f>
        <v>45870</v>
      </c>
      <c r="E197" s="37">
        <f>VLOOKUP(N197,contoare!A:K,3,FALSE)</f>
        <v>45901</v>
      </c>
      <c r="F197" s="38">
        <f>VLOOKUP(N197,contoare!A:K,4,FALSE)</f>
        <v>2133.884</v>
      </c>
      <c r="G197" s="38">
        <f>VLOOKUP(N197,contoare!A:K,5,FALSE)</f>
        <v>202.63300000000001</v>
      </c>
      <c r="H197" s="38">
        <f>VLOOKUP(N197,contoare!A:K,6,FALSE)</f>
        <v>668.58199999999999</v>
      </c>
      <c r="I197" s="38">
        <f>VLOOKUP(N197,contoare!A:K,7,FALSE)</f>
        <v>4.4999999999999998E-2</v>
      </c>
      <c r="J197" s="38">
        <f>VLOOKUP(N197,contoare!A:K,8,FALSE)</f>
        <v>2517.5770000000002</v>
      </c>
      <c r="K197" s="38">
        <f>VLOOKUP(N197,contoare!A:K,9,FALSE)</f>
        <v>207.80699999999999</v>
      </c>
      <c r="L197" s="38">
        <f>VLOOKUP(N197,contoare!A:K,10,FALSE)</f>
        <v>874.39200000000005</v>
      </c>
      <c r="M197" s="38">
        <f>VLOOKUP(N197,contoare!A:K,11,FALSE)</f>
        <v>4.9000000000000002E-2</v>
      </c>
      <c r="N197" s="92" t="s">
        <v>155</v>
      </c>
      <c r="O197" s="26">
        <v>600</v>
      </c>
      <c r="P197" s="27">
        <f t="shared" si="83"/>
        <v>230215.80000000013</v>
      </c>
      <c r="Q197" s="27">
        <f t="shared" si="84"/>
        <v>3104.3999999999869</v>
      </c>
      <c r="R197" s="303"/>
      <c r="S197" s="271"/>
      <c r="T197" s="38">
        <f>VLOOKUP(X197,contoare!A:K,4,FALSE)</f>
        <v>2133.884</v>
      </c>
      <c r="U197" s="38">
        <f>VLOOKUP(X197,contoare!A:K,5,FALSE)</f>
        <v>202.63300000000001</v>
      </c>
      <c r="V197" s="38">
        <f>VLOOKUP(X197,contoare!A:K,8,FALSE)</f>
        <v>2517.5770000000002</v>
      </c>
      <c r="W197" s="38">
        <f>VLOOKUP(X197,contoare!A:K,9,FALSE)</f>
        <v>207.80699999999999</v>
      </c>
      <c r="X197" s="92" t="s">
        <v>155</v>
      </c>
      <c r="Y197" s="26">
        <v>600</v>
      </c>
      <c r="Z197" s="27">
        <f t="shared" si="82"/>
        <v>230215.80000000013</v>
      </c>
      <c r="AA197" s="27">
        <f t="shared" si="78"/>
        <v>3104.3999999999869</v>
      </c>
      <c r="AB197" s="303"/>
      <c r="AC197" s="271"/>
      <c r="AD197" s="263"/>
    </row>
    <row r="198" spans="1:30" x14ac:dyDescent="0.2">
      <c r="A198" s="255"/>
      <c r="B198" s="26" t="s">
        <v>433</v>
      </c>
      <c r="C198" s="217" t="s">
        <v>434</v>
      </c>
      <c r="D198" s="37">
        <f>VLOOKUP(N198,contoare!A:K,2,FALSE)</f>
        <v>45870</v>
      </c>
      <c r="E198" s="37">
        <f>VLOOKUP(N198,contoare!A:K,3,FALSE)</f>
        <v>45901</v>
      </c>
      <c r="F198" s="38">
        <f>VLOOKUP(N198,contoare!A:K,4,FALSE)</f>
        <v>0.23899999999999999</v>
      </c>
      <c r="G198" s="38">
        <f>VLOOKUP(N198,contoare!A:K,5,FALSE)</f>
        <v>2250.9430000000002</v>
      </c>
      <c r="H198" s="38">
        <f>VLOOKUP(N198,contoare!A:K,6,FALSE)</f>
        <v>49.503999999999998</v>
      </c>
      <c r="I198" s="38">
        <f>VLOOKUP(N198,contoare!A:K,7,FALSE)</f>
        <v>19.962</v>
      </c>
      <c r="J198" s="38">
        <f>VLOOKUP(N198,contoare!A:K,8,FALSE)</f>
        <v>0.26400000000000001</v>
      </c>
      <c r="K198" s="38">
        <f>VLOOKUP(N198,contoare!A:K,9,FALSE)</f>
        <v>2704.3980000000001</v>
      </c>
      <c r="L198" s="38">
        <f>VLOOKUP(N198,contoare!A:K,10,FALSE)</f>
        <v>49.573999999999998</v>
      </c>
      <c r="M198" s="38">
        <f>VLOOKUP(N198,contoare!A:K,11,FALSE)</f>
        <v>23.073</v>
      </c>
      <c r="N198" s="92" t="s">
        <v>153</v>
      </c>
      <c r="O198" s="26">
        <v>400</v>
      </c>
      <c r="P198" s="27">
        <f t="shared" si="83"/>
        <v>10.000000000000009</v>
      </c>
      <c r="Q198" s="27">
        <f t="shared" si="84"/>
        <v>181381.99999999997</v>
      </c>
      <c r="R198" s="303"/>
      <c r="S198" s="271"/>
      <c r="T198" s="38">
        <f>VLOOKUP(X198,contoare!A:K,4,FALSE)</f>
        <v>0.23899999999999999</v>
      </c>
      <c r="U198" s="38">
        <f>VLOOKUP(X198,contoare!A:K,5,FALSE)</f>
        <v>2250.9430000000002</v>
      </c>
      <c r="V198" s="38">
        <f>VLOOKUP(X198,contoare!A:K,8,FALSE)</f>
        <v>0.26400000000000001</v>
      </c>
      <c r="W198" s="38">
        <f>VLOOKUP(X198,contoare!A:K,9,FALSE)</f>
        <v>2704.3980000000001</v>
      </c>
      <c r="X198" s="92" t="s">
        <v>153</v>
      </c>
      <c r="Y198" s="26">
        <v>400</v>
      </c>
      <c r="Z198" s="27">
        <f t="shared" ref="Z198:Z204" si="96">IF(LEFT(N198,3)&lt;&gt;"HXE",P198,(V198-T198)*Y198)</f>
        <v>10.000000000000009</v>
      </c>
      <c r="AA198" s="27">
        <f t="shared" ref="AA198:AA204" si="97">IF(LEFT(X198,3)&lt;&gt;"HXE",Q198,(W198-U198)*Y198)</f>
        <v>181381.99999999997</v>
      </c>
      <c r="AB198" s="303"/>
      <c r="AC198" s="271"/>
      <c r="AD198" s="263"/>
    </row>
    <row r="199" spans="1:30" x14ac:dyDescent="0.2">
      <c r="A199" s="255"/>
      <c r="B199" s="26" t="s">
        <v>227</v>
      </c>
      <c r="C199" s="217" t="s">
        <v>228</v>
      </c>
      <c r="D199" s="37">
        <f>VLOOKUP(N199,contoare!A:K,2,FALSE)</f>
        <v>45870</v>
      </c>
      <c r="E199" s="37">
        <f>VLOOKUP(N199,contoare!A:K,3,FALSE)</f>
        <v>45901</v>
      </c>
      <c r="F199" s="38">
        <f>VLOOKUP(N199,contoare!A:K,4,FALSE)</f>
        <v>3922.7860000000001</v>
      </c>
      <c r="G199" s="38">
        <f>VLOOKUP(N199,contoare!A:K,5,FALSE)</f>
        <v>4.4180000000000001</v>
      </c>
      <c r="H199" s="38">
        <f>VLOOKUP(N199,contoare!A:K,6,FALSE)</f>
        <v>353.46600000000001</v>
      </c>
      <c r="I199" s="38">
        <f>VLOOKUP(N199,contoare!A:K,7,FALSE)</f>
        <v>322.38200000000001</v>
      </c>
      <c r="J199" s="38">
        <f>VLOOKUP(N199,contoare!A:K,8,FALSE)</f>
        <v>4224.7839999999997</v>
      </c>
      <c r="K199" s="38">
        <f>VLOOKUP(N199,contoare!A:K,9,FALSE)</f>
        <v>4.42</v>
      </c>
      <c r="L199" s="38">
        <f>VLOOKUP(N199,contoare!A:K,10,FALSE)</f>
        <v>524.56700000000001</v>
      </c>
      <c r="M199" s="38">
        <f>VLOOKUP(N199,contoare!A:K,11,FALSE)</f>
        <v>329.41300000000001</v>
      </c>
      <c r="N199" s="92" t="s">
        <v>152</v>
      </c>
      <c r="O199" s="26">
        <v>500</v>
      </c>
      <c r="P199" s="27">
        <f t="shared" ref="P199:P203" si="98">(J199-F199)*O199</f>
        <v>150998.9999999998</v>
      </c>
      <c r="Q199" s="27">
        <f t="shared" ref="Q199:Q203" si="99">(K199-G199)*O199</f>
        <v>0.99999999999988987</v>
      </c>
      <c r="R199" s="303"/>
      <c r="S199" s="271"/>
      <c r="T199" s="38">
        <f>VLOOKUP(X199,contoare!A:K,4,FALSE)</f>
        <v>3922.7860000000001</v>
      </c>
      <c r="U199" s="38">
        <f>VLOOKUP(X199,contoare!A:K,5,FALSE)</f>
        <v>4.4180000000000001</v>
      </c>
      <c r="V199" s="38">
        <f>VLOOKUP(X199,contoare!A:K,8,FALSE)</f>
        <v>4224.7839999999997</v>
      </c>
      <c r="W199" s="38">
        <f>VLOOKUP(X199,contoare!A:K,9,FALSE)</f>
        <v>4.42</v>
      </c>
      <c r="X199" s="92" t="s">
        <v>152</v>
      </c>
      <c r="Y199" s="26">
        <v>500</v>
      </c>
      <c r="Z199" s="27">
        <f t="shared" si="96"/>
        <v>150998.9999999998</v>
      </c>
      <c r="AA199" s="27">
        <f t="shared" si="97"/>
        <v>0.99999999999988987</v>
      </c>
      <c r="AB199" s="303"/>
      <c r="AC199" s="271"/>
      <c r="AD199" s="263"/>
    </row>
    <row r="200" spans="1:30" x14ac:dyDescent="0.2">
      <c r="A200" s="255"/>
      <c r="B200" s="26" t="s">
        <v>435</v>
      </c>
      <c r="C200" s="217" t="s">
        <v>436</v>
      </c>
      <c r="D200" s="37">
        <f>VLOOKUP(N200,contoare!A:K,2,FALSE)</f>
        <v>45870</v>
      </c>
      <c r="E200" s="37">
        <f>VLOOKUP(N200,contoare!A:K,3,FALSE)</f>
        <v>45901</v>
      </c>
      <c r="F200" s="38">
        <f>VLOOKUP(N200,contoare!A:K,4,FALSE)</f>
        <v>960.22299999999996</v>
      </c>
      <c r="G200" s="38">
        <f>VLOOKUP(N200,contoare!A:K,5,FALSE)</f>
        <v>2.891</v>
      </c>
      <c r="H200" s="38">
        <f>VLOOKUP(N200,contoare!A:K,6,FALSE)</f>
        <v>9.6739999999999995</v>
      </c>
      <c r="I200" s="38">
        <f>VLOOKUP(N200,contoare!A:K,7,FALSE)</f>
        <v>977.66499999999996</v>
      </c>
      <c r="J200" s="38">
        <f>VLOOKUP(N200,contoare!A:K,8,FALSE)</f>
        <v>1423.5329999999999</v>
      </c>
      <c r="K200" s="38">
        <f>VLOOKUP(N200,contoare!A:K,9,FALSE)</f>
        <v>3.7709999999999999</v>
      </c>
      <c r="L200" s="38">
        <f>VLOOKUP(N200,contoare!A:K,10,FALSE)</f>
        <v>11.425000000000001</v>
      </c>
      <c r="M200" s="38">
        <f>VLOOKUP(N200,contoare!A:K,11,FALSE)</f>
        <v>1418.9380000000001</v>
      </c>
      <c r="N200" s="157" t="s">
        <v>151</v>
      </c>
      <c r="O200" s="158">
        <v>160</v>
      </c>
      <c r="P200" s="159">
        <f t="shared" si="98"/>
        <v>74129.599999999991</v>
      </c>
      <c r="Q200" s="159">
        <f t="shared" si="99"/>
        <v>140.79999999999998</v>
      </c>
      <c r="R200" s="303"/>
      <c r="S200" s="271"/>
      <c r="T200" s="38">
        <f>VLOOKUP(X200,contoare!A:K,4,FALSE)</f>
        <v>960.22299999999996</v>
      </c>
      <c r="U200" s="38">
        <f>VLOOKUP(X200,contoare!A:K,5,FALSE)</f>
        <v>2.891</v>
      </c>
      <c r="V200" s="38">
        <f>VLOOKUP(X200,contoare!A:K,8,FALSE)</f>
        <v>1423.5329999999999</v>
      </c>
      <c r="W200" s="38">
        <f>VLOOKUP(X200,contoare!A:K,9,FALSE)</f>
        <v>3.7709999999999999</v>
      </c>
      <c r="X200" s="157" t="s">
        <v>151</v>
      </c>
      <c r="Y200" s="158">
        <v>160</v>
      </c>
      <c r="Z200" s="159">
        <f t="shared" ref="Z200" si="100">IF(LEFT(N200,3)&lt;&gt;"HXE",P200,(V200-T200)*Y200)</f>
        <v>74129.599999999991</v>
      </c>
      <c r="AA200" s="159">
        <f t="shared" ref="AA200" si="101">IF(LEFT(X200,3)&lt;&gt;"HXE",Q200,(W200-U200)*Y200)</f>
        <v>140.79999999999998</v>
      </c>
      <c r="AB200" s="303"/>
      <c r="AC200" s="271"/>
      <c r="AD200" s="263"/>
    </row>
    <row r="201" spans="1:30" x14ac:dyDescent="0.2">
      <c r="A201" s="255"/>
      <c r="B201" s="162" t="s">
        <v>545</v>
      </c>
      <c r="C201" s="218" t="s">
        <v>545</v>
      </c>
      <c r="D201" s="161" t="e">
        <f>VLOOKUP(N201,contoare!A:K,2,FALSE)</f>
        <v>#N/A</v>
      </c>
      <c r="E201" s="161" t="e">
        <f>VLOOKUP(N201,contoare!A:K,3,FALSE)</f>
        <v>#N/A</v>
      </c>
      <c r="F201" s="162" t="e">
        <f>VLOOKUP(N201,contoare!A:K,4,FALSE)</f>
        <v>#N/A</v>
      </c>
      <c r="G201" s="162" t="e">
        <f>VLOOKUP(N201,contoare!A:K,5,FALSE)</f>
        <v>#N/A</v>
      </c>
      <c r="H201" s="162" t="e">
        <f>VLOOKUP(N201,contoare!A:K,6,FALSE)</f>
        <v>#N/A</v>
      </c>
      <c r="I201" s="162" t="e">
        <f>VLOOKUP(N201,contoare!A:K,7,FALSE)</f>
        <v>#N/A</v>
      </c>
      <c r="J201" s="162" t="e">
        <f>VLOOKUP(N201,contoare!A:K,8,FALSE)</f>
        <v>#N/A</v>
      </c>
      <c r="K201" s="162" t="e">
        <f>VLOOKUP(N201,contoare!A:K,9,FALSE)</f>
        <v>#N/A</v>
      </c>
      <c r="L201" s="162" t="e">
        <f>VLOOKUP(N201,contoare!A:K,10,FALSE)</f>
        <v>#N/A</v>
      </c>
      <c r="M201" s="162" t="e">
        <f>VLOOKUP(N201,contoare!A:K,11,FALSE)</f>
        <v>#N/A</v>
      </c>
      <c r="N201" s="167" t="s">
        <v>545</v>
      </c>
      <c r="O201" s="162">
        <v>6000</v>
      </c>
      <c r="P201" s="164" t="e">
        <f t="shared" si="98"/>
        <v>#N/A</v>
      </c>
      <c r="Q201" s="164" t="e">
        <f t="shared" si="99"/>
        <v>#N/A</v>
      </c>
      <c r="R201" s="164" t="e">
        <f>P201</f>
        <v>#N/A</v>
      </c>
      <c r="S201" s="271"/>
      <c r="T201" s="38" t="e">
        <f>VLOOKUP(X201,contoare!A:K,4,FALSE)</f>
        <v>#N/A</v>
      </c>
      <c r="U201" s="38" t="e">
        <f>VLOOKUP(X201,contoare!A:K,5,FALSE)</f>
        <v>#N/A</v>
      </c>
      <c r="V201" s="38" t="e">
        <f>VLOOKUP(X201,contoare!A:K,8,FALSE)</f>
        <v>#N/A</v>
      </c>
      <c r="W201" s="38" t="e">
        <f>VLOOKUP(X201,contoare!A:K,9,FALSE)</f>
        <v>#N/A</v>
      </c>
      <c r="X201" s="167" t="s">
        <v>545</v>
      </c>
      <c r="Y201" s="162">
        <v>6000</v>
      </c>
      <c r="Z201" s="164" t="e">
        <f t="shared" si="96"/>
        <v>#N/A</v>
      </c>
      <c r="AA201" s="164" t="e">
        <f t="shared" si="97"/>
        <v>#N/A</v>
      </c>
      <c r="AB201" s="164" t="e">
        <f>Z201</f>
        <v>#N/A</v>
      </c>
      <c r="AC201" s="271"/>
      <c r="AD201" s="263"/>
    </row>
    <row r="202" spans="1:30" x14ac:dyDescent="0.2">
      <c r="A202" s="255"/>
      <c r="B202" s="26" t="s">
        <v>607</v>
      </c>
      <c r="C202" s="217" t="str">
        <f>"594030100003367652"</f>
        <v>594030100003367652</v>
      </c>
      <c r="D202" s="37" t="e">
        <f>VLOOKUP(N202,contoare!A:K,2,FALSE)</f>
        <v>#N/A</v>
      </c>
      <c r="E202" s="37" t="e">
        <f>VLOOKUP(N202,contoare!A:K,3,FALSE)</f>
        <v>#N/A</v>
      </c>
      <c r="F202" s="38" t="e">
        <f>VLOOKUP(N202,contoare!A:K,4,FALSE)</f>
        <v>#N/A</v>
      </c>
      <c r="G202" s="38" t="e">
        <f>VLOOKUP(N202,contoare!A:K,5,FALSE)</f>
        <v>#N/A</v>
      </c>
      <c r="H202" s="38" t="e">
        <f>VLOOKUP(N202,contoare!A:K,6,FALSE)</f>
        <v>#N/A</v>
      </c>
      <c r="I202" s="38" t="e">
        <f>VLOOKUP(N202,contoare!A:K,7,FALSE)</f>
        <v>#N/A</v>
      </c>
      <c r="J202" s="38" t="e">
        <f>VLOOKUP(N202,contoare!A:K,8,FALSE)</f>
        <v>#N/A</v>
      </c>
      <c r="K202" s="38" t="e">
        <f>VLOOKUP(N202,contoare!A:K,9,FALSE)</f>
        <v>#N/A</v>
      </c>
      <c r="L202" s="38" t="e">
        <f>VLOOKUP(N202,contoare!A:K,10,FALSE)</f>
        <v>#N/A</v>
      </c>
      <c r="M202" s="38" t="e">
        <f>VLOOKUP(N202,contoare!A:K,11,FALSE)</f>
        <v>#N/A</v>
      </c>
      <c r="N202" s="92" t="s">
        <v>609</v>
      </c>
      <c r="O202" s="26">
        <v>6000</v>
      </c>
      <c r="P202" s="27">
        <v>786900</v>
      </c>
      <c r="Q202" s="27">
        <v>0</v>
      </c>
      <c r="R202" s="34">
        <f t="shared" ref="R202:R204" si="102">P202</f>
        <v>786900</v>
      </c>
      <c r="S202" s="271"/>
      <c r="T202" s="38" t="e">
        <f>VLOOKUP(X202,contoare!A:K,4,FALSE)</f>
        <v>#N/A</v>
      </c>
      <c r="U202" s="38" t="e">
        <f>VLOOKUP(X202,contoare!A:K,5,FALSE)</f>
        <v>#N/A</v>
      </c>
      <c r="V202" s="38" t="e">
        <f>VLOOKUP(X202,contoare!A:K,8,FALSE)</f>
        <v>#N/A</v>
      </c>
      <c r="W202" s="38" t="e">
        <f>VLOOKUP(X202,contoare!A:K,9,FALSE)</f>
        <v>#N/A</v>
      </c>
      <c r="X202" s="92" t="s">
        <v>609</v>
      </c>
      <c r="Y202" s="26">
        <v>6000</v>
      </c>
      <c r="Z202" s="27">
        <f t="shared" si="96"/>
        <v>786900</v>
      </c>
      <c r="AA202" s="27">
        <f t="shared" si="97"/>
        <v>0</v>
      </c>
      <c r="AB202" s="34">
        <f t="shared" ref="AB202:AB204" si="103">Z202</f>
        <v>786900</v>
      </c>
      <c r="AC202" s="271"/>
      <c r="AD202" s="263"/>
    </row>
    <row r="203" spans="1:30" x14ac:dyDescent="0.2">
      <c r="A203" s="255"/>
      <c r="B203" s="162" t="s">
        <v>546</v>
      </c>
      <c r="C203" s="218" t="s">
        <v>546</v>
      </c>
      <c r="D203" s="161" t="e">
        <f>VLOOKUP(N203,contoare!A:K,2,FALSE)</f>
        <v>#N/A</v>
      </c>
      <c r="E203" s="161" t="e">
        <f>VLOOKUP(N203,contoare!A:K,3,FALSE)</f>
        <v>#N/A</v>
      </c>
      <c r="F203" s="162" t="e">
        <f>VLOOKUP(N203,contoare!A:K,4,FALSE)</f>
        <v>#N/A</v>
      </c>
      <c r="G203" s="162" t="e">
        <f>VLOOKUP(N203,contoare!A:K,5,FALSE)</f>
        <v>#N/A</v>
      </c>
      <c r="H203" s="162" t="e">
        <f>VLOOKUP(N203,contoare!A:K,6,FALSE)</f>
        <v>#N/A</v>
      </c>
      <c r="I203" s="162" t="e">
        <f>VLOOKUP(N203,contoare!A:K,7,FALSE)</f>
        <v>#N/A</v>
      </c>
      <c r="J203" s="162" t="e">
        <f>VLOOKUP(N203,contoare!A:K,8,FALSE)</f>
        <v>#N/A</v>
      </c>
      <c r="K203" s="162" t="e">
        <f>VLOOKUP(N203,contoare!A:K,9,FALSE)</f>
        <v>#N/A</v>
      </c>
      <c r="L203" s="162" t="e">
        <f>VLOOKUP(N203,contoare!A:K,10,FALSE)</f>
        <v>#N/A</v>
      </c>
      <c r="M203" s="162" t="e">
        <f>VLOOKUP(N203,contoare!A:K,11,FALSE)</f>
        <v>#N/A</v>
      </c>
      <c r="N203" s="167" t="s">
        <v>546</v>
      </c>
      <c r="O203" s="162">
        <v>6000</v>
      </c>
      <c r="P203" s="164" t="e">
        <f t="shared" si="98"/>
        <v>#N/A</v>
      </c>
      <c r="Q203" s="164" t="e">
        <f t="shared" si="99"/>
        <v>#N/A</v>
      </c>
      <c r="R203" s="164" t="e">
        <f t="shared" si="102"/>
        <v>#N/A</v>
      </c>
      <c r="S203" s="271"/>
      <c r="T203" s="38" t="e">
        <f>VLOOKUP(X203,contoare!A:K,4,FALSE)</f>
        <v>#N/A</v>
      </c>
      <c r="U203" s="38" t="e">
        <f>VLOOKUP(X203,contoare!A:K,5,FALSE)</f>
        <v>#N/A</v>
      </c>
      <c r="V203" s="38" t="e">
        <f>VLOOKUP(X203,contoare!A:K,8,FALSE)</f>
        <v>#N/A</v>
      </c>
      <c r="W203" s="38" t="e">
        <f>VLOOKUP(X203,contoare!A:K,9,FALSE)</f>
        <v>#N/A</v>
      </c>
      <c r="X203" s="167" t="s">
        <v>546</v>
      </c>
      <c r="Y203" s="162">
        <v>6000</v>
      </c>
      <c r="Z203" s="164" t="e">
        <f t="shared" si="96"/>
        <v>#N/A</v>
      </c>
      <c r="AA203" s="164" t="e">
        <f t="shared" si="97"/>
        <v>#N/A</v>
      </c>
      <c r="AB203" s="164" t="e">
        <f t="shared" si="103"/>
        <v>#N/A</v>
      </c>
      <c r="AC203" s="271"/>
      <c r="AD203" s="263"/>
    </row>
    <row r="204" spans="1:30" ht="17" thickBot="1" x14ac:dyDescent="0.25">
      <c r="A204" s="350"/>
      <c r="B204" s="49" t="s">
        <v>608</v>
      </c>
      <c r="C204" s="221" t="str">
        <f>"594030100003367652"</f>
        <v>594030100003367652</v>
      </c>
      <c r="D204" s="51" t="e">
        <f>VLOOKUP(N204,contoare!A:K,2,FALSE)</f>
        <v>#N/A</v>
      </c>
      <c r="E204" s="51" t="e">
        <f>VLOOKUP(N204,contoare!A:K,3,FALSE)</f>
        <v>#N/A</v>
      </c>
      <c r="F204" s="52" t="e">
        <f>VLOOKUP(N204,contoare!A:K,4,FALSE)</f>
        <v>#N/A</v>
      </c>
      <c r="G204" s="52" t="e">
        <f>VLOOKUP(N204,contoare!A:K,5,FALSE)</f>
        <v>#N/A</v>
      </c>
      <c r="H204" s="52" t="e">
        <f>VLOOKUP(N204,contoare!A:K,6,FALSE)</f>
        <v>#N/A</v>
      </c>
      <c r="I204" s="52" t="e">
        <f>VLOOKUP(N204,contoare!A:K,7,FALSE)</f>
        <v>#N/A</v>
      </c>
      <c r="J204" s="52" t="e">
        <f>VLOOKUP(N204,contoare!A:K,8,FALSE)</f>
        <v>#N/A</v>
      </c>
      <c r="K204" s="52" t="e">
        <f>VLOOKUP(N204,contoare!A:K,9,FALSE)</f>
        <v>#N/A</v>
      </c>
      <c r="L204" s="52" t="e">
        <f>VLOOKUP(N204,contoare!A:K,10,FALSE)</f>
        <v>#N/A</v>
      </c>
      <c r="M204" s="52" t="e">
        <f>VLOOKUP(N204,contoare!A:K,11,FALSE)</f>
        <v>#N/A</v>
      </c>
      <c r="N204" s="93">
        <v>20301781009</v>
      </c>
      <c r="O204" s="49">
        <v>6000</v>
      </c>
      <c r="P204" s="50">
        <v>0</v>
      </c>
      <c r="Q204" s="50">
        <v>0</v>
      </c>
      <c r="R204" s="53">
        <f t="shared" si="102"/>
        <v>0</v>
      </c>
      <c r="S204" s="272"/>
      <c r="T204" s="52" t="e">
        <f>VLOOKUP(X204,contoare!A:K,4,FALSE)</f>
        <v>#N/A</v>
      </c>
      <c r="U204" s="52" t="e">
        <f>VLOOKUP(X204,contoare!A:K,5,FALSE)</f>
        <v>#N/A</v>
      </c>
      <c r="V204" s="52" t="e">
        <f>VLOOKUP(X204,contoare!A:K,8,FALSE)</f>
        <v>#N/A</v>
      </c>
      <c r="W204" s="52" t="e">
        <f>VLOOKUP(X204,contoare!A:K,9,FALSE)</f>
        <v>#N/A</v>
      </c>
      <c r="X204" s="93">
        <v>20301781009</v>
      </c>
      <c r="Y204" s="49">
        <v>6000</v>
      </c>
      <c r="Z204" s="50">
        <f t="shared" si="96"/>
        <v>0</v>
      </c>
      <c r="AA204" s="50">
        <f t="shared" si="97"/>
        <v>0</v>
      </c>
      <c r="AB204" s="53">
        <f t="shared" si="103"/>
        <v>0</v>
      </c>
      <c r="AC204" s="272"/>
      <c r="AD204" s="309"/>
    </row>
    <row r="205" spans="1:30" ht="16" customHeight="1" x14ac:dyDescent="0.2">
      <c r="A205" s="254" t="s">
        <v>748</v>
      </c>
      <c r="B205" s="39" t="s">
        <v>233</v>
      </c>
      <c r="C205" s="216" t="s">
        <v>234</v>
      </c>
      <c r="D205" s="40">
        <f>VLOOKUP(N205,contoare!A:K,2,FALSE)</f>
        <v>45870</v>
      </c>
      <c r="E205" s="40">
        <f>VLOOKUP(N205,contoare!A:K,3,FALSE)</f>
        <v>45901</v>
      </c>
      <c r="F205" s="41">
        <f>VLOOKUP(N205,contoare!A:K,4,FALSE)</f>
        <v>3061.8310000000001</v>
      </c>
      <c r="G205" s="41">
        <f>VLOOKUP(N205,contoare!A:K,5,FALSE)</f>
        <v>0</v>
      </c>
      <c r="H205" s="41">
        <f>VLOOKUP(N205,contoare!A:K,6,FALSE)</f>
        <v>222.82</v>
      </c>
      <c r="I205" s="41">
        <f>VLOOKUP(N205,contoare!A:K,7,FALSE)</f>
        <v>32.465000000000003</v>
      </c>
      <c r="J205" s="41">
        <f>VLOOKUP(N205,contoare!A:K,8,FALSE)</f>
        <v>3485.9209999999998</v>
      </c>
      <c r="K205" s="41">
        <f>VLOOKUP(N205,contoare!A:K,9,FALSE)</f>
        <v>0</v>
      </c>
      <c r="L205" s="41">
        <f>VLOOKUP(N205,contoare!A:K,10,FALSE)</f>
        <v>278.99599999999998</v>
      </c>
      <c r="M205" s="41">
        <f>VLOOKUP(N205,contoare!A:K,11,FALSE)</f>
        <v>37.334000000000003</v>
      </c>
      <c r="N205" s="91" t="s">
        <v>157</v>
      </c>
      <c r="O205" s="39">
        <v>500</v>
      </c>
      <c r="P205" s="42">
        <f t="shared" si="83"/>
        <v>212044.99999999985</v>
      </c>
      <c r="Q205" s="42">
        <f t="shared" si="84"/>
        <v>0</v>
      </c>
      <c r="R205" s="268">
        <f>P205+P206-Q205-Q206</f>
        <v>469405.49999999988</v>
      </c>
      <c r="S205" s="270">
        <f>(R209-R205)/R209</f>
        <v>5.6653533299443242E-3</v>
      </c>
      <c r="T205" s="41">
        <f>VLOOKUP(X205,contoare!A:K,4,FALSE)</f>
        <v>3061.8310000000001</v>
      </c>
      <c r="U205" s="41">
        <f>VLOOKUP(X205,contoare!A:K,5,FALSE)</f>
        <v>0</v>
      </c>
      <c r="V205" s="41">
        <f>VLOOKUP(X205,contoare!A:K,8,FALSE)</f>
        <v>3485.9209999999998</v>
      </c>
      <c r="W205" s="41">
        <f>VLOOKUP(X205,contoare!A:K,9,FALSE)</f>
        <v>0</v>
      </c>
      <c r="X205" s="91" t="s">
        <v>157</v>
      </c>
      <c r="Y205" s="39">
        <v>500</v>
      </c>
      <c r="Z205" s="42">
        <f t="shared" si="82"/>
        <v>212044.99999999985</v>
      </c>
      <c r="AA205" s="42">
        <f t="shared" si="78"/>
        <v>0</v>
      </c>
      <c r="AB205" s="268">
        <f>Z205+Z206-AA205-AA206</f>
        <v>469405.49999999988</v>
      </c>
      <c r="AC205" s="270">
        <f>(AB209-AB205)/AB209</f>
        <v>5.6653533299443242E-3</v>
      </c>
      <c r="AD205" s="312" t="s">
        <v>612</v>
      </c>
    </row>
    <row r="206" spans="1:30" x14ac:dyDescent="0.2">
      <c r="A206" s="255"/>
      <c r="B206" s="26" t="s">
        <v>235</v>
      </c>
      <c r="C206" s="217" t="s">
        <v>236</v>
      </c>
      <c r="D206" s="37">
        <f>VLOOKUP(N206,contoare!A:K,2,FALSE)</f>
        <v>45870</v>
      </c>
      <c r="E206" s="37">
        <f>VLOOKUP(N206,contoare!A:K,3,FALSE)</f>
        <v>45901</v>
      </c>
      <c r="F206" s="38">
        <f>VLOOKUP(N206,contoare!A:K,4,FALSE)</f>
        <v>3866.5509999999999</v>
      </c>
      <c r="G206" s="38">
        <f>VLOOKUP(N206,contoare!A:K,5,FALSE)</f>
        <v>2.1999999999999999E-2</v>
      </c>
      <c r="H206" s="38">
        <f>VLOOKUP(N206,contoare!A:K,6,FALSE)</f>
        <v>273.58300000000003</v>
      </c>
      <c r="I206" s="38">
        <f>VLOOKUP(N206,contoare!A:K,7,FALSE)</f>
        <v>8.2140000000000004</v>
      </c>
      <c r="J206" s="38">
        <f>VLOOKUP(N206,contoare!A:K,8,FALSE)</f>
        <v>4381.2719999999999</v>
      </c>
      <c r="K206" s="38">
        <f>VLOOKUP(N206,contoare!A:K,9,FALSE)</f>
        <v>2.1999999999999999E-2</v>
      </c>
      <c r="L206" s="38">
        <f>VLOOKUP(N206,contoare!A:K,10,FALSE)</f>
        <v>355.44600000000003</v>
      </c>
      <c r="M206" s="38">
        <f>VLOOKUP(N206,contoare!A:K,11,FALSE)</f>
        <v>8.2889999999999997</v>
      </c>
      <c r="N206" s="92" t="s">
        <v>156</v>
      </c>
      <c r="O206" s="26">
        <v>500</v>
      </c>
      <c r="P206" s="27">
        <f t="shared" si="83"/>
        <v>257360.5</v>
      </c>
      <c r="Q206" s="27">
        <f t="shared" si="84"/>
        <v>0</v>
      </c>
      <c r="R206" s="269"/>
      <c r="S206" s="271"/>
      <c r="T206" s="38">
        <f>VLOOKUP(X206,contoare!A:K,4,FALSE)</f>
        <v>3866.5509999999999</v>
      </c>
      <c r="U206" s="38">
        <f>VLOOKUP(X206,contoare!A:K,5,FALSE)</f>
        <v>2.1999999999999999E-2</v>
      </c>
      <c r="V206" s="38">
        <f>VLOOKUP(X206,contoare!A:K,8,FALSE)</f>
        <v>4381.2719999999999</v>
      </c>
      <c r="W206" s="38">
        <f>VLOOKUP(X206,contoare!A:K,9,FALSE)</f>
        <v>2.1999999999999999E-2</v>
      </c>
      <c r="X206" s="92" t="s">
        <v>156</v>
      </c>
      <c r="Y206" s="26">
        <v>500</v>
      </c>
      <c r="Z206" s="27">
        <f t="shared" si="82"/>
        <v>257360.5</v>
      </c>
      <c r="AA206" s="27">
        <f t="shared" si="78"/>
        <v>0</v>
      </c>
      <c r="AB206" s="269"/>
      <c r="AC206" s="271"/>
      <c r="AD206" s="313"/>
    </row>
    <row r="207" spans="1:30" x14ac:dyDescent="0.2">
      <c r="A207" s="255"/>
      <c r="B207" s="26" t="s">
        <v>439</v>
      </c>
      <c r="C207" s="217" t="s">
        <v>440</v>
      </c>
      <c r="D207" s="37">
        <f>VLOOKUP(N207,contoare!A:K,2,FALSE)</f>
        <v>45870</v>
      </c>
      <c r="E207" s="37">
        <f>VLOOKUP(N207,contoare!A:K,3,FALSE)</f>
        <v>45901</v>
      </c>
      <c r="F207" s="38">
        <f>VLOOKUP(N207,contoare!A:K,4,FALSE)</f>
        <v>1835.7380000000001</v>
      </c>
      <c r="G207" s="38">
        <f>VLOOKUP(N207,contoare!A:K,5,FALSE)</f>
        <v>0.85799999999999998</v>
      </c>
      <c r="H207" s="38">
        <f>VLOOKUP(N207,contoare!A:K,6,FALSE)</f>
        <v>23.238</v>
      </c>
      <c r="I207" s="38">
        <f>VLOOKUP(N207,contoare!A:K,7,FALSE)</f>
        <v>0.249</v>
      </c>
      <c r="J207" s="38">
        <f>VLOOKUP(N207,contoare!A:K,8,FALSE)</f>
        <v>2183.473</v>
      </c>
      <c r="K207" s="38">
        <f>VLOOKUP(N207,contoare!A:K,9,FALSE)</f>
        <v>0.95899999999999996</v>
      </c>
      <c r="L207" s="38">
        <f>VLOOKUP(N207,contoare!A:K,10,FALSE)</f>
        <v>25.544</v>
      </c>
      <c r="M207" s="38">
        <f>VLOOKUP(N207,contoare!A:K,11,FALSE)</f>
        <v>2.944</v>
      </c>
      <c r="N207" s="157" t="s">
        <v>158</v>
      </c>
      <c r="O207" s="158">
        <v>120</v>
      </c>
      <c r="P207" s="159">
        <f t="shared" ref="P207:P250" si="104">(J207-F207)*O207</f>
        <v>41728.19999999999</v>
      </c>
      <c r="Q207" s="159">
        <f t="shared" ref="Q207:Q250" si="105">(K207-G207)*O207</f>
        <v>12.119999999999997</v>
      </c>
      <c r="R207" s="269"/>
      <c r="S207" s="271"/>
      <c r="T207" s="38">
        <f>VLOOKUP(X207,contoare!A:K,4,FALSE)</f>
        <v>1835.7380000000001</v>
      </c>
      <c r="U207" s="38">
        <f>VLOOKUP(X207,contoare!A:K,5,FALSE)</f>
        <v>0.85799999999999998</v>
      </c>
      <c r="V207" s="38">
        <f>VLOOKUP(X207,contoare!A:K,8,FALSE)</f>
        <v>2183.473</v>
      </c>
      <c r="W207" s="38">
        <f>VLOOKUP(X207,contoare!A:K,9,FALSE)</f>
        <v>0.95899999999999996</v>
      </c>
      <c r="X207" s="157" t="s">
        <v>158</v>
      </c>
      <c r="Y207" s="158">
        <v>120</v>
      </c>
      <c r="Z207" s="159">
        <f t="shared" ref="Z207" si="106">IF(LEFT(N207,3)&lt;&gt;"HXE",P207,(V207-T207)*Y207)</f>
        <v>41728.19999999999</v>
      </c>
      <c r="AA207" s="159">
        <f t="shared" ref="AA207" si="107">IF(LEFT(X207,3)&lt;&gt;"HXE",Q207,(W207-U207)*Y207)</f>
        <v>12.119999999999997</v>
      </c>
      <c r="AB207" s="269"/>
      <c r="AC207" s="271"/>
      <c r="AD207" s="313"/>
    </row>
    <row r="208" spans="1:30" x14ac:dyDescent="0.2">
      <c r="A208" s="255"/>
      <c r="B208" s="162" t="s">
        <v>533</v>
      </c>
      <c r="C208" s="218" t="s">
        <v>533</v>
      </c>
      <c r="D208" s="161" t="e">
        <f>VLOOKUP(N208,contoare!A:K,2,FALSE)</f>
        <v>#N/A</v>
      </c>
      <c r="E208" s="161" t="e">
        <f>VLOOKUP(N208,contoare!A:K,3,FALSE)</f>
        <v>#N/A</v>
      </c>
      <c r="F208" s="162" t="e">
        <f>VLOOKUP(N208,contoare!A:K,4,FALSE)</f>
        <v>#N/A</v>
      </c>
      <c r="G208" s="162" t="e">
        <f>VLOOKUP(N208,contoare!A:K,5,FALSE)</f>
        <v>#N/A</v>
      </c>
      <c r="H208" s="162" t="e">
        <f>VLOOKUP(N208,contoare!A:K,6,FALSE)</f>
        <v>#N/A</v>
      </c>
      <c r="I208" s="162" t="e">
        <f>VLOOKUP(N208,contoare!A:K,7,FALSE)</f>
        <v>#N/A</v>
      </c>
      <c r="J208" s="162" t="e">
        <f>VLOOKUP(N208,contoare!A:K,8,FALSE)</f>
        <v>#N/A</v>
      </c>
      <c r="K208" s="162" t="e">
        <f>VLOOKUP(N208,contoare!A:K,9,FALSE)</f>
        <v>#N/A</v>
      </c>
      <c r="L208" s="162" t="e">
        <f>VLOOKUP(N208,contoare!A:K,10,FALSE)</f>
        <v>#N/A</v>
      </c>
      <c r="M208" s="162" t="e">
        <f>VLOOKUP(N208,contoare!A:K,11,FALSE)</f>
        <v>#N/A</v>
      </c>
      <c r="N208" s="167" t="s">
        <v>533</v>
      </c>
      <c r="O208" s="162">
        <v>3000</v>
      </c>
      <c r="P208" s="164" t="e">
        <f t="shared" si="104"/>
        <v>#N/A</v>
      </c>
      <c r="Q208" s="164" t="e">
        <f t="shared" si="105"/>
        <v>#N/A</v>
      </c>
      <c r="R208" s="166" t="e">
        <f>P208</f>
        <v>#N/A</v>
      </c>
      <c r="S208" s="271"/>
      <c r="T208" s="38" t="e">
        <f>VLOOKUP(X208,contoare!A:K,4,FALSE)</f>
        <v>#N/A</v>
      </c>
      <c r="U208" s="38" t="e">
        <f>VLOOKUP(X208,contoare!A:K,5,FALSE)</f>
        <v>#N/A</v>
      </c>
      <c r="V208" s="38" t="e">
        <f>VLOOKUP(X208,contoare!A:K,8,FALSE)</f>
        <v>#N/A</v>
      </c>
      <c r="W208" s="38" t="e">
        <f>VLOOKUP(X208,contoare!A:K,9,FALSE)</f>
        <v>#N/A</v>
      </c>
      <c r="X208" s="167" t="s">
        <v>533</v>
      </c>
      <c r="Y208" s="162">
        <v>3000</v>
      </c>
      <c r="Z208" s="164" t="e">
        <f t="shared" ref="Z208:Z209" si="108">IF(LEFT(N208,3)&lt;&gt;"HXE",P208,(V208-T208)*Y208)</f>
        <v>#N/A</v>
      </c>
      <c r="AA208" s="164" t="e">
        <f t="shared" ref="AA208:AA209" si="109">IF(LEFT(X208,3)&lt;&gt;"HXE",Q208,(W208-U208)*Y208)</f>
        <v>#N/A</v>
      </c>
      <c r="AB208" s="166" t="e">
        <f>Z208</f>
        <v>#N/A</v>
      </c>
      <c r="AC208" s="271"/>
      <c r="AD208" s="313"/>
    </row>
    <row r="209" spans="1:30" ht="17" thickBot="1" x14ac:dyDescent="0.25">
      <c r="A209" s="350"/>
      <c r="B209" s="49" t="s">
        <v>611</v>
      </c>
      <c r="C209" s="221" t="str">
        <f>"594040400001839968"</f>
        <v>594040400001839968</v>
      </c>
      <c r="D209" s="51" t="e">
        <f>VLOOKUP(N209,contoare!A:K,2,FALSE)</f>
        <v>#N/A</v>
      </c>
      <c r="E209" s="51" t="e">
        <f>VLOOKUP(N209,contoare!A:K,3,FALSE)</f>
        <v>#N/A</v>
      </c>
      <c r="F209" s="52" t="e">
        <f>VLOOKUP(N209,contoare!A:K,4,FALSE)</f>
        <v>#N/A</v>
      </c>
      <c r="G209" s="52" t="e">
        <f>VLOOKUP(N209,contoare!A:K,5,FALSE)</f>
        <v>#N/A</v>
      </c>
      <c r="H209" s="52" t="e">
        <f>VLOOKUP(N209,contoare!A:K,6,FALSE)</f>
        <v>#N/A</v>
      </c>
      <c r="I209" s="52" t="e">
        <f>VLOOKUP(N209,contoare!A:K,7,FALSE)</f>
        <v>#N/A</v>
      </c>
      <c r="J209" s="52" t="e">
        <f>VLOOKUP(N209,contoare!A:K,8,FALSE)</f>
        <v>#N/A</v>
      </c>
      <c r="K209" s="52" t="e">
        <f>VLOOKUP(N209,contoare!A:K,9,FALSE)</f>
        <v>#N/A</v>
      </c>
      <c r="L209" s="52" t="e">
        <f>VLOOKUP(N209,contoare!A:K,10,FALSE)</f>
        <v>#N/A</v>
      </c>
      <c r="M209" s="52" t="e">
        <f>VLOOKUP(N209,contoare!A:K,11,FALSE)</f>
        <v>#N/A</v>
      </c>
      <c r="N209" s="93">
        <v>2865278</v>
      </c>
      <c r="O209" s="49">
        <v>3000</v>
      </c>
      <c r="P209" s="50">
        <v>472080</v>
      </c>
      <c r="Q209" s="50">
        <v>0</v>
      </c>
      <c r="R209" s="106">
        <f>P209</f>
        <v>472080</v>
      </c>
      <c r="S209" s="272"/>
      <c r="T209" s="52" t="e">
        <f>VLOOKUP(X209,contoare!A:K,4,FALSE)</f>
        <v>#N/A</v>
      </c>
      <c r="U209" s="52" t="e">
        <f>VLOOKUP(X209,contoare!A:K,5,FALSE)</f>
        <v>#N/A</v>
      </c>
      <c r="V209" s="52" t="e">
        <f>VLOOKUP(X209,contoare!A:K,8,FALSE)</f>
        <v>#N/A</v>
      </c>
      <c r="W209" s="52" t="e">
        <f>VLOOKUP(X209,contoare!A:K,9,FALSE)</f>
        <v>#N/A</v>
      </c>
      <c r="X209" s="93">
        <v>2865278</v>
      </c>
      <c r="Y209" s="49">
        <v>3000</v>
      </c>
      <c r="Z209" s="50">
        <f t="shared" si="108"/>
        <v>472080</v>
      </c>
      <c r="AA209" s="50">
        <f t="shared" si="109"/>
        <v>0</v>
      </c>
      <c r="AB209" s="106">
        <f>Z209</f>
        <v>472080</v>
      </c>
      <c r="AC209" s="272"/>
      <c r="AD209" s="314"/>
    </row>
    <row r="210" spans="1:30" ht="16" customHeight="1" x14ac:dyDescent="0.2">
      <c r="A210" s="315" t="s">
        <v>749</v>
      </c>
      <c r="B210" s="64" t="s">
        <v>371</v>
      </c>
      <c r="C210" s="216" t="s">
        <v>372</v>
      </c>
      <c r="D210" s="40">
        <f>VLOOKUP(N210,contoare!A:K,2,FALSE)</f>
        <v>45870</v>
      </c>
      <c r="E210" s="40">
        <f>VLOOKUP(N210,contoare!A:K,3,FALSE)</f>
        <v>45901</v>
      </c>
      <c r="F210" s="41">
        <f>VLOOKUP(N210,contoare!A:K,4,FALSE)</f>
        <v>1376.884</v>
      </c>
      <c r="G210" s="41">
        <f>VLOOKUP(N210,contoare!A:K,5,FALSE)</f>
        <v>1E-3</v>
      </c>
      <c r="H210" s="41">
        <f>VLOOKUP(N210,contoare!A:K,6,FALSE)</f>
        <v>186.66</v>
      </c>
      <c r="I210" s="41">
        <f>VLOOKUP(N210,contoare!A:K,7,FALSE)</f>
        <v>64.847999999999999</v>
      </c>
      <c r="J210" s="41">
        <f>VLOOKUP(N210,contoare!A:K,8,FALSE)</f>
        <v>1524.482</v>
      </c>
      <c r="K210" s="41">
        <f>VLOOKUP(N210,contoare!A:K,9,FALSE)</f>
        <v>2E-3</v>
      </c>
      <c r="L210" s="41">
        <f>VLOOKUP(N210,contoare!A:K,10,FALSE)</f>
        <v>246.61699999999999</v>
      </c>
      <c r="M210" s="41">
        <f>VLOOKUP(N210,contoare!A:K,11,FALSE)</f>
        <v>66.03</v>
      </c>
      <c r="N210" s="91" t="s">
        <v>161</v>
      </c>
      <c r="O210" s="39">
        <v>600</v>
      </c>
      <c r="P210" s="42">
        <f t="shared" si="104"/>
        <v>88558.799999999974</v>
      </c>
      <c r="Q210" s="42">
        <f t="shared" si="105"/>
        <v>0.6</v>
      </c>
      <c r="R210" s="307">
        <f>P210</f>
        <v>88558.799999999974</v>
      </c>
      <c r="S210" s="270">
        <f>(R213-R210)/R213</f>
        <v>3.1445632915545925E-2</v>
      </c>
      <c r="T210" s="41">
        <f>VLOOKUP(X210,contoare!A:K,4,FALSE)</f>
        <v>1376.884</v>
      </c>
      <c r="U210" s="41">
        <f>VLOOKUP(X210,contoare!A:K,5,FALSE)</f>
        <v>1E-3</v>
      </c>
      <c r="V210" s="41">
        <f>VLOOKUP(X210,contoare!A:K,8,FALSE)</f>
        <v>1524.482</v>
      </c>
      <c r="W210" s="41">
        <f>VLOOKUP(X210,contoare!A:K,9,FALSE)</f>
        <v>2E-3</v>
      </c>
      <c r="X210" s="91" t="s">
        <v>161</v>
      </c>
      <c r="Y210" s="39">
        <v>600</v>
      </c>
      <c r="Z210" s="42">
        <f t="shared" si="82"/>
        <v>88558.799999999974</v>
      </c>
      <c r="AA210" s="42">
        <f t="shared" si="78"/>
        <v>0.6</v>
      </c>
      <c r="AB210" s="307">
        <f>Z210</f>
        <v>88558.799999999974</v>
      </c>
      <c r="AC210" s="308">
        <f>(AB213-AB210)/AB213</f>
        <v>3.1445632915545925E-2</v>
      </c>
      <c r="AD210" s="310" t="s">
        <v>602</v>
      </c>
    </row>
    <row r="211" spans="1:30" x14ac:dyDescent="0.2">
      <c r="A211" s="316"/>
      <c r="B211" s="65" t="s">
        <v>489</v>
      </c>
      <c r="C211" s="217" t="s">
        <v>490</v>
      </c>
      <c r="D211" s="37">
        <f>VLOOKUP(N211,contoare!A:K,2,FALSE)</f>
        <v>45870</v>
      </c>
      <c r="E211" s="37">
        <f>VLOOKUP(N211,contoare!A:K,3,FALSE)</f>
        <v>45901</v>
      </c>
      <c r="F211" s="38">
        <f>VLOOKUP(N211,contoare!A:K,4,FALSE)</f>
        <v>3.2909999999999999</v>
      </c>
      <c r="G211" s="38">
        <f>VLOOKUP(N211,contoare!A:K,5,FALSE)</f>
        <v>1768.835</v>
      </c>
      <c r="H211" s="38">
        <f>VLOOKUP(N211,contoare!A:K,6,FALSE)</f>
        <v>0.46600000000000003</v>
      </c>
      <c r="I211" s="38">
        <f>VLOOKUP(N211,contoare!A:K,7,FALSE)</f>
        <v>28.614000000000001</v>
      </c>
      <c r="J211" s="38">
        <f>VLOOKUP(N211,contoare!A:K,8,FALSE)</f>
        <v>3.4169999999999998</v>
      </c>
      <c r="K211" s="38">
        <f>VLOOKUP(N211,contoare!A:K,9,FALSE)</f>
        <v>2124.66</v>
      </c>
      <c r="L211" s="38">
        <f>VLOOKUP(N211,contoare!A:K,10,FALSE)</f>
        <v>0.46800000000000003</v>
      </c>
      <c r="M211" s="38">
        <f>VLOOKUP(N211,contoare!A:K,11,FALSE)</f>
        <v>32.615000000000002</v>
      </c>
      <c r="N211" s="92" t="s">
        <v>163</v>
      </c>
      <c r="O211" s="26">
        <v>250</v>
      </c>
      <c r="P211" s="27">
        <f t="shared" si="104"/>
        <v>31.499999999999972</v>
      </c>
      <c r="Q211" s="27">
        <f t="shared" si="105"/>
        <v>88956.249999999956</v>
      </c>
      <c r="R211" s="303"/>
      <c r="S211" s="271"/>
      <c r="T211" s="38">
        <f>VLOOKUP(X211,contoare!A:K,4,FALSE)</f>
        <v>3.2909999999999999</v>
      </c>
      <c r="U211" s="38">
        <f>VLOOKUP(X211,contoare!A:K,5,FALSE)</f>
        <v>1768.835</v>
      </c>
      <c r="V211" s="38">
        <f>VLOOKUP(X211,contoare!A:K,8,FALSE)</f>
        <v>3.4169999999999998</v>
      </c>
      <c r="W211" s="38">
        <f>VLOOKUP(X211,contoare!A:K,9,FALSE)</f>
        <v>2124.66</v>
      </c>
      <c r="X211" s="92" t="s">
        <v>163</v>
      </c>
      <c r="Y211" s="26">
        <v>250</v>
      </c>
      <c r="Z211" s="27">
        <f t="shared" si="82"/>
        <v>31.499999999999972</v>
      </c>
      <c r="AA211" s="27">
        <f t="shared" si="78"/>
        <v>88956.249999999956</v>
      </c>
      <c r="AB211" s="303"/>
      <c r="AC211" s="305"/>
      <c r="AD211" s="311"/>
    </row>
    <row r="212" spans="1:30" x14ac:dyDescent="0.2">
      <c r="A212" s="316"/>
      <c r="B212" s="160" t="s">
        <v>545</v>
      </c>
      <c r="C212" s="220" t="s">
        <v>545</v>
      </c>
      <c r="D212" s="161" t="e">
        <f>VLOOKUP(N212,contoare!A:K,2,FALSE)</f>
        <v>#N/A</v>
      </c>
      <c r="E212" s="161" t="e">
        <f>VLOOKUP(N212,contoare!A:K,3,FALSE)</f>
        <v>#N/A</v>
      </c>
      <c r="F212" s="162" t="e">
        <f>VLOOKUP(N212,contoare!A:K,4,FALSE)</f>
        <v>#N/A</v>
      </c>
      <c r="G212" s="162" t="e">
        <f>VLOOKUP(N212,contoare!A:K,5,FALSE)</f>
        <v>#N/A</v>
      </c>
      <c r="H212" s="162" t="e">
        <f>VLOOKUP(N212,contoare!A:K,6,FALSE)</f>
        <v>#N/A</v>
      </c>
      <c r="I212" s="162" t="e">
        <f>VLOOKUP(N212,contoare!A:K,7,FALSE)</f>
        <v>#N/A</v>
      </c>
      <c r="J212" s="162" t="e">
        <f>VLOOKUP(N212,contoare!A:K,8,FALSE)</f>
        <v>#N/A</v>
      </c>
      <c r="K212" s="162" t="e">
        <f>VLOOKUP(N212,contoare!A:K,9,FALSE)</f>
        <v>#N/A</v>
      </c>
      <c r="L212" s="162" t="e">
        <f>VLOOKUP(N212,contoare!A:K,10,FALSE)</f>
        <v>#N/A</v>
      </c>
      <c r="M212" s="162" t="e">
        <f>VLOOKUP(N212,contoare!A:K,11,FALSE)</f>
        <v>#N/A</v>
      </c>
      <c r="N212" s="167" t="s">
        <v>545</v>
      </c>
      <c r="O212" s="162">
        <v>3000</v>
      </c>
      <c r="P212" s="164" t="e">
        <f t="shared" ref="P212:P219" si="110">(J212-F212)*O212</f>
        <v>#N/A</v>
      </c>
      <c r="Q212" s="164" t="e">
        <f t="shared" ref="Q212:Q219" si="111">(K212-G212)*O212</f>
        <v>#N/A</v>
      </c>
      <c r="R212" s="166" t="e">
        <f>P212</f>
        <v>#N/A</v>
      </c>
      <c r="S212" s="271"/>
      <c r="T212" s="38" t="e">
        <f>VLOOKUP(X212,contoare!A:K,4,FALSE)</f>
        <v>#N/A</v>
      </c>
      <c r="U212" s="38" t="e">
        <f>VLOOKUP(X212,contoare!A:K,5,FALSE)</f>
        <v>#N/A</v>
      </c>
      <c r="V212" s="38" t="e">
        <f>VLOOKUP(X212,contoare!A:K,8,FALSE)</f>
        <v>#N/A</v>
      </c>
      <c r="W212" s="38" t="e">
        <f>VLOOKUP(X212,contoare!A:K,9,FALSE)</f>
        <v>#N/A</v>
      </c>
      <c r="X212" s="167" t="s">
        <v>545</v>
      </c>
      <c r="Y212" s="162">
        <v>3000</v>
      </c>
      <c r="Z212" s="164" t="e">
        <f t="shared" ref="Z212:Z230" si="112">IF(LEFT(N212,3)&lt;&gt;"HXE",P212,(V212-T212)*Y212)</f>
        <v>#N/A</v>
      </c>
      <c r="AA212" s="164" t="e">
        <f t="shared" ref="AA212:AA230" si="113">IF(LEFT(X212,3)&lt;&gt;"HXE",Q212,(W212-U212)*Y212)</f>
        <v>#N/A</v>
      </c>
      <c r="AB212" s="166" t="e">
        <f>Z212</f>
        <v>#N/A</v>
      </c>
      <c r="AC212" s="305"/>
      <c r="AD212" s="311"/>
    </row>
    <row r="213" spans="1:30" ht="17" thickBot="1" x14ac:dyDescent="0.25">
      <c r="A213" s="316"/>
      <c r="B213" s="66" t="s">
        <v>613</v>
      </c>
      <c r="C213" s="219" t="str">
        <f>"59401040000145272271526125"</f>
        <v>59401040000145272271526125</v>
      </c>
      <c r="D213" s="44" t="e">
        <f>VLOOKUP(N213,contoare!A:K,2,FALSE)</f>
        <v>#N/A</v>
      </c>
      <c r="E213" s="44" t="e">
        <f>VLOOKUP(N213,contoare!A:K,3,FALSE)</f>
        <v>#N/A</v>
      </c>
      <c r="F213" s="45" t="e">
        <f>VLOOKUP(N213,contoare!A:K,4,FALSE)</f>
        <v>#N/A</v>
      </c>
      <c r="G213" s="45" t="e">
        <f>VLOOKUP(N213,contoare!A:K,5,FALSE)</f>
        <v>#N/A</v>
      </c>
      <c r="H213" s="45" t="e">
        <f>VLOOKUP(N213,contoare!A:K,6,FALSE)</f>
        <v>#N/A</v>
      </c>
      <c r="I213" s="45" t="e">
        <f>VLOOKUP(N213,contoare!A:K,7,FALSE)</f>
        <v>#N/A</v>
      </c>
      <c r="J213" s="45" t="e">
        <f>VLOOKUP(N213,contoare!A:K,8,FALSE)</f>
        <v>#N/A</v>
      </c>
      <c r="K213" s="45" t="e">
        <f>VLOOKUP(N213,contoare!A:K,9,FALSE)</f>
        <v>#N/A</v>
      </c>
      <c r="L213" s="45" t="e">
        <f>VLOOKUP(N213,contoare!A:K,10,FALSE)</f>
        <v>#N/A</v>
      </c>
      <c r="M213" s="45" t="e">
        <f>VLOOKUP(N213,contoare!A:K,11,FALSE)</f>
        <v>#N/A</v>
      </c>
      <c r="N213" s="94">
        <v>90065626</v>
      </c>
      <c r="O213" s="54">
        <f>75/5*200</f>
        <v>3000</v>
      </c>
      <c r="P213" s="46">
        <v>91434</v>
      </c>
      <c r="Q213" s="46">
        <v>0</v>
      </c>
      <c r="R213" s="104">
        <f>P213</f>
        <v>91434</v>
      </c>
      <c r="S213" s="276"/>
      <c r="T213" s="45" t="e">
        <f>VLOOKUP(X213,contoare!A:K,4,FALSE)</f>
        <v>#N/A</v>
      </c>
      <c r="U213" s="45" t="e">
        <f>VLOOKUP(X213,contoare!A:K,5,FALSE)</f>
        <v>#N/A</v>
      </c>
      <c r="V213" s="45" t="e">
        <f>VLOOKUP(X213,contoare!A:K,8,FALSE)</f>
        <v>#N/A</v>
      </c>
      <c r="W213" s="45" t="e">
        <f>VLOOKUP(X213,contoare!A:K,9,FALSE)</f>
        <v>#N/A</v>
      </c>
      <c r="X213" s="94">
        <v>90065626</v>
      </c>
      <c r="Y213" s="54">
        <f>75/5*200</f>
        <v>3000</v>
      </c>
      <c r="Z213" s="46">
        <f t="shared" si="112"/>
        <v>91434</v>
      </c>
      <c r="AA213" s="46">
        <f t="shared" si="113"/>
        <v>0</v>
      </c>
      <c r="AB213" s="104">
        <f>Z213</f>
        <v>91434</v>
      </c>
      <c r="AC213" s="306"/>
      <c r="AD213" s="311"/>
    </row>
    <row r="214" spans="1:30" x14ac:dyDescent="0.2">
      <c r="A214" s="316"/>
      <c r="B214" s="64" t="s">
        <v>373</v>
      </c>
      <c r="C214" s="216" t="s">
        <v>374</v>
      </c>
      <c r="D214" s="40">
        <f>VLOOKUP(N214,contoare!A:K,2,FALSE)</f>
        <v>45870</v>
      </c>
      <c r="E214" s="40">
        <f>VLOOKUP(N214,contoare!A:K,3,FALSE)</f>
        <v>45901</v>
      </c>
      <c r="F214" s="41">
        <f>VLOOKUP(N214,contoare!A:K,4,FALSE)</f>
        <v>1263.259</v>
      </c>
      <c r="G214" s="41">
        <f>VLOOKUP(N214,contoare!A:K,5,FALSE)</f>
        <v>8.2000000000000003E-2</v>
      </c>
      <c r="H214" s="41">
        <f>VLOOKUP(N214,contoare!A:K,6,FALSE)</f>
        <v>87.516000000000005</v>
      </c>
      <c r="I214" s="41">
        <f>VLOOKUP(N214,contoare!A:K,7,FALSE)</f>
        <v>47.024000000000001</v>
      </c>
      <c r="J214" s="41">
        <f>VLOOKUP(N214,contoare!A:K,8,FALSE)</f>
        <v>1441.075</v>
      </c>
      <c r="K214" s="41">
        <f>VLOOKUP(N214,contoare!A:K,9,FALSE)</f>
        <v>8.7999999999999995E-2</v>
      </c>
      <c r="L214" s="41">
        <f>VLOOKUP(N214,contoare!A:K,10,FALSE)</f>
        <v>119.538</v>
      </c>
      <c r="M214" s="41">
        <f>VLOOKUP(N214,contoare!A:K,11,FALSE)</f>
        <v>48.399000000000001</v>
      </c>
      <c r="N214" s="91" t="s">
        <v>160</v>
      </c>
      <c r="O214" s="39">
        <v>800</v>
      </c>
      <c r="P214" s="42">
        <f t="shared" si="110"/>
        <v>142252.80000000002</v>
      </c>
      <c r="Q214" s="42">
        <f t="shared" si="111"/>
        <v>4.7999999999999936</v>
      </c>
      <c r="R214" s="307">
        <f>P214</f>
        <v>142252.80000000002</v>
      </c>
      <c r="S214" s="270">
        <f>(R217-R214)/R217</f>
        <v>3.3398564905414103E-2</v>
      </c>
      <c r="T214" s="41">
        <f>VLOOKUP(X214,contoare!A:K,4,FALSE)</f>
        <v>1263.259</v>
      </c>
      <c r="U214" s="41">
        <f>VLOOKUP(X214,contoare!A:K,5,FALSE)</f>
        <v>8.2000000000000003E-2</v>
      </c>
      <c r="V214" s="41">
        <f>VLOOKUP(X214,contoare!A:K,8,FALSE)</f>
        <v>1441.075</v>
      </c>
      <c r="W214" s="41">
        <f>VLOOKUP(X214,contoare!A:K,9,FALSE)</f>
        <v>8.7999999999999995E-2</v>
      </c>
      <c r="X214" s="91" t="s">
        <v>160</v>
      </c>
      <c r="Y214" s="39">
        <v>800</v>
      </c>
      <c r="Z214" s="42">
        <f t="shared" si="112"/>
        <v>142252.80000000002</v>
      </c>
      <c r="AA214" s="42">
        <f t="shared" si="113"/>
        <v>4.7999999999999936</v>
      </c>
      <c r="AB214" s="307">
        <f>Z214</f>
        <v>142252.80000000002</v>
      </c>
      <c r="AC214" s="308">
        <f>(AB217-AB214)/AB217</f>
        <v>3.3398564905414103E-2</v>
      </c>
      <c r="AD214" s="311"/>
    </row>
    <row r="215" spans="1:30" x14ac:dyDescent="0.2">
      <c r="A215" s="316"/>
      <c r="B215" s="65" t="s">
        <v>491</v>
      </c>
      <c r="C215" s="217" t="s">
        <v>492</v>
      </c>
      <c r="D215" s="37">
        <f>VLOOKUP(N215,contoare!A:K,2,FALSE)</f>
        <v>45870</v>
      </c>
      <c r="E215" s="37">
        <f>VLOOKUP(N215,contoare!A:K,3,FALSE)</f>
        <v>45901</v>
      </c>
      <c r="F215" s="38">
        <f>VLOOKUP(N215,contoare!A:K,4,FALSE)</f>
        <v>1.2909999999999999</v>
      </c>
      <c r="G215" s="38">
        <f>VLOOKUP(N215,contoare!A:K,5,FALSE)</f>
        <v>1863.259</v>
      </c>
      <c r="H215" s="38">
        <f>VLOOKUP(N215,contoare!A:K,6,FALSE)</f>
        <v>0.29799999999999999</v>
      </c>
      <c r="I215" s="38">
        <f>VLOOKUP(N215,contoare!A:K,7,FALSE)</f>
        <v>29.948</v>
      </c>
      <c r="J215" s="38">
        <f>VLOOKUP(N215,contoare!A:K,8,FALSE)</f>
        <v>1.4219999999999999</v>
      </c>
      <c r="K215" s="38">
        <f>VLOOKUP(N215,contoare!A:K,9,FALSE)</f>
        <v>2239.2489999999998</v>
      </c>
      <c r="L215" s="38">
        <f>VLOOKUP(N215,contoare!A:K,10,FALSE)</f>
        <v>0.30099999999999999</v>
      </c>
      <c r="M215" s="38">
        <f>VLOOKUP(N215,contoare!A:K,11,FALSE)</f>
        <v>34.57</v>
      </c>
      <c r="N215" s="92" t="s">
        <v>159</v>
      </c>
      <c r="O215" s="26">
        <v>250</v>
      </c>
      <c r="P215" s="27">
        <f t="shared" si="110"/>
        <v>32.75</v>
      </c>
      <c r="Q215" s="27">
        <f t="shared" si="111"/>
        <v>93997.499999999942</v>
      </c>
      <c r="R215" s="303"/>
      <c r="S215" s="271"/>
      <c r="T215" s="38">
        <f>VLOOKUP(X215,contoare!A:K,4,FALSE)</f>
        <v>1.2909999999999999</v>
      </c>
      <c r="U215" s="38">
        <f>VLOOKUP(X215,contoare!A:K,5,FALSE)</f>
        <v>1863.259</v>
      </c>
      <c r="V215" s="38">
        <f>VLOOKUP(X215,contoare!A:K,8,FALSE)</f>
        <v>1.4219999999999999</v>
      </c>
      <c r="W215" s="38">
        <f>VLOOKUP(X215,contoare!A:K,9,FALSE)</f>
        <v>2239.2489999999998</v>
      </c>
      <c r="X215" s="92" t="s">
        <v>159</v>
      </c>
      <c r="Y215" s="26">
        <v>250</v>
      </c>
      <c r="Z215" s="27">
        <f t="shared" si="112"/>
        <v>32.75</v>
      </c>
      <c r="AA215" s="27">
        <f t="shared" si="113"/>
        <v>93997.499999999942</v>
      </c>
      <c r="AB215" s="303"/>
      <c r="AC215" s="305"/>
      <c r="AD215" s="311"/>
    </row>
    <row r="216" spans="1:30" x14ac:dyDescent="0.2">
      <c r="A216" s="316"/>
      <c r="B216" s="160" t="s">
        <v>546</v>
      </c>
      <c r="C216" s="220" t="s">
        <v>546</v>
      </c>
      <c r="D216" s="161" t="e">
        <f>VLOOKUP(N216,contoare!A:K,2,FALSE)</f>
        <v>#N/A</v>
      </c>
      <c r="E216" s="161" t="e">
        <f>VLOOKUP(N216,contoare!A:K,3,FALSE)</f>
        <v>#N/A</v>
      </c>
      <c r="F216" s="162" t="e">
        <f>VLOOKUP(N216,contoare!A:K,4,FALSE)</f>
        <v>#N/A</v>
      </c>
      <c r="G216" s="162" t="e">
        <f>VLOOKUP(N216,contoare!A:K,5,FALSE)</f>
        <v>#N/A</v>
      </c>
      <c r="H216" s="162" t="e">
        <f>VLOOKUP(N216,contoare!A:K,6,FALSE)</f>
        <v>#N/A</v>
      </c>
      <c r="I216" s="162" t="e">
        <f>VLOOKUP(N216,contoare!A:K,7,FALSE)</f>
        <v>#N/A</v>
      </c>
      <c r="J216" s="162" t="e">
        <f>VLOOKUP(N216,contoare!A:K,8,FALSE)</f>
        <v>#N/A</v>
      </c>
      <c r="K216" s="162" t="e">
        <f>VLOOKUP(N216,contoare!A:K,9,FALSE)</f>
        <v>#N/A</v>
      </c>
      <c r="L216" s="162" t="e">
        <f>VLOOKUP(N216,contoare!A:K,10,FALSE)</f>
        <v>#N/A</v>
      </c>
      <c r="M216" s="162" t="e">
        <f>VLOOKUP(N216,contoare!A:K,11,FALSE)</f>
        <v>#N/A</v>
      </c>
      <c r="N216" s="167" t="s">
        <v>546</v>
      </c>
      <c r="O216" s="162">
        <v>3000</v>
      </c>
      <c r="P216" s="164" t="e">
        <f t="shared" si="110"/>
        <v>#N/A</v>
      </c>
      <c r="Q216" s="164" t="e">
        <f t="shared" si="111"/>
        <v>#N/A</v>
      </c>
      <c r="R216" s="166" t="e">
        <f>P216</f>
        <v>#N/A</v>
      </c>
      <c r="S216" s="271"/>
      <c r="T216" s="38" t="e">
        <f>VLOOKUP(X216,contoare!A:K,4,FALSE)</f>
        <v>#N/A</v>
      </c>
      <c r="U216" s="38" t="e">
        <f>VLOOKUP(X216,contoare!A:K,5,FALSE)</f>
        <v>#N/A</v>
      </c>
      <c r="V216" s="38" t="e">
        <f>VLOOKUP(X216,contoare!A:K,8,FALSE)</f>
        <v>#N/A</v>
      </c>
      <c r="W216" s="38" t="e">
        <f>VLOOKUP(X216,contoare!A:K,9,FALSE)</f>
        <v>#N/A</v>
      </c>
      <c r="X216" s="167" t="s">
        <v>546</v>
      </c>
      <c r="Y216" s="162">
        <v>3000</v>
      </c>
      <c r="Z216" s="164" t="e">
        <f t="shared" si="112"/>
        <v>#N/A</v>
      </c>
      <c r="AA216" s="164" t="e">
        <f t="shared" si="113"/>
        <v>#N/A</v>
      </c>
      <c r="AB216" s="166" t="e">
        <f>Z216</f>
        <v>#N/A</v>
      </c>
      <c r="AC216" s="305"/>
      <c r="AD216" s="311"/>
    </row>
    <row r="217" spans="1:30" ht="17" thickBot="1" x14ac:dyDescent="0.25">
      <c r="A217" s="316"/>
      <c r="B217" s="66" t="s">
        <v>614</v>
      </c>
      <c r="C217" s="219" t="str">
        <f>"59401040000153661371602579"</f>
        <v>59401040000153661371602579</v>
      </c>
      <c r="D217" s="44" t="e">
        <f>VLOOKUP(N217,contoare!A:K,2,FALSE)</f>
        <v>#N/A</v>
      </c>
      <c r="E217" s="44" t="e">
        <f>VLOOKUP(N217,contoare!A:K,3,FALSE)</f>
        <v>#N/A</v>
      </c>
      <c r="F217" s="45" t="e">
        <f>VLOOKUP(N217,contoare!A:K,4,FALSE)</f>
        <v>#N/A</v>
      </c>
      <c r="G217" s="45" t="e">
        <f>VLOOKUP(N217,contoare!A:K,5,FALSE)</f>
        <v>#N/A</v>
      </c>
      <c r="H217" s="45" t="e">
        <f>VLOOKUP(N217,contoare!A:K,6,FALSE)</f>
        <v>#N/A</v>
      </c>
      <c r="I217" s="45" t="e">
        <f>VLOOKUP(N217,contoare!A:K,7,FALSE)</f>
        <v>#N/A</v>
      </c>
      <c r="J217" s="45" t="e">
        <f>VLOOKUP(N217,contoare!A:K,8,FALSE)</f>
        <v>#N/A</v>
      </c>
      <c r="K217" s="45" t="e">
        <f>VLOOKUP(N217,contoare!A:K,9,FALSE)</f>
        <v>#N/A</v>
      </c>
      <c r="L217" s="45" t="e">
        <f>VLOOKUP(N217,contoare!A:K,10,FALSE)</f>
        <v>#N/A</v>
      </c>
      <c r="M217" s="45" t="e">
        <f>VLOOKUP(N217,contoare!A:K,11,FALSE)</f>
        <v>#N/A</v>
      </c>
      <c r="N217" s="94">
        <v>68040749</v>
      </c>
      <c r="O217" s="54">
        <f>100/5*200</f>
        <v>4000</v>
      </c>
      <c r="P217" s="46">
        <v>147168</v>
      </c>
      <c r="Q217" s="46">
        <v>0</v>
      </c>
      <c r="R217" s="104">
        <f>P217</f>
        <v>147168</v>
      </c>
      <c r="S217" s="276"/>
      <c r="T217" s="45" t="e">
        <f>VLOOKUP(X217,contoare!A:K,4,FALSE)</f>
        <v>#N/A</v>
      </c>
      <c r="U217" s="45" t="e">
        <f>VLOOKUP(X217,contoare!A:K,5,FALSE)</f>
        <v>#N/A</v>
      </c>
      <c r="V217" s="45" t="e">
        <f>VLOOKUP(X217,contoare!A:K,8,FALSE)</f>
        <v>#N/A</v>
      </c>
      <c r="W217" s="45" t="e">
        <f>VLOOKUP(X217,contoare!A:K,9,FALSE)</f>
        <v>#N/A</v>
      </c>
      <c r="X217" s="94">
        <v>68040749</v>
      </c>
      <c r="Y217" s="54">
        <f>100/5*200</f>
        <v>4000</v>
      </c>
      <c r="Z217" s="46">
        <f t="shared" si="112"/>
        <v>147168</v>
      </c>
      <c r="AA217" s="46">
        <f t="shared" si="113"/>
        <v>0</v>
      </c>
      <c r="AB217" s="104">
        <f>Z217</f>
        <v>147168</v>
      </c>
      <c r="AC217" s="306"/>
      <c r="AD217" s="311"/>
    </row>
    <row r="218" spans="1:30" x14ac:dyDescent="0.2">
      <c r="A218" s="266"/>
      <c r="B218" s="35" t="s">
        <v>616</v>
      </c>
      <c r="C218" s="222" t="str">
        <f>"59401040000171945071723445/1"</f>
        <v>59401040000171945071723445/1</v>
      </c>
      <c r="D218" s="80">
        <f>VLOOKUP(N218,contoare!A:K,2,FALSE)</f>
        <v>45870</v>
      </c>
      <c r="E218" s="80">
        <f>VLOOKUP(N218,contoare!A:K,3,FALSE)</f>
        <v>45901</v>
      </c>
      <c r="F218" s="81">
        <f>VLOOKUP(N218,contoare!A:K,4,FALSE)</f>
        <v>1959.694</v>
      </c>
      <c r="G218" s="81">
        <f>VLOOKUP(N218,contoare!A:K,5,FALSE)</f>
        <v>0</v>
      </c>
      <c r="H218" s="81">
        <f>VLOOKUP(N218,contoare!A:K,6,FALSE)</f>
        <v>175.25399999999999</v>
      </c>
      <c r="I218" s="81">
        <f>VLOOKUP(N218,contoare!A:K,7,FALSE)</f>
        <v>1.6180000000000001</v>
      </c>
      <c r="J218" s="81">
        <f>VLOOKUP(N218,contoare!A:K,8,FALSE)</f>
        <v>2198.393</v>
      </c>
      <c r="K218" s="81">
        <f>VLOOKUP(N218,contoare!A:K,9,FALSE)</f>
        <v>0</v>
      </c>
      <c r="L218" s="81">
        <f>VLOOKUP(N218,contoare!A:K,10,FALSE)</f>
        <v>221.50299999999999</v>
      </c>
      <c r="M218" s="81">
        <f>VLOOKUP(N218,contoare!A:K,11,FALSE)</f>
        <v>1.629</v>
      </c>
      <c r="N218" s="98" t="s">
        <v>162</v>
      </c>
      <c r="O218" s="35">
        <v>200</v>
      </c>
      <c r="P218" s="36">
        <f t="shared" si="110"/>
        <v>47739.800000000017</v>
      </c>
      <c r="Q218" s="36">
        <f t="shared" si="111"/>
        <v>0</v>
      </c>
      <c r="R218" s="125">
        <f t="shared" ref="R218:R220" si="114">P218</f>
        <v>47739.800000000017</v>
      </c>
      <c r="S218" s="317">
        <f>(R220-R218)/R220</f>
        <v>3.0506478209658069E-2</v>
      </c>
      <c r="T218" s="81">
        <f>VLOOKUP(X218,contoare!A:K,4,FALSE)</f>
        <v>1959.694</v>
      </c>
      <c r="U218" s="81">
        <f>VLOOKUP(X218,contoare!A:K,5,FALSE)</f>
        <v>0</v>
      </c>
      <c r="V218" s="81">
        <f>VLOOKUP(X218,contoare!A:K,8,FALSE)</f>
        <v>2198.393</v>
      </c>
      <c r="W218" s="81">
        <f>VLOOKUP(X218,contoare!A:K,9,FALSE)</f>
        <v>0</v>
      </c>
      <c r="X218" s="98" t="s">
        <v>162</v>
      </c>
      <c r="Y218" s="35">
        <v>200</v>
      </c>
      <c r="Z218" s="36">
        <f t="shared" si="112"/>
        <v>47739.800000000017</v>
      </c>
      <c r="AA218" s="36">
        <f t="shared" si="113"/>
        <v>0</v>
      </c>
      <c r="AB218" s="125">
        <f t="shared" ref="AB218:AB220" si="115">Z218</f>
        <v>47739.800000000017</v>
      </c>
      <c r="AC218" s="317">
        <f>(AB220-AB218)/AB220</f>
        <v>3.0506478209658069E-2</v>
      </c>
      <c r="AD218" s="274"/>
    </row>
    <row r="219" spans="1:30" x14ac:dyDescent="0.2">
      <c r="A219" s="266"/>
      <c r="B219" s="162" t="s">
        <v>560</v>
      </c>
      <c r="C219" s="220" t="s">
        <v>560</v>
      </c>
      <c r="D219" s="161" t="e">
        <f>VLOOKUP(N219,contoare!A:K,2,FALSE)</f>
        <v>#N/A</v>
      </c>
      <c r="E219" s="161" t="e">
        <f>VLOOKUP(N219,contoare!A:K,3,FALSE)</f>
        <v>#N/A</v>
      </c>
      <c r="F219" s="162" t="e">
        <f>VLOOKUP(N219,contoare!A:K,4,FALSE)</f>
        <v>#N/A</v>
      </c>
      <c r="G219" s="162" t="e">
        <f>VLOOKUP(N219,contoare!A:K,5,FALSE)</f>
        <v>#N/A</v>
      </c>
      <c r="H219" s="162" t="e">
        <f>VLOOKUP(N219,contoare!A:K,6,FALSE)</f>
        <v>#N/A</v>
      </c>
      <c r="I219" s="162" t="e">
        <f>VLOOKUP(N219,contoare!A:K,7,FALSE)</f>
        <v>#N/A</v>
      </c>
      <c r="J219" s="162" t="e">
        <f>VLOOKUP(N219,contoare!A:K,8,FALSE)</f>
        <v>#N/A</v>
      </c>
      <c r="K219" s="162" t="e">
        <f>VLOOKUP(N219,contoare!A:K,9,FALSE)</f>
        <v>#N/A</v>
      </c>
      <c r="L219" s="162" t="e">
        <f>VLOOKUP(N219,contoare!A:K,10,FALSE)</f>
        <v>#N/A</v>
      </c>
      <c r="M219" s="162" t="e">
        <f>VLOOKUP(N219,contoare!A:K,11,FALSE)</f>
        <v>#N/A</v>
      </c>
      <c r="N219" s="167" t="s">
        <v>560</v>
      </c>
      <c r="O219" s="162">
        <v>800</v>
      </c>
      <c r="P219" s="164" t="e">
        <f t="shared" si="110"/>
        <v>#N/A</v>
      </c>
      <c r="Q219" s="164" t="e">
        <f t="shared" si="111"/>
        <v>#N/A</v>
      </c>
      <c r="R219" s="166" t="e">
        <f t="shared" si="114"/>
        <v>#N/A</v>
      </c>
      <c r="S219" s="271"/>
      <c r="T219" s="38" t="e">
        <f>VLOOKUP(X219,contoare!A:K,4,FALSE)</f>
        <v>#N/A</v>
      </c>
      <c r="U219" s="38" t="e">
        <f>VLOOKUP(X219,contoare!A:K,5,FALSE)</f>
        <v>#N/A</v>
      </c>
      <c r="V219" s="38" t="e">
        <f>VLOOKUP(X219,contoare!A:K,8,FALSE)</f>
        <v>#N/A</v>
      </c>
      <c r="W219" s="38" t="e">
        <f>VLOOKUP(X219,contoare!A:K,9,FALSE)</f>
        <v>#N/A</v>
      </c>
      <c r="X219" s="167" t="s">
        <v>560</v>
      </c>
      <c r="Y219" s="162">
        <v>800</v>
      </c>
      <c r="Z219" s="164" t="e">
        <f t="shared" si="112"/>
        <v>#N/A</v>
      </c>
      <c r="AA219" s="164" t="e">
        <f t="shared" si="113"/>
        <v>#N/A</v>
      </c>
      <c r="AB219" s="166" t="e">
        <f t="shared" si="115"/>
        <v>#N/A</v>
      </c>
      <c r="AC219" s="271"/>
      <c r="AD219" s="274"/>
    </row>
    <row r="220" spans="1:30" ht="17" thickBot="1" x14ac:dyDescent="0.25">
      <c r="A220" s="267"/>
      <c r="B220" s="49" t="s">
        <v>615</v>
      </c>
      <c r="C220" s="221" t="str">
        <f>"59401040000171945071723445"</f>
        <v>59401040000171945071723445</v>
      </c>
      <c r="D220" s="51" t="e">
        <f>VLOOKUP(N220,contoare!A:K,2,FALSE)</f>
        <v>#N/A</v>
      </c>
      <c r="E220" s="51" t="e">
        <f>VLOOKUP(N220,contoare!A:K,3,FALSE)</f>
        <v>#N/A</v>
      </c>
      <c r="F220" s="52" t="e">
        <f>VLOOKUP(N220,contoare!A:K,4,FALSE)</f>
        <v>#N/A</v>
      </c>
      <c r="G220" s="52" t="e">
        <f>VLOOKUP(N220,contoare!A:K,5,FALSE)</f>
        <v>#N/A</v>
      </c>
      <c r="H220" s="52" t="e">
        <f>VLOOKUP(N220,contoare!A:K,6,FALSE)</f>
        <v>#N/A</v>
      </c>
      <c r="I220" s="52" t="e">
        <f>VLOOKUP(N220,contoare!A:K,7,FALSE)</f>
        <v>#N/A</v>
      </c>
      <c r="J220" s="52" t="e">
        <f>VLOOKUP(N220,contoare!A:K,8,FALSE)</f>
        <v>#N/A</v>
      </c>
      <c r="K220" s="52" t="e">
        <f>VLOOKUP(N220,contoare!A:K,9,FALSE)</f>
        <v>#N/A</v>
      </c>
      <c r="L220" s="52" t="e">
        <f>VLOOKUP(N220,contoare!A:K,10,FALSE)</f>
        <v>#N/A</v>
      </c>
      <c r="M220" s="52" t="e">
        <f>VLOOKUP(N220,contoare!A:K,11,FALSE)</f>
        <v>#N/A</v>
      </c>
      <c r="N220" s="93">
        <v>90078095</v>
      </c>
      <c r="O220" s="49">
        <v>800</v>
      </c>
      <c r="P220" s="50">
        <v>49242</v>
      </c>
      <c r="Q220" s="50">
        <v>0</v>
      </c>
      <c r="R220" s="106">
        <f t="shared" si="114"/>
        <v>49242</v>
      </c>
      <c r="S220" s="272"/>
      <c r="T220" s="52" t="e">
        <f>VLOOKUP(X220,contoare!A:K,4,FALSE)</f>
        <v>#N/A</v>
      </c>
      <c r="U220" s="52" t="e">
        <f>VLOOKUP(X220,contoare!A:K,5,FALSE)</f>
        <v>#N/A</v>
      </c>
      <c r="V220" s="52" t="e">
        <f>VLOOKUP(X220,contoare!A:K,8,FALSE)</f>
        <v>#N/A</v>
      </c>
      <c r="W220" s="52" t="e">
        <f>VLOOKUP(X220,contoare!A:K,9,FALSE)</f>
        <v>#N/A</v>
      </c>
      <c r="X220" s="93">
        <v>90078095</v>
      </c>
      <c r="Y220" s="49">
        <v>800</v>
      </c>
      <c r="Z220" s="50">
        <f t="shared" si="112"/>
        <v>49242</v>
      </c>
      <c r="AA220" s="50">
        <f t="shared" si="113"/>
        <v>0</v>
      </c>
      <c r="AB220" s="106">
        <f t="shared" si="115"/>
        <v>49242</v>
      </c>
      <c r="AC220" s="272"/>
      <c r="AD220" s="275"/>
    </row>
    <row r="221" spans="1:30" ht="16" customHeight="1" x14ac:dyDescent="0.2">
      <c r="A221" s="239" t="s">
        <v>750</v>
      </c>
      <c r="B221" s="39" t="s">
        <v>407</v>
      </c>
      <c r="C221" s="216" t="s">
        <v>408</v>
      </c>
      <c r="D221" s="40">
        <f>VLOOKUP(N221,contoare!A:K,2,FALSE)</f>
        <v>45870</v>
      </c>
      <c r="E221" s="40">
        <f>VLOOKUP(N221,contoare!A:K,3,FALSE)</f>
        <v>45901</v>
      </c>
      <c r="F221" s="41">
        <f>VLOOKUP(N221,contoare!A:K,4,FALSE)</f>
        <v>1202.8530000000001</v>
      </c>
      <c r="G221" s="41">
        <f>VLOOKUP(N221,contoare!A:K,5,FALSE)</f>
        <v>694.73699999999997</v>
      </c>
      <c r="H221" s="41">
        <f>VLOOKUP(N221,contoare!A:K,6,FALSE)</f>
        <v>0.439</v>
      </c>
      <c r="I221" s="41">
        <f>VLOOKUP(N221,contoare!A:K,7,FALSE)</f>
        <v>475.4</v>
      </c>
      <c r="J221" s="41">
        <f>VLOOKUP(N221,contoare!A:K,8,FALSE)</f>
        <v>1278.4770000000001</v>
      </c>
      <c r="K221" s="41">
        <f>VLOOKUP(N221,contoare!A:K,9,FALSE)</f>
        <v>844.95600000000002</v>
      </c>
      <c r="L221" s="41">
        <f>VLOOKUP(N221,contoare!A:K,10,FALSE)</f>
        <v>0.439</v>
      </c>
      <c r="M221" s="41">
        <f>VLOOKUP(N221,contoare!A:K,11,FALSE)</f>
        <v>535.01700000000005</v>
      </c>
      <c r="N221" s="91" t="s">
        <v>164</v>
      </c>
      <c r="O221" s="39">
        <v>120</v>
      </c>
      <c r="P221" s="118">
        <f t="shared" si="104"/>
        <v>9074.8800000000028</v>
      </c>
      <c r="Q221" s="118">
        <f t="shared" si="105"/>
        <v>18026.280000000006</v>
      </c>
      <c r="R221" s="242">
        <f>P221</f>
        <v>9074.8800000000028</v>
      </c>
      <c r="S221" s="244">
        <f>(R224-R221)/R224</f>
        <v>-0.40739454094292848</v>
      </c>
      <c r="T221" s="41">
        <f>VLOOKUP(X221,contoare!A:K,4,FALSE)</f>
        <v>1202.8530000000001</v>
      </c>
      <c r="U221" s="41">
        <f>VLOOKUP(X221,contoare!A:K,5,FALSE)</f>
        <v>694.73699999999997</v>
      </c>
      <c r="V221" s="41">
        <f>VLOOKUP(X221,contoare!A:K,8,FALSE)</f>
        <v>1278.4770000000001</v>
      </c>
      <c r="W221" s="41">
        <f>VLOOKUP(X221,contoare!A:K,9,FALSE)</f>
        <v>844.95600000000002</v>
      </c>
      <c r="X221" s="91" t="s">
        <v>164</v>
      </c>
      <c r="Y221" s="39">
        <v>120</v>
      </c>
      <c r="Z221" s="118">
        <f t="shared" si="112"/>
        <v>9074.8800000000028</v>
      </c>
      <c r="AA221" s="118">
        <f t="shared" si="113"/>
        <v>18026.280000000006</v>
      </c>
      <c r="AB221" s="242">
        <f>Z221</f>
        <v>9074.8800000000028</v>
      </c>
      <c r="AC221" s="244">
        <f>(AB224-AB221)/AB224</f>
        <v>-0.40739454094292848</v>
      </c>
      <c r="AD221" s="247" t="s">
        <v>683</v>
      </c>
    </row>
    <row r="222" spans="1:30" x14ac:dyDescent="0.2">
      <c r="A222" s="240"/>
      <c r="B222" s="26" t="s">
        <v>511</v>
      </c>
      <c r="C222" s="217" t="s">
        <v>512</v>
      </c>
      <c r="D222" s="37">
        <f>VLOOKUP(N222,contoare!A:K,2,FALSE)</f>
        <v>45870</v>
      </c>
      <c r="E222" s="37">
        <f>VLOOKUP(N222,contoare!A:K,3,FALSE)</f>
        <v>45901</v>
      </c>
      <c r="F222" s="38">
        <f>VLOOKUP(N222,contoare!A:K,4,FALSE)</f>
        <v>4.7549999999999999</v>
      </c>
      <c r="G222" s="38">
        <f>VLOOKUP(N222,contoare!A:K,5,FALSE)</f>
        <v>2337.9690000000001</v>
      </c>
      <c r="H222" s="38">
        <f>VLOOKUP(N222,contoare!A:K,6,FALSE)</f>
        <v>3.4889999999999999</v>
      </c>
      <c r="I222" s="38">
        <f>VLOOKUP(N222,contoare!A:K,7,FALSE)</f>
        <v>18.858000000000001</v>
      </c>
      <c r="J222" s="38">
        <f>VLOOKUP(N222,contoare!A:K,8,FALSE)</f>
        <v>5.1029999999999998</v>
      </c>
      <c r="K222" s="38">
        <f>VLOOKUP(N222,contoare!A:K,9,FALSE)</f>
        <v>2810.009</v>
      </c>
      <c r="L222" s="38">
        <f>VLOOKUP(N222,contoare!A:K,10,FALSE)</f>
        <v>4.1040000000000001</v>
      </c>
      <c r="M222" s="38">
        <f>VLOOKUP(N222,contoare!A:K,11,FALSE)</f>
        <v>20.788</v>
      </c>
      <c r="N222" s="92" t="s">
        <v>165</v>
      </c>
      <c r="O222" s="26">
        <v>80</v>
      </c>
      <c r="P222" s="27">
        <f t="shared" si="104"/>
        <v>27.839999999999989</v>
      </c>
      <c r="Q222" s="27">
        <f t="shared" si="105"/>
        <v>37763.199999999997</v>
      </c>
      <c r="R222" s="243"/>
      <c r="S222" s="245"/>
      <c r="T222" s="38">
        <f>VLOOKUP(X222,contoare!A:K,4,FALSE)</f>
        <v>4.7549999999999999</v>
      </c>
      <c r="U222" s="38">
        <f>VLOOKUP(X222,contoare!A:K,5,FALSE)</f>
        <v>2337.9690000000001</v>
      </c>
      <c r="V222" s="38">
        <f>VLOOKUP(X222,contoare!A:K,8,FALSE)</f>
        <v>5.1029999999999998</v>
      </c>
      <c r="W222" s="38">
        <f>VLOOKUP(X222,contoare!A:K,9,FALSE)</f>
        <v>2810.009</v>
      </c>
      <c r="X222" s="92" t="s">
        <v>165</v>
      </c>
      <c r="Y222" s="26">
        <v>80</v>
      </c>
      <c r="Z222" s="27">
        <f t="shared" ref="Z222:Z224" si="116">IF(LEFT(N222,3)&lt;&gt;"HXE",P222,(V222-T222)*Y222)</f>
        <v>27.839999999999989</v>
      </c>
      <c r="AA222" s="27">
        <f t="shared" ref="AA222:AA224" si="117">IF(LEFT(X222,3)&lt;&gt;"HXE",Q222,(W222-U222)*Y222)</f>
        <v>37763.199999999997</v>
      </c>
      <c r="AB222" s="243"/>
      <c r="AC222" s="245"/>
      <c r="AD222" s="248"/>
    </row>
    <row r="223" spans="1:30" x14ac:dyDescent="0.2">
      <c r="A223" s="240"/>
      <c r="B223" s="162" t="s">
        <v>533</v>
      </c>
      <c r="C223" s="218" t="s">
        <v>533</v>
      </c>
      <c r="D223" s="161" t="e">
        <f>VLOOKUP(N223,contoare!A:K,2,FALSE)</f>
        <v>#N/A</v>
      </c>
      <c r="E223" s="161" t="e">
        <f>VLOOKUP(N223,contoare!A:K,3,FALSE)</f>
        <v>#N/A</v>
      </c>
      <c r="F223" s="162" t="e">
        <f>VLOOKUP(N223,contoare!A:K,4,FALSE)</f>
        <v>#N/A</v>
      </c>
      <c r="G223" s="162" t="e">
        <f>VLOOKUP(N223,contoare!A:K,5,FALSE)</f>
        <v>#N/A</v>
      </c>
      <c r="H223" s="162" t="e">
        <f>VLOOKUP(N223,contoare!A:K,6,FALSE)</f>
        <v>#N/A</v>
      </c>
      <c r="I223" s="162" t="e">
        <f>VLOOKUP(N223,contoare!A:K,7,FALSE)</f>
        <v>#N/A</v>
      </c>
      <c r="J223" s="162" t="e">
        <f>VLOOKUP(N223,contoare!A:K,8,FALSE)</f>
        <v>#N/A</v>
      </c>
      <c r="K223" s="162" t="e">
        <f>VLOOKUP(N223,contoare!A:K,9,FALSE)</f>
        <v>#N/A</v>
      </c>
      <c r="L223" s="162" t="e">
        <f>VLOOKUP(N223,contoare!A:K,10,FALSE)</f>
        <v>#N/A</v>
      </c>
      <c r="M223" s="162" t="e">
        <f>VLOOKUP(N223,contoare!A:K,11,FALSE)</f>
        <v>#N/A</v>
      </c>
      <c r="N223" s="227" t="s">
        <v>533</v>
      </c>
      <c r="O223" s="162">
        <v>800</v>
      </c>
      <c r="P223" s="164" t="e">
        <f t="shared" si="104"/>
        <v>#N/A</v>
      </c>
      <c r="Q223" s="164" t="e">
        <f t="shared" si="105"/>
        <v>#N/A</v>
      </c>
      <c r="R223" s="164" t="e">
        <f t="shared" ref="R223:R224" si="118">P223</f>
        <v>#N/A</v>
      </c>
      <c r="S223" s="245"/>
      <c r="T223" s="38" t="e">
        <f>VLOOKUP(X223,contoare!A:K,4,FALSE)</f>
        <v>#N/A</v>
      </c>
      <c r="U223" s="38" t="e">
        <f>VLOOKUP(X223,contoare!A:K,5,FALSE)</f>
        <v>#N/A</v>
      </c>
      <c r="V223" s="38" t="e">
        <f>VLOOKUP(X223,contoare!A:K,8,FALSE)</f>
        <v>#N/A</v>
      </c>
      <c r="W223" s="38" t="e">
        <f>VLOOKUP(X223,contoare!A:K,9,FALSE)</f>
        <v>#N/A</v>
      </c>
      <c r="X223" s="227" t="s">
        <v>533</v>
      </c>
      <c r="Y223" s="162">
        <v>800</v>
      </c>
      <c r="Z223" s="164" t="e">
        <f t="shared" si="116"/>
        <v>#N/A</v>
      </c>
      <c r="AA223" s="164" t="e">
        <f t="shared" si="117"/>
        <v>#N/A</v>
      </c>
      <c r="AB223" s="164" t="e">
        <f t="shared" ref="AB223:AB224" si="119">Z223</f>
        <v>#N/A</v>
      </c>
      <c r="AC223" s="245"/>
      <c r="AD223" s="248"/>
    </row>
    <row r="224" spans="1:30" ht="17" thickBot="1" x14ac:dyDescent="0.25">
      <c r="A224" s="241"/>
      <c r="B224" s="43" t="s">
        <v>680</v>
      </c>
      <c r="C224" s="219" t="s">
        <v>681</v>
      </c>
      <c r="D224" s="44" t="e">
        <f>VLOOKUP(N224,contoare!A:K,2,FALSE)</f>
        <v>#N/A</v>
      </c>
      <c r="E224" s="44" t="e">
        <f>VLOOKUP(N224,contoare!A:K,3,FALSE)</f>
        <v>#N/A</v>
      </c>
      <c r="F224" s="45" t="e">
        <f>VLOOKUP(N224,contoare!A:K,4,FALSE)</f>
        <v>#N/A</v>
      </c>
      <c r="G224" s="45" t="e">
        <f>VLOOKUP(N224,contoare!A:K,5,FALSE)</f>
        <v>#N/A</v>
      </c>
      <c r="H224" s="45" t="e">
        <f>VLOOKUP(N224,contoare!A:K,6,FALSE)</f>
        <v>#N/A</v>
      </c>
      <c r="I224" s="45" t="e">
        <f>VLOOKUP(N224,contoare!A:K,7,FALSE)</f>
        <v>#N/A</v>
      </c>
      <c r="J224" s="45" t="e">
        <f>VLOOKUP(N224,contoare!A:K,8,FALSE)</f>
        <v>#N/A</v>
      </c>
      <c r="K224" s="45" t="e">
        <f>VLOOKUP(N224,contoare!A:K,9,FALSE)</f>
        <v>#N/A</v>
      </c>
      <c r="L224" s="45" t="e">
        <f>VLOOKUP(N224,contoare!A:K,10,FALSE)</f>
        <v>#N/A</v>
      </c>
      <c r="M224" s="45" t="e">
        <f>VLOOKUP(N224,contoare!A:K,11,FALSE)</f>
        <v>#N/A</v>
      </c>
      <c r="N224" s="94" t="s">
        <v>682</v>
      </c>
      <c r="O224" s="43">
        <v>800</v>
      </c>
      <c r="P224" s="47">
        <v>6448</v>
      </c>
      <c r="Q224" s="47">
        <v>11790</v>
      </c>
      <c r="R224" s="47">
        <f t="shared" si="118"/>
        <v>6448</v>
      </c>
      <c r="S224" s="246"/>
      <c r="T224" s="45" t="e">
        <f>VLOOKUP(X224,contoare!A:K,4,FALSE)</f>
        <v>#N/A</v>
      </c>
      <c r="U224" s="45" t="e">
        <f>VLOOKUP(X224,contoare!A:K,5,FALSE)</f>
        <v>#N/A</v>
      </c>
      <c r="V224" s="45" t="e">
        <f>VLOOKUP(X224,contoare!A:K,8,FALSE)</f>
        <v>#N/A</v>
      </c>
      <c r="W224" s="45" t="e">
        <f>VLOOKUP(X224,contoare!A:K,9,FALSE)</f>
        <v>#N/A</v>
      </c>
      <c r="X224" s="94" t="s">
        <v>682</v>
      </c>
      <c r="Y224" s="43">
        <v>800</v>
      </c>
      <c r="Z224" s="47">
        <f t="shared" si="116"/>
        <v>6448</v>
      </c>
      <c r="AA224" s="47">
        <f t="shared" si="117"/>
        <v>11790</v>
      </c>
      <c r="AB224" s="47">
        <f t="shared" si="119"/>
        <v>6448</v>
      </c>
      <c r="AC224" s="246"/>
      <c r="AD224" s="249"/>
    </row>
    <row r="225" spans="1:30" x14ac:dyDescent="0.2">
      <c r="A225" s="351" t="s">
        <v>166</v>
      </c>
      <c r="B225" s="146" t="s">
        <v>329</v>
      </c>
      <c r="C225" s="222" t="s">
        <v>330</v>
      </c>
      <c r="D225" s="145">
        <f>VLOOKUP(N225,contoare!A:K,2,FALSE)</f>
        <v>45870</v>
      </c>
      <c r="E225" s="145">
        <f>VLOOKUP(N225,contoare!A:K,3,FALSE)</f>
        <v>45901</v>
      </c>
      <c r="F225" s="35">
        <f>VLOOKUP(N225,contoare!A:K,4,FALSE)</f>
        <v>2187.1480000000001</v>
      </c>
      <c r="G225" s="35">
        <f>VLOOKUP(N225,contoare!A:K,5,FALSE)</f>
        <v>0</v>
      </c>
      <c r="H225" s="35">
        <f>VLOOKUP(N225,contoare!A:K,6,FALSE)</f>
        <v>0.77800000000000002</v>
      </c>
      <c r="I225" s="35">
        <f>VLOOKUP(N225,contoare!A:K,7,FALSE)</f>
        <v>741.76700000000005</v>
      </c>
      <c r="J225" s="35">
        <f>VLOOKUP(N225,contoare!A:K,8,FALSE)</f>
        <v>2501.3110000000001</v>
      </c>
      <c r="K225" s="35">
        <f>VLOOKUP(N225,contoare!A:K,9,FALSE)</f>
        <v>0</v>
      </c>
      <c r="L225" s="35">
        <f>VLOOKUP(N225,contoare!A:K,10,FALSE)</f>
        <v>0.78400000000000003</v>
      </c>
      <c r="M225" s="35">
        <f>VLOOKUP(N225,contoare!A:K,11,FALSE)</f>
        <v>824.30100000000004</v>
      </c>
      <c r="N225" s="98" t="s">
        <v>171</v>
      </c>
      <c r="O225" s="35">
        <v>300</v>
      </c>
      <c r="P225" s="119">
        <f t="shared" si="104"/>
        <v>94248.900000000009</v>
      </c>
      <c r="Q225" s="119">
        <f t="shared" si="105"/>
        <v>0</v>
      </c>
      <c r="R225" s="300">
        <f>P225+P226-Q226-Q225</f>
        <v>121521.4</v>
      </c>
      <c r="S225" s="301">
        <f>(R229-R225)/R229</f>
        <v>0.54424917491749181</v>
      </c>
      <c r="T225" s="81">
        <f>VLOOKUP(X225,contoare!A:K,4,FALSE)</f>
        <v>2187.1480000000001</v>
      </c>
      <c r="U225" s="81">
        <f>VLOOKUP(X225,contoare!A:K,5,FALSE)</f>
        <v>0</v>
      </c>
      <c r="V225" s="81">
        <f>VLOOKUP(X225,contoare!A:K,8,FALSE)</f>
        <v>2501.3110000000001</v>
      </c>
      <c r="W225" s="81">
        <f>VLOOKUP(X225,contoare!A:K,9,FALSE)</f>
        <v>0</v>
      </c>
      <c r="X225" s="98" t="s">
        <v>171</v>
      </c>
      <c r="Y225" s="35">
        <v>300</v>
      </c>
      <c r="Z225" s="36">
        <f t="shared" si="112"/>
        <v>94248.900000000009</v>
      </c>
      <c r="AA225" s="36">
        <f t="shared" si="113"/>
        <v>0</v>
      </c>
      <c r="AB225" s="302">
        <f>Z225+Z226-AA226-AA225</f>
        <v>261821.89999999997</v>
      </c>
      <c r="AC225" s="304">
        <f>(AB229-AB225)/AB229</f>
        <v>1.806968196819695E-2</v>
      </c>
      <c r="AD225" s="279" t="s">
        <v>662</v>
      </c>
    </row>
    <row r="226" spans="1:30" x14ac:dyDescent="0.2">
      <c r="A226" s="352"/>
      <c r="B226" s="65" t="s">
        <v>331</v>
      </c>
      <c r="C226" s="217" t="s">
        <v>332</v>
      </c>
      <c r="D226" s="142">
        <f>VLOOKUP(N226,contoare!A:K,2,FALSE)</f>
        <v>45870</v>
      </c>
      <c r="E226" s="142">
        <f>VLOOKUP(N226,contoare!A:K,3,FALSE)</f>
        <v>45901</v>
      </c>
      <c r="F226" s="26">
        <f>VLOOKUP(N226,contoare!A:K,4,FALSE)</f>
        <v>619.24400000000003</v>
      </c>
      <c r="G226" s="26">
        <f>VLOOKUP(N226,contoare!A:K,5,FALSE)</f>
        <v>297.13900000000001</v>
      </c>
      <c r="H226" s="26">
        <f>VLOOKUP(N226,contoare!A:K,6,FALSE)</f>
        <v>109.51900000000001</v>
      </c>
      <c r="I226" s="26">
        <f>VLOOKUP(N226,contoare!A:K,7,FALSE)</f>
        <v>28.24</v>
      </c>
      <c r="J226" s="26">
        <f>VLOOKUP(N226,contoare!A:K,8,FALSE)</f>
        <v>728.16899999999998</v>
      </c>
      <c r="K226" s="26">
        <f>VLOOKUP(N226,contoare!A:K,9,FALSE)</f>
        <v>351.51900000000001</v>
      </c>
      <c r="L226" s="26">
        <f>VLOOKUP(N226,contoare!A:K,10,FALSE)</f>
        <v>148.589</v>
      </c>
      <c r="M226" s="26">
        <f>VLOOKUP(N226,contoare!A:K,11,FALSE)</f>
        <v>29.21</v>
      </c>
      <c r="N226" s="92" t="s">
        <v>172</v>
      </c>
      <c r="O226" s="26">
        <v>500</v>
      </c>
      <c r="P226" s="70">
        <f t="shared" ref="P226:P233" si="120">(J226-F226)*O226</f>
        <v>54462.499999999978</v>
      </c>
      <c r="Q226" s="70">
        <f t="shared" ref="Q226:Q233" si="121">(K226-G226)*O226</f>
        <v>27189.999999999996</v>
      </c>
      <c r="R226" s="283"/>
      <c r="S226" s="245"/>
      <c r="T226" s="38">
        <f>VLOOKUP(X226,contoare!A:K,4,FALSE)</f>
        <v>2596.4389999999999</v>
      </c>
      <c r="U226" s="38">
        <f>VLOOKUP(X226,contoare!A:K,5,FALSE)</f>
        <v>6.7140000000000004</v>
      </c>
      <c r="V226" s="38">
        <f>VLOOKUP(X226,contoare!A:K,8,FALSE)</f>
        <v>2931.6039999999998</v>
      </c>
      <c r="W226" s="38">
        <f>VLOOKUP(X226,contoare!A:K,9,FALSE)</f>
        <v>6.7329999999999997</v>
      </c>
      <c r="X226" s="97" t="s">
        <v>167</v>
      </c>
      <c r="Y226" s="26">
        <v>500</v>
      </c>
      <c r="Z226" s="27">
        <f t="shared" si="112"/>
        <v>167582.49999999997</v>
      </c>
      <c r="AA226" s="27">
        <f t="shared" si="113"/>
        <v>9.4999999999996199</v>
      </c>
      <c r="AB226" s="303"/>
      <c r="AC226" s="305"/>
      <c r="AD226" s="280"/>
    </row>
    <row r="227" spans="1:30" x14ac:dyDescent="0.2">
      <c r="A227" s="352"/>
      <c r="B227" s="65" t="s">
        <v>475</v>
      </c>
      <c r="C227" s="217" t="s">
        <v>476</v>
      </c>
      <c r="D227" s="142">
        <f>VLOOKUP(N227,contoare!A:K,2,FALSE)</f>
        <v>45870</v>
      </c>
      <c r="E227" s="142">
        <f>VLOOKUP(N227,contoare!A:K,3,FALSE)</f>
        <v>45901</v>
      </c>
      <c r="F227" s="26">
        <f>VLOOKUP(N227,contoare!A:K,4,FALSE)</f>
        <v>1.4850000000000001</v>
      </c>
      <c r="G227" s="26">
        <f>VLOOKUP(N227,contoare!A:K,5,FALSE)</f>
        <v>1275.5519999999999</v>
      </c>
      <c r="H227" s="26">
        <f>VLOOKUP(N227,contoare!A:K,6,FALSE)</f>
        <v>0.34300000000000003</v>
      </c>
      <c r="I227" s="26">
        <f>VLOOKUP(N227,contoare!A:K,7,FALSE)</f>
        <v>14.941000000000001</v>
      </c>
      <c r="J227" s="26">
        <f>VLOOKUP(N227,contoare!A:K,8,FALSE)</f>
        <v>1.728</v>
      </c>
      <c r="K227" s="26">
        <f>VLOOKUP(N227,contoare!A:K,9,FALSE)</f>
        <v>1780.8140000000001</v>
      </c>
      <c r="L227" s="26">
        <f>VLOOKUP(N227,contoare!A:K,10,FALSE)</f>
        <v>0.34799999999999998</v>
      </c>
      <c r="M227" s="26">
        <f>VLOOKUP(N227,contoare!A:K,11,FALSE)</f>
        <v>18.936</v>
      </c>
      <c r="N227" s="92" t="s">
        <v>168</v>
      </c>
      <c r="O227" s="26">
        <v>160</v>
      </c>
      <c r="P227" s="70">
        <f t="shared" si="120"/>
        <v>38.879999999999981</v>
      </c>
      <c r="Q227" s="70">
        <f t="shared" si="121"/>
        <v>80841.920000000027</v>
      </c>
      <c r="R227" s="283"/>
      <c r="S227" s="245"/>
      <c r="T227" s="38">
        <f>VLOOKUP(X227,contoare!A:K,4,FALSE)</f>
        <v>0.187</v>
      </c>
      <c r="U227" s="38">
        <f>VLOOKUP(X227,contoare!A:K,5,FALSE)</f>
        <v>816.58500000000004</v>
      </c>
      <c r="V227" s="38">
        <f>VLOOKUP(X227,contoare!A:K,8,FALSE)</f>
        <v>0.29699999999999999</v>
      </c>
      <c r="W227" s="38">
        <f>VLOOKUP(X227,contoare!A:K,9,FALSE)</f>
        <v>1356.712</v>
      </c>
      <c r="X227" s="97" t="s">
        <v>170</v>
      </c>
      <c r="Y227" s="26">
        <v>160</v>
      </c>
      <c r="Z227" s="27">
        <f t="shared" si="112"/>
        <v>17.599999999999998</v>
      </c>
      <c r="AA227" s="27">
        <f t="shared" si="113"/>
        <v>86420.319999999992</v>
      </c>
      <c r="AB227" s="303"/>
      <c r="AC227" s="305"/>
      <c r="AD227" s="280"/>
    </row>
    <row r="228" spans="1:30" x14ac:dyDescent="0.2">
      <c r="A228" s="352"/>
      <c r="B228" s="65" t="s">
        <v>545</v>
      </c>
      <c r="C228" s="72" t="s">
        <v>545</v>
      </c>
      <c r="D228" s="142">
        <f>VLOOKUP(N228,contoare!A:K,2,FALSE)</f>
        <v>45870</v>
      </c>
      <c r="E228" s="142">
        <f>VLOOKUP(N228,contoare!A:K,3,FALSE)</f>
        <v>45901</v>
      </c>
      <c r="F228" s="26">
        <f>VLOOKUP(N228,contoare!A:K,4,FALSE)</f>
        <v>275.32100000000003</v>
      </c>
      <c r="G228" s="26">
        <f>VLOOKUP(N228,contoare!A:K,5,FALSE)</f>
        <v>0</v>
      </c>
      <c r="H228" s="26">
        <f>VLOOKUP(N228,contoare!A:K,6,FALSE)</f>
        <v>10.593</v>
      </c>
      <c r="I228" s="26">
        <f>VLOOKUP(N228,contoare!A:K,7,FALSE)</f>
        <v>10.266999999999999</v>
      </c>
      <c r="J228" s="26">
        <f>VLOOKUP(N228,contoare!A:K,8,FALSE)</f>
        <v>342.16</v>
      </c>
      <c r="K228" s="26">
        <f>VLOOKUP(N228,contoare!A:K,9,FALSE)</f>
        <v>0</v>
      </c>
      <c r="L228" s="26">
        <f>VLOOKUP(N228,contoare!A:K,10,FALSE)</f>
        <v>15.304</v>
      </c>
      <c r="M228" s="26">
        <f>VLOOKUP(N228,contoare!A:K,11,FALSE)</f>
        <v>10.837</v>
      </c>
      <c r="N228" s="92" t="s">
        <v>174</v>
      </c>
      <c r="O228" s="26">
        <v>4000</v>
      </c>
      <c r="P228" s="70">
        <f t="shared" si="120"/>
        <v>267356</v>
      </c>
      <c r="Q228" s="70">
        <f t="shared" si="121"/>
        <v>0</v>
      </c>
      <c r="R228" s="103">
        <f t="shared" ref="R228:R229" si="122">P228</f>
        <v>267356</v>
      </c>
      <c r="S228" s="245"/>
      <c r="T228" s="38">
        <f>VLOOKUP(X228,contoare!A:K,4,FALSE)</f>
        <v>275.32100000000003</v>
      </c>
      <c r="U228" s="38">
        <f>VLOOKUP(X228,contoare!A:K,5,FALSE)</f>
        <v>0</v>
      </c>
      <c r="V228" s="38">
        <f>VLOOKUP(X228,contoare!A:K,8,FALSE)</f>
        <v>342.16</v>
      </c>
      <c r="W228" s="38">
        <f>VLOOKUP(X228,contoare!A:K,9,FALSE)</f>
        <v>0</v>
      </c>
      <c r="X228" s="92" t="s">
        <v>174</v>
      </c>
      <c r="Y228" s="26">
        <v>4000</v>
      </c>
      <c r="Z228" s="27">
        <f t="shared" si="112"/>
        <v>267356</v>
      </c>
      <c r="AA228" s="27">
        <f t="shared" si="113"/>
        <v>0</v>
      </c>
      <c r="AB228" s="103">
        <f t="shared" ref="AB228:AB229" si="123">Z228</f>
        <v>267356</v>
      </c>
      <c r="AC228" s="305"/>
      <c r="AD228" s="280"/>
    </row>
    <row r="229" spans="1:30" ht="17" thickBot="1" x14ac:dyDescent="0.25">
      <c r="A229" s="352"/>
      <c r="B229" s="66" t="s">
        <v>660</v>
      </c>
      <c r="C229" s="219" t="str">
        <f>"594030300002113780"</f>
        <v>594030300002113780</v>
      </c>
      <c r="D229" s="144" t="e">
        <f>VLOOKUP(N229,contoare!A:K,2,FALSE)</f>
        <v>#N/A</v>
      </c>
      <c r="E229" s="144" t="e">
        <f>VLOOKUP(N229,contoare!A:K,3,FALSE)</f>
        <v>#N/A</v>
      </c>
      <c r="F229" s="43" t="e">
        <f>VLOOKUP(N229,contoare!A:K,4,FALSE)</f>
        <v>#N/A</v>
      </c>
      <c r="G229" s="43" t="e">
        <f>VLOOKUP(N229,contoare!A:K,5,FALSE)</f>
        <v>#N/A</v>
      </c>
      <c r="H229" s="43" t="e">
        <f>VLOOKUP(N229,contoare!A:K,6,FALSE)</f>
        <v>#N/A</v>
      </c>
      <c r="I229" s="43" t="e">
        <f>VLOOKUP(N229,contoare!A:K,7,FALSE)</f>
        <v>#N/A</v>
      </c>
      <c r="J229" s="43" t="e">
        <f>VLOOKUP(N229,contoare!A:K,8,FALSE)</f>
        <v>#N/A</v>
      </c>
      <c r="K229" s="43" t="e">
        <f>VLOOKUP(N229,contoare!A:K,9,FALSE)</f>
        <v>#N/A</v>
      </c>
      <c r="L229" s="43" t="e">
        <f>VLOOKUP(N229,contoare!A:K,10,FALSE)</f>
        <v>#N/A</v>
      </c>
      <c r="M229" s="43" t="e">
        <f>VLOOKUP(N229,contoare!A:K,11,FALSE)</f>
        <v>#N/A</v>
      </c>
      <c r="N229" s="94">
        <v>23301788874</v>
      </c>
      <c r="O229" s="43">
        <v>4000</v>
      </c>
      <c r="P229" s="71">
        <v>266640</v>
      </c>
      <c r="Q229" s="71">
        <v>0</v>
      </c>
      <c r="R229" s="104">
        <f t="shared" si="122"/>
        <v>266640</v>
      </c>
      <c r="S229" s="246"/>
      <c r="T229" s="45" t="e">
        <f>VLOOKUP(X229,contoare!A:K,4,FALSE)</f>
        <v>#N/A</v>
      </c>
      <c r="U229" s="45" t="e">
        <f>VLOOKUP(X229,contoare!A:K,5,FALSE)</f>
        <v>#N/A</v>
      </c>
      <c r="V229" s="45" t="e">
        <f>VLOOKUP(X229,contoare!A:K,8,FALSE)</f>
        <v>#N/A</v>
      </c>
      <c r="W229" s="45" t="e">
        <f>VLOOKUP(X229,contoare!A:K,9,FALSE)</f>
        <v>#N/A</v>
      </c>
      <c r="X229" s="94">
        <v>23301788874</v>
      </c>
      <c r="Y229" s="43">
        <v>4000</v>
      </c>
      <c r="Z229" s="46">
        <f t="shared" si="112"/>
        <v>266640</v>
      </c>
      <c r="AA229" s="46">
        <f t="shared" si="113"/>
        <v>0</v>
      </c>
      <c r="AB229" s="104">
        <f t="shared" si="123"/>
        <v>266640</v>
      </c>
      <c r="AC229" s="306"/>
      <c r="AD229" s="280"/>
    </row>
    <row r="230" spans="1:30" x14ac:dyDescent="0.2">
      <c r="A230" s="352"/>
      <c r="B230" s="64" t="s">
        <v>333</v>
      </c>
      <c r="C230" s="216" t="s">
        <v>334</v>
      </c>
      <c r="D230" s="143">
        <f>VLOOKUP(N230,contoare!A:K,2,FALSE)</f>
        <v>45870</v>
      </c>
      <c r="E230" s="143">
        <f>VLOOKUP(N230,contoare!A:K,3,FALSE)</f>
        <v>45901</v>
      </c>
      <c r="F230" s="39">
        <f>VLOOKUP(N230,contoare!A:K,4,FALSE)</f>
        <v>3283.5329999999999</v>
      </c>
      <c r="G230" s="39">
        <f>VLOOKUP(N230,contoare!A:K,5,FALSE)</f>
        <v>0</v>
      </c>
      <c r="H230" s="39">
        <f>VLOOKUP(N230,contoare!A:K,6,FALSE)</f>
        <v>0.7</v>
      </c>
      <c r="I230" s="39">
        <f>VLOOKUP(N230,contoare!A:K,7,FALSE)</f>
        <v>1107.223</v>
      </c>
      <c r="J230" s="39">
        <f>VLOOKUP(N230,contoare!A:K,8,FALSE)</f>
        <v>3739.5410000000002</v>
      </c>
      <c r="K230" s="39">
        <f>VLOOKUP(N230,contoare!A:K,9,FALSE)</f>
        <v>0</v>
      </c>
      <c r="L230" s="39">
        <f>VLOOKUP(N230,contoare!A:K,10,FALSE)</f>
        <v>0.79500000000000004</v>
      </c>
      <c r="M230" s="39">
        <f>VLOOKUP(N230,contoare!A:K,11,FALSE)</f>
        <v>1228.962</v>
      </c>
      <c r="N230" s="91" t="s">
        <v>169</v>
      </c>
      <c r="O230" s="39">
        <v>300</v>
      </c>
      <c r="P230" s="69">
        <f t="shared" si="120"/>
        <v>136802.40000000008</v>
      </c>
      <c r="Q230" s="69">
        <f t="shared" si="121"/>
        <v>0</v>
      </c>
      <c r="R230" s="282">
        <f>P230+P231-Q231-Q230</f>
        <v>304375.40000000002</v>
      </c>
      <c r="S230" s="244">
        <f>(R234-R230)/R234</f>
        <v>-0.8027446102819239</v>
      </c>
      <c r="T230" s="41">
        <f>VLOOKUP(X230,contoare!A:K,4,FALSE)</f>
        <v>3283.5329999999999</v>
      </c>
      <c r="U230" s="41">
        <f>VLOOKUP(X230,contoare!A:K,5,FALSE)</f>
        <v>0</v>
      </c>
      <c r="V230" s="41">
        <f>VLOOKUP(X230,contoare!A:K,8,FALSE)</f>
        <v>3739.5410000000002</v>
      </c>
      <c r="W230" s="41">
        <f>VLOOKUP(X230,contoare!A:K,9,FALSE)</f>
        <v>0</v>
      </c>
      <c r="X230" s="91" t="s">
        <v>169</v>
      </c>
      <c r="Y230" s="39">
        <v>300</v>
      </c>
      <c r="Z230" s="42">
        <f t="shared" si="112"/>
        <v>136802.40000000008</v>
      </c>
      <c r="AA230" s="42">
        <f t="shared" si="113"/>
        <v>0</v>
      </c>
      <c r="AB230" s="307">
        <f>Z230+Z231-AA231-AA230</f>
        <v>164074.90000000005</v>
      </c>
      <c r="AC230" s="308">
        <f>(AB234-AB230)/AB234</f>
        <v>2.822257758824892E-2</v>
      </c>
      <c r="AD230" s="280"/>
    </row>
    <row r="231" spans="1:30" x14ac:dyDescent="0.2">
      <c r="A231" s="352"/>
      <c r="B231" s="65" t="s">
        <v>335</v>
      </c>
      <c r="C231" s="217" t="s">
        <v>336</v>
      </c>
      <c r="D231" s="142">
        <f>VLOOKUP(N231,contoare!A:K,2,FALSE)</f>
        <v>45870</v>
      </c>
      <c r="E231" s="142">
        <f>VLOOKUP(N231,contoare!A:K,3,FALSE)</f>
        <v>45901</v>
      </c>
      <c r="F231" s="26">
        <f>VLOOKUP(N231,contoare!A:K,4,FALSE)</f>
        <v>2596.4389999999999</v>
      </c>
      <c r="G231" s="26">
        <f>VLOOKUP(N231,contoare!A:K,5,FALSE)</f>
        <v>6.7140000000000004</v>
      </c>
      <c r="H231" s="26">
        <f>VLOOKUP(N231,contoare!A:K,6,FALSE)</f>
        <v>346.423</v>
      </c>
      <c r="I231" s="26">
        <f>VLOOKUP(N231,contoare!A:K,7,FALSE)</f>
        <v>1.0429999999999999</v>
      </c>
      <c r="J231" s="26">
        <f>VLOOKUP(N231,contoare!A:K,8,FALSE)</f>
        <v>2931.6039999999998</v>
      </c>
      <c r="K231" s="26">
        <f>VLOOKUP(N231,contoare!A:K,9,FALSE)</f>
        <v>6.7329999999999997</v>
      </c>
      <c r="L231" s="26">
        <f>VLOOKUP(N231,contoare!A:K,10,FALSE)</f>
        <v>420.839</v>
      </c>
      <c r="M231" s="26">
        <f>VLOOKUP(N231,contoare!A:K,11,FALSE)</f>
        <v>1.07</v>
      </c>
      <c r="N231" s="92" t="s">
        <v>167</v>
      </c>
      <c r="O231" s="26">
        <v>500</v>
      </c>
      <c r="P231" s="70">
        <f t="shared" si="120"/>
        <v>167582.49999999997</v>
      </c>
      <c r="Q231" s="70">
        <f t="shared" si="121"/>
        <v>9.4999999999996199</v>
      </c>
      <c r="R231" s="283"/>
      <c r="S231" s="245"/>
      <c r="T231" s="38">
        <f>VLOOKUP(X231,contoare!A:K,4,FALSE)</f>
        <v>619.24400000000003</v>
      </c>
      <c r="U231" s="38">
        <f>VLOOKUP(X231,contoare!A:K,5,FALSE)</f>
        <v>297.13900000000001</v>
      </c>
      <c r="V231" s="38">
        <f>VLOOKUP(X231,contoare!A:K,8,FALSE)</f>
        <v>728.16899999999998</v>
      </c>
      <c r="W231" s="38">
        <f>VLOOKUP(X231,contoare!A:K,9,FALSE)</f>
        <v>351.51900000000001</v>
      </c>
      <c r="X231" s="97" t="s">
        <v>172</v>
      </c>
      <c r="Y231" s="26">
        <v>500</v>
      </c>
      <c r="Z231" s="27">
        <f t="shared" si="82"/>
        <v>54462.499999999978</v>
      </c>
      <c r="AA231" s="27">
        <f t="shared" si="78"/>
        <v>27189.999999999996</v>
      </c>
      <c r="AB231" s="303"/>
      <c r="AC231" s="305"/>
      <c r="AD231" s="280"/>
    </row>
    <row r="232" spans="1:30" x14ac:dyDescent="0.2">
      <c r="A232" s="352"/>
      <c r="B232" s="65" t="s">
        <v>477</v>
      </c>
      <c r="C232" s="217" t="s">
        <v>478</v>
      </c>
      <c r="D232" s="142">
        <f>VLOOKUP(N232,contoare!A:K,2,FALSE)</f>
        <v>45870</v>
      </c>
      <c r="E232" s="142">
        <f>VLOOKUP(N232,contoare!A:K,3,FALSE)</f>
        <v>45901</v>
      </c>
      <c r="F232" s="26">
        <f>VLOOKUP(N232,contoare!A:K,4,FALSE)</f>
        <v>0.187</v>
      </c>
      <c r="G232" s="26">
        <f>VLOOKUP(N232,contoare!A:K,5,FALSE)</f>
        <v>816.58500000000004</v>
      </c>
      <c r="H232" s="26">
        <f>VLOOKUP(N232,contoare!A:K,6,FALSE)</f>
        <v>0.441</v>
      </c>
      <c r="I232" s="26">
        <f>VLOOKUP(N232,contoare!A:K,7,FALSE)</f>
        <v>7.7050000000000001</v>
      </c>
      <c r="J232" s="26">
        <f>VLOOKUP(N232,contoare!A:K,8,FALSE)</f>
        <v>0.29699999999999999</v>
      </c>
      <c r="K232" s="26">
        <f>VLOOKUP(N232,contoare!A:K,9,FALSE)</f>
        <v>1356.712</v>
      </c>
      <c r="L232" s="26">
        <f>VLOOKUP(N232,contoare!A:K,10,FALSE)</f>
        <v>0.443</v>
      </c>
      <c r="M232" s="26">
        <f>VLOOKUP(N232,contoare!A:K,11,FALSE)</f>
        <v>12.99</v>
      </c>
      <c r="N232" s="92" t="s">
        <v>170</v>
      </c>
      <c r="O232" s="26">
        <v>160</v>
      </c>
      <c r="P232" s="70">
        <f t="shared" si="120"/>
        <v>17.599999999999998</v>
      </c>
      <c r="Q232" s="70">
        <f t="shared" si="121"/>
        <v>86420.319999999992</v>
      </c>
      <c r="R232" s="283"/>
      <c r="S232" s="245"/>
      <c r="T232" s="38">
        <f>VLOOKUP(X232,contoare!A:K,4,FALSE)</f>
        <v>1.4850000000000001</v>
      </c>
      <c r="U232" s="38">
        <f>VLOOKUP(X232,contoare!A:K,5,FALSE)</f>
        <v>1275.5519999999999</v>
      </c>
      <c r="V232" s="38">
        <f>VLOOKUP(X232,contoare!A:K,8,FALSE)</f>
        <v>1.728</v>
      </c>
      <c r="W232" s="38">
        <f>VLOOKUP(X232,contoare!A:K,9,FALSE)</f>
        <v>1780.8140000000001</v>
      </c>
      <c r="X232" s="97" t="s">
        <v>168</v>
      </c>
      <c r="Y232" s="26">
        <v>160</v>
      </c>
      <c r="Z232" s="27">
        <f t="shared" si="82"/>
        <v>38.879999999999981</v>
      </c>
      <c r="AA232" s="27">
        <f t="shared" si="78"/>
        <v>80841.920000000027</v>
      </c>
      <c r="AB232" s="303"/>
      <c r="AC232" s="305"/>
      <c r="AD232" s="280"/>
    </row>
    <row r="233" spans="1:30" x14ac:dyDescent="0.2">
      <c r="A233" s="352"/>
      <c r="B233" s="65" t="s">
        <v>546</v>
      </c>
      <c r="C233" s="72" t="s">
        <v>546</v>
      </c>
      <c r="D233" s="142">
        <f>VLOOKUP(N233,contoare!A:K,2,FALSE)</f>
        <v>45870</v>
      </c>
      <c r="E233" s="142">
        <f>VLOOKUP(N233,contoare!A:K,3,FALSE)</f>
        <v>45901</v>
      </c>
      <c r="F233" s="26">
        <f>VLOOKUP(N233,contoare!A:K,4,FALSE)</f>
        <v>158.636</v>
      </c>
      <c r="G233" s="26">
        <f>VLOOKUP(N233,contoare!A:K,5,FALSE)</f>
        <v>1.7629999999999999</v>
      </c>
      <c r="H233" s="26">
        <f>VLOOKUP(N233,contoare!A:K,6,FALSE)</f>
        <v>1.847</v>
      </c>
      <c r="I233" s="26">
        <f>VLOOKUP(N233,contoare!A:K,7,FALSE)</f>
        <v>34.116</v>
      </c>
      <c r="J233" s="26">
        <f>VLOOKUP(N233,contoare!A:K,8,FALSE)</f>
        <v>200.887</v>
      </c>
      <c r="K233" s="26">
        <f>VLOOKUP(N233,contoare!A:K,9,FALSE)</f>
        <v>1.764</v>
      </c>
      <c r="L233" s="26">
        <f>VLOOKUP(N233,contoare!A:K,10,FALSE)</f>
        <v>2.4990000000000001</v>
      </c>
      <c r="M233" s="26">
        <f>VLOOKUP(N233,contoare!A:K,11,FALSE)</f>
        <v>38.091999999999999</v>
      </c>
      <c r="N233" s="92" t="s">
        <v>173</v>
      </c>
      <c r="O233" s="26">
        <v>4000</v>
      </c>
      <c r="P233" s="70">
        <f t="shared" si="120"/>
        <v>169004.00000000003</v>
      </c>
      <c r="Q233" s="70">
        <f t="shared" si="121"/>
        <v>4.0000000000004476</v>
      </c>
      <c r="R233" s="103">
        <f t="shared" ref="R233:R234" si="124">P233</f>
        <v>169004.00000000003</v>
      </c>
      <c r="S233" s="245"/>
      <c r="T233" s="38">
        <f>VLOOKUP(X233,contoare!A:K,4,FALSE)</f>
        <v>158.636</v>
      </c>
      <c r="U233" s="38">
        <f>VLOOKUP(X233,contoare!A:K,5,FALSE)</f>
        <v>1.7629999999999999</v>
      </c>
      <c r="V233" s="38">
        <f>VLOOKUP(X233,contoare!A:K,8,FALSE)</f>
        <v>200.887</v>
      </c>
      <c r="W233" s="38">
        <f>VLOOKUP(X233,contoare!A:K,9,FALSE)</f>
        <v>1.764</v>
      </c>
      <c r="X233" s="92" t="s">
        <v>173</v>
      </c>
      <c r="Y233" s="26">
        <v>4000</v>
      </c>
      <c r="Z233" s="27">
        <f t="shared" si="82"/>
        <v>169004.00000000003</v>
      </c>
      <c r="AA233" s="27">
        <f t="shared" si="78"/>
        <v>4.0000000000004476</v>
      </c>
      <c r="AB233" s="103">
        <f t="shared" ref="AB233:AB234" si="125">Z233</f>
        <v>169004.00000000003</v>
      </c>
      <c r="AC233" s="305"/>
      <c r="AD233" s="280"/>
    </row>
    <row r="234" spans="1:30" ht="17" thickBot="1" x14ac:dyDescent="0.25">
      <c r="A234" s="353"/>
      <c r="B234" s="66" t="s">
        <v>661</v>
      </c>
      <c r="C234" s="219" t="str">
        <f>"594030300002113780"</f>
        <v>594030300002113780</v>
      </c>
      <c r="D234" s="144" t="e">
        <f>VLOOKUP(N234,contoare!A:K,2,FALSE)</f>
        <v>#N/A</v>
      </c>
      <c r="E234" s="144" t="e">
        <f>VLOOKUP(N234,contoare!A:K,3,FALSE)</f>
        <v>#N/A</v>
      </c>
      <c r="F234" s="43" t="e">
        <f>VLOOKUP(N234,contoare!A:K,4,FALSE)</f>
        <v>#N/A</v>
      </c>
      <c r="G234" s="43" t="e">
        <f>VLOOKUP(N234,contoare!A:K,5,FALSE)</f>
        <v>#N/A</v>
      </c>
      <c r="H234" s="43" t="e">
        <f>VLOOKUP(N234,contoare!A:K,6,FALSE)</f>
        <v>#N/A</v>
      </c>
      <c r="I234" s="43" t="e">
        <f>VLOOKUP(N234,contoare!A:K,7,FALSE)</f>
        <v>#N/A</v>
      </c>
      <c r="J234" s="43" t="e">
        <f>VLOOKUP(N234,contoare!A:K,8,FALSE)</f>
        <v>#N/A</v>
      </c>
      <c r="K234" s="43" t="e">
        <f>VLOOKUP(N234,contoare!A:K,9,FALSE)</f>
        <v>#N/A</v>
      </c>
      <c r="L234" s="43" t="e">
        <f>VLOOKUP(N234,contoare!A:K,10,FALSE)</f>
        <v>#N/A</v>
      </c>
      <c r="M234" s="43" t="e">
        <f>VLOOKUP(N234,contoare!A:K,11,FALSE)</f>
        <v>#N/A</v>
      </c>
      <c r="N234" s="94">
        <v>23301789063</v>
      </c>
      <c r="O234" s="43">
        <v>4000</v>
      </c>
      <c r="P234" s="71">
        <v>168840</v>
      </c>
      <c r="Q234" s="71">
        <v>0</v>
      </c>
      <c r="R234" s="104">
        <f t="shared" si="124"/>
        <v>168840</v>
      </c>
      <c r="S234" s="246"/>
      <c r="T234" s="45" t="e">
        <f>VLOOKUP(X234,contoare!A:K,4,FALSE)</f>
        <v>#N/A</v>
      </c>
      <c r="U234" s="45" t="e">
        <f>VLOOKUP(X234,contoare!A:K,5,FALSE)</f>
        <v>#N/A</v>
      </c>
      <c r="V234" s="45" t="e">
        <f>VLOOKUP(X234,contoare!A:K,8,FALSE)</f>
        <v>#N/A</v>
      </c>
      <c r="W234" s="45" t="e">
        <f>VLOOKUP(X234,contoare!A:K,9,FALSE)</f>
        <v>#N/A</v>
      </c>
      <c r="X234" s="94">
        <v>23301789063</v>
      </c>
      <c r="Y234" s="43">
        <v>4000</v>
      </c>
      <c r="Z234" s="46">
        <f t="shared" si="82"/>
        <v>168840</v>
      </c>
      <c r="AA234" s="46">
        <f t="shared" si="78"/>
        <v>0</v>
      </c>
      <c r="AB234" s="104">
        <f t="shared" si="125"/>
        <v>168840</v>
      </c>
      <c r="AC234" s="306"/>
      <c r="AD234" s="281"/>
    </row>
    <row r="235" spans="1:30" x14ac:dyDescent="0.2">
      <c r="A235" s="354" t="s">
        <v>752</v>
      </c>
      <c r="B235" s="35" t="s">
        <v>277</v>
      </c>
      <c r="C235" s="222" t="s">
        <v>278</v>
      </c>
      <c r="D235" s="80">
        <f>VLOOKUP(N235,contoare!A:K,2,FALSE)</f>
        <v>45870</v>
      </c>
      <c r="E235" s="80">
        <f>VLOOKUP(N235,contoare!A:K,3,FALSE)</f>
        <v>45901</v>
      </c>
      <c r="F235" s="81">
        <f>VLOOKUP(N235,contoare!A:K,4,FALSE)</f>
        <v>3396.06</v>
      </c>
      <c r="G235" s="81">
        <f>VLOOKUP(N235,contoare!A:K,5,FALSE)</f>
        <v>26.085000000000001</v>
      </c>
      <c r="H235" s="81">
        <f>VLOOKUP(N235,contoare!A:K,6,FALSE)</f>
        <v>153.84100000000001</v>
      </c>
      <c r="I235" s="81">
        <f>VLOOKUP(N235,contoare!A:K,7,FALSE)</f>
        <v>115.24299999999999</v>
      </c>
      <c r="J235" s="81">
        <f>VLOOKUP(N235,contoare!A:K,8,FALSE)</f>
        <v>3805.2040000000002</v>
      </c>
      <c r="K235" s="81">
        <f>VLOOKUP(N235,contoare!A:K,9,FALSE)</f>
        <v>26.363</v>
      </c>
      <c r="L235" s="81">
        <f>VLOOKUP(N235,contoare!A:K,10,FALSE)</f>
        <v>212.994</v>
      </c>
      <c r="M235" s="81">
        <f>VLOOKUP(N235,contoare!A:K,11,FALSE)</f>
        <v>115.78400000000001</v>
      </c>
      <c r="N235" s="98" t="s">
        <v>176</v>
      </c>
      <c r="O235" s="35">
        <v>500</v>
      </c>
      <c r="P235" s="36">
        <f t="shared" si="104"/>
        <v>204572.00000000012</v>
      </c>
      <c r="Q235" s="36">
        <f t="shared" si="105"/>
        <v>138.99999999999935</v>
      </c>
      <c r="R235" s="329">
        <f>P235+P236-Q235-Q236</f>
        <v>390208.00000000012</v>
      </c>
      <c r="S235" s="317">
        <f>(R239-R235)/R239</f>
        <v>2.0163821634298796E-2</v>
      </c>
      <c r="T235" s="81">
        <f>VLOOKUP(X235,contoare!A:K,4,FALSE)</f>
        <v>645.99199999999996</v>
      </c>
      <c r="U235" s="81">
        <f>VLOOKUP(X235,contoare!A:K,5,FALSE)</f>
        <v>0</v>
      </c>
      <c r="V235" s="81">
        <f>VLOOKUP(X235,contoare!A:K,8,FALSE)</f>
        <v>955.61699999999996</v>
      </c>
      <c r="W235" s="81">
        <f>VLOOKUP(X235,contoare!A:K,9,FALSE)</f>
        <v>0</v>
      </c>
      <c r="X235" s="182" t="s">
        <v>175</v>
      </c>
      <c r="Y235" s="35">
        <v>600</v>
      </c>
      <c r="Z235" s="36">
        <f t="shared" si="82"/>
        <v>185775</v>
      </c>
      <c r="AA235" s="119">
        <f t="shared" ref="AA235:AA250" si="126">IF(LEFT(X235,3)&lt;&gt;"HXE",Q235,(W235-U235)*Y235)</f>
        <v>0</v>
      </c>
      <c r="AB235" s="329">
        <f>Z235+Z236-AA235-AA236</f>
        <v>390208.00000000012</v>
      </c>
      <c r="AC235" s="317">
        <f>(AB239-AB235)/AB239</f>
        <v>2.0163821634298796E-2</v>
      </c>
      <c r="AD235" s="395" t="s">
        <v>651</v>
      </c>
    </row>
    <row r="236" spans="1:30" x14ac:dyDescent="0.2">
      <c r="A236" s="255"/>
      <c r="B236" s="26" t="s">
        <v>279</v>
      </c>
      <c r="C236" s="217" t="s">
        <v>280</v>
      </c>
      <c r="D236" s="37">
        <f>VLOOKUP(N236,contoare!A:K,2,FALSE)</f>
        <v>45870</v>
      </c>
      <c r="E236" s="37">
        <f>VLOOKUP(N236,contoare!A:K,3,FALSE)</f>
        <v>45901</v>
      </c>
      <c r="F236" s="38">
        <f>VLOOKUP(N236,contoare!A:K,4,FALSE)</f>
        <v>645.99199999999996</v>
      </c>
      <c r="G236" s="38">
        <f>VLOOKUP(N236,contoare!A:K,5,FALSE)</f>
        <v>0</v>
      </c>
      <c r="H236" s="38">
        <f>VLOOKUP(N236,contoare!A:K,6,FALSE)</f>
        <v>95.341999999999999</v>
      </c>
      <c r="I236" s="38">
        <f>VLOOKUP(N236,contoare!A:K,7,FALSE)</f>
        <v>2.5000000000000001E-2</v>
      </c>
      <c r="J236" s="38">
        <f>VLOOKUP(N236,contoare!A:K,8,FALSE)</f>
        <v>955.61699999999996</v>
      </c>
      <c r="K236" s="38">
        <f>VLOOKUP(N236,contoare!A:K,9,FALSE)</f>
        <v>0</v>
      </c>
      <c r="L236" s="38">
        <f>VLOOKUP(N236,contoare!A:K,10,FALSE)</f>
        <v>138.85400000000001</v>
      </c>
      <c r="M236" s="38">
        <f>VLOOKUP(N236,contoare!A:K,11,FALSE)</f>
        <v>0.03</v>
      </c>
      <c r="N236" s="92" t="s">
        <v>175</v>
      </c>
      <c r="O236" s="26">
        <v>600</v>
      </c>
      <c r="P236" s="27">
        <f t="shared" si="104"/>
        <v>185775</v>
      </c>
      <c r="Q236" s="27">
        <f t="shared" si="105"/>
        <v>0</v>
      </c>
      <c r="R236" s="269"/>
      <c r="S236" s="271"/>
      <c r="T236" s="38">
        <f>VLOOKUP(X236,contoare!A:K,4,FALSE)</f>
        <v>3396.06</v>
      </c>
      <c r="U236" s="38">
        <f>VLOOKUP(X236,contoare!A:K,5,FALSE)</f>
        <v>26.085000000000001</v>
      </c>
      <c r="V236" s="38">
        <f>VLOOKUP(X236,contoare!A:K,8,FALSE)</f>
        <v>3805.2040000000002</v>
      </c>
      <c r="W236" s="38">
        <f>VLOOKUP(X236,contoare!A:K,9,FALSE)</f>
        <v>26.363</v>
      </c>
      <c r="X236" s="97" t="s">
        <v>176</v>
      </c>
      <c r="Y236" s="26">
        <v>500</v>
      </c>
      <c r="Z236" s="27">
        <f t="shared" si="82"/>
        <v>204572.00000000012</v>
      </c>
      <c r="AA236" s="70">
        <f t="shared" si="126"/>
        <v>138.99999999999935</v>
      </c>
      <c r="AB236" s="269"/>
      <c r="AC236" s="271"/>
      <c r="AD236" s="263"/>
    </row>
    <row r="237" spans="1:30" x14ac:dyDescent="0.2">
      <c r="A237" s="255"/>
      <c r="B237" s="26" t="s">
        <v>457</v>
      </c>
      <c r="C237" s="217" t="s">
        <v>458</v>
      </c>
      <c r="D237" s="37">
        <f>VLOOKUP(N237,contoare!A:K,2,FALSE)</f>
        <v>45870</v>
      </c>
      <c r="E237" s="37">
        <f>VLOOKUP(N237,contoare!A:K,3,FALSE)</f>
        <v>45901</v>
      </c>
      <c r="F237" s="38">
        <f>VLOOKUP(N237,contoare!A:K,4,FALSE)</f>
        <v>2288.7689999999998</v>
      </c>
      <c r="G237" s="38">
        <f>VLOOKUP(N237,contoare!A:K,5,FALSE)</f>
        <v>1.4610000000000001</v>
      </c>
      <c r="H237" s="38">
        <f>VLOOKUP(N237,contoare!A:K,6,FALSE)</f>
        <v>16.376000000000001</v>
      </c>
      <c r="I237" s="38">
        <f>VLOOKUP(N237,contoare!A:K,7,FALSE)</f>
        <v>17.920999999999999</v>
      </c>
      <c r="J237" s="38">
        <f>VLOOKUP(N237,contoare!A:K,8,FALSE)</f>
        <v>2704.4029999999998</v>
      </c>
      <c r="K237" s="38">
        <f>VLOOKUP(N237,contoare!A:K,9,FALSE)</f>
        <v>1.6180000000000001</v>
      </c>
      <c r="L237" s="38">
        <f>VLOOKUP(N237,contoare!A:K,10,FALSE)</f>
        <v>18.068999999999999</v>
      </c>
      <c r="M237" s="38">
        <f>VLOOKUP(N237,contoare!A:K,11,FALSE)</f>
        <v>21.158000000000001</v>
      </c>
      <c r="N237" s="157" t="s">
        <v>177</v>
      </c>
      <c r="O237" s="158">
        <v>300</v>
      </c>
      <c r="P237" s="159">
        <f t="shared" ref="P237:P238" si="127">(J237-F237)*O237</f>
        <v>124690.20000000001</v>
      </c>
      <c r="Q237" s="159">
        <f t="shared" ref="Q237:Q238" si="128">(K237-G237)*O237</f>
        <v>47.100000000000009</v>
      </c>
      <c r="R237" s="269"/>
      <c r="S237" s="271"/>
      <c r="T237" s="38">
        <f>VLOOKUP(X237,contoare!A:K,4,FALSE)</f>
        <v>2288.7689999999998</v>
      </c>
      <c r="U237" s="38">
        <f>VLOOKUP(X237,contoare!A:K,5,FALSE)</f>
        <v>1.4610000000000001</v>
      </c>
      <c r="V237" s="38">
        <f>VLOOKUP(X237,contoare!A:K,8,FALSE)</f>
        <v>2704.4029999999998</v>
      </c>
      <c r="W237" s="38">
        <f>VLOOKUP(X237,contoare!A:K,9,FALSE)</f>
        <v>1.6180000000000001</v>
      </c>
      <c r="X237" s="157" t="s">
        <v>177</v>
      </c>
      <c r="Y237" s="158">
        <v>300</v>
      </c>
      <c r="Z237" s="159">
        <f t="shared" ref="Z237:Z239" si="129">IF(LEFT(N237,3)&lt;&gt;"HXE",P237,(V237-T237)*Y237)</f>
        <v>124690.20000000001</v>
      </c>
      <c r="AA237" s="159">
        <f t="shared" ref="AA237:AA239" si="130">IF(LEFT(X237,3)&lt;&gt;"HXE",Q237,(W237-U237)*Y237)</f>
        <v>47.100000000000009</v>
      </c>
      <c r="AB237" s="269"/>
      <c r="AC237" s="271"/>
      <c r="AD237" s="263"/>
    </row>
    <row r="238" spans="1:30" x14ac:dyDescent="0.2">
      <c r="A238" s="255"/>
      <c r="B238" s="162" t="s">
        <v>533</v>
      </c>
      <c r="C238" s="218" t="s">
        <v>533</v>
      </c>
      <c r="D238" s="161" t="e">
        <f>VLOOKUP(N238,contoare!A:K,2,FALSE)</f>
        <v>#N/A</v>
      </c>
      <c r="E238" s="161" t="e">
        <f>VLOOKUP(N238,contoare!A:K,3,FALSE)</f>
        <v>#N/A</v>
      </c>
      <c r="F238" s="162" t="e">
        <f>VLOOKUP(N238,contoare!A:K,4,FALSE)</f>
        <v>#N/A</v>
      </c>
      <c r="G238" s="162" t="e">
        <f>VLOOKUP(N238,contoare!A:K,5,FALSE)</f>
        <v>#N/A</v>
      </c>
      <c r="H238" s="162" t="e">
        <f>VLOOKUP(N238,contoare!A:K,6,FALSE)</f>
        <v>#N/A</v>
      </c>
      <c r="I238" s="162" t="e">
        <f>VLOOKUP(N238,contoare!A:K,7,FALSE)</f>
        <v>#N/A</v>
      </c>
      <c r="J238" s="162" t="e">
        <f>VLOOKUP(N238,contoare!A:K,8,FALSE)</f>
        <v>#N/A</v>
      </c>
      <c r="K238" s="162" t="e">
        <f>VLOOKUP(N238,contoare!A:K,9,FALSE)</f>
        <v>#N/A</v>
      </c>
      <c r="L238" s="162" t="e">
        <f>VLOOKUP(N238,contoare!A:K,10,FALSE)</f>
        <v>#N/A</v>
      </c>
      <c r="M238" s="162" t="e">
        <f>VLOOKUP(N238,contoare!A:K,11,FALSE)</f>
        <v>#N/A</v>
      </c>
      <c r="N238" s="227" t="s">
        <v>533</v>
      </c>
      <c r="O238" s="162">
        <f>O239</f>
        <v>4000</v>
      </c>
      <c r="P238" s="164" t="e">
        <f t="shared" si="127"/>
        <v>#N/A</v>
      </c>
      <c r="Q238" s="164" t="e">
        <f t="shared" si="128"/>
        <v>#N/A</v>
      </c>
      <c r="R238" s="34" t="e">
        <f>P238</f>
        <v>#N/A</v>
      </c>
      <c r="S238" s="271"/>
      <c r="T238" s="38" t="e">
        <f>VLOOKUP(X238,contoare!A:K,4,FALSE)</f>
        <v>#N/A</v>
      </c>
      <c r="U238" s="38" t="e">
        <f>VLOOKUP(X238,contoare!A:K,5,FALSE)</f>
        <v>#N/A</v>
      </c>
      <c r="V238" s="38" t="e">
        <f>VLOOKUP(X238,contoare!A:K,8,FALSE)</f>
        <v>#N/A</v>
      </c>
      <c r="W238" s="38" t="e">
        <f>VLOOKUP(X238,contoare!A:K,9,FALSE)</f>
        <v>#N/A</v>
      </c>
      <c r="X238" s="227" t="s">
        <v>533</v>
      </c>
      <c r="Y238" s="162">
        <f>Y239</f>
        <v>4000</v>
      </c>
      <c r="Z238" s="164" t="e">
        <f t="shared" si="129"/>
        <v>#N/A</v>
      </c>
      <c r="AA238" s="164" t="e">
        <f t="shared" si="130"/>
        <v>#N/A</v>
      </c>
      <c r="AB238" s="164" t="e">
        <f>Z238</f>
        <v>#N/A</v>
      </c>
      <c r="AC238" s="271"/>
      <c r="AD238" s="263"/>
    </row>
    <row r="239" spans="1:30" ht="17" thickBot="1" x14ac:dyDescent="0.25">
      <c r="A239" s="350"/>
      <c r="B239" s="49" t="s">
        <v>650</v>
      </c>
      <c r="C239" s="221" t="str">
        <f>"59401030000224144171589916"</f>
        <v>59401030000224144171589916</v>
      </c>
      <c r="D239" s="51" t="e">
        <f>VLOOKUP(N239,contoare!A:K,2,FALSE)</f>
        <v>#N/A</v>
      </c>
      <c r="E239" s="51" t="e">
        <f>VLOOKUP(N239,contoare!A:K,3,FALSE)</f>
        <v>#N/A</v>
      </c>
      <c r="F239" s="52" t="e">
        <f>VLOOKUP(N239,contoare!A:K,4,FALSE)</f>
        <v>#N/A</v>
      </c>
      <c r="G239" s="52" t="e">
        <f>VLOOKUP(N239,contoare!A:K,5,FALSE)</f>
        <v>#N/A</v>
      </c>
      <c r="H239" s="52" t="e">
        <f>VLOOKUP(N239,contoare!A:K,6,FALSE)</f>
        <v>#N/A</v>
      </c>
      <c r="I239" s="52" t="e">
        <f>VLOOKUP(N239,contoare!A:K,7,FALSE)</f>
        <v>#N/A</v>
      </c>
      <c r="J239" s="52" t="e">
        <f>VLOOKUP(N239,contoare!A:K,8,FALSE)</f>
        <v>#N/A</v>
      </c>
      <c r="K239" s="52" t="e">
        <f>VLOOKUP(N239,contoare!A:K,9,FALSE)</f>
        <v>#N/A</v>
      </c>
      <c r="L239" s="52" t="e">
        <f>VLOOKUP(N239,contoare!A:K,10,FALSE)</f>
        <v>#N/A</v>
      </c>
      <c r="M239" s="52" t="e">
        <f>VLOOKUP(N239,contoare!A:K,11,FALSE)</f>
        <v>#N/A</v>
      </c>
      <c r="N239" s="93">
        <v>262167</v>
      </c>
      <c r="O239" s="55">
        <f>100/5*200</f>
        <v>4000</v>
      </c>
      <c r="P239" s="50">
        <v>398238</v>
      </c>
      <c r="Q239" s="50">
        <v>0</v>
      </c>
      <c r="R239" s="53">
        <f>P239</f>
        <v>398238</v>
      </c>
      <c r="S239" s="272"/>
      <c r="T239" s="52" t="e">
        <f>VLOOKUP(X239,contoare!A:K,4,FALSE)</f>
        <v>#N/A</v>
      </c>
      <c r="U239" s="52" t="e">
        <f>VLOOKUP(X239,contoare!A:K,5,FALSE)</f>
        <v>#N/A</v>
      </c>
      <c r="V239" s="52" t="e">
        <f>VLOOKUP(X239,contoare!A:K,8,FALSE)</f>
        <v>#N/A</v>
      </c>
      <c r="W239" s="52" t="e">
        <f>VLOOKUP(X239,contoare!A:K,9,FALSE)</f>
        <v>#N/A</v>
      </c>
      <c r="X239" s="93">
        <v>262167</v>
      </c>
      <c r="Y239" s="55">
        <f>100/5*200</f>
        <v>4000</v>
      </c>
      <c r="Z239" s="50">
        <f t="shared" si="129"/>
        <v>398238</v>
      </c>
      <c r="AA239" s="56">
        <f t="shared" si="130"/>
        <v>0</v>
      </c>
      <c r="AB239" s="53">
        <f>Z239</f>
        <v>398238</v>
      </c>
      <c r="AC239" s="272"/>
      <c r="AD239" s="309"/>
    </row>
    <row r="240" spans="1:30" x14ac:dyDescent="0.2">
      <c r="A240" s="239" t="s">
        <v>753</v>
      </c>
      <c r="B240" s="39" t="s">
        <v>411</v>
      </c>
      <c r="C240" s="216" t="s">
        <v>412</v>
      </c>
      <c r="D240" s="40">
        <f>VLOOKUP(N240,contoare!A:K,2,FALSE)</f>
        <v>45870</v>
      </c>
      <c r="E240" s="40">
        <f>VLOOKUP(N240,contoare!A:K,3,FALSE)</f>
        <v>45901</v>
      </c>
      <c r="F240" s="41">
        <f>VLOOKUP(N240,contoare!A:K,4,FALSE)</f>
        <v>33.987000000000002</v>
      </c>
      <c r="G240" s="41">
        <f>VLOOKUP(N240,contoare!A:K,5,FALSE)</f>
        <v>39.103000000000002</v>
      </c>
      <c r="H240" s="41">
        <f>VLOOKUP(N240,contoare!A:K,6,FALSE)</f>
        <v>40.128</v>
      </c>
      <c r="I240" s="41">
        <f>VLOOKUP(N240,contoare!A:K,7,FALSE)</f>
        <v>7.9619999999999997</v>
      </c>
      <c r="J240" s="41">
        <f>VLOOKUP(N240,contoare!A:K,8,FALSE)</f>
        <v>37.323</v>
      </c>
      <c r="K240" s="41">
        <f>VLOOKUP(N240,contoare!A:K,9,FALSE)</f>
        <v>44.648000000000003</v>
      </c>
      <c r="L240" s="41">
        <f>VLOOKUP(N240,contoare!A:K,10,FALSE)</f>
        <v>44.256999999999998</v>
      </c>
      <c r="M240" s="41">
        <f>VLOOKUP(N240,contoare!A:K,11,FALSE)</f>
        <v>8.359</v>
      </c>
      <c r="N240" s="91" t="s">
        <v>178</v>
      </c>
      <c r="O240" s="39">
        <v>120</v>
      </c>
      <c r="P240" s="42">
        <f t="shared" si="104"/>
        <v>400.31999999999982</v>
      </c>
      <c r="Q240" s="42">
        <f t="shared" si="105"/>
        <v>665.4000000000002</v>
      </c>
      <c r="R240" s="242">
        <f>P240+P242-Q240-Q242</f>
        <v>33270.319999999978</v>
      </c>
      <c r="S240" s="244">
        <f>(R244-R240)/R244</f>
        <v>-0.23939502309640806</v>
      </c>
      <c r="T240" s="41">
        <f>VLOOKUP(X240,contoare!A:K,4,FALSE)</f>
        <v>33.987000000000002</v>
      </c>
      <c r="U240" s="41">
        <f>VLOOKUP(X240,contoare!A:K,5,FALSE)</f>
        <v>39.103000000000002</v>
      </c>
      <c r="V240" s="41">
        <f>VLOOKUP(X240,contoare!A:K,8,FALSE)</f>
        <v>37.323</v>
      </c>
      <c r="W240" s="41">
        <f>VLOOKUP(X240,contoare!A:K,9,FALSE)</f>
        <v>44.648000000000003</v>
      </c>
      <c r="X240" s="124" t="s">
        <v>178</v>
      </c>
      <c r="Y240" s="39">
        <v>120</v>
      </c>
      <c r="Z240" s="42">
        <f t="shared" ref="Z240:Z250" si="131">IF(LEFT(N240,3)&lt;&gt;"HXE",P240,(V240-T240)*Y240)</f>
        <v>400.31999999999982</v>
      </c>
      <c r="AA240" s="42">
        <f t="shared" si="126"/>
        <v>665.4000000000002</v>
      </c>
      <c r="AB240" s="242">
        <f>Z240+Z242-AA240-AA242</f>
        <v>33270.319999999978</v>
      </c>
      <c r="AC240" s="244">
        <f>(AB244-AB240)/AB244</f>
        <v>-0.23939502309640806</v>
      </c>
      <c r="AD240" s="247" t="s">
        <v>655</v>
      </c>
    </row>
    <row r="241" spans="1:30" x14ac:dyDescent="0.2">
      <c r="A241" s="240"/>
      <c r="B241" s="26" t="s">
        <v>515</v>
      </c>
      <c r="C241" s="217" t="s">
        <v>516</v>
      </c>
      <c r="D241" s="37">
        <f>VLOOKUP(N241,contoare!A:K,2,FALSE)</f>
        <v>45870</v>
      </c>
      <c r="E241" s="37">
        <f>VLOOKUP(N241,contoare!A:K,3,FALSE)</f>
        <v>45901</v>
      </c>
      <c r="F241" s="38">
        <f>VLOOKUP(N241,contoare!A:K,4,FALSE)</f>
        <v>3.944</v>
      </c>
      <c r="G241" s="38">
        <f>VLOOKUP(N241,contoare!A:K,5,FALSE)</f>
        <v>1191.7660000000001</v>
      </c>
      <c r="H241" s="38">
        <f>VLOOKUP(N241,contoare!A:K,6,FALSE)</f>
        <v>0.35699999999999998</v>
      </c>
      <c r="I241" s="38">
        <f>VLOOKUP(N241,contoare!A:K,7,FALSE)</f>
        <v>31.004999999999999</v>
      </c>
      <c r="J241" s="38">
        <f>VLOOKUP(N241,contoare!A:K,8,FALSE)</f>
        <v>4.367</v>
      </c>
      <c r="K241" s="38">
        <f>VLOOKUP(N241,contoare!A:K,9,FALSE)</f>
        <v>1408.5319999999999</v>
      </c>
      <c r="L241" s="38">
        <f>VLOOKUP(N241,contoare!A:K,10,FALSE)</f>
        <v>0.371</v>
      </c>
      <c r="M241" s="38">
        <f>VLOOKUP(N241,contoare!A:K,11,FALSE)</f>
        <v>34.567999999999998</v>
      </c>
      <c r="N241" s="92" t="s">
        <v>180</v>
      </c>
      <c r="O241" s="26">
        <v>120</v>
      </c>
      <c r="P241" s="27">
        <f t="shared" si="104"/>
        <v>50.760000000000005</v>
      </c>
      <c r="Q241" s="27">
        <f t="shared" si="105"/>
        <v>26011.919999999984</v>
      </c>
      <c r="R241" s="243"/>
      <c r="S241" s="245"/>
      <c r="T241" s="38">
        <f>VLOOKUP(X241,contoare!A:K,4,FALSE)</f>
        <v>3.944</v>
      </c>
      <c r="U241" s="38">
        <f>VLOOKUP(X241,contoare!A:K,5,FALSE)</f>
        <v>1191.7660000000001</v>
      </c>
      <c r="V241" s="38">
        <f>VLOOKUP(X241,contoare!A:K,8,FALSE)</f>
        <v>4.367</v>
      </c>
      <c r="W241" s="38">
        <f>VLOOKUP(X241,contoare!A:K,9,FALSE)</f>
        <v>1408.5319999999999</v>
      </c>
      <c r="X241" s="92" t="s">
        <v>180</v>
      </c>
      <c r="Y241" s="26">
        <v>120</v>
      </c>
      <c r="Z241" s="27">
        <f t="shared" si="131"/>
        <v>50.760000000000005</v>
      </c>
      <c r="AA241" s="27">
        <f t="shared" si="126"/>
        <v>26011.919999999984</v>
      </c>
      <c r="AB241" s="243"/>
      <c r="AC241" s="245"/>
      <c r="AD241" s="248"/>
    </row>
    <row r="242" spans="1:30" x14ac:dyDescent="0.2">
      <c r="A242" s="240"/>
      <c r="B242" s="26" t="s">
        <v>413</v>
      </c>
      <c r="C242" s="217" t="s">
        <v>414</v>
      </c>
      <c r="D242" s="37">
        <f>VLOOKUP(N242,contoare!A:K,2,FALSE)</f>
        <v>45870</v>
      </c>
      <c r="E242" s="37">
        <f>VLOOKUP(N242,contoare!A:K,3,FALSE)</f>
        <v>45901</v>
      </c>
      <c r="F242" s="38">
        <f>VLOOKUP(N242,contoare!A:K,4,FALSE)</f>
        <v>1130.2080000000001</v>
      </c>
      <c r="G242" s="38">
        <f>VLOOKUP(N242,contoare!A:K,5,FALSE)</f>
        <v>0</v>
      </c>
      <c r="H242" s="38">
        <f>VLOOKUP(N242,contoare!A:K,6,FALSE)</f>
        <v>0.93200000000000005</v>
      </c>
      <c r="I242" s="38">
        <f>VLOOKUP(N242,contoare!A:K,7,FALSE)</f>
        <v>233.08699999999999</v>
      </c>
      <c r="J242" s="38">
        <f>VLOOKUP(N242,contoare!A:K,8,FALSE)</f>
        <v>1297.885</v>
      </c>
      <c r="K242" s="38">
        <f>VLOOKUP(N242,contoare!A:K,9,FALSE)</f>
        <v>0</v>
      </c>
      <c r="L242" s="38">
        <f>VLOOKUP(N242,contoare!A:K,10,FALSE)</f>
        <v>0.93200000000000005</v>
      </c>
      <c r="M242" s="38">
        <f>VLOOKUP(N242,contoare!A:K,11,FALSE)</f>
        <v>262.608</v>
      </c>
      <c r="N242" s="92" t="s">
        <v>179</v>
      </c>
      <c r="O242" s="26">
        <v>200</v>
      </c>
      <c r="P242" s="27">
        <f t="shared" si="104"/>
        <v>33535.39999999998</v>
      </c>
      <c r="Q242" s="27">
        <f t="shared" si="105"/>
        <v>0</v>
      </c>
      <c r="R242" s="243"/>
      <c r="S242" s="245"/>
      <c r="T242" s="38">
        <f>VLOOKUP(X242,contoare!A:K,4,FALSE)</f>
        <v>1130.2080000000001</v>
      </c>
      <c r="U242" s="38">
        <f>VLOOKUP(X242,contoare!A:K,5,FALSE)</f>
        <v>0</v>
      </c>
      <c r="V242" s="38">
        <f>VLOOKUP(X242,contoare!A:K,8,FALSE)</f>
        <v>1297.885</v>
      </c>
      <c r="W242" s="38">
        <f>VLOOKUP(X242,contoare!A:K,9,FALSE)</f>
        <v>0</v>
      </c>
      <c r="X242" s="92" t="s">
        <v>179</v>
      </c>
      <c r="Y242" s="26">
        <v>200</v>
      </c>
      <c r="Z242" s="27">
        <f t="shared" ref="Z242:Z244" si="132">IF(LEFT(N242,3)&lt;&gt;"HXE",P242,(V242-T242)*Y242)</f>
        <v>33535.39999999998</v>
      </c>
      <c r="AA242" s="27">
        <f t="shared" ref="AA242:AA244" si="133">IF(LEFT(X242,3)&lt;&gt;"HXE",Q242,(W242-U242)*Y242)</f>
        <v>0</v>
      </c>
      <c r="AB242" s="243"/>
      <c r="AC242" s="245"/>
      <c r="AD242" s="248"/>
    </row>
    <row r="243" spans="1:30" x14ac:dyDescent="0.2">
      <c r="A243" s="240"/>
      <c r="B243" s="162" t="s">
        <v>653</v>
      </c>
      <c r="C243" s="220" t="s">
        <v>653</v>
      </c>
      <c r="D243" s="161" t="e">
        <f>VLOOKUP(N243,contoare!A:K,2,FALSE)</f>
        <v>#N/A</v>
      </c>
      <c r="E243" s="161" t="e">
        <f>VLOOKUP(N243,contoare!A:K,3,FALSE)</f>
        <v>#N/A</v>
      </c>
      <c r="F243" s="162" t="e">
        <f>VLOOKUP(N243,contoare!A:K,4,FALSE)</f>
        <v>#N/A</v>
      </c>
      <c r="G243" s="162" t="e">
        <f>VLOOKUP(N243,contoare!A:K,5,FALSE)</f>
        <v>#N/A</v>
      </c>
      <c r="H243" s="162" t="e">
        <f>VLOOKUP(N243,contoare!A:K,6,FALSE)</f>
        <v>#N/A</v>
      </c>
      <c r="I243" s="162" t="e">
        <f>VLOOKUP(N243,contoare!A:K,7,FALSE)</f>
        <v>#N/A</v>
      </c>
      <c r="J243" s="162" t="e">
        <f>VLOOKUP(N243,contoare!A:K,8,FALSE)</f>
        <v>#N/A</v>
      </c>
      <c r="K243" s="162" t="e">
        <f>VLOOKUP(N243,contoare!A:K,9,FALSE)</f>
        <v>#N/A</v>
      </c>
      <c r="L243" s="162" t="e">
        <f>VLOOKUP(N243,contoare!A:K,10,FALSE)</f>
        <v>#N/A</v>
      </c>
      <c r="M243" s="162" t="e">
        <f>VLOOKUP(N243,contoare!A:K,11,FALSE)</f>
        <v>#N/A</v>
      </c>
      <c r="N243" s="167" t="s">
        <v>653</v>
      </c>
      <c r="O243" s="162">
        <v>1200</v>
      </c>
      <c r="P243" s="164" t="e">
        <f t="shared" ref="P243" si="134">(J243-F243)*O243</f>
        <v>#N/A</v>
      </c>
      <c r="Q243" s="164" t="e">
        <f t="shared" ref="Q243" si="135">(K243-G243)*O243</f>
        <v>#N/A</v>
      </c>
      <c r="R243" s="164" t="e">
        <f>P243</f>
        <v>#N/A</v>
      </c>
      <c r="S243" s="245"/>
      <c r="T243" s="38" t="e">
        <f>VLOOKUP(X243,contoare!A:K,4,FALSE)</f>
        <v>#N/A</v>
      </c>
      <c r="U243" s="38" t="e">
        <f>VLOOKUP(X243,contoare!A:K,5,FALSE)</f>
        <v>#N/A</v>
      </c>
      <c r="V243" s="38" t="e">
        <f>VLOOKUP(X243,contoare!A:K,8,FALSE)</f>
        <v>#N/A</v>
      </c>
      <c r="W243" s="38" t="e">
        <f>VLOOKUP(X243,contoare!A:K,9,FALSE)</f>
        <v>#N/A</v>
      </c>
      <c r="X243" s="167" t="s">
        <v>653</v>
      </c>
      <c r="Y243" s="162">
        <v>1200</v>
      </c>
      <c r="Z243" s="164" t="e">
        <f t="shared" si="132"/>
        <v>#N/A</v>
      </c>
      <c r="AA243" s="164" t="e">
        <f t="shared" si="133"/>
        <v>#N/A</v>
      </c>
      <c r="AB243" s="164" t="e">
        <f>Z243</f>
        <v>#N/A</v>
      </c>
      <c r="AC243" s="245"/>
      <c r="AD243" s="248"/>
    </row>
    <row r="244" spans="1:30" ht="17" thickBot="1" x14ac:dyDescent="0.25">
      <c r="A244" s="345"/>
      <c r="B244" s="49" t="s">
        <v>652</v>
      </c>
      <c r="C244" s="221" t="s">
        <v>654</v>
      </c>
      <c r="D244" s="51" t="e">
        <f>VLOOKUP(N244,contoare!A:K,2,FALSE)</f>
        <v>#N/A</v>
      </c>
      <c r="E244" s="51" t="e">
        <f>VLOOKUP(N244,contoare!A:K,3,FALSE)</f>
        <v>#N/A</v>
      </c>
      <c r="F244" s="52" t="e">
        <f>VLOOKUP(N244,contoare!A:K,4,FALSE)</f>
        <v>#N/A</v>
      </c>
      <c r="G244" s="52" t="e">
        <f>VLOOKUP(N244,contoare!A:K,5,FALSE)</f>
        <v>#N/A</v>
      </c>
      <c r="H244" s="52" t="e">
        <f>VLOOKUP(N244,contoare!A:K,6,FALSE)</f>
        <v>#N/A</v>
      </c>
      <c r="I244" s="52" t="e">
        <f>VLOOKUP(N244,contoare!A:K,7,FALSE)</f>
        <v>#N/A</v>
      </c>
      <c r="J244" s="52" t="e">
        <f>VLOOKUP(N244,contoare!A:K,8,FALSE)</f>
        <v>#N/A</v>
      </c>
      <c r="K244" s="52" t="e">
        <f>VLOOKUP(N244,contoare!A:K,9,FALSE)</f>
        <v>#N/A</v>
      </c>
      <c r="L244" s="52" t="e">
        <f>VLOOKUP(N244,contoare!A:K,10,FALSE)</f>
        <v>#N/A</v>
      </c>
      <c r="M244" s="52" t="e">
        <f>VLOOKUP(N244,contoare!A:K,11,FALSE)</f>
        <v>#N/A</v>
      </c>
      <c r="N244" s="93">
        <v>2753290</v>
      </c>
      <c r="O244" s="49">
        <v>1200</v>
      </c>
      <c r="P244" s="50">
        <v>26844</v>
      </c>
      <c r="Q244" s="50">
        <v>0</v>
      </c>
      <c r="R244" s="136">
        <f>P244</f>
        <v>26844</v>
      </c>
      <c r="S244" s="287"/>
      <c r="T244" s="52" t="e">
        <f>VLOOKUP(X244,contoare!A:K,4,FALSE)</f>
        <v>#N/A</v>
      </c>
      <c r="U244" s="52" t="e">
        <f>VLOOKUP(X244,contoare!A:K,5,FALSE)</f>
        <v>#N/A</v>
      </c>
      <c r="V244" s="52" t="e">
        <f>VLOOKUP(X244,contoare!A:K,8,FALSE)</f>
        <v>#N/A</v>
      </c>
      <c r="W244" s="52" t="e">
        <f>VLOOKUP(X244,contoare!A:K,9,FALSE)</f>
        <v>#N/A</v>
      </c>
      <c r="X244" s="93">
        <v>2753290</v>
      </c>
      <c r="Y244" s="49">
        <v>1200</v>
      </c>
      <c r="Z244" s="50">
        <f t="shared" si="132"/>
        <v>26844</v>
      </c>
      <c r="AA244" s="50">
        <f t="shared" si="133"/>
        <v>0</v>
      </c>
      <c r="AB244" s="136">
        <f>Z244</f>
        <v>26844</v>
      </c>
      <c r="AC244" s="287"/>
      <c r="AD244" s="372"/>
    </row>
    <row r="245" spans="1:30" ht="16" customHeight="1" x14ac:dyDescent="0.2">
      <c r="A245" s="239" t="s">
        <v>181</v>
      </c>
      <c r="B245" s="39" t="s">
        <v>281</v>
      </c>
      <c r="C245" s="216" t="s">
        <v>282</v>
      </c>
      <c r="D245" s="40">
        <f>VLOOKUP(N245,contoare!A:K,2,FALSE)</f>
        <v>45870</v>
      </c>
      <c r="E245" s="40">
        <f>VLOOKUP(N245,contoare!A:K,3,FALSE)</f>
        <v>45901</v>
      </c>
      <c r="F245" s="41">
        <f>VLOOKUP(N245,contoare!A:K,4,FALSE)</f>
        <v>1769.5650000000001</v>
      </c>
      <c r="G245" s="41">
        <f>VLOOKUP(N245,contoare!A:K,5,FALSE)</f>
        <v>58.322000000000003</v>
      </c>
      <c r="H245" s="41">
        <f>VLOOKUP(N245,contoare!A:K,6,FALSE)</f>
        <v>180.79400000000001</v>
      </c>
      <c r="I245" s="41">
        <f>VLOOKUP(N245,contoare!A:K,7,FALSE)</f>
        <v>2.8860000000000001</v>
      </c>
      <c r="J245" s="41">
        <f>VLOOKUP(N245,contoare!A:K,8,FALSE)</f>
        <v>1979.019</v>
      </c>
      <c r="K245" s="41">
        <f>VLOOKUP(N245,contoare!A:K,9,FALSE)</f>
        <v>91.158000000000001</v>
      </c>
      <c r="L245" s="41">
        <f>VLOOKUP(N245,contoare!A:K,10,FALSE)</f>
        <v>232.40299999999999</v>
      </c>
      <c r="M245" s="41">
        <f>VLOOKUP(N245,contoare!A:K,11,FALSE)</f>
        <v>25.512</v>
      </c>
      <c r="N245" s="91" t="s">
        <v>182</v>
      </c>
      <c r="O245" s="39">
        <v>500</v>
      </c>
      <c r="P245" s="42">
        <f t="shared" si="104"/>
        <v>104726.99999999997</v>
      </c>
      <c r="Q245" s="42">
        <f t="shared" si="105"/>
        <v>16418</v>
      </c>
      <c r="R245" s="307">
        <f>P245-Q245+P248-Q248+P250-Q250</f>
        <v>220876.15999999992</v>
      </c>
      <c r="S245" s="270">
        <f>(R252-R245)/R252</f>
        <v>4.4653287197232196E-2</v>
      </c>
      <c r="T245" s="41">
        <f>VLOOKUP(X245,contoare!A:K,4,FALSE)</f>
        <v>1769.5650000000001</v>
      </c>
      <c r="U245" s="41">
        <f>VLOOKUP(X245,contoare!A:K,5,FALSE)</f>
        <v>58.322000000000003</v>
      </c>
      <c r="V245" s="41">
        <f>VLOOKUP(X245,contoare!A:K,8,FALSE)</f>
        <v>1979.019</v>
      </c>
      <c r="W245" s="41">
        <f>VLOOKUP(X245,contoare!A:K,9,FALSE)</f>
        <v>91.158000000000001</v>
      </c>
      <c r="X245" s="91" t="s">
        <v>182</v>
      </c>
      <c r="Y245" s="39">
        <v>500</v>
      </c>
      <c r="Z245" s="42">
        <f t="shared" si="131"/>
        <v>104726.99999999997</v>
      </c>
      <c r="AA245" s="42">
        <f t="shared" si="126"/>
        <v>16418</v>
      </c>
      <c r="AB245" s="307">
        <f>Z245-AA245+Z248-AA248+Z250-AA250-AA252</f>
        <v>216582.15999999992</v>
      </c>
      <c r="AC245" s="270">
        <f>(AB252-AB245)/AB252</f>
        <v>6.322595155709379E-2</v>
      </c>
      <c r="AD245" s="247" t="s">
        <v>659</v>
      </c>
    </row>
    <row r="246" spans="1:30" x14ac:dyDescent="0.2">
      <c r="A246" s="240"/>
      <c r="B246" s="26" t="s">
        <v>459</v>
      </c>
      <c r="C246" s="217" t="s">
        <v>460</v>
      </c>
      <c r="D246" s="100">
        <f>VLOOKUP(N246,contoare!A:K,2,FALSE)</f>
        <v>45870</v>
      </c>
      <c r="E246" s="100">
        <f>VLOOKUP(N246,contoare!A:K,3,FALSE)</f>
        <v>45877.5625</v>
      </c>
      <c r="F246" s="38">
        <f>VLOOKUP(N246,contoare!A:K,4,FALSE)</f>
        <v>1544.4480000000001</v>
      </c>
      <c r="G246" s="38">
        <f>VLOOKUP(N246,contoare!A:K,5,FALSE)</f>
        <v>0.60599999999999998</v>
      </c>
      <c r="H246" s="38">
        <f>VLOOKUP(N246,contoare!A:K,6,FALSE)</f>
        <v>11.343</v>
      </c>
      <c r="I246" s="38">
        <f>VLOOKUP(N246,contoare!A:K,7,FALSE)</f>
        <v>12.923</v>
      </c>
      <c r="J246" s="38">
        <f>VLOOKUP(N246,contoare!A:K,8,FALSE)</f>
        <v>1631.444</v>
      </c>
      <c r="K246" s="38">
        <f>VLOOKUP(N246,contoare!A:K,9,FALSE)</f>
        <v>0.622</v>
      </c>
      <c r="L246" s="38">
        <f>VLOOKUP(N246,contoare!A:K,10,FALSE)</f>
        <v>11.645</v>
      </c>
      <c r="M246" s="38">
        <f>VLOOKUP(N246,contoare!A:K,11,FALSE)</f>
        <v>13.535</v>
      </c>
      <c r="N246" s="228" t="s">
        <v>184</v>
      </c>
      <c r="O246" s="158">
        <v>250</v>
      </c>
      <c r="P246" s="159">
        <f t="shared" si="104"/>
        <v>21748.999999999967</v>
      </c>
      <c r="Q246" s="159">
        <f t="shared" si="105"/>
        <v>4.0000000000000036</v>
      </c>
      <c r="R246" s="303"/>
      <c r="S246" s="271"/>
      <c r="T246" s="38">
        <f>VLOOKUP(X246,contoare!A:K,4,FALSE)</f>
        <v>1739.0409999999999</v>
      </c>
      <c r="U246" s="38">
        <f>VLOOKUP(X246,contoare!A:K,5,FALSE)</f>
        <v>1.498</v>
      </c>
      <c r="V246" s="38">
        <f>VLOOKUP(X246,contoare!A:K,8,FALSE)</f>
        <v>2179.3820000000001</v>
      </c>
      <c r="W246" s="38">
        <f>VLOOKUP(X246,contoare!A:K,9,FALSE)</f>
        <v>1.91</v>
      </c>
      <c r="X246" s="97" t="s">
        <v>186</v>
      </c>
      <c r="Y246" s="158">
        <v>250</v>
      </c>
      <c r="Z246" s="159">
        <f t="shared" si="131"/>
        <v>110085.25000000003</v>
      </c>
      <c r="AA246" s="159">
        <f t="shared" si="126"/>
        <v>102.99999999999999</v>
      </c>
      <c r="AB246" s="303"/>
      <c r="AC246" s="271"/>
      <c r="AD246" s="248"/>
    </row>
    <row r="247" spans="1:30" x14ac:dyDescent="0.2">
      <c r="A247" s="240"/>
      <c r="B247" s="26" t="s">
        <v>461</v>
      </c>
      <c r="C247" s="217" t="s">
        <v>462</v>
      </c>
      <c r="D247" s="37">
        <f>VLOOKUP(N247,contoare!A:K,2,FALSE)</f>
        <v>45870</v>
      </c>
      <c r="E247" s="37">
        <f>VLOOKUP(N247,contoare!A:K,3,FALSE)</f>
        <v>45901</v>
      </c>
      <c r="F247" s="38">
        <f>VLOOKUP(N247,contoare!A:K,4,FALSE)</f>
        <v>1.2689999999999999</v>
      </c>
      <c r="G247" s="38">
        <f>VLOOKUP(N247,contoare!A:K,5,FALSE)</f>
        <v>657.779</v>
      </c>
      <c r="H247" s="38">
        <f>VLOOKUP(N247,contoare!A:K,6,FALSE)</f>
        <v>16.611999999999998</v>
      </c>
      <c r="I247" s="38">
        <f>VLOOKUP(N247,contoare!A:K,7,FALSE)</f>
        <v>7.883</v>
      </c>
      <c r="J247" s="38">
        <f>VLOOKUP(N247,contoare!A:K,8,FALSE)</f>
        <v>1.3859999999999999</v>
      </c>
      <c r="K247" s="38">
        <f>VLOOKUP(N247,contoare!A:K,9,FALSE)</f>
        <v>714.70100000000002</v>
      </c>
      <c r="L247" s="38">
        <f>VLOOKUP(N247,contoare!A:K,10,FALSE)</f>
        <v>19.097999999999999</v>
      </c>
      <c r="M247" s="38">
        <f>VLOOKUP(N247,contoare!A:K,11,FALSE)</f>
        <v>8.7859999999999996</v>
      </c>
      <c r="N247" s="113" t="s">
        <v>187</v>
      </c>
      <c r="O247" s="26">
        <v>120</v>
      </c>
      <c r="P247" s="27">
        <f t="shared" si="104"/>
        <v>14.04</v>
      </c>
      <c r="Q247" s="27">
        <f t="shared" si="105"/>
        <v>6830.6400000000031</v>
      </c>
      <c r="R247" s="303"/>
      <c r="S247" s="271"/>
      <c r="T247" s="38">
        <f>VLOOKUP(X247,contoare!A:K,4,FALSE)</f>
        <v>1.2689999999999999</v>
      </c>
      <c r="U247" s="38">
        <f>VLOOKUP(X247,contoare!A:K,5,FALSE)</f>
        <v>657.779</v>
      </c>
      <c r="V247" s="38">
        <f>VLOOKUP(X247,contoare!A:K,8,FALSE)</f>
        <v>1.3859999999999999</v>
      </c>
      <c r="W247" s="38">
        <f>VLOOKUP(X247,contoare!A:K,9,FALSE)</f>
        <v>714.70100000000002</v>
      </c>
      <c r="X247" s="97" t="s">
        <v>187</v>
      </c>
      <c r="Y247" s="26">
        <v>120</v>
      </c>
      <c r="Z247" s="27">
        <f t="shared" si="131"/>
        <v>14.04</v>
      </c>
      <c r="AA247" s="27">
        <f t="shared" si="126"/>
        <v>6830.6400000000031</v>
      </c>
      <c r="AB247" s="303"/>
      <c r="AC247" s="271"/>
      <c r="AD247" s="248"/>
    </row>
    <row r="248" spans="1:30" x14ac:dyDescent="0.2">
      <c r="A248" s="240"/>
      <c r="B248" s="26" t="s">
        <v>283</v>
      </c>
      <c r="C248" s="217" t="s">
        <v>284</v>
      </c>
      <c r="D248" s="37">
        <f>VLOOKUP(N248,contoare!A:K,2,FALSE)</f>
        <v>45870</v>
      </c>
      <c r="E248" s="37">
        <f>VLOOKUP(N248,contoare!A:K,3,FALSE)</f>
        <v>45901</v>
      </c>
      <c r="F248" s="38">
        <f>VLOOKUP(N248,contoare!A:K,4,FALSE)</f>
        <v>1217.143</v>
      </c>
      <c r="G248" s="38">
        <f>VLOOKUP(N248,contoare!A:K,5,FALSE)</f>
        <v>25.513999999999999</v>
      </c>
      <c r="H248" s="38">
        <f>VLOOKUP(N248,contoare!A:K,6,FALSE)</f>
        <v>109.33</v>
      </c>
      <c r="I248" s="38">
        <f>VLOOKUP(N248,contoare!A:K,7,FALSE)</f>
        <v>115.477</v>
      </c>
      <c r="J248" s="38">
        <f>VLOOKUP(N248,contoare!A:K,8,FALSE)</f>
        <v>1396.1279999999999</v>
      </c>
      <c r="K248" s="38">
        <f>VLOOKUP(N248,contoare!A:K,9,FALSE)</f>
        <v>30.413</v>
      </c>
      <c r="L248" s="38">
        <f>VLOOKUP(N248,contoare!A:K,10,FALSE)</f>
        <v>162.059</v>
      </c>
      <c r="M248" s="38">
        <f>VLOOKUP(N248,contoare!A:K,11,FALSE)</f>
        <v>118.44199999999999</v>
      </c>
      <c r="N248" s="92" t="s">
        <v>183</v>
      </c>
      <c r="O248" s="26">
        <v>500</v>
      </c>
      <c r="P248" s="27">
        <f t="shared" si="104"/>
        <v>89492.499999999956</v>
      </c>
      <c r="Q248" s="27">
        <f t="shared" si="105"/>
        <v>2449.5000000000005</v>
      </c>
      <c r="R248" s="303"/>
      <c r="S248" s="271"/>
      <c r="T248" s="38">
        <f>VLOOKUP(X248,contoare!A:K,4,FALSE)</f>
        <v>1217.143</v>
      </c>
      <c r="U248" s="38">
        <f>VLOOKUP(X248,contoare!A:K,5,FALSE)</f>
        <v>25.513999999999999</v>
      </c>
      <c r="V248" s="38">
        <f>VLOOKUP(X248,contoare!A:K,8,FALSE)</f>
        <v>1396.1279999999999</v>
      </c>
      <c r="W248" s="38">
        <f>VLOOKUP(X248,contoare!A:K,9,FALSE)</f>
        <v>30.413</v>
      </c>
      <c r="X248" s="92" t="s">
        <v>183</v>
      </c>
      <c r="Y248" s="26">
        <v>500</v>
      </c>
      <c r="Z248" s="27">
        <f t="shared" si="131"/>
        <v>89492.499999999956</v>
      </c>
      <c r="AA248" s="27">
        <f t="shared" si="126"/>
        <v>2449.5000000000005</v>
      </c>
      <c r="AB248" s="303"/>
      <c r="AC248" s="271"/>
      <c r="AD248" s="248"/>
    </row>
    <row r="249" spans="1:30" x14ac:dyDescent="0.2">
      <c r="A249" s="240"/>
      <c r="B249" s="26" t="s">
        <v>463</v>
      </c>
      <c r="C249" s="217" t="s">
        <v>464</v>
      </c>
      <c r="D249" s="37">
        <f>VLOOKUP(N249,contoare!A:K,2,FALSE)</f>
        <v>45870</v>
      </c>
      <c r="E249" s="37">
        <f>VLOOKUP(N249,contoare!A:K,3,FALSE)</f>
        <v>45901</v>
      </c>
      <c r="F249" s="38">
        <f>VLOOKUP(N249,contoare!A:K,4,FALSE)</f>
        <v>1739.0409999999999</v>
      </c>
      <c r="G249" s="38">
        <f>VLOOKUP(N249,contoare!A:K,5,FALSE)</f>
        <v>1.498</v>
      </c>
      <c r="H249" s="38">
        <f>VLOOKUP(N249,contoare!A:K,6,FALSE)</f>
        <v>14.217000000000001</v>
      </c>
      <c r="I249" s="38">
        <f>VLOOKUP(N249,contoare!A:K,7,FALSE)</f>
        <v>16</v>
      </c>
      <c r="J249" s="38">
        <f>VLOOKUP(N249,contoare!A:K,8,FALSE)</f>
        <v>2179.3820000000001</v>
      </c>
      <c r="K249" s="38">
        <f>VLOOKUP(N249,contoare!A:K,9,FALSE)</f>
        <v>1.91</v>
      </c>
      <c r="L249" s="38">
        <f>VLOOKUP(N249,contoare!A:K,10,FALSE)</f>
        <v>70.573999999999998</v>
      </c>
      <c r="M249" s="38">
        <f>VLOOKUP(N249,contoare!A:K,11,FALSE)</f>
        <v>158.809</v>
      </c>
      <c r="N249" s="228" t="s">
        <v>186</v>
      </c>
      <c r="O249" s="158">
        <v>250</v>
      </c>
      <c r="P249" s="159">
        <f t="shared" si="104"/>
        <v>110085.25000000003</v>
      </c>
      <c r="Q249" s="159">
        <f t="shared" si="105"/>
        <v>102.99999999999999</v>
      </c>
      <c r="R249" s="303"/>
      <c r="S249" s="271"/>
      <c r="T249" s="38">
        <f>VLOOKUP(X249,contoare!A:K,4,FALSE)</f>
        <v>1544.4480000000001</v>
      </c>
      <c r="U249" s="38">
        <f>VLOOKUP(X249,contoare!A:K,5,FALSE)</f>
        <v>0.60599999999999998</v>
      </c>
      <c r="V249" s="38">
        <f>VLOOKUP(X249,contoare!A:K,8,FALSE)</f>
        <v>1631.444</v>
      </c>
      <c r="W249" s="38">
        <f>VLOOKUP(X249,contoare!A:K,9,FALSE)</f>
        <v>0.622</v>
      </c>
      <c r="X249" s="97" t="s">
        <v>184</v>
      </c>
      <c r="Y249" s="158">
        <v>250</v>
      </c>
      <c r="Z249" s="159">
        <f t="shared" si="131"/>
        <v>21748.999999999967</v>
      </c>
      <c r="AA249" s="159">
        <f t="shared" si="126"/>
        <v>4.0000000000000036</v>
      </c>
      <c r="AB249" s="303"/>
      <c r="AC249" s="271"/>
      <c r="AD249" s="248"/>
    </row>
    <row r="250" spans="1:30" x14ac:dyDescent="0.2">
      <c r="A250" s="240"/>
      <c r="B250" s="26" t="s">
        <v>285</v>
      </c>
      <c r="C250" s="217" t="s">
        <v>286</v>
      </c>
      <c r="D250" s="37">
        <f>VLOOKUP(N250,contoare!A:K,2,FALSE)</f>
        <v>45870</v>
      </c>
      <c r="E250" s="37">
        <f>VLOOKUP(N250,contoare!A:K,3,FALSE)</f>
        <v>45901</v>
      </c>
      <c r="F250" s="38">
        <f>VLOOKUP(N250,contoare!A:K,4,FALSE)</f>
        <v>2997.134</v>
      </c>
      <c r="G250" s="38">
        <f>VLOOKUP(N250,contoare!A:K,5,FALSE)</f>
        <v>0</v>
      </c>
      <c r="H250" s="38">
        <f>VLOOKUP(N250,contoare!A:K,6,FALSE)</f>
        <v>77.707999999999998</v>
      </c>
      <c r="I250" s="38">
        <f>VLOOKUP(N250,contoare!A:K,7,FALSE)</f>
        <v>63.313000000000002</v>
      </c>
      <c r="J250" s="38">
        <f>VLOOKUP(N250,contoare!A:K,8,FALSE)</f>
        <v>3376.502</v>
      </c>
      <c r="K250" s="38">
        <f>VLOOKUP(N250,contoare!A:K,9,FALSE)</f>
        <v>0</v>
      </c>
      <c r="L250" s="38">
        <f>VLOOKUP(N250,contoare!A:K,10,FALSE)</f>
        <v>90.3</v>
      </c>
      <c r="M250" s="38">
        <f>VLOOKUP(N250,contoare!A:K,11,FALSE)</f>
        <v>67.534999999999997</v>
      </c>
      <c r="N250" s="113" t="s">
        <v>185</v>
      </c>
      <c r="O250" s="26">
        <v>120</v>
      </c>
      <c r="P250" s="27">
        <f t="shared" si="104"/>
        <v>45524.159999999989</v>
      </c>
      <c r="Q250" s="27">
        <f t="shared" si="105"/>
        <v>0</v>
      </c>
      <c r="R250" s="303"/>
      <c r="S250" s="271"/>
      <c r="T250" s="38">
        <f>VLOOKUP(X250,contoare!A:K,4,FALSE)</f>
        <v>2997.134</v>
      </c>
      <c r="U250" s="38">
        <f>VLOOKUP(X250,contoare!A:K,5,FALSE)</f>
        <v>0</v>
      </c>
      <c r="V250" s="38">
        <f>VLOOKUP(X250,contoare!A:K,8,FALSE)</f>
        <v>3376.502</v>
      </c>
      <c r="W250" s="38">
        <f>VLOOKUP(X250,contoare!A:K,9,FALSE)</f>
        <v>0</v>
      </c>
      <c r="X250" s="97" t="s">
        <v>185</v>
      </c>
      <c r="Y250" s="26">
        <v>120</v>
      </c>
      <c r="Z250" s="27">
        <f t="shared" si="131"/>
        <v>45524.159999999989</v>
      </c>
      <c r="AA250" s="27">
        <f t="shared" si="126"/>
        <v>0</v>
      </c>
      <c r="AB250" s="303"/>
      <c r="AC250" s="271"/>
      <c r="AD250" s="248"/>
    </row>
    <row r="251" spans="1:30" x14ac:dyDescent="0.2">
      <c r="A251" s="240"/>
      <c r="B251" s="26" t="s">
        <v>533</v>
      </c>
      <c r="C251" s="72" t="s">
        <v>533</v>
      </c>
      <c r="D251" s="37">
        <f>VLOOKUP(N251,contoare!A:K,2,FALSE)</f>
        <v>45870</v>
      </c>
      <c r="E251" s="37">
        <f>VLOOKUP(N251,contoare!A:K,3,FALSE)</f>
        <v>45901</v>
      </c>
      <c r="F251" s="38">
        <f>VLOOKUP(N251,contoare!A:K,4,FALSE)</f>
        <v>62.04</v>
      </c>
      <c r="G251" s="38">
        <f>VLOOKUP(N251,contoare!A:K,5,FALSE)</f>
        <v>0.24</v>
      </c>
      <c r="H251" s="38">
        <f>VLOOKUP(N251,contoare!A:K,6,FALSE)</f>
        <v>6.8620000000000001</v>
      </c>
      <c r="I251" s="38">
        <f>VLOOKUP(N251,contoare!A:K,7,FALSE)</f>
        <v>1.3540000000000001</v>
      </c>
      <c r="J251" s="38">
        <f>VLOOKUP(N251,contoare!A:K,8,FALSE)</f>
        <v>76.468000000000004</v>
      </c>
      <c r="K251" s="38">
        <f>VLOOKUP(N251,contoare!A:K,9,FALSE)</f>
        <v>0.47699999999999998</v>
      </c>
      <c r="L251" s="38">
        <f>VLOOKUP(N251,contoare!A:K,10,FALSE)</f>
        <v>9.891</v>
      </c>
      <c r="M251" s="38">
        <f>VLOOKUP(N251,contoare!A:K,11,FALSE)</f>
        <v>1.9450000000000001</v>
      </c>
      <c r="N251" s="92" t="s">
        <v>188</v>
      </c>
      <c r="O251" s="26">
        <v>16000</v>
      </c>
      <c r="P251" s="27">
        <f t="shared" ref="P251" si="136">(J251-F251)*O251</f>
        <v>230848.00000000006</v>
      </c>
      <c r="Q251" s="27">
        <f t="shared" ref="Q251" si="137">(K251-G251)*O251</f>
        <v>3792</v>
      </c>
      <c r="R251" s="34">
        <f>P251</f>
        <v>230848.00000000006</v>
      </c>
      <c r="S251" s="271"/>
      <c r="T251" s="38">
        <f>VLOOKUP(X251,contoare!A:K,4,FALSE)</f>
        <v>62.04</v>
      </c>
      <c r="U251" s="38">
        <f>VLOOKUP(X251,contoare!A:K,5,FALSE)</f>
        <v>0.24</v>
      </c>
      <c r="V251" s="38">
        <f>VLOOKUP(X251,contoare!A:K,8,FALSE)</f>
        <v>76.468000000000004</v>
      </c>
      <c r="W251" s="38">
        <f>VLOOKUP(X251,contoare!A:K,9,FALSE)</f>
        <v>0.47699999999999998</v>
      </c>
      <c r="X251" s="92" t="s">
        <v>188</v>
      </c>
      <c r="Y251" s="26">
        <v>16000</v>
      </c>
      <c r="Z251" s="27">
        <f t="shared" ref="Z251:Z252" si="138">IF(LEFT(N251,3)&lt;&gt;"HXE",P251,(V251-T251)*Y251)</f>
        <v>230848.00000000006</v>
      </c>
      <c r="AA251" s="27">
        <f t="shared" ref="AA251:AA252" si="139">IF(LEFT(X251,3)&lt;&gt;"HXE",Q251,(W251-U251)*Y251)</f>
        <v>3792</v>
      </c>
      <c r="AB251" s="34">
        <f>Z251</f>
        <v>230848.00000000006</v>
      </c>
      <c r="AC251" s="271"/>
      <c r="AD251" s="248"/>
    </row>
    <row r="252" spans="1:30" ht="17" thickBot="1" x14ac:dyDescent="0.25">
      <c r="A252" s="345"/>
      <c r="B252" s="49" t="s">
        <v>656</v>
      </c>
      <c r="C252" s="221" t="s">
        <v>657</v>
      </c>
      <c r="D252" s="51" t="e">
        <f>VLOOKUP(N252,contoare!A:K,2,FALSE)</f>
        <v>#N/A</v>
      </c>
      <c r="E252" s="51" t="e">
        <f>VLOOKUP(N252,contoare!A:K,3,FALSE)</f>
        <v>#N/A</v>
      </c>
      <c r="F252" s="52" t="e">
        <f>VLOOKUP(N252,contoare!A:K,4,FALSE)</f>
        <v>#N/A</v>
      </c>
      <c r="G252" s="52" t="e">
        <f>VLOOKUP(N252,contoare!A:K,5,FALSE)</f>
        <v>#N/A</v>
      </c>
      <c r="H252" s="52" t="e">
        <f>VLOOKUP(N252,contoare!A:K,6,FALSE)</f>
        <v>#N/A</v>
      </c>
      <c r="I252" s="52" t="e">
        <f>VLOOKUP(N252,contoare!A:K,7,FALSE)</f>
        <v>#N/A</v>
      </c>
      <c r="J252" s="52" t="e">
        <f>VLOOKUP(N252,contoare!A:K,8,FALSE)</f>
        <v>#N/A</v>
      </c>
      <c r="K252" s="52" t="e">
        <f>VLOOKUP(N252,contoare!A:K,9,FALSE)</f>
        <v>#N/A</v>
      </c>
      <c r="L252" s="52" t="e">
        <f>VLOOKUP(N252,contoare!A:K,10,FALSE)</f>
        <v>#N/A</v>
      </c>
      <c r="M252" s="52" t="e">
        <f>VLOOKUP(N252,contoare!A:K,11,FALSE)</f>
        <v>#N/A</v>
      </c>
      <c r="N252" s="93" t="s">
        <v>658</v>
      </c>
      <c r="O252" s="49">
        <v>16000</v>
      </c>
      <c r="P252" s="50">
        <v>231200</v>
      </c>
      <c r="Q252" s="50">
        <v>4294</v>
      </c>
      <c r="R252" s="53">
        <f>P252</f>
        <v>231200</v>
      </c>
      <c r="S252" s="272"/>
      <c r="T252" s="52" t="e">
        <f>VLOOKUP(X252,contoare!A:K,4,FALSE)</f>
        <v>#N/A</v>
      </c>
      <c r="U252" s="52" t="e">
        <f>VLOOKUP(X252,contoare!A:K,5,FALSE)</f>
        <v>#N/A</v>
      </c>
      <c r="V252" s="52" t="e">
        <f>VLOOKUP(X252,contoare!A:K,8,FALSE)</f>
        <v>#N/A</v>
      </c>
      <c r="W252" s="52" t="e">
        <f>VLOOKUP(X252,contoare!A:K,9,FALSE)</f>
        <v>#N/A</v>
      </c>
      <c r="X252" s="93" t="s">
        <v>658</v>
      </c>
      <c r="Y252" s="49">
        <v>16000</v>
      </c>
      <c r="Z252" s="50">
        <f t="shared" si="138"/>
        <v>231200</v>
      </c>
      <c r="AA252" s="50">
        <f t="shared" si="139"/>
        <v>4294</v>
      </c>
      <c r="AB252" s="53">
        <f>Z252</f>
        <v>231200</v>
      </c>
      <c r="AC252" s="272"/>
      <c r="AD252" s="372"/>
    </row>
    <row r="253" spans="1:30" x14ac:dyDescent="0.2">
      <c r="A253" s="239" t="s">
        <v>754</v>
      </c>
      <c r="B253" s="39" t="s">
        <v>704</v>
      </c>
      <c r="C253" s="111" t="s">
        <v>704</v>
      </c>
      <c r="D253" s="40" t="e">
        <f>VLOOKUP(N253,contoare!A:K,2,FALSE)</f>
        <v>#N/A</v>
      </c>
      <c r="E253" s="40" t="e">
        <f>VLOOKUP(N253,contoare!A:K,3,FALSE)</f>
        <v>#N/A</v>
      </c>
      <c r="F253" s="41" t="e">
        <f>VLOOKUP(N253,contoare!A:K,4,FALSE)</f>
        <v>#N/A</v>
      </c>
      <c r="G253" s="41" t="e">
        <f>VLOOKUP(N253,contoare!A:K,5,FALSE)</f>
        <v>#N/A</v>
      </c>
      <c r="H253" s="41" t="e">
        <f>VLOOKUP(N253,contoare!A:K,6,FALSE)</f>
        <v>#N/A</v>
      </c>
      <c r="I253" s="41" t="e">
        <f>VLOOKUP(N253,contoare!A:K,7,FALSE)</f>
        <v>#N/A</v>
      </c>
      <c r="J253" s="41" t="e">
        <f>VLOOKUP(N253,contoare!A:K,8,FALSE)</f>
        <v>#N/A</v>
      </c>
      <c r="K253" s="41" t="e">
        <f>VLOOKUP(N253,contoare!A:K,9,FALSE)</f>
        <v>#N/A</v>
      </c>
      <c r="L253" s="41" t="e">
        <f>VLOOKUP(N253,contoare!A:K,10,FALSE)</f>
        <v>#N/A</v>
      </c>
      <c r="M253" s="41" t="e">
        <f>VLOOKUP(N253,contoare!A:K,11,FALSE)</f>
        <v>#N/A</v>
      </c>
      <c r="N253" s="156" t="s">
        <v>699</v>
      </c>
      <c r="O253" s="39">
        <v>20</v>
      </c>
      <c r="P253" s="253" t="s">
        <v>696</v>
      </c>
      <c r="Q253" s="253"/>
      <c r="R253" s="253"/>
      <c r="S253" s="253"/>
      <c r="T253" s="41" t="e">
        <f>VLOOKUP(X253,contoare!A:K,4,FALSE)</f>
        <v>#N/A</v>
      </c>
      <c r="U253" s="41" t="e">
        <f>VLOOKUP(X253,contoare!A:K,5,FALSE)</f>
        <v>#N/A</v>
      </c>
      <c r="V253" s="41" t="e">
        <f>VLOOKUP(X253,contoare!A:K,8,FALSE)</f>
        <v>#N/A</v>
      </c>
      <c r="W253" s="41" t="e">
        <f>VLOOKUP(X253,contoare!A:K,9,FALSE)</f>
        <v>#N/A</v>
      </c>
      <c r="X253" s="156" t="s">
        <v>699</v>
      </c>
      <c r="Y253" s="39">
        <v>20</v>
      </c>
      <c r="Z253" s="253" t="s">
        <v>696</v>
      </c>
      <c r="AA253" s="253"/>
      <c r="AB253" s="253"/>
      <c r="AC253" s="253"/>
      <c r="AD253" s="250" t="s">
        <v>697</v>
      </c>
    </row>
    <row r="254" spans="1:30" x14ac:dyDescent="0.2">
      <c r="A254" s="240"/>
      <c r="B254" s="26" t="s">
        <v>415</v>
      </c>
      <c r="C254" s="217" t="s">
        <v>684</v>
      </c>
      <c r="D254" s="37" t="e">
        <f>VLOOKUP(N254,contoare!A:K,2,FALSE)</f>
        <v>#N/A</v>
      </c>
      <c r="E254" s="37" t="e">
        <f>VLOOKUP(N254,contoare!A:K,3,FALSE)</f>
        <v>#N/A</v>
      </c>
      <c r="F254" s="38" t="e">
        <f>VLOOKUP(N254,contoare!A:K,4,FALSE)</f>
        <v>#N/A</v>
      </c>
      <c r="G254" s="38" t="e">
        <f>VLOOKUP(N254,contoare!A:K,5,FALSE)</f>
        <v>#N/A</v>
      </c>
      <c r="H254" s="38" t="e">
        <f>VLOOKUP(N254,contoare!A:K,6,FALSE)</f>
        <v>#N/A</v>
      </c>
      <c r="I254" s="38" t="e">
        <f>VLOOKUP(N254,contoare!A:K,7,FALSE)</f>
        <v>#N/A</v>
      </c>
      <c r="J254" s="38" t="e">
        <f>VLOOKUP(N254,contoare!A:K,8,FALSE)</f>
        <v>#N/A</v>
      </c>
      <c r="K254" s="38" t="e">
        <f>VLOOKUP(N254,contoare!A:K,9,FALSE)</f>
        <v>#N/A</v>
      </c>
      <c r="L254" s="38" t="e">
        <f>VLOOKUP(N254,contoare!A:K,10,FALSE)</f>
        <v>#N/A</v>
      </c>
      <c r="M254" s="38" t="e">
        <f>VLOOKUP(N254,contoare!A:K,11,FALSE)</f>
        <v>#N/A</v>
      </c>
      <c r="N254" s="92" t="s">
        <v>690</v>
      </c>
      <c r="O254" s="26">
        <v>20</v>
      </c>
      <c r="P254" s="234"/>
      <c r="Q254" s="234"/>
      <c r="R254" s="234"/>
      <c r="S254" s="234"/>
      <c r="T254" s="38" t="e">
        <f>VLOOKUP(X254,contoare!A:K,4,FALSE)</f>
        <v>#N/A</v>
      </c>
      <c r="U254" s="38" t="e">
        <f>VLOOKUP(X254,contoare!A:K,5,FALSE)</f>
        <v>#N/A</v>
      </c>
      <c r="V254" s="38" t="e">
        <f>VLOOKUP(X254,contoare!A:K,8,FALSE)</f>
        <v>#N/A</v>
      </c>
      <c r="W254" s="38" t="e">
        <f>VLOOKUP(X254,contoare!A:K,9,FALSE)</f>
        <v>#N/A</v>
      </c>
      <c r="X254" s="92" t="s">
        <v>690</v>
      </c>
      <c r="Y254" s="26">
        <v>20</v>
      </c>
      <c r="Z254" s="234"/>
      <c r="AA254" s="234"/>
      <c r="AB254" s="234"/>
      <c r="AC254" s="234"/>
      <c r="AD254" s="251"/>
    </row>
    <row r="255" spans="1:30" x14ac:dyDescent="0.2">
      <c r="A255" s="240"/>
      <c r="B255" s="26" t="s">
        <v>705</v>
      </c>
      <c r="C255" s="72" t="s">
        <v>705</v>
      </c>
      <c r="D255" s="37" t="e">
        <f>VLOOKUP(N255,contoare!A:K,2,FALSE)</f>
        <v>#N/A</v>
      </c>
      <c r="E255" s="37" t="e">
        <f>VLOOKUP(N255,contoare!A:K,3,FALSE)</f>
        <v>#N/A</v>
      </c>
      <c r="F255" s="38" t="e">
        <f>VLOOKUP(N255,contoare!A:K,4,FALSE)</f>
        <v>#N/A</v>
      </c>
      <c r="G255" s="38" t="e">
        <f>VLOOKUP(N255,contoare!A:K,5,FALSE)</f>
        <v>#N/A</v>
      </c>
      <c r="H255" s="38" t="e">
        <f>VLOOKUP(N255,contoare!A:K,6,FALSE)</f>
        <v>#N/A</v>
      </c>
      <c r="I255" s="38" t="e">
        <f>VLOOKUP(N255,contoare!A:K,7,FALSE)</f>
        <v>#N/A</v>
      </c>
      <c r="J255" s="38" t="e">
        <f>VLOOKUP(N255,contoare!A:K,8,FALSE)</f>
        <v>#N/A</v>
      </c>
      <c r="K255" s="38" t="e">
        <f>VLOOKUP(N255,contoare!A:K,9,FALSE)</f>
        <v>#N/A</v>
      </c>
      <c r="L255" s="38" t="e">
        <f>VLOOKUP(N255,contoare!A:K,10,FALSE)</f>
        <v>#N/A</v>
      </c>
      <c r="M255" s="38" t="e">
        <f>VLOOKUP(N255,contoare!A:K,11,FALSE)</f>
        <v>#N/A</v>
      </c>
      <c r="N255" s="155" t="s">
        <v>698</v>
      </c>
      <c r="O255" s="26">
        <v>20</v>
      </c>
      <c r="P255" s="234" t="s">
        <v>696</v>
      </c>
      <c r="Q255" s="234"/>
      <c r="R255" s="234"/>
      <c r="S255" s="234"/>
      <c r="T255" s="38" t="e">
        <f>VLOOKUP(X255,contoare!A:K,4,FALSE)</f>
        <v>#N/A</v>
      </c>
      <c r="U255" s="38" t="e">
        <f>VLOOKUP(X255,contoare!A:K,5,FALSE)</f>
        <v>#N/A</v>
      </c>
      <c r="V255" s="38" t="e">
        <f>VLOOKUP(X255,contoare!A:K,8,FALSE)</f>
        <v>#N/A</v>
      </c>
      <c r="W255" s="38" t="e">
        <f>VLOOKUP(X255,contoare!A:K,9,FALSE)</f>
        <v>#N/A</v>
      </c>
      <c r="X255" s="155" t="s">
        <v>698</v>
      </c>
      <c r="Y255" s="26">
        <v>20</v>
      </c>
      <c r="Z255" s="234" t="s">
        <v>696</v>
      </c>
      <c r="AA255" s="234"/>
      <c r="AB255" s="234"/>
      <c r="AC255" s="234"/>
      <c r="AD255" s="251"/>
    </row>
    <row r="256" spans="1:30" x14ac:dyDescent="0.2">
      <c r="A256" s="240"/>
      <c r="B256" s="26" t="s">
        <v>417</v>
      </c>
      <c r="C256" s="217" t="s">
        <v>685</v>
      </c>
      <c r="D256" s="37" t="e">
        <f>VLOOKUP(N256,contoare!A:K,2,FALSE)</f>
        <v>#N/A</v>
      </c>
      <c r="E256" s="37" t="e">
        <f>VLOOKUP(N256,contoare!A:K,3,FALSE)</f>
        <v>#N/A</v>
      </c>
      <c r="F256" s="38" t="e">
        <f>VLOOKUP(N256,contoare!A:K,4,FALSE)</f>
        <v>#N/A</v>
      </c>
      <c r="G256" s="38" t="e">
        <f>VLOOKUP(N256,contoare!A:K,5,FALSE)</f>
        <v>#N/A</v>
      </c>
      <c r="H256" s="38" t="e">
        <f>VLOOKUP(N256,contoare!A:K,6,FALSE)</f>
        <v>#N/A</v>
      </c>
      <c r="I256" s="38" t="e">
        <f>VLOOKUP(N256,contoare!A:K,7,FALSE)</f>
        <v>#N/A</v>
      </c>
      <c r="J256" s="38" t="e">
        <f>VLOOKUP(N256,contoare!A:K,8,FALSE)</f>
        <v>#N/A</v>
      </c>
      <c r="K256" s="38" t="e">
        <f>VLOOKUP(N256,contoare!A:K,9,FALSE)</f>
        <v>#N/A</v>
      </c>
      <c r="L256" s="38" t="e">
        <f>VLOOKUP(N256,contoare!A:K,10,FALSE)</f>
        <v>#N/A</v>
      </c>
      <c r="M256" s="38" t="e">
        <f>VLOOKUP(N256,contoare!A:K,11,FALSE)</f>
        <v>#N/A</v>
      </c>
      <c r="N256" s="92" t="s">
        <v>691</v>
      </c>
      <c r="O256" s="26">
        <v>20</v>
      </c>
      <c r="P256" s="234"/>
      <c r="Q256" s="234"/>
      <c r="R256" s="234"/>
      <c r="S256" s="234"/>
      <c r="T256" s="38" t="e">
        <f>VLOOKUP(X256,contoare!A:K,4,FALSE)</f>
        <v>#N/A</v>
      </c>
      <c r="U256" s="38" t="e">
        <f>VLOOKUP(X256,contoare!A:K,5,FALSE)</f>
        <v>#N/A</v>
      </c>
      <c r="V256" s="38" t="e">
        <f>VLOOKUP(X256,contoare!A:K,8,FALSE)</f>
        <v>#N/A</v>
      </c>
      <c r="W256" s="38" t="e">
        <f>VLOOKUP(X256,contoare!A:K,9,FALSE)</f>
        <v>#N/A</v>
      </c>
      <c r="X256" s="92" t="s">
        <v>691</v>
      </c>
      <c r="Y256" s="26">
        <v>20</v>
      </c>
      <c r="Z256" s="234"/>
      <c r="AA256" s="234"/>
      <c r="AB256" s="234"/>
      <c r="AC256" s="234"/>
      <c r="AD256" s="251"/>
    </row>
    <row r="257" spans="1:30" x14ac:dyDescent="0.2">
      <c r="A257" s="240"/>
      <c r="B257" s="26" t="s">
        <v>706</v>
      </c>
      <c r="C257" s="72" t="s">
        <v>706</v>
      </c>
      <c r="D257" s="37" t="e">
        <f>VLOOKUP(N257,contoare!A:K,2,FALSE)</f>
        <v>#N/A</v>
      </c>
      <c r="E257" s="37" t="e">
        <f>VLOOKUP(N257,contoare!A:K,3,FALSE)</f>
        <v>#N/A</v>
      </c>
      <c r="F257" s="38" t="e">
        <f>VLOOKUP(N257,contoare!A:K,4,FALSE)</f>
        <v>#N/A</v>
      </c>
      <c r="G257" s="38" t="e">
        <f>VLOOKUP(N257,contoare!A:K,5,FALSE)</f>
        <v>#N/A</v>
      </c>
      <c r="H257" s="38" t="e">
        <f>VLOOKUP(N257,contoare!A:K,6,FALSE)</f>
        <v>#N/A</v>
      </c>
      <c r="I257" s="38" t="e">
        <f>VLOOKUP(N257,contoare!A:K,7,FALSE)</f>
        <v>#N/A</v>
      </c>
      <c r="J257" s="38" t="e">
        <f>VLOOKUP(N257,contoare!A:K,8,FALSE)</f>
        <v>#N/A</v>
      </c>
      <c r="K257" s="38" t="e">
        <f>VLOOKUP(N257,contoare!A:K,9,FALSE)</f>
        <v>#N/A</v>
      </c>
      <c r="L257" s="38" t="e">
        <f>VLOOKUP(N257,contoare!A:K,10,FALSE)</f>
        <v>#N/A</v>
      </c>
      <c r="M257" s="38" t="e">
        <f>VLOOKUP(N257,contoare!A:K,11,FALSE)</f>
        <v>#N/A</v>
      </c>
      <c r="N257" s="155" t="s">
        <v>700</v>
      </c>
      <c r="O257" s="26">
        <v>20</v>
      </c>
      <c r="P257" s="234" t="s">
        <v>696</v>
      </c>
      <c r="Q257" s="234"/>
      <c r="R257" s="234"/>
      <c r="S257" s="234"/>
      <c r="T257" s="38" t="e">
        <f>VLOOKUP(X257,contoare!A:K,4,FALSE)</f>
        <v>#N/A</v>
      </c>
      <c r="U257" s="38" t="e">
        <f>VLOOKUP(X257,contoare!A:K,5,FALSE)</f>
        <v>#N/A</v>
      </c>
      <c r="V257" s="38" t="e">
        <f>VLOOKUP(X257,contoare!A:K,8,FALSE)</f>
        <v>#N/A</v>
      </c>
      <c r="W257" s="38" t="e">
        <f>VLOOKUP(X257,contoare!A:K,9,FALSE)</f>
        <v>#N/A</v>
      </c>
      <c r="X257" s="155" t="s">
        <v>700</v>
      </c>
      <c r="Y257" s="26">
        <v>20</v>
      </c>
      <c r="Z257" s="234" t="s">
        <v>696</v>
      </c>
      <c r="AA257" s="234"/>
      <c r="AB257" s="234"/>
      <c r="AC257" s="234"/>
      <c r="AD257" s="251"/>
    </row>
    <row r="258" spans="1:30" x14ac:dyDescent="0.2">
      <c r="A258" s="240"/>
      <c r="B258" s="26" t="s">
        <v>419</v>
      </c>
      <c r="C258" s="217" t="s">
        <v>686</v>
      </c>
      <c r="D258" s="37" t="e">
        <f>VLOOKUP(N258,contoare!A:K,2,FALSE)</f>
        <v>#N/A</v>
      </c>
      <c r="E258" s="37" t="e">
        <f>VLOOKUP(N258,contoare!A:K,3,FALSE)</f>
        <v>#N/A</v>
      </c>
      <c r="F258" s="38" t="e">
        <f>VLOOKUP(N258,contoare!A:K,4,FALSE)</f>
        <v>#N/A</v>
      </c>
      <c r="G258" s="38" t="e">
        <f>VLOOKUP(N258,contoare!A:K,5,FALSE)</f>
        <v>#N/A</v>
      </c>
      <c r="H258" s="38" t="e">
        <f>VLOOKUP(N258,contoare!A:K,6,FALSE)</f>
        <v>#N/A</v>
      </c>
      <c r="I258" s="38" t="e">
        <f>VLOOKUP(N258,contoare!A:K,7,FALSE)</f>
        <v>#N/A</v>
      </c>
      <c r="J258" s="38" t="e">
        <f>VLOOKUP(N258,contoare!A:K,8,FALSE)</f>
        <v>#N/A</v>
      </c>
      <c r="K258" s="38" t="e">
        <f>VLOOKUP(N258,contoare!A:K,9,FALSE)</f>
        <v>#N/A</v>
      </c>
      <c r="L258" s="38" t="e">
        <f>VLOOKUP(N258,contoare!A:K,10,FALSE)</f>
        <v>#N/A</v>
      </c>
      <c r="M258" s="38" t="e">
        <f>VLOOKUP(N258,contoare!A:K,11,FALSE)</f>
        <v>#N/A</v>
      </c>
      <c r="N258" s="92" t="s">
        <v>692</v>
      </c>
      <c r="O258" s="26">
        <v>20</v>
      </c>
      <c r="P258" s="234"/>
      <c r="Q258" s="234"/>
      <c r="R258" s="234"/>
      <c r="S258" s="234"/>
      <c r="T258" s="38" t="e">
        <f>VLOOKUP(X258,contoare!A:K,4,FALSE)</f>
        <v>#N/A</v>
      </c>
      <c r="U258" s="38" t="e">
        <f>VLOOKUP(X258,contoare!A:K,5,FALSE)</f>
        <v>#N/A</v>
      </c>
      <c r="V258" s="38" t="e">
        <f>VLOOKUP(X258,contoare!A:K,8,FALSE)</f>
        <v>#N/A</v>
      </c>
      <c r="W258" s="38" t="e">
        <f>VLOOKUP(X258,contoare!A:K,9,FALSE)</f>
        <v>#N/A</v>
      </c>
      <c r="X258" s="92" t="s">
        <v>692</v>
      </c>
      <c r="Y258" s="26">
        <v>20</v>
      </c>
      <c r="Z258" s="234"/>
      <c r="AA258" s="234"/>
      <c r="AB258" s="234"/>
      <c r="AC258" s="234"/>
      <c r="AD258" s="251"/>
    </row>
    <row r="259" spans="1:30" x14ac:dyDescent="0.2">
      <c r="A259" s="240"/>
      <c r="B259" s="26" t="s">
        <v>707</v>
      </c>
      <c r="C259" s="72" t="s">
        <v>707</v>
      </c>
      <c r="D259" s="37" t="e">
        <f>VLOOKUP(N259,contoare!A:K,2,FALSE)</f>
        <v>#N/A</v>
      </c>
      <c r="E259" s="37" t="e">
        <f>VLOOKUP(N259,contoare!A:K,3,FALSE)</f>
        <v>#N/A</v>
      </c>
      <c r="F259" s="38" t="e">
        <f>VLOOKUP(N259,contoare!A:K,4,FALSE)</f>
        <v>#N/A</v>
      </c>
      <c r="G259" s="38" t="e">
        <f>VLOOKUP(N259,contoare!A:K,5,FALSE)</f>
        <v>#N/A</v>
      </c>
      <c r="H259" s="38" t="e">
        <f>VLOOKUP(N259,contoare!A:K,6,FALSE)</f>
        <v>#N/A</v>
      </c>
      <c r="I259" s="38" t="e">
        <f>VLOOKUP(N259,contoare!A:K,7,FALSE)</f>
        <v>#N/A</v>
      </c>
      <c r="J259" s="38" t="e">
        <f>VLOOKUP(N259,contoare!A:K,8,FALSE)</f>
        <v>#N/A</v>
      </c>
      <c r="K259" s="38" t="e">
        <f>VLOOKUP(N259,contoare!A:K,9,FALSE)</f>
        <v>#N/A</v>
      </c>
      <c r="L259" s="38" t="e">
        <f>VLOOKUP(N259,contoare!A:K,10,FALSE)</f>
        <v>#N/A</v>
      </c>
      <c r="M259" s="38" t="e">
        <f>VLOOKUP(N259,contoare!A:K,11,FALSE)</f>
        <v>#N/A</v>
      </c>
      <c r="N259" s="155" t="s">
        <v>703</v>
      </c>
      <c r="O259" s="26">
        <v>10</v>
      </c>
      <c r="P259" s="234" t="s">
        <v>696</v>
      </c>
      <c r="Q259" s="234"/>
      <c r="R259" s="234"/>
      <c r="S259" s="234"/>
      <c r="T259" s="38" t="e">
        <f>VLOOKUP(X259,contoare!A:K,4,FALSE)</f>
        <v>#N/A</v>
      </c>
      <c r="U259" s="38" t="e">
        <f>VLOOKUP(X259,contoare!A:K,5,FALSE)</f>
        <v>#N/A</v>
      </c>
      <c r="V259" s="38" t="e">
        <f>VLOOKUP(X259,contoare!A:K,8,FALSE)</f>
        <v>#N/A</v>
      </c>
      <c r="W259" s="38" t="e">
        <f>VLOOKUP(X259,contoare!A:K,9,FALSE)</f>
        <v>#N/A</v>
      </c>
      <c r="X259" s="155" t="s">
        <v>703</v>
      </c>
      <c r="Y259" s="26">
        <v>10</v>
      </c>
      <c r="Z259" s="234" t="s">
        <v>696</v>
      </c>
      <c r="AA259" s="234"/>
      <c r="AB259" s="234"/>
      <c r="AC259" s="234"/>
      <c r="AD259" s="251"/>
    </row>
    <row r="260" spans="1:30" x14ac:dyDescent="0.2">
      <c r="A260" s="240"/>
      <c r="B260" s="26" t="s">
        <v>421</v>
      </c>
      <c r="C260" s="217" t="s">
        <v>687</v>
      </c>
      <c r="D260" s="37" t="e">
        <f>VLOOKUP(N260,contoare!A:K,2,FALSE)</f>
        <v>#N/A</v>
      </c>
      <c r="E260" s="37" t="e">
        <f>VLOOKUP(N260,contoare!A:K,3,FALSE)</f>
        <v>#N/A</v>
      </c>
      <c r="F260" s="38" t="e">
        <f>VLOOKUP(N260,contoare!A:K,4,FALSE)</f>
        <v>#N/A</v>
      </c>
      <c r="G260" s="38" t="e">
        <f>VLOOKUP(N260,contoare!A:K,5,FALSE)</f>
        <v>#N/A</v>
      </c>
      <c r="H260" s="38" t="e">
        <f>VLOOKUP(N260,contoare!A:K,6,FALSE)</f>
        <v>#N/A</v>
      </c>
      <c r="I260" s="38" t="e">
        <f>VLOOKUP(N260,contoare!A:K,7,FALSE)</f>
        <v>#N/A</v>
      </c>
      <c r="J260" s="38" t="e">
        <f>VLOOKUP(N260,contoare!A:K,8,FALSE)</f>
        <v>#N/A</v>
      </c>
      <c r="K260" s="38" t="e">
        <f>VLOOKUP(N260,contoare!A:K,9,FALSE)</f>
        <v>#N/A</v>
      </c>
      <c r="L260" s="38" t="e">
        <f>VLOOKUP(N260,contoare!A:K,10,FALSE)</f>
        <v>#N/A</v>
      </c>
      <c r="M260" s="38" t="e">
        <f>VLOOKUP(N260,contoare!A:K,11,FALSE)</f>
        <v>#N/A</v>
      </c>
      <c r="N260" s="92" t="s">
        <v>693</v>
      </c>
      <c r="O260" s="26">
        <v>1</v>
      </c>
      <c r="P260" s="234"/>
      <c r="Q260" s="234"/>
      <c r="R260" s="234"/>
      <c r="S260" s="234"/>
      <c r="T260" s="38" t="e">
        <f>VLOOKUP(X260,contoare!A:K,4,FALSE)</f>
        <v>#N/A</v>
      </c>
      <c r="U260" s="38" t="e">
        <f>VLOOKUP(X260,contoare!A:K,5,FALSE)</f>
        <v>#N/A</v>
      </c>
      <c r="V260" s="38" t="e">
        <f>VLOOKUP(X260,contoare!A:K,8,FALSE)</f>
        <v>#N/A</v>
      </c>
      <c r="W260" s="38" t="e">
        <f>VLOOKUP(X260,contoare!A:K,9,FALSE)</f>
        <v>#N/A</v>
      </c>
      <c r="X260" s="92" t="s">
        <v>693</v>
      </c>
      <c r="Y260" s="26">
        <v>1</v>
      </c>
      <c r="Z260" s="234"/>
      <c r="AA260" s="234"/>
      <c r="AB260" s="234"/>
      <c r="AC260" s="234"/>
      <c r="AD260" s="251"/>
    </row>
    <row r="261" spans="1:30" x14ac:dyDescent="0.2">
      <c r="A261" s="240"/>
      <c r="B261" s="26" t="s">
        <v>708</v>
      </c>
      <c r="C261" s="72" t="s">
        <v>708</v>
      </c>
      <c r="D261" s="37" t="e">
        <f>VLOOKUP(N261,contoare!A:K,2,FALSE)</f>
        <v>#N/A</v>
      </c>
      <c r="E261" s="37" t="e">
        <f>VLOOKUP(N261,contoare!A:K,3,FALSE)</f>
        <v>#N/A</v>
      </c>
      <c r="F261" s="38" t="e">
        <f>VLOOKUP(N261,contoare!A:K,4,FALSE)</f>
        <v>#N/A</v>
      </c>
      <c r="G261" s="38" t="e">
        <f>VLOOKUP(N261,contoare!A:K,5,FALSE)</f>
        <v>#N/A</v>
      </c>
      <c r="H261" s="38" t="e">
        <f>VLOOKUP(N261,contoare!A:K,6,FALSE)</f>
        <v>#N/A</v>
      </c>
      <c r="I261" s="38" t="e">
        <f>VLOOKUP(N261,contoare!A:K,7,FALSE)</f>
        <v>#N/A</v>
      </c>
      <c r="J261" s="38" t="e">
        <f>VLOOKUP(N261,contoare!A:K,8,FALSE)</f>
        <v>#N/A</v>
      </c>
      <c r="K261" s="38" t="e">
        <f>VLOOKUP(N261,contoare!A:K,9,FALSE)</f>
        <v>#N/A</v>
      </c>
      <c r="L261" s="38" t="e">
        <f>VLOOKUP(N261,contoare!A:K,10,FALSE)</f>
        <v>#N/A</v>
      </c>
      <c r="M261" s="38" t="e">
        <f>VLOOKUP(N261,contoare!A:K,11,FALSE)</f>
        <v>#N/A</v>
      </c>
      <c r="N261" s="155" t="s">
        <v>702</v>
      </c>
      <c r="O261" s="26">
        <v>50</v>
      </c>
      <c r="P261" s="234" t="s">
        <v>696</v>
      </c>
      <c r="Q261" s="234"/>
      <c r="R261" s="234"/>
      <c r="S261" s="234"/>
      <c r="T261" s="38" t="e">
        <f>VLOOKUP(X261,contoare!A:K,4,FALSE)</f>
        <v>#N/A</v>
      </c>
      <c r="U261" s="38" t="e">
        <f>VLOOKUP(X261,contoare!A:K,5,FALSE)</f>
        <v>#N/A</v>
      </c>
      <c r="V261" s="38" t="e">
        <f>VLOOKUP(X261,contoare!A:K,8,FALSE)</f>
        <v>#N/A</v>
      </c>
      <c r="W261" s="38" t="e">
        <f>VLOOKUP(X261,contoare!A:K,9,FALSE)</f>
        <v>#N/A</v>
      </c>
      <c r="X261" s="155" t="s">
        <v>702</v>
      </c>
      <c r="Y261" s="26">
        <v>50</v>
      </c>
      <c r="Z261" s="234" t="s">
        <v>696</v>
      </c>
      <c r="AA261" s="234"/>
      <c r="AB261" s="234"/>
      <c r="AC261" s="234"/>
      <c r="AD261" s="251"/>
    </row>
    <row r="262" spans="1:30" x14ac:dyDescent="0.2">
      <c r="A262" s="240"/>
      <c r="B262" s="26" t="s">
        <v>423</v>
      </c>
      <c r="C262" s="217" t="s">
        <v>688</v>
      </c>
      <c r="D262" s="37" t="e">
        <f>VLOOKUP(N262,contoare!A:K,2,FALSE)</f>
        <v>#N/A</v>
      </c>
      <c r="E262" s="37" t="e">
        <f>VLOOKUP(N262,contoare!A:K,3,FALSE)</f>
        <v>#N/A</v>
      </c>
      <c r="F262" s="38" t="e">
        <f>VLOOKUP(N262,contoare!A:K,4,FALSE)</f>
        <v>#N/A</v>
      </c>
      <c r="G262" s="38" t="e">
        <f>VLOOKUP(N262,contoare!A:K,5,FALSE)</f>
        <v>#N/A</v>
      </c>
      <c r="H262" s="38" t="e">
        <f>VLOOKUP(N262,contoare!A:K,6,FALSE)</f>
        <v>#N/A</v>
      </c>
      <c r="I262" s="38" t="e">
        <f>VLOOKUP(N262,contoare!A:K,7,FALSE)</f>
        <v>#N/A</v>
      </c>
      <c r="J262" s="38" t="e">
        <f>VLOOKUP(N262,contoare!A:K,8,FALSE)</f>
        <v>#N/A</v>
      </c>
      <c r="K262" s="38" t="e">
        <f>VLOOKUP(N262,contoare!A:K,9,FALSE)</f>
        <v>#N/A</v>
      </c>
      <c r="L262" s="38" t="e">
        <f>VLOOKUP(N262,contoare!A:K,10,FALSE)</f>
        <v>#N/A</v>
      </c>
      <c r="M262" s="38" t="e">
        <f>VLOOKUP(N262,contoare!A:K,11,FALSE)</f>
        <v>#N/A</v>
      </c>
      <c r="N262" s="92" t="s">
        <v>694</v>
      </c>
      <c r="O262" s="26">
        <v>50</v>
      </c>
      <c r="P262" s="234"/>
      <c r="Q262" s="234"/>
      <c r="R262" s="234"/>
      <c r="S262" s="234"/>
      <c r="T262" s="38" t="e">
        <f>VLOOKUP(X262,contoare!A:K,4,FALSE)</f>
        <v>#N/A</v>
      </c>
      <c r="U262" s="38" t="e">
        <f>VLOOKUP(X262,contoare!A:K,5,FALSE)</f>
        <v>#N/A</v>
      </c>
      <c r="V262" s="38" t="e">
        <f>VLOOKUP(X262,contoare!A:K,8,FALSE)</f>
        <v>#N/A</v>
      </c>
      <c r="W262" s="38" t="e">
        <f>VLOOKUP(X262,contoare!A:K,9,FALSE)</f>
        <v>#N/A</v>
      </c>
      <c r="X262" s="92" t="s">
        <v>694</v>
      </c>
      <c r="Y262" s="26">
        <v>50</v>
      </c>
      <c r="Z262" s="234"/>
      <c r="AA262" s="234"/>
      <c r="AB262" s="234"/>
      <c r="AC262" s="234"/>
      <c r="AD262" s="251"/>
    </row>
    <row r="263" spans="1:30" x14ac:dyDescent="0.2">
      <c r="A263" s="240"/>
      <c r="B263" s="26" t="s">
        <v>709</v>
      </c>
      <c r="C263" s="72" t="s">
        <v>709</v>
      </c>
      <c r="D263" s="37" t="e">
        <f>VLOOKUP(N263,contoare!A:K,2,FALSE)</f>
        <v>#N/A</v>
      </c>
      <c r="E263" s="37" t="e">
        <f>VLOOKUP(N263,contoare!A:K,3,FALSE)</f>
        <v>#N/A</v>
      </c>
      <c r="F263" s="38" t="e">
        <f>VLOOKUP(N263,contoare!A:K,4,FALSE)</f>
        <v>#N/A</v>
      </c>
      <c r="G263" s="38" t="e">
        <f>VLOOKUP(N263,contoare!A:K,5,FALSE)</f>
        <v>#N/A</v>
      </c>
      <c r="H263" s="38" t="e">
        <f>VLOOKUP(N263,contoare!A:K,6,FALSE)</f>
        <v>#N/A</v>
      </c>
      <c r="I263" s="38" t="e">
        <f>VLOOKUP(N263,contoare!A:K,7,FALSE)</f>
        <v>#N/A</v>
      </c>
      <c r="J263" s="38" t="e">
        <f>VLOOKUP(N263,contoare!A:K,8,FALSE)</f>
        <v>#N/A</v>
      </c>
      <c r="K263" s="38" t="e">
        <f>VLOOKUP(N263,contoare!A:K,9,FALSE)</f>
        <v>#N/A</v>
      </c>
      <c r="L263" s="38" t="e">
        <f>VLOOKUP(N263,contoare!A:K,10,FALSE)</f>
        <v>#N/A</v>
      </c>
      <c r="M263" s="38" t="e">
        <f>VLOOKUP(N263,contoare!A:K,11,FALSE)</f>
        <v>#N/A</v>
      </c>
      <c r="N263" s="155" t="s">
        <v>701</v>
      </c>
      <c r="O263" s="26">
        <v>20</v>
      </c>
      <c r="P263" s="234" t="s">
        <v>696</v>
      </c>
      <c r="Q263" s="234"/>
      <c r="R263" s="234"/>
      <c r="S263" s="234"/>
      <c r="T263" s="38" t="e">
        <f>VLOOKUP(X263,contoare!A:K,4,FALSE)</f>
        <v>#N/A</v>
      </c>
      <c r="U263" s="38" t="e">
        <f>VLOOKUP(X263,contoare!A:K,5,FALSE)</f>
        <v>#N/A</v>
      </c>
      <c r="V263" s="38" t="e">
        <f>VLOOKUP(X263,contoare!A:K,8,FALSE)</f>
        <v>#N/A</v>
      </c>
      <c r="W263" s="38" t="e">
        <f>VLOOKUP(X263,contoare!A:K,9,FALSE)</f>
        <v>#N/A</v>
      </c>
      <c r="X263" s="155" t="s">
        <v>701</v>
      </c>
      <c r="Y263" s="26">
        <v>20</v>
      </c>
      <c r="Z263" s="234" t="s">
        <v>696</v>
      </c>
      <c r="AA263" s="234"/>
      <c r="AB263" s="234"/>
      <c r="AC263" s="234"/>
      <c r="AD263" s="251"/>
    </row>
    <row r="264" spans="1:30" ht="17" thickBot="1" x14ac:dyDescent="0.25">
      <c r="A264" s="241"/>
      <c r="B264" s="43" t="s">
        <v>425</v>
      </c>
      <c r="C264" s="219" t="s">
        <v>689</v>
      </c>
      <c r="D264" s="44" t="e">
        <f>VLOOKUP(N264,contoare!A:K,2,FALSE)</f>
        <v>#N/A</v>
      </c>
      <c r="E264" s="44" t="e">
        <f>VLOOKUP(N264,contoare!A:K,3,FALSE)</f>
        <v>#N/A</v>
      </c>
      <c r="F264" s="45" t="e">
        <f>VLOOKUP(N264,contoare!A:K,4,FALSE)</f>
        <v>#N/A</v>
      </c>
      <c r="G264" s="45" t="e">
        <f>VLOOKUP(N264,contoare!A:K,5,FALSE)</f>
        <v>#N/A</v>
      </c>
      <c r="H264" s="45" t="e">
        <f>VLOOKUP(N264,contoare!A:K,6,FALSE)</f>
        <v>#N/A</v>
      </c>
      <c r="I264" s="45" t="e">
        <f>VLOOKUP(N264,contoare!A:K,7,FALSE)</f>
        <v>#N/A</v>
      </c>
      <c r="J264" s="45" t="e">
        <f>VLOOKUP(N264,contoare!A:K,8,FALSE)</f>
        <v>#N/A</v>
      </c>
      <c r="K264" s="45" t="e">
        <f>VLOOKUP(N264,contoare!A:K,9,FALSE)</f>
        <v>#N/A</v>
      </c>
      <c r="L264" s="45" t="e">
        <f>VLOOKUP(N264,contoare!A:K,10,FALSE)</f>
        <v>#N/A</v>
      </c>
      <c r="M264" s="45" t="e">
        <f>VLOOKUP(N264,contoare!A:K,11,FALSE)</f>
        <v>#N/A</v>
      </c>
      <c r="N264" s="94" t="s">
        <v>695</v>
      </c>
      <c r="O264" s="43">
        <v>30</v>
      </c>
      <c r="P264" s="235"/>
      <c r="Q264" s="235"/>
      <c r="R264" s="235"/>
      <c r="S264" s="235"/>
      <c r="T264" s="45" t="e">
        <f>VLOOKUP(X264,contoare!A:K,4,FALSE)</f>
        <v>#N/A</v>
      </c>
      <c r="U264" s="45" t="e">
        <f>VLOOKUP(X264,contoare!A:K,5,FALSE)</f>
        <v>#N/A</v>
      </c>
      <c r="V264" s="45" t="e">
        <f>VLOOKUP(X264,contoare!A:K,8,FALSE)</f>
        <v>#N/A</v>
      </c>
      <c r="W264" s="45" t="e">
        <f>VLOOKUP(X264,contoare!A:K,9,FALSE)</f>
        <v>#N/A</v>
      </c>
      <c r="X264" s="94" t="s">
        <v>695</v>
      </c>
      <c r="Y264" s="43">
        <v>30</v>
      </c>
      <c r="Z264" s="235"/>
      <c r="AA264" s="235"/>
      <c r="AB264" s="235"/>
      <c r="AC264" s="235"/>
      <c r="AD264" s="252"/>
    </row>
    <row r="265" spans="1:30" x14ac:dyDescent="0.2">
      <c r="A265" s="154"/>
      <c r="P265" s="154"/>
      <c r="Q265" s="154"/>
    </row>
    <row r="267" spans="1:30" x14ac:dyDescent="0.2">
      <c r="C267" s="224"/>
    </row>
    <row r="268" spans="1:30" x14ac:dyDescent="0.2">
      <c r="C268" s="224"/>
    </row>
    <row r="269" spans="1:30" x14ac:dyDescent="0.2">
      <c r="C269" s="224"/>
    </row>
    <row r="270" spans="1:30" x14ac:dyDescent="0.2">
      <c r="C270" s="224"/>
    </row>
    <row r="271" spans="1:30" x14ac:dyDescent="0.2">
      <c r="C271" s="224"/>
    </row>
    <row r="272" spans="1:30" x14ac:dyDescent="0.2">
      <c r="C272" s="224"/>
    </row>
  </sheetData>
  <mergeCells count="247">
    <mergeCell ref="R245:R250"/>
    <mergeCell ref="S245:S252"/>
    <mergeCell ref="AB245:AB250"/>
    <mergeCell ref="AC245:AC252"/>
    <mergeCell ref="AD245:AD252"/>
    <mergeCell ref="R235:R237"/>
    <mergeCell ref="S235:S239"/>
    <mergeCell ref="AB235:AB237"/>
    <mergeCell ref="AC235:AC239"/>
    <mergeCell ref="AD235:AD239"/>
    <mergeCell ref="A240:A244"/>
    <mergeCell ref="R240:R242"/>
    <mergeCell ref="S240:S244"/>
    <mergeCell ref="AB240:AB242"/>
    <mergeCell ref="AC240:AC244"/>
    <mergeCell ref="AD240:AD244"/>
    <mergeCell ref="S177:S183"/>
    <mergeCell ref="AB163:AB168"/>
    <mergeCell ref="AC163:AC170"/>
    <mergeCell ref="AB171:AB174"/>
    <mergeCell ref="AC171:AC176"/>
    <mergeCell ref="AB177:AB181"/>
    <mergeCell ref="AC177:AC183"/>
    <mergeCell ref="AD163:AD183"/>
    <mergeCell ref="A235:A239"/>
    <mergeCell ref="AC184:AC188"/>
    <mergeCell ref="AD184:AD188"/>
    <mergeCell ref="S189:S195"/>
    <mergeCell ref="AB189:AB193"/>
    <mergeCell ref="AC189:AC195"/>
    <mergeCell ref="AD189:AD195"/>
    <mergeCell ref="S196:S204"/>
    <mergeCell ref="AB196:AB200"/>
    <mergeCell ref="AC196:AC204"/>
    <mergeCell ref="AD78:AD93"/>
    <mergeCell ref="S147:S149"/>
    <mergeCell ref="AD147:AD162"/>
    <mergeCell ref="AC126:AC130"/>
    <mergeCell ref="AC131:AC134"/>
    <mergeCell ref="AD126:AD134"/>
    <mergeCell ref="R111:R114"/>
    <mergeCell ref="S108:S110"/>
    <mergeCell ref="S111:S116"/>
    <mergeCell ref="S117:S119"/>
    <mergeCell ref="AC108:AC110"/>
    <mergeCell ref="AD108:AD121"/>
    <mergeCell ref="AC111:AC116"/>
    <mergeCell ref="S120:S121"/>
    <mergeCell ref="AD94:AD103"/>
    <mergeCell ref="R94:R99"/>
    <mergeCell ref="S94:S103"/>
    <mergeCell ref="AB94:AB99"/>
    <mergeCell ref="AC94:AC103"/>
    <mergeCell ref="AC147:AC149"/>
    <mergeCell ref="AC159:AC162"/>
    <mergeCell ref="AC156:AC158"/>
    <mergeCell ref="S64:S69"/>
    <mergeCell ref="AB64:AB67"/>
    <mergeCell ref="AC64:AC69"/>
    <mergeCell ref="AD64:AD69"/>
    <mergeCell ref="AB2:AB7"/>
    <mergeCell ref="R22:R27"/>
    <mergeCell ref="R30:R31"/>
    <mergeCell ref="A2:A9"/>
    <mergeCell ref="AC22:AC29"/>
    <mergeCell ref="S30:S33"/>
    <mergeCell ref="AB30:AB31"/>
    <mergeCell ref="AC30:AC33"/>
    <mergeCell ref="AD2:AD9"/>
    <mergeCell ref="A22:A29"/>
    <mergeCell ref="A30:A33"/>
    <mergeCell ref="AC2:AC9"/>
    <mergeCell ref="S2:S9"/>
    <mergeCell ref="S22:S29"/>
    <mergeCell ref="AB22:AB27"/>
    <mergeCell ref="A10:A21"/>
    <mergeCell ref="S10:S15"/>
    <mergeCell ref="S16:S21"/>
    <mergeCell ref="AC10:AC15"/>
    <mergeCell ref="R2:R7"/>
    <mergeCell ref="A225:A234"/>
    <mergeCell ref="A205:A209"/>
    <mergeCell ref="A54:A63"/>
    <mergeCell ref="A78:A93"/>
    <mergeCell ref="A108:A121"/>
    <mergeCell ref="A94:A103"/>
    <mergeCell ref="A126:A134"/>
    <mergeCell ref="A135:A146"/>
    <mergeCell ref="A147:A162"/>
    <mergeCell ref="A163:A183"/>
    <mergeCell ref="A64:A69"/>
    <mergeCell ref="R10:R13"/>
    <mergeCell ref="R16:R19"/>
    <mergeCell ref="R54:R59"/>
    <mergeCell ref="A196:A204"/>
    <mergeCell ref="R196:R200"/>
    <mergeCell ref="R64:R67"/>
    <mergeCell ref="A245:A252"/>
    <mergeCell ref="AB111:AB114"/>
    <mergeCell ref="S126:S130"/>
    <mergeCell ref="S131:S134"/>
    <mergeCell ref="S78:S83"/>
    <mergeCell ref="S84:S88"/>
    <mergeCell ref="S89:S93"/>
    <mergeCell ref="AB126:AB128"/>
    <mergeCell ref="R126:R128"/>
    <mergeCell ref="R131:R132"/>
    <mergeCell ref="AB131:AB132"/>
    <mergeCell ref="R78:R81"/>
    <mergeCell ref="R84:R86"/>
    <mergeCell ref="R89:R91"/>
    <mergeCell ref="R150:R153"/>
    <mergeCell ref="R159:R160"/>
    <mergeCell ref="AB150:AB153"/>
    <mergeCell ref="AB159:AB160"/>
    <mergeCell ref="A184:A188"/>
    <mergeCell ref="R184:R186"/>
    <mergeCell ref="S184:S188"/>
    <mergeCell ref="AB184:AB186"/>
    <mergeCell ref="A189:A195"/>
    <mergeCell ref="R189:R193"/>
    <mergeCell ref="AC16:AC21"/>
    <mergeCell ref="AD10:AD21"/>
    <mergeCell ref="AD22:AD29"/>
    <mergeCell ref="AD30:AD33"/>
    <mergeCell ref="AD54:AD63"/>
    <mergeCell ref="AC89:AC93"/>
    <mergeCell ref="AC84:AC88"/>
    <mergeCell ref="AC78:AC83"/>
    <mergeCell ref="AB10:AB13"/>
    <mergeCell ref="AC54:AC63"/>
    <mergeCell ref="AB54:AB59"/>
    <mergeCell ref="AB34:AB37"/>
    <mergeCell ref="AC34:AC39"/>
    <mergeCell ref="AC40:AC42"/>
    <mergeCell ref="AC43:AC45"/>
    <mergeCell ref="AB46:AB47"/>
    <mergeCell ref="AC46:AC49"/>
    <mergeCell ref="AB50:AB51"/>
    <mergeCell ref="AC50:AC53"/>
    <mergeCell ref="AD34:AD53"/>
    <mergeCell ref="AB16:AB19"/>
    <mergeCell ref="AB89:AB91"/>
    <mergeCell ref="AB84:AB86"/>
    <mergeCell ref="AB78:AB81"/>
    <mergeCell ref="S54:S63"/>
    <mergeCell ref="R34:R37"/>
    <mergeCell ref="S34:S39"/>
    <mergeCell ref="S40:S42"/>
    <mergeCell ref="S43:S45"/>
    <mergeCell ref="R46:R47"/>
    <mergeCell ref="S46:S49"/>
    <mergeCell ref="R50:R51"/>
    <mergeCell ref="S50:S53"/>
    <mergeCell ref="AC150:AC155"/>
    <mergeCell ref="S150:S155"/>
    <mergeCell ref="S156:S158"/>
    <mergeCell ref="S159:S162"/>
    <mergeCell ref="R163:R168"/>
    <mergeCell ref="S163:S170"/>
    <mergeCell ref="R171:R174"/>
    <mergeCell ref="S171:S176"/>
    <mergeCell ref="R177:R181"/>
    <mergeCell ref="AD205:AD209"/>
    <mergeCell ref="A210:A220"/>
    <mergeCell ref="R210:R211"/>
    <mergeCell ref="S210:S213"/>
    <mergeCell ref="R214:R215"/>
    <mergeCell ref="S214:S217"/>
    <mergeCell ref="S218:S220"/>
    <mergeCell ref="AB210:AB211"/>
    <mergeCell ref="AC210:AC213"/>
    <mergeCell ref="AB214:AB215"/>
    <mergeCell ref="AC214:AC217"/>
    <mergeCell ref="AC218:AC220"/>
    <mergeCell ref="AD225:AD234"/>
    <mergeCell ref="R135:R139"/>
    <mergeCell ref="R142:R144"/>
    <mergeCell ref="S135:S141"/>
    <mergeCell ref="S142:S146"/>
    <mergeCell ref="AB135:AB139"/>
    <mergeCell ref="AC135:AC141"/>
    <mergeCell ref="AB142:AB144"/>
    <mergeCell ref="AC142:AC146"/>
    <mergeCell ref="AD135:AD146"/>
    <mergeCell ref="R225:R227"/>
    <mergeCell ref="R230:R232"/>
    <mergeCell ref="S225:S229"/>
    <mergeCell ref="S230:S234"/>
    <mergeCell ref="AB225:AB227"/>
    <mergeCell ref="AC225:AC229"/>
    <mergeCell ref="AB230:AB232"/>
    <mergeCell ref="AC230:AC234"/>
    <mergeCell ref="AD196:AD204"/>
    <mergeCell ref="AD210:AD220"/>
    <mergeCell ref="R205:R207"/>
    <mergeCell ref="S205:S209"/>
    <mergeCell ref="AB205:AB207"/>
    <mergeCell ref="AC205:AC209"/>
    <mergeCell ref="A70:A73"/>
    <mergeCell ref="R70:R71"/>
    <mergeCell ref="S70:S73"/>
    <mergeCell ref="AB70:AB71"/>
    <mergeCell ref="AC70:AC73"/>
    <mergeCell ref="AD70:AD73"/>
    <mergeCell ref="R74:R75"/>
    <mergeCell ref="S74:S77"/>
    <mergeCell ref="AB74:AB75"/>
    <mergeCell ref="AC74:AC77"/>
    <mergeCell ref="AD74:AD77"/>
    <mergeCell ref="A74:A77"/>
    <mergeCell ref="AB104:AB105"/>
    <mergeCell ref="AC104:AC107"/>
    <mergeCell ref="AD104:AD107"/>
    <mergeCell ref="A104:A107"/>
    <mergeCell ref="A122:A125"/>
    <mergeCell ref="R122:R123"/>
    <mergeCell ref="S122:S125"/>
    <mergeCell ref="AB122:AB123"/>
    <mergeCell ref="AC122:AC125"/>
    <mergeCell ref="AD122:AD125"/>
    <mergeCell ref="AC117:AC119"/>
    <mergeCell ref="AC120:AC121"/>
    <mergeCell ref="Z263:AC264"/>
    <mergeCell ref="A34:A45"/>
    <mergeCell ref="A46:A53"/>
    <mergeCell ref="A221:A224"/>
    <mergeCell ref="R221:R222"/>
    <mergeCell ref="S221:S224"/>
    <mergeCell ref="AB221:AB222"/>
    <mergeCell ref="AC221:AC224"/>
    <mergeCell ref="AD221:AD224"/>
    <mergeCell ref="AD253:AD264"/>
    <mergeCell ref="A253:A264"/>
    <mergeCell ref="P253:S254"/>
    <mergeCell ref="P255:S256"/>
    <mergeCell ref="P257:S258"/>
    <mergeCell ref="P259:S260"/>
    <mergeCell ref="P261:S262"/>
    <mergeCell ref="P263:S264"/>
    <mergeCell ref="Z253:AC254"/>
    <mergeCell ref="Z255:AC256"/>
    <mergeCell ref="Z257:AC258"/>
    <mergeCell ref="Z259:AC260"/>
    <mergeCell ref="Z261:AC262"/>
    <mergeCell ref="R104:R105"/>
    <mergeCell ref="S104:S107"/>
  </mergeCells>
  <phoneticPr fontId="4" type="noConversion"/>
  <conditionalFormatting sqref="N74">
    <cfRule type="duplicateValues" dxfId="33" priority="10"/>
  </conditionalFormatting>
  <conditionalFormatting sqref="N233">
    <cfRule type="duplicateValues" dxfId="32" priority="51"/>
  </conditionalFormatting>
  <conditionalFormatting sqref="N234 N1:N37 N75:N123 N125:N222 N224:N232 N245:N1048576 N39:N40 N42:N43 N45:N47 N49:N51 N53:N72">
    <cfRule type="duplicateValues" dxfId="31" priority="130"/>
  </conditionalFormatting>
  <conditionalFormatting sqref="X34">
    <cfRule type="duplicateValues" dxfId="30" priority="58"/>
  </conditionalFormatting>
  <conditionalFormatting sqref="X35:X37">
    <cfRule type="duplicateValues" dxfId="29" priority="59"/>
  </conditionalFormatting>
  <conditionalFormatting sqref="X38:X39">
    <cfRule type="duplicateValues" dxfId="28" priority="126"/>
  </conditionalFormatting>
  <conditionalFormatting sqref="X40">
    <cfRule type="duplicateValues" dxfId="27" priority="56"/>
  </conditionalFormatting>
  <conditionalFormatting sqref="X41:X53">
    <cfRule type="duplicateValues" dxfId="26" priority="57"/>
  </conditionalFormatting>
  <conditionalFormatting sqref="X70:X72">
    <cfRule type="duplicateValues" dxfId="25" priority="12"/>
  </conditionalFormatting>
  <conditionalFormatting sqref="X74">
    <cfRule type="duplicateValues" dxfId="24" priority="8"/>
  </conditionalFormatting>
  <conditionalFormatting sqref="X75:X77">
    <cfRule type="duplicateValues" dxfId="23" priority="9"/>
  </conditionalFormatting>
  <conditionalFormatting sqref="X104:X107">
    <cfRule type="duplicateValues" dxfId="22" priority="7"/>
  </conditionalFormatting>
  <conditionalFormatting sqref="X122:X123 X125">
    <cfRule type="duplicateValues" dxfId="21" priority="5"/>
  </conditionalFormatting>
  <conditionalFormatting sqref="X135 X143:X144 X137:X139">
    <cfRule type="duplicateValues" dxfId="20" priority="30"/>
  </conditionalFormatting>
  <conditionalFormatting sqref="X136:X137">
    <cfRule type="duplicateValues" dxfId="19" priority="23"/>
  </conditionalFormatting>
  <conditionalFormatting sqref="X140">
    <cfRule type="duplicateValues" dxfId="18" priority="13"/>
  </conditionalFormatting>
  <conditionalFormatting sqref="X141">
    <cfRule type="duplicateValues" dxfId="17" priority="14"/>
  </conditionalFormatting>
  <conditionalFormatting sqref="X142">
    <cfRule type="duplicateValues" dxfId="16" priority="22"/>
  </conditionalFormatting>
  <conditionalFormatting sqref="X145">
    <cfRule type="duplicateValues" dxfId="15" priority="16"/>
  </conditionalFormatting>
  <conditionalFormatting sqref="X146">
    <cfRule type="duplicateValues" dxfId="14" priority="17"/>
  </conditionalFormatting>
  <conditionalFormatting sqref="X163 X165:X183">
    <cfRule type="duplicateValues" dxfId="13" priority="129"/>
  </conditionalFormatting>
  <conditionalFormatting sqref="X164">
    <cfRule type="duplicateValues" dxfId="12" priority="127"/>
  </conditionalFormatting>
  <conditionalFormatting sqref="X221:X222 X224">
    <cfRule type="duplicateValues" dxfId="11" priority="3"/>
  </conditionalFormatting>
  <conditionalFormatting sqref="X225:X234">
    <cfRule type="duplicateValues" dxfId="10" priority="50"/>
  </conditionalFormatting>
  <conditionalFormatting sqref="X245:X252">
    <cfRule type="duplicateValues" dxfId="9" priority="55"/>
  </conditionalFormatting>
  <conditionalFormatting sqref="X253:X264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E2A2-0454-FA4B-8395-77DDD81A6156}">
  <dimension ref="A1:D29"/>
  <sheetViews>
    <sheetView tabSelected="1" workbookViewId="0">
      <selection activeCell="E16" sqref="E16"/>
    </sheetView>
  </sheetViews>
  <sheetFormatPr baseColWidth="10" defaultRowHeight="16" x14ac:dyDescent="0.2"/>
  <cols>
    <col min="1" max="1" width="27.33203125" customWidth="1"/>
    <col min="2" max="3" width="11" customWidth="1"/>
    <col min="4" max="4" width="52.33203125" customWidth="1"/>
    <col min="5" max="5" width="17.83203125" customWidth="1"/>
    <col min="6" max="6" width="32.5" customWidth="1"/>
  </cols>
  <sheetData>
    <row r="1" spans="1:4" ht="34" x14ac:dyDescent="0.2">
      <c r="A1" s="230" t="s">
        <v>0</v>
      </c>
      <c r="B1" s="230" t="s">
        <v>756</v>
      </c>
      <c r="C1" s="230" t="s">
        <v>713</v>
      </c>
      <c r="D1" s="230" t="s">
        <v>757</v>
      </c>
    </row>
    <row r="2" spans="1:4" ht="34" customHeight="1" x14ac:dyDescent="0.2">
      <c r="A2" s="231" t="s">
        <v>716</v>
      </c>
      <c r="B2" s="8" t="s">
        <v>715</v>
      </c>
      <c r="C2" s="8" t="s">
        <v>715</v>
      </c>
      <c r="D2" s="229" t="s">
        <v>553</v>
      </c>
    </row>
    <row r="3" spans="1:4" ht="34" customHeight="1" x14ac:dyDescent="0.2">
      <c r="A3" s="231" t="s">
        <v>718</v>
      </c>
      <c r="B3" s="8" t="s">
        <v>714</v>
      </c>
      <c r="C3" s="8" t="s">
        <v>714</v>
      </c>
      <c r="D3" s="229" t="s">
        <v>745</v>
      </c>
    </row>
    <row r="4" spans="1:4" ht="34" customHeight="1" x14ac:dyDescent="0.2">
      <c r="A4" s="231" t="s">
        <v>719</v>
      </c>
      <c r="B4" s="8" t="s">
        <v>714</v>
      </c>
      <c r="C4" s="8" t="s">
        <v>715</v>
      </c>
      <c r="D4" s="229" t="s">
        <v>553</v>
      </c>
    </row>
    <row r="5" spans="1:4" ht="34" customHeight="1" x14ac:dyDescent="0.2">
      <c r="A5" s="231" t="s">
        <v>720</v>
      </c>
      <c r="B5" s="8" t="s">
        <v>714</v>
      </c>
      <c r="C5" s="8" t="s">
        <v>715</v>
      </c>
      <c r="D5" s="229" t="s">
        <v>553</v>
      </c>
    </row>
    <row r="6" spans="1:4" ht="34" customHeight="1" x14ac:dyDescent="0.2">
      <c r="A6" s="231" t="s">
        <v>721</v>
      </c>
      <c r="B6" s="8" t="s">
        <v>715</v>
      </c>
      <c r="C6" s="8" t="s">
        <v>715</v>
      </c>
      <c r="D6" s="229" t="s">
        <v>553</v>
      </c>
    </row>
    <row r="7" spans="1:4" ht="34" customHeight="1" x14ac:dyDescent="0.2">
      <c r="A7" s="231" t="s">
        <v>722</v>
      </c>
      <c r="B7" s="8" t="s">
        <v>715</v>
      </c>
      <c r="C7" s="8" t="s">
        <v>715</v>
      </c>
      <c r="D7" s="229" t="s">
        <v>553</v>
      </c>
    </row>
    <row r="8" spans="1:4" ht="34" customHeight="1" x14ac:dyDescent="0.2">
      <c r="A8" s="231" t="s">
        <v>39</v>
      </c>
      <c r="B8" s="8" t="s">
        <v>715</v>
      </c>
      <c r="C8" s="8" t="s">
        <v>715</v>
      </c>
      <c r="D8" s="229" t="s">
        <v>553</v>
      </c>
    </row>
    <row r="9" spans="1:4" ht="34" customHeight="1" x14ac:dyDescent="0.2">
      <c r="A9" s="231" t="s">
        <v>726</v>
      </c>
      <c r="B9" s="8" t="s">
        <v>715</v>
      </c>
      <c r="C9" s="8" t="s">
        <v>715</v>
      </c>
      <c r="D9" s="229" t="s">
        <v>553</v>
      </c>
    </row>
    <row r="10" spans="1:4" ht="34" customHeight="1" x14ac:dyDescent="0.2">
      <c r="A10" s="231" t="s">
        <v>717</v>
      </c>
      <c r="B10" s="8" t="s">
        <v>715</v>
      </c>
      <c r="C10" s="8" t="s">
        <v>715</v>
      </c>
      <c r="D10" s="229" t="s">
        <v>553</v>
      </c>
    </row>
    <row r="11" spans="1:4" ht="34" customHeight="1" x14ac:dyDescent="0.2">
      <c r="A11" s="231" t="s">
        <v>729</v>
      </c>
      <c r="B11" s="8" t="s">
        <v>715</v>
      </c>
      <c r="C11" s="8" t="s">
        <v>715</v>
      </c>
      <c r="D11" s="229" t="s">
        <v>730</v>
      </c>
    </row>
    <row r="12" spans="1:4" ht="34" customHeight="1" x14ac:dyDescent="0.2">
      <c r="A12" s="231" t="s">
        <v>731</v>
      </c>
      <c r="B12" s="8" t="s">
        <v>715</v>
      </c>
      <c r="C12" s="8" t="s">
        <v>715</v>
      </c>
      <c r="D12" s="229" t="s">
        <v>732</v>
      </c>
    </row>
    <row r="13" spans="1:4" ht="34" customHeight="1" x14ac:dyDescent="0.2">
      <c r="A13" s="231" t="s">
        <v>733</v>
      </c>
      <c r="B13" s="8" t="s">
        <v>715</v>
      </c>
      <c r="C13" s="8" t="s">
        <v>715</v>
      </c>
      <c r="D13" s="229" t="s">
        <v>553</v>
      </c>
    </row>
    <row r="14" spans="1:4" ht="34" customHeight="1" x14ac:dyDescent="0.2">
      <c r="A14" s="231" t="s">
        <v>734</v>
      </c>
      <c r="B14" s="8" t="s">
        <v>715</v>
      </c>
      <c r="C14" s="8" t="s">
        <v>715</v>
      </c>
      <c r="D14" s="229" t="s">
        <v>553</v>
      </c>
    </row>
    <row r="15" spans="1:4" ht="34" customHeight="1" x14ac:dyDescent="0.2">
      <c r="A15" s="231" t="s">
        <v>737</v>
      </c>
      <c r="B15" s="8" t="s">
        <v>715</v>
      </c>
      <c r="C15" s="8" t="s">
        <v>715</v>
      </c>
      <c r="D15" s="229" t="s">
        <v>553</v>
      </c>
    </row>
    <row r="16" spans="1:4" ht="34" customHeight="1" x14ac:dyDescent="0.2">
      <c r="A16" s="231" t="s">
        <v>99</v>
      </c>
      <c r="B16" s="8" t="s">
        <v>715</v>
      </c>
      <c r="C16" s="8" t="s">
        <v>715</v>
      </c>
      <c r="D16" s="229" t="s">
        <v>553</v>
      </c>
    </row>
    <row r="17" spans="1:4" ht="34" customHeight="1" x14ac:dyDescent="0.2">
      <c r="A17" s="231" t="s">
        <v>741</v>
      </c>
      <c r="B17" s="8" t="s">
        <v>715</v>
      </c>
      <c r="C17" s="8" t="s">
        <v>715</v>
      </c>
      <c r="D17" s="229" t="s">
        <v>553</v>
      </c>
    </row>
    <row r="18" spans="1:4" ht="34" customHeight="1" x14ac:dyDescent="0.2">
      <c r="A18" s="231" t="s">
        <v>742</v>
      </c>
      <c r="B18" s="8" t="s">
        <v>715</v>
      </c>
      <c r="C18" s="8" t="s">
        <v>715</v>
      </c>
      <c r="D18" s="229" t="s">
        <v>743</v>
      </c>
    </row>
    <row r="19" spans="1:4" ht="34" customHeight="1" x14ac:dyDescent="0.2">
      <c r="A19" s="231" t="s">
        <v>744</v>
      </c>
      <c r="B19" s="8" t="s">
        <v>714</v>
      </c>
      <c r="C19" s="8" t="s">
        <v>714</v>
      </c>
      <c r="D19" s="229" t="s">
        <v>745</v>
      </c>
    </row>
    <row r="20" spans="1:4" ht="34" customHeight="1" x14ac:dyDescent="0.2">
      <c r="A20" s="231" t="s">
        <v>746</v>
      </c>
      <c r="B20" s="8" t="s">
        <v>715</v>
      </c>
      <c r="C20" s="8" t="s">
        <v>715</v>
      </c>
      <c r="D20" s="229" t="s">
        <v>553</v>
      </c>
    </row>
    <row r="21" spans="1:4" ht="34" customHeight="1" x14ac:dyDescent="0.2">
      <c r="A21" s="231" t="s">
        <v>747</v>
      </c>
      <c r="B21" s="8" t="s">
        <v>715</v>
      </c>
      <c r="C21" s="8" t="s">
        <v>715</v>
      </c>
      <c r="D21" s="229" t="s">
        <v>553</v>
      </c>
    </row>
    <row r="22" spans="1:4" ht="34" customHeight="1" x14ac:dyDescent="0.2">
      <c r="A22" s="231" t="s">
        <v>748</v>
      </c>
      <c r="B22" s="8" t="s">
        <v>714</v>
      </c>
      <c r="C22" s="8" t="s">
        <v>715</v>
      </c>
      <c r="D22" s="229" t="s">
        <v>553</v>
      </c>
    </row>
    <row r="23" spans="1:4" ht="34" customHeight="1" x14ac:dyDescent="0.2">
      <c r="A23" s="231" t="s">
        <v>749</v>
      </c>
      <c r="B23" s="8" t="s">
        <v>714</v>
      </c>
      <c r="C23" s="8" t="s">
        <v>714</v>
      </c>
      <c r="D23" s="229" t="s">
        <v>745</v>
      </c>
    </row>
    <row r="24" spans="1:4" ht="34" customHeight="1" x14ac:dyDescent="0.2">
      <c r="A24" s="231" t="s">
        <v>750</v>
      </c>
      <c r="B24" s="8" t="s">
        <v>715</v>
      </c>
      <c r="C24" s="8" t="s">
        <v>715</v>
      </c>
      <c r="D24" s="229" t="s">
        <v>751</v>
      </c>
    </row>
    <row r="25" spans="1:4" ht="34" customHeight="1" x14ac:dyDescent="0.2">
      <c r="A25" s="231" t="s">
        <v>166</v>
      </c>
      <c r="B25" s="8" t="s">
        <v>715</v>
      </c>
      <c r="C25" s="8" t="s">
        <v>715</v>
      </c>
      <c r="D25" s="229" t="s">
        <v>553</v>
      </c>
    </row>
    <row r="26" spans="1:4" ht="34" customHeight="1" x14ac:dyDescent="0.2">
      <c r="A26" s="231" t="s">
        <v>752</v>
      </c>
      <c r="B26" s="8" t="s">
        <v>715</v>
      </c>
      <c r="C26" s="8" t="s">
        <v>715</v>
      </c>
      <c r="D26" s="229" t="s">
        <v>553</v>
      </c>
    </row>
    <row r="27" spans="1:4" ht="34" customHeight="1" x14ac:dyDescent="0.2">
      <c r="A27" s="231" t="s">
        <v>753</v>
      </c>
      <c r="B27" s="8" t="s">
        <v>715</v>
      </c>
      <c r="C27" s="8" t="s">
        <v>715</v>
      </c>
      <c r="D27" s="229" t="s">
        <v>553</v>
      </c>
    </row>
    <row r="28" spans="1:4" ht="34" customHeight="1" x14ac:dyDescent="0.2">
      <c r="A28" s="231" t="s">
        <v>181</v>
      </c>
      <c r="B28" s="8" t="s">
        <v>715</v>
      </c>
      <c r="C28" s="8" t="s">
        <v>715</v>
      </c>
      <c r="D28" s="229" t="s">
        <v>553</v>
      </c>
    </row>
    <row r="29" spans="1:4" ht="34" customHeight="1" x14ac:dyDescent="0.2">
      <c r="A29" s="231" t="s">
        <v>754</v>
      </c>
      <c r="B29" s="8" t="s">
        <v>553</v>
      </c>
      <c r="C29" s="8" t="s">
        <v>553</v>
      </c>
      <c r="D29" s="229" t="s">
        <v>755</v>
      </c>
    </row>
  </sheetData>
  <autoFilter ref="A1:D29" xr:uid="{853DE2A2-0454-FA4B-8395-77DDD81A6156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D353AA59-4A4D-2249-9195-32A59C711D4A}">
            <xm:f>NOT(ISERROR(SEARCH("DA",B2)))</xm:f>
            <xm:f>"DA"</xm:f>
            <x14:dxf>
              <fill>
                <patternFill>
                  <bgColor rgb="FFFF0000"/>
                </patternFill>
              </fill>
            </x14:dxf>
          </x14:cfRule>
          <xm:sqref>B2:C29</xm:sqref>
        </x14:conditionalFormatting>
        <x14:conditionalFormatting xmlns:xm="http://schemas.microsoft.com/office/excel/2006/main">
          <x14:cfRule type="containsText" priority="1" operator="containsText" id="{C20C8D7C-8AE5-E64F-A845-34143641B55D}">
            <xm:f>NOT(ISERROR(SEARCH("Ok",D2)))</xm:f>
            <xm:f>"Ok"</xm:f>
            <x14:dxf>
              <fill>
                <patternFill>
                  <bgColor rgb="FF92D050"/>
                </patternFill>
              </fill>
            </x14:dxf>
          </x14:cfRule>
          <xm:sqref>D2:D29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A913-D65D-0549-B555-4C2D7F3CC7A9}">
  <dimension ref="A1:B26"/>
  <sheetViews>
    <sheetView zoomScale="185" workbookViewId="0">
      <selection activeCell="C20" sqref="C20"/>
    </sheetView>
  </sheetViews>
  <sheetFormatPr baseColWidth="10" defaultRowHeight="16" x14ac:dyDescent="0.2"/>
  <cols>
    <col min="1" max="3" width="27.33203125" customWidth="1"/>
    <col min="4" max="4" width="20.5" customWidth="1"/>
  </cols>
  <sheetData>
    <row r="1" spans="1:2" x14ac:dyDescent="0.2">
      <c r="A1" t="s">
        <v>716</v>
      </c>
      <c r="B1" s="396" t="s">
        <v>759</v>
      </c>
    </row>
    <row r="2" spans="1:2" x14ac:dyDescent="0.2">
      <c r="A2" t="s">
        <v>758</v>
      </c>
      <c r="B2" s="396"/>
    </row>
    <row r="3" spans="1:2" x14ac:dyDescent="0.2">
      <c r="A3" t="s">
        <v>39</v>
      </c>
      <c r="B3" s="396"/>
    </row>
    <row r="4" spans="1:2" x14ac:dyDescent="0.2">
      <c r="A4" t="s">
        <v>717</v>
      </c>
      <c r="B4" s="396"/>
    </row>
    <row r="5" spans="1:2" x14ac:dyDescent="0.2">
      <c r="A5" t="s">
        <v>729</v>
      </c>
      <c r="B5" s="396"/>
    </row>
    <row r="6" spans="1:2" x14ac:dyDescent="0.2">
      <c r="A6" t="s">
        <v>752</v>
      </c>
      <c r="B6" s="396"/>
    </row>
    <row r="8" spans="1:2" x14ac:dyDescent="0.2">
      <c r="A8" t="s">
        <v>747</v>
      </c>
      <c r="B8" s="396" t="s">
        <v>760</v>
      </c>
    </row>
    <row r="9" spans="1:2" x14ac:dyDescent="0.2">
      <c r="A9" t="s">
        <v>166</v>
      </c>
      <c r="B9" s="396"/>
    </row>
    <row r="10" spans="1:2" x14ac:dyDescent="0.2">
      <c r="A10" t="s">
        <v>753</v>
      </c>
      <c r="B10" s="396"/>
    </row>
    <row r="12" spans="1:2" x14ac:dyDescent="0.2">
      <c r="A12" t="s">
        <v>733</v>
      </c>
      <c r="B12" s="396" t="s">
        <v>761</v>
      </c>
    </row>
    <row r="13" spans="1:2" x14ac:dyDescent="0.2">
      <c r="A13" t="s">
        <v>99</v>
      </c>
      <c r="B13" s="396"/>
    </row>
    <row r="15" spans="1:2" x14ac:dyDescent="0.2">
      <c r="A15" t="s">
        <v>726</v>
      </c>
      <c r="B15" s="396" t="s">
        <v>760</v>
      </c>
    </row>
    <row r="16" spans="1:2" x14ac:dyDescent="0.2">
      <c r="A16" t="s">
        <v>734</v>
      </c>
      <c r="B16" s="396"/>
    </row>
    <row r="18" spans="1:2" x14ac:dyDescent="0.2">
      <c r="A18" t="s">
        <v>737</v>
      </c>
      <c r="B18" s="127" t="s">
        <v>761</v>
      </c>
    </row>
    <row r="20" spans="1:2" x14ac:dyDescent="0.2">
      <c r="A20" s="232" t="s">
        <v>741</v>
      </c>
      <c r="B20" s="127" t="s">
        <v>762</v>
      </c>
    </row>
    <row r="21" spans="1:2" x14ac:dyDescent="0.2">
      <c r="A21" s="232" t="s">
        <v>746</v>
      </c>
      <c r="B21" s="127" t="s">
        <v>762</v>
      </c>
    </row>
    <row r="22" spans="1:2" x14ac:dyDescent="0.2">
      <c r="A22" s="232" t="s">
        <v>181</v>
      </c>
      <c r="B22" s="127" t="s">
        <v>762</v>
      </c>
    </row>
    <row r="23" spans="1:2" x14ac:dyDescent="0.2">
      <c r="A23" s="232"/>
      <c r="B23" s="127"/>
    </row>
    <row r="24" spans="1:2" x14ac:dyDescent="0.2">
      <c r="A24" s="233" t="s">
        <v>731</v>
      </c>
      <c r="B24" s="127" t="s">
        <v>763</v>
      </c>
    </row>
    <row r="25" spans="1:2" x14ac:dyDescent="0.2">
      <c r="A25" s="233" t="s">
        <v>750</v>
      </c>
      <c r="B25" s="127" t="s">
        <v>764</v>
      </c>
    </row>
    <row r="26" spans="1:2" x14ac:dyDescent="0.2">
      <c r="A26" s="233" t="s">
        <v>742</v>
      </c>
      <c r="B26" s="127" t="s">
        <v>765</v>
      </c>
    </row>
  </sheetData>
  <mergeCells count="4">
    <mergeCell ref="B1:B6"/>
    <mergeCell ref="B8:B10"/>
    <mergeCell ref="B15:B16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72CA-017E-7B42-953A-29F5D17F4F6A}">
  <dimension ref="A1:K174"/>
  <sheetViews>
    <sheetView workbookViewId="0"/>
  </sheetViews>
  <sheetFormatPr baseColWidth="10" defaultRowHeight="16" x14ac:dyDescent="0.2"/>
  <cols>
    <col min="1" max="1" width="18.5" bestFit="1" customWidth="1"/>
    <col min="4" max="11" width="10.83203125" customWidth="1"/>
  </cols>
  <sheetData>
    <row r="1" spans="1:11" x14ac:dyDescent="0.2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6</v>
      </c>
      <c r="I1" t="s">
        <v>7</v>
      </c>
      <c r="J1" t="s">
        <v>8</v>
      </c>
      <c r="K1" t="s">
        <v>9</v>
      </c>
    </row>
    <row r="2" spans="1:11" ht="16" customHeight="1" x14ac:dyDescent="0.2">
      <c r="A2" t="s">
        <v>10</v>
      </c>
      <c r="B2" s="1">
        <v>45870</v>
      </c>
      <c r="C2" s="1">
        <v>45901</v>
      </c>
      <c r="D2">
        <v>2292.5569999999998</v>
      </c>
      <c r="E2">
        <v>1.129</v>
      </c>
      <c r="F2">
        <v>26.669</v>
      </c>
      <c r="G2">
        <v>0.34399999999999997</v>
      </c>
      <c r="H2">
        <v>2731.893</v>
      </c>
      <c r="I2">
        <v>1.23</v>
      </c>
      <c r="J2">
        <v>29.119</v>
      </c>
      <c r="K2">
        <v>0.47099999999999997</v>
      </c>
    </row>
    <row r="3" spans="1:11" x14ac:dyDescent="0.2">
      <c r="A3" t="s">
        <v>11</v>
      </c>
      <c r="B3" s="1">
        <v>45870</v>
      </c>
      <c r="C3" s="1">
        <v>45901</v>
      </c>
      <c r="D3">
        <v>2270.2359999999999</v>
      </c>
      <c r="E3">
        <v>17.010000000000002</v>
      </c>
      <c r="F3">
        <v>436.14800000000002</v>
      </c>
      <c r="G3">
        <v>20.632000000000001</v>
      </c>
      <c r="H3">
        <v>2486.5070000000001</v>
      </c>
      <c r="I3">
        <v>20.045999999999999</v>
      </c>
      <c r="J3">
        <v>474.01</v>
      </c>
      <c r="K3">
        <v>24.241</v>
      </c>
    </row>
    <row r="4" spans="1:11" x14ac:dyDescent="0.2">
      <c r="A4" t="s">
        <v>12</v>
      </c>
      <c r="B4" s="1">
        <v>45870</v>
      </c>
      <c r="C4" s="1">
        <v>45901</v>
      </c>
      <c r="D4">
        <v>1405.3030000000001</v>
      </c>
      <c r="E4">
        <v>1513.874</v>
      </c>
      <c r="F4">
        <v>80.185000000000002</v>
      </c>
      <c r="G4">
        <v>226.50299999999999</v>
      </c>
      <c r="H4">
        <v>1570.36</v>
      </c>
      <c r="I4">
        <v>1797.8620000000001</v>
      </c>
      <c r="J4">
        <v>122.40600000000001</v>
      </c>
      <c r="K4">
        <v>235.63399999999999</v>
      </c>
    </row>
    <row r="5" spans="1:11" x14ac:dyDescent="0.2">
      <c r="A5" t="s">
        <v>13</v>
      </c>
      <c r="B5" s="1">
        <v>45870</v>
      </c>
      <c r="C5" s="1">
        <v>45901</v>
      </c>
      <c r="D5">
        <v>2859.1060000000002</v>
      </c>
      <c r="E5">
        <v>1.7490000000000001</v>
      </c>
      <c r="F5">
        <v>32.558999999999997</v>
      </c>
      <c r="G5">
        <v>3.7999999999999999E-2</v>
      </c>
      <c r="H5">
        <v>3420.2460000000001</v>
      </c>
      <c r="I5">
        <v>1.903</v>
      </c>
      <c r="J5">
        <v>35.956000000000003</v>
      </c>
      <c r="K5">
        <v>5.2999999999999999E-2</v>
      </c>
    </row>
    <row r="6" spans="1:11" x14ac:dyDescent="0.2">
      <c r="A6" t="s">
        <v>14</v>
      </c>
      <c r="B6" s="1">
        <v>45870</v>
      </c>
      <c r="C6" s="1">
        <v>45901</v>
      </c>
      <c r="D6">
        <v>2288.636</v>
      </c>
      <c r="E6">
        <v>0</v>
      </c>
      <c r="F6">
        <v>1.1060000000000001</v>
      </c>
      <c r="G6">
        <v>246.11699999999999</v>
      </c>
      <c r="H6">
        <v>2572.7469999999998</v>
      </c>
      <c r="I6">
        <v>0</v>
      </c>
      <c r="J6">
        <v>1.385</v>
      </c>
      <c r="K6">
        <v>275.49400000000003</v>
      </c>
    </row>
    <row r="7" spans="1:11" x14ac:dyDescent="0.2">
      <c r="A7" t="s">
        <v>15</v>
      </c>
      <c r="B7" s="1">
        <v>45870</v>
      </c>
      <c r="C7" s="1">
        <v>45901</v>
      </c>
      <c r="D7">
        <v>4042.3020000000001</v>
      </c>
      <c r="E7">
        <v>0</v>
      </c>
      <c r="F7">
        <v>82.355000000000004</v>
      </c>
      <c r="G7">
        <v>1300.693</v>
      </c>
      <c r="H7">
        <v>4659.7629999999999</v>
      </c>
      <c r="I7">
        <v>0</v>
      </c>
      <c r="J7">
        <v>123.79900000000001</v>
      </c>
      <c r="K7">
        <v>1385.0329999999999</v>
      </c>
    </row>
    <row r="8" spans="1:11" x14ac:dyDescent="0.2">
      <c r="A8" t="s">
        <v>16</v>
      </c>
      <c r="B8" s="1">
        <v>45870</v>
      </c>
      <c r="C8" s="1">
        <v>45901</v>
      </c>
      <c r="D8">
        <v>2765.3069999999998</v>
      </c>
      <c r="E8">
        <v>1E-3</v>
      </c>
      <c r="F8">
        <v>418.38499999999999</v>
      </c>
      <c r="G8">
        <v>10.343</v>
      </c>
      <c r="H8">
        <v>2998.8519999999999</v>
      </c>
      <c r="I8">
        <v>1E-3</v>
      </c>
      <c r="J8">
        <v>507.30500000000001</v>
      </c>
      <c r="K8">
        <v>10.368</v>
      </c>
    </row>
    <row r="9" spans="1:11" x14ac:dyDescent="0.2">
      <c r="A9" t="s">
        <v>17</v>
      </c>
      <c r="B9" s="1">
        <v>45870</v>
      </c>
      <c r="C9" s="1">
        <v>45901</v>
      </c>
      <c r="D9">
        <v>254.74100000000001</v>
      </c>
      <c r="E9">
        <v>0.11899999999999999</v>
      </c>
      <c r="F9">
        <v>55.174999999999997</v>
      </c>
      <c r="G9">
        <v>13.882</v>
      </c>
      <c r="H9">
        <v>374.20299999999997</v>
      </c>
      <c r="I9">
        <v>0.17100000000000001</v>
      </c>
      <c r="J9">
        <v>77.691000000000003</v>
      </c>
      <c r="K9">
        <v>21.123000000000001</v>
      </c>
    </row>
    <row r="10" spans="1:11" x14ac:dyDescent="0.2">
      <c r="A10" t="s">
        <v>18</v>
      </c>
      <c r="B10" s="1">
        <v>45870</v>
      </c>
      <c r="C10" s="1">
        <v>45901</v>
      </c>
      <c r="D10">
        <v>1720.3689999999999</v>
      </c>
      <c r="E10">
        <v>0.19900000000000001</v>
      </c>
      <c r="F10">
        <v>12.837</v>
      </c>
      <c r="G10">
        <v>0.06</v>
      </c>
      <c r="H10">
        <v>2157.6819999999998</v>
      </c>
      <c r="I10">
        <v>32.692</v>
      </c>
      <c r="J10">
        <v>15.961</v>
      </c>
      <c r="K10">
        <v>0.34</v>
      </c>
    </row>
    <row r="11" spans="1:11" x14ac:dyDescent="0.2">
      <c r="A11" t="s">
        <v>19</v>
      </c>
      <c r="B11" s="1">
        <v>45870</v>
      </c>
      <c r="C11" s="1">
        <v>45901</v>
      </c>
      <c r="D11">
        <v>2050.828</v>
      </c>
      <c r="E11">
        <v>75.846000000000004</v>
      </c>
      <c r="F11">
        <v>163.94499999999999</v>
      </c>
      <c r="G11">
        <v>94.204999999999998</v>
      </c>
      <c r="H11">
        <v>2248.5720000000001</v>
      </c>
      <c r="I11">
        <v>78.153000000000006</v>
      </c>
      <c r="J11">
        <v>204.614</v>
      </c>
      <c r="K11">
        <v>97.754999999999995</v>
      </c>
    </row>
    <row r="12" spans="1:11" x14ac:dyDescent="0.2">
      <c r="A12" t="s">
        <v>20</v>
      </c>
      <c r="B12" s="1">
        <v>45870</v>
      </c>
      <c r="C12" s="1">
        <v>45901</v>
      </c>
      <c r="D12">
        <v>497.94900000000001</v>
      </c>
      <c r="E12">
        <v>0.05</v>
      </c>
      <c r="F12">
        <v>4</v>
      </c>
      <c r="G12">
        <v>162.292</v>
      </c>
      <c r="H12">
        <v>579.50699999999995</v>
      </c>
      <c r="I12">
        <v>5.2999999999999999E-2</v>
      </c>
      <c r="J12">
        <v>5.2160000000000002</v>
      </c>
      <c r="K12">
        <v>173.27500000000001</v>
      </c>
    </row>
    <row r="13" spans="1:11" x14ac:dyDescent="0.2">
      <c r="A13" t="s">
        <v>21</v>
      </c>
      <c r="B13" s="1">
        <v>45870</v>
      </c>
      <c r="C13" s="1">
        <v>45901</v>
      </c>
      <c r="D13">
        <v>0.17</v>
      </c>
      <c r="E13">
        <v>637.14499999999998</v>
      </c>
      <c r="F13">
        <v>0.27400000000000002</v>
      </c>
      <c r="G13">
        <v>6.8239999999999998</v>
      </c>
      <c r="H13">
        <v>0.30499999999999999</v>
      </c>
      <c r="I13">
        <v>919.79100000000005</v>
      </c>
      <c r="J13">
        <v>0.28100000000000003</v>
      </c>
      <c r="K13">
        <v>10.093999999999999</v>
      </c>
    </row>
    <row r="14" spans="1:11" x14ac:dyDescent="0.2">
      <c r="A14" t="s">
        <v>22</v>
      </c>
      <c r="B14" s="1">
        <v>45870</v>
      </c>
      <c r="C14" s="1">
        <v>45901</v>
      </c>
      <c r="D14">
        <v>1771.1679999999999</v>
      </c>
      <c r="E14">
        <v>1.1819999999999999</v>
      </c>
      <c r="F14">
        <v>4.6210000000000004</v>
      </c>
      <c r="G14">
        <v>8.9990000000000006</v>
      </c>
      <c r="H14">
        <v>2300.855</v>
      </c>
      <c r="I14">
        <v>36.659999999999997</v>
      </c>
      <c r="J14">
        <v>5.6360000000000001</v>
      </c>
      <c r="K14">
        <v>11.605</v>
      </c>
    </row>
    <row r="15" spans="1:11" x14ac:dyDescent="0.2">
      <c r="A15" t="s">
        <v>23</v>
      </c>
      <c r="B15" s="1">
        <v>45870</v>
      </c>
      <c r="C15" s="1">
        <v>45901</v>
      </c>
      <c r="D15">
        <v>0.81599999999999995</v>
      </c>
      <c r="E15">
        <v>1854.914</v>
      </c>
      <c r="F15">
        <v>37.183999999999997</v>
      </c>
      <c r="G15">
        <v>47.747999999999998</v>
      </c>
      <c r="H15">
        <v>0.90300000000000002</v>
      </c>
      <c r="I15">
        <v>2168.2460000000001</v>
      </c>
      <c r="J15">
        <v>43.36</v>
      </c>
      <c r="K15">
        <v>51.555999999999997</v>
      </c>
    </row>
    <row r="16" spans="1:11" x14ac:dyDescent="0.2">
      <c r="A16" t="s">
        <v>24</v>
      </c>
      <c r="B16" s="1">
        <v>45870</v>
      </c>
      <c r="C16" s="1">
        <v>45901</v>
      </c>
      <c r="D16">
        <v>1249.95</v>
      </c>
      <c r="E16">
        <v>700.58199999999999</v>
      </c>
      <c r="F16">
        <v>72.756</v>
      </c>
      <c r="G16">
        <v>194.14099999999999</v>
      </c>
      <c r="H16">
        <v>1375.3810000000001</v>
      </c>
      <c r="I16">
        <v>925.81600000000003</v>
      </c>
      <c r="J16">
        <v>105.828</v>
      </c>
      <c r="K16">
        <v>205.935</v>
      </c>
    </row>
    <row r="17" spans="1:11" x14ac:dyDescent="0.2">
      <c r="A17" t="s">
        <v>25</v>
      </c>
      <c r="B17" s="1">
        <v>45870</v>
      </c>
      <c r="C17" s="1">
        <v>45901</v>
      </c>
      <c r="D17">
        <v>4767.451</v>
      </c>
      <c r="E17">
        <v>6.5780000000000003</v>
      </c>
      <c r="F17">
        <v>522.56899999999996</v>
      </c>
      <c r="G17">
        <v>26.516999999999999</v>
      </c>
      <c r="H17">
        <v>5272.22</v>
      </c>
      <c r="I17">
        <v>7.4669999999999996</v>
      </c>
      <c r="J17">
        <v>689.10799999999995</v>
      </c>
      <c r="K17">
        <v>26.745000000000001</v>
      </c>
    </row>
    <row r="18" spans="1:11" x14ac:dyDescent="0.2">
      <c r="A18" t="s">
        <v>26</v>
      </c>
      <c r="B18" s="1">
        <v>45870</v>
      </c>
      <c r="C18" s="1">
        <v>45901</v>
      </c>
      <c r="D18">
        <v>4394.5469999999996</v>
      </c>
      <c r="E18">
        <v>5.8999999999999997E-2</v>
      </c>
      <c r="F18">
        <v>447.64600000000002</v>
      </c>
      <c r="G18">
        <v>91.777000000000001</v>
      </c>
      <c r="H18">
        <v>4900.6719999999996</v>
      </c>
      <c r="I18">
        <v>5.8999999999999997E-2</v>
      </c>
      <c r="J18">
        <v>568.86699999999996</v>
      </c>
      <c r="K18">
        <v>97.003</v>
      </c>
    </row>
    <row r="19" spans="1:11" x14ac:dyDescent="0.2">
      <c r="A19" t="s">
        <v>27</v>
      </c>
      <c r="B19" s="1">
        <v>45870</v>
      </c>
      <c r="C19" s="1">
        <v>45901</v>
      </c>
      <c r="D19">
        <v>1823.2660000000001</v>
      </c>
      <c r="E19">
        <v>0.77600000000000002</v>
      </c>
      <c r="F19">
        <v>16.155000000000001</v>
      </c>
      <c r="G19">
        <v>3.7440000000000002</v>
      </c>
      <c r="H19">
        <v>2336.4780000000001</v>
      </c>
      <c r="I19">
        <v>0.85599999999999998</v>
      </c>
      <c r="J19">
        <v>17.861999999999998</v>
      </c>
      <c r="K19">
        <v>4.6719999999999997</v>
      </c>
    </row>
    <row r="20" spans="1:11" x14ac:dyDescent="0.2">
      <c r="A20" t="s">
        <v>28</v>
      </c>
      <c r="B20" s="1">
        <v>45870</v>
      </c>
      <c r="C20" s="1">
        <v>45901</v>
      </c>
      <c r="D20">
        <v>1332.5450000000001</v>
      </c>
      <c r="E20">
        <v>0.70699999999999996</v>
      </c>
      <c r="F20">
        <v>15.259</v>
      </c>
      <c r="G20">
        <v>0.505</v>
      </c>
      <c r="H20">
        <v>1792.663</v>
      </c>
      <c r="I20">
        <v>0.77900000000000003</v>
      </c>
      <c r="J20">
        <v>17</v>
      </c>
      <c r="K20">
        <v>0.65400000000000003</v>
      </c>
    </row>
    <row r="21" spans="1:11" x14ac:dyDescent="0.2">
      <c r="A21" t="s">
        <v>189</v>
      </c>
      <c r="B21" s="1">
        <v>45870</v>
      </c>
      <c r="C21" s="1">
        <v>45901</v>
      </c>
      <c r="D21">
        <v>690.01900000000001</v>
      </c>
      <c r="E21">
        <v>1.0680000000000001</v>
      </c>
      <c r="F21">
        <v>0.36</v>
      </c>
      <c r="G21">
        <v>134.136</v>
      </c>
      <c r="H21">
        <v>792.88</v>
      </c>
      <c r="I21">
        <v>1.0960000000000001</v>
      </c>
      <c r="J21">
        <v>0.38500000000000001</v>
      </c>
      <c r="K21">
        <v>155.06700000000001</v>
      </c>
    </row>
    <row r="22" spans="1:11" x14ac:dyDescent="0.2">
      <c r="A22" t="s">
        <v>190</v>
      </c>
      <c r="B22" s="1">
        <v>45870</v>
      </c>
      <c r="C22" s="1">
        <v>45901</v>
      </c>
      <c r="D22">
        <v>1679.6489999999999</v>
      </c>
      <c r="E22">
        <v>0.39600000000000002</v>
      </c>
      <c r="F22">
        <v>18.745000000000001</v>
      </c>
      <c r="G22">
        <v>9.9000000000000005E-2</v>
      </c>
      <c r="H22">
        <v>2069.6170000000002</v>
      </c>
      <c r="I22">
        <v>0.45800000000000002</v>
      </c>
      <c r="J22">
        <v>21.914000000000001</v>
      </c>
      <c r="K22">
        <v>0.12</v>
      </c>
    </row>
    <row r="23" spans="1:11" x14ac:dyDescent="0.2">
      <c r="A23" t="s">
        <v>191</v>
      </c>
      <c r="B23" s="1">
        <v>45870</v>
      </c>
      <c r="C23" s="1">
        <v>45901</v>
      </c>
      <c r="D23">
        <v>1612.98</v>
      </c>
      <c r="E23">
        <v>0.29299999999999998</v>
      </c>
      <c r="F23">
        <v>9.0960000000000001</v>
      </c>
      <c r="G23">
        <v>1.5580000000000001</v>
      </c>
      <c r="H23">
        <v>2089.63</v>
      </c>
      <c r="I23">
        <v>0.34899999999999998</v>
      </c>
      <c r="J23">
        <v>10.994</v>
      </c>
      <c r="K23">
        <v>1.8939999999999999</v>
      </c>
    </row>
    <row r="24" spans="1:11" x14ac:dyDescent="0.2">
      <c r="A24" t="s">
        <v>29</v>
      </c>
      <c r="B24" s="1">
        <v>45870</v>
      </c>
      <c r="C24" s="1">
        <v>45901</v>
      </c>
      <c r="D24">
        <v>1022.398</v>
      </c>
      <c r="E24">
        <v>1.028</v>
      </c>
      <c r="F24">
        <v>7.0970000000000004</v>
      </c>
      <c r="G24">
        <v>9.7309999999999999</v>
      </c>
      <c r="H24">
        <v>1212.049</v>
      </c>
      <c r="I24">
        <v>1.0840000000000001</v>
      </c>
      <c r="J24">
        <v>8.23</v>
      </c>
      <c r="K24">
        <v>11.327999999999999</v>
      </c>
    </row>
    <row r="25" spans="1:11" x14ac:dyDescent="0.2">
      <c r="A25" t="s">
        <v>30</v>
      </c>
      <c r="B25" s="1">
        <v>45870</v>
      </c>
      <c r="C25" s="1">
        <v>45901</v>
      </c>
      <c r="D25">
        <v>46.185000000000002</v>
      </c>
      <c r="E25">
        <v>0</v>
      </c>
      <c r="F25">
        <v>3.1659999999999999</v>
      </c>
      <c r="G25">
        <v>4.1589999999999998</v>
      </c>
      <c r="H25">
        <v>52.591999999999999</v>
      </c>
      <c r="I25">
        <v>0</v>
      </c>
      <c r="J25">
        <v>3.649</v>
      </c>
      <c r="K25">
        <v>4.8099999999999996</v>
      </c>
    </row>
    <row r="26" spans="1:11" x14ac:dyDescent="0.2">
      <c r="A26" t="s">
        <v>31</v>
      </c>
      <c r="B26" s="1">
        <v>45870</v>
      </c>
      <c r="C26" s="1">
        <v>45901</v>
      </c>
      <c r="D26">
        <v>381.56900000000002</v>
      </c>
      <c r="E26">
        <v>4.0000000000000001E-3</v>
      </c>
      <c r="F26">
        <v>13.641999999999999</v>
      </c>
      <c r="G26">
        <v>67.462999999999994</v>
      </c>
      <c r="H26">
        <v>436.529</v>
      </c>
      <c r="I26">
        <v>7.0000000000000001E-3</v>
      </c>
      <c r="J26">
        <v>26.451000000000001</v>
      </c>
      <c r="K26">
        <v>72.256</v>
      </c>
    </row>
    <row r="27" spans="1:11" x14ac:dyDescent="0.2">
      <c r="A27" t="s">
        <v>32</v>
      </c>
      <c r="B27" s="1">
        <v>45870</v>
      </c>
      <c r="C27" s="1">
        <v>45901</v>
      </c>
      <c r="D27">
        <v>2.1019999999999999</v>
      </c>
      <c r="E27">
        <v>301.33199999999999</v>
      </c>
      <c r="F27">
        <v>0.30599999999999999</v>
      </c>
      <c r="G27">
        <v>17.093</v>
      </c>
      <c r="H27">
        <v>2.258</v>
      </c>
      <c r="I27">
        <v>396.197</v>
      </c>
      <c r="J27">
        <v>0.308</v>
      </c>
      <c r="K27">
        <v>21.664999999999999</v>
      </c>
    </row>
    <row r="28" spans="1:11" x14ac:dyDescent="0.2">
      <c r="A28" t="s">
        <v>33</v>
      </c>
      <c r="B28" s="1">
        <v>45870</v>
      </c>
      <c r="C28" s="1">
        <v>45901</v>
      </c>
      <c r="D28">
        <v>1.3049999999999999</v>
      </c>
      <c r="E28">
        <v>1092.53</v>
      </c>
      <c r="F28">
        <v>19.945</v>
      </c>
      <c r="G28">
        <v>5.3239999999999998</v>
      </c>
      <c r="H28">
        <v>1.3660000000000001</v>
      </c>
      <c r="I28">
        <v>1333.6610000000001</v>
      </c>
      <c r="J28">
        <v>24.693999999999999</v>
      </c>
      <c r="K28">
        <v>6.1319999999999997</v>
      </c>
    </row>
    <row r="29" spans="1:11" x14ac:dyDescent="0.2">
      <c r="A29" t="s">
        <v>34</v>
      </c>
      <c r="B29" s="1">
        <v>45870</v>
      </c>
      <c r="C29" s="1">
        <v>45901</v>
      </c>
      <c r="D29">
        <v>1435.297</v>
      </c>
      <c r="E29">
        <v>2.5510000000000002</v>
      </c>
      <c r="F29">
        <v>8.3780000000000001</v>
      </c>
      <c r="G29">
        <v>174.881</v>
      </c>
      <c r="H29">
        <v>1700.634</v>
      </c>
      <c r="I29">
        <v>3.2530000000000001</v>
      </c>
      <c r="J29">
        <v>9.6319999999999997</v>
      </c>
      <c r="K29">
        <v>207.626</v>
      </c>
    </row>
    <row r="30" spans="1:11" x14ac:dyDescent="0.2">
      <c r="A30" t="s">
        <v>35</v>
      </c>
      <c r="B30" s="1">
        <v>45870</v>
      </c>
      <c r="C30" s="1">
        <v>45901</v>
      </c>
      <c r="D30">
        <v>1.752</v>
      </c>
      <c r="E30">
        <v>770.78700000000003</v>
      </c>
      <c r="F30">
        <v>0.30299999999999999</v>
      </c>
      <c r="G30">
        <v>18.239999999999998</v>
      </c>
      <c r="H30">
        <v>1.9450000000000001</v>
      </c>
      <c r="I30">
        <v>929.33900000000006</v>
      </c>
      <c r="J30">
        <v>0.30399999999999999</v>
      </c>
      <c r="K30">
        <v>21.510999999999999</v>
      </c>
    </row>
    <row r="31" spans="1:11" x14ac:dyDescent="0.2">
      <c r="A31" t="s">
        <v>36</v>
      </c>
      <c r="B31" s="1">
        <v>45870</v>
      </c>
      <c r="C31" s="1">
        <v>45901</v>
      </c>
      <c r="D31">
        <v>570.94899999999996</v>
      </c>
      <c r="E31">
        <v>3.5000000000000003E-2</v>
      </c>
      <c r="F31">
        <v>24.742000000000001</v>
      </c>
      <c r="G31">
        <v>22.937000000000001</v>
      </c>
      <c r="H31">
        <v>665.173</v>
      </c>
      <c r="I31">
        <v>4.4999999999999998E-2</v>
      </c>
      <c r="J31">
        <v>33.799999999999997</v>
      </c>
      <c r="K31">
        <v>25.721</v>
      </c>
    </row>
    <row r="32" spans="1:11" x14ac:dyDescent="0.2">
      <c r="A32" t="s">
        <v>37</v>
      </c>
      <c r="B32" s="1">
        <v>45870</v>
      </c>
      <c r="C32" s="1">
        <v>45901</v>
      </c>
      <c r="D32">
        <v>1626.36</v>
      </c>
      <c r="E32">
        <v>0</v>
      </c>
      <c r="F32">
        <v>9.4459999999999997</v>
      </c>
      <c r="G32">
        <v>4.9169999999999998</v>
      </c>
      <c r="H32">
        <v>1984.3789999999999</v>
      </c>
      <c r="I32">
        <v>0</v>
      </c>
      <c r="J32">
        <v>10.646000000000001</v>
      </c>
      <c r="K32">
        <v>5.9720000000000004</v>
      </c>
    </row>
    <row r="33" spans="1:11" x14ac:dyDescent="0.2">
      <c r="A33" t="s">
        <v>38</v>
      </c>
      <c r="B33" s="1">
        <v>45870</v>
      </c>
      <c r="C33" s="1">
        <v>45901</v>
      </c>
      <c r="D33">
        <v>35.210999999999999</v>
      </c>
      <c r="E33">
        <v>51.723999999999997</v>
      </c>
      <c r="F33">
        <v>64.197000000000003</v>
      </c>
      <c r="G33">
        <v>18.152000000000001</v>
      </c>
      <c r="H33">
        <v>46.81</v>
      </c>
      <c r="I33">
        <v>58.692</v>
      </c>
      <c r="J33">
        <v>68.924999999999997</v>
      </c>
      <c r="K33">
        <v>24.003</v>
      </c>
    </row>
    <row r="34" spans="1:11" x14ac:dyDescent="0.2">
      <c r="A34" t="s">
        <v>40</v>
      </c>
      <c r="B34" s="1">
        <v>45870</v>
      </c>
      <c r="C34" s="1">
        <v>45901</v>
      </c>
      <c r="D34">
        <v>1937.884</v>
      </c>
      <c r="E34">
        <v>1.3959999999999999</v>
      </c>
      <c r="F34">
        <v>23.082999999999998</v>
      </c>
      <c r="G34">
        <v>122.691</v>
      </c>
      <c r="H34">
        <v>2348.8389999999999</v>
      </c>
      <c r="I34">
        <v>1.64</v>
      </c>
      <c r="J34">
        <v>27.56</v>
      </c>
      <c r="K34">
        <v>146.79900000000001</v>
      </c>
    </row>
    <row r="35" spans="1:11" x14ac:dyDescent="0.2">
      <c r="A35" t="s">
        <v>41</v>
      </c>
      <c r="B35" s="1">
        <v>45870</v>
      </c>
      <c r="C35" s="1">
        <v>45901</v>
      </c>
      <c r="D35">
        <v>2094.0189999999998</v>
      </c>
      <c r="E35">
        <v>0</v>
      </c>
      <c r="F35">
        <v>41.055</v>
      </c>
      <c r="G35">
        <v>147.35900000000001</v>
      </c>
      <c r="H35">
        <v>2539.721</v>
      </c>
      <c r="I35">
        <v>0</v>
      </c>
      <c r="J35">
        <v>65.066000000000003</v>
      </c>
      <c r="K35">
        <v>161.43600000000001</v>
      </c>
    </row>
    <row r="36" spans="1:11" x14ac:dyDescent="0.2">
      <c r="A36" t="s">
        <v>42</v>
      </c>
      <c r="B36" s="1">
        <v>45870</v>
      </c>
      <c r="C36" s="1">
        <v>45901</v>
      </c>
      <c r="D36">
        <v>2956.1889999999999</v>
      </c>
      <c r="E36">
        <v>0</v>
      </c>
      <c r="F36">
        <v>215.48099999999999</v>
      </c>
      <c r="G36">
        <v>12.041</v>
      </c>
      <c r="H36">
        <v>3537.2869999999998</v>
      </c>
      <c r="I36">
        <v>0</v>
      </c>
      <c r="J36">
        <v>296.435</v>
      </c>
      <c r="K36">
        <v>12.353</v>
      </c>
    </row>
    <row r="37" spans="1:11" x14ac:dyDescent="0.2">
      <c r="A37" t="s">
        <v>43</v>
      </c>
      <c r="B37" s="1">
        <v>45870</v>
      </c>
      <c r="C37" s="1">
        <v>45901</v>
      </c>
      <c r="D37">
        <v>278.33100000000002</v>
      </c>
      <c r="E37">
        <v>0</v>
      </c>
      <c r="F37">
        <v>0.29399999999999998</v>
      </c>
      <c r="G37">
        <v>39.034999999999997</v>
      </c>
      <c r="H37">
        <v>331.67399999999998</v>
      </c>
      <c r="I37">
        <v>0</v>
      </c>
      <c r="J37">
        <v>0.30399999999999999</v>
      </c>
      <c r="K37">
        <v>44.984999999999999</v>
      </c>
    </row>
    <row r="38" spans="1:11" x14ac:dyDescent="0.2">
      <c r="A38" t="s">
        <v>44</v>
      </c>
      <c r="B38" s="1">
        <v>45870</v>
      </c>
      <c r="C38" s="1">
        <v>45901</v>
      </c>
      <c r="D38">
        <v>2111.73</v>
      </c>
      <c r="E38">
        <v>0</v>
      </c>
      <c r="F38">
        <v>331.26900000000001</v>
      </c>
      <c r="G38">
        <v>0.34399999999999997</v>
      </c>
      <c r="H38">
        <v>2504.596</v>
      </c>
      <c r="I38">
        <v>0</v>
      </c>
      <c r="J38">
        <v>395.33800000000002</v>
      </c>
      <c r="K38">
        <v>0.38100000000000001</v>
      </c>
    </row>
    <row r="39" spans="1:11" x14ac:dyDescent="0.2">
      <c r="A39" t="s">
        <v>45</v>
      </c>
      <c r="B39" s="1">
        <v>45870</v>
      </c>
      <c r="C39" s="1">
        <v>45901</v>
      </c>
      <c r="D39">
        <v>2327.154</v>
      </c>
      <c r="E39">
        <v>0</v>
      </c>
      <c r="F39">
        <v>175.374</v>
      </c>
      <c r="G39">
        <v>28.923999999999999</v>
      </c>
      <c r="H39">
        <v>2805.5740000000001</v>
      </c>
      <c r="I39">
        <v>0</v>
      </c>
      <c r="J39">
        <v>242.21100000000001</v>
      </c>
      <c r="K39">
        <v>31.013000000000002</v>
      </c>
    </row>
    <row r="40" spans="1:11" x14ac:dyDescent="0.2">
      <c r="A40" t="s">
        <v>47</v>
      </c>
      <c r="B40" s="1">
        <v>45870</v>
      </c>
      <c r="C40" s="1">
        <v>45901</v>
      </c>
      <c r="D40">
        <v>2967.8609999999999</v>
      </c>
      <c r="E40">
        <v>0</v>
      </c>
      <c r="F40">
        <v>144.798</v>
      </c>
      <c r="G40">
        <v>70.906000000000006</v>
      </c>
      <c r="H40">
        <v>3354.7489999999998</v>
      </c>
      <c r="I40">
        <v>0</v>
      </c>
      <c r="J40">
        <v>187.172</v>
      </c>
      <c r="K40">
        <v>71.242000000000004</v>
      </c>
    </row>
    <row r="41" spans="1:11" x14ac:dyDescent="0.2">
      <c r="A41" t="s">
        <v>48</v>
      </c>
      <c r="B41" s="1">
        <v>45870</v>
      </c>
      <c r="C41" s="1">
        <v>45901</v>
      </c>
      <c r="D41">
        <v>2187.2800000000002</v>
      </c>
      <c r="E41">
        <v>2.5409999999999999</v>
      </c>
      <c r="F41">
        <v>46.198</v>
      </c>
      <c r="G41">
        <v>190.15799999999999</v>
      </c>
      <c r="H41">
        <v>2626.1509999999998</v>
      </c>
      <c r="I41">
        <v>2.802</v>
      </c>
      <c r="J41">
        <v>50.668999999999997</v>
      </c>
      <c r="K41">
        <v>216.011</v>
      </c>
    </row>
    <row r="42" spans="1:11" x14ac:dyDescent="0.2">
      <c r="A42" t="s">
        <v>49</v>
      </c>
      <c r="B42" s="1">
        <v>45870</v>
      </c>
      <c r="C42" s="1">
        <v>45901</v>
      </c>
      <c r="D42">
        <v>3442.2280000000001</v>
      </c>
      <c r="E42">
        <v>0</v>
      </c>
      <c r="F42">
        <v>13.269</v>
      </c>
      <c r="G42">
        <v>369.96899999999999</v>
      </c>
      <c r="H42">
        <v>3864.1869999999999</v>
      </c>
      <c r="I42">
        <v>0</v>
      </c>
      <c r="J42">
        <v>17.614999999999998</v>
      </c>
      <c r="K42">
        <v>390.71499999999997</v>
      </c>
    </row>
    <row r="43" spans="1:11" x14ac:dyDescent="0.2">
      <c r="A43" t="s">
        <v>50</v>
      </c>
      <c r="B43" s="1">
        <v>45870</v>
      </c>
      <c r="C43" s="1">
        <v>45901</v>
      </c>
      <c r="D43">
        <v>4255.4049999999997</v>
      </c>
      <c r="E43">
        <v>0</v>
      </c>
      <c r="F43">
        <v>632.46199999999999</v>
      </c>
      <c r="G43">
        <v>2.456</v>
      </c>
      <c r="H43">
        <v>4794.1859999999997</v>
      </c>
      <c r="I43">
        <v>0</v>
      </c>
      <c r="J43">
        <v>712.08699999999999</v>
      </c>
      <c r="K43">
        <v>7.8630000000000004</v>
      </c>
    </row>
    <row r="44" spans="1:11" x14ac:dyDescent="0.2">
      <c r="A44" t="s">
        <v>52</v>
      </c>
      <c r="B44" s="1">
        <v>45870</v>
      </c>
      <c r="C44" s="1">
        <v>45901</v>
      </c>
      <c r="D44">
        <v>0.251</v>
      </c>
      <c r="E44">
        <v>2097.268</v>
      </c>
      <c r="F44">
        <v>14.345000000000001</v>
      </c>
      <c r="G44">
        <v>13.119</v>
      </c>
      <c r="H44">
        <v>0.27300000000000002</v>
      </c>
      <c r="I44">
        <v>2523.2350000000001</v>
      </c>
      <c r="J44">
        <v>16.948</v>
      </c>
      <c r="K44">
        <v>14.413</v>
      </c>
    </row>
    <row r="45" spans="1:11" x14ac:dyDescent="0.2">
      <c r="A45" t="s">
        <v>53</v>
      </c>
      <c r="B45" s="1">
        <v>45870</v>
      </c>
      <c r="C45" s="1">
        <v>45901</v>
      </c>
      <c r="D45">
        <v>1255.829</v>
      </c>
      <c r="E45">
        <v>963.11199999999997</v>
      </c>
      <c r="F45">
        <v>0.28299999999999997</v>
      </c>
      <c r="G45">
        <v>576.673</v>
      </c>
      <c r="H45">
        <v>1340.306</v>
      </c>
      <c r="I45">
        <v>1172.521</v>
      </c>
      <c r="J45">
        <v>0.28299999999999997</v>
      </c>
      <c r="K45">
        <v>639.75400000000002</v>
      </c>
    </row>
    <row r="46" spans="1:11" x14ac:dyDescent="0.2">
      <c r="A46" t="s">
        <v>54</v>
      </c>
      <c r="B46" s="1">
        <v>45870</v>
      </c>
      <c r="C46" s="1">
        <v>45901</v>
      </c>
      <c r="D46">
        <v>1552.847</v>
      </c>
      <c r="E46">
        <v>1.677</v>
      </c>
      <c r="F46">
        <v>34.229999999999997</v>
      </c>
      <c r="G46">
        <v>127.877</v>
      </c>
      <c r="H46">
        <v>1843.943</v>
      </c>
      <c r="I46">
        <v>1.851</v>
      </c>
      <c r="J46">
        <v>37.558999999999997</v>
      </c>
      <c r="K46">
        <v>145.36799999999999</v>
      </c>
    </row>
    <row r="47" spans="1:11" x14ac:dyDescent="0.2">
      <c r="A47" t="s">
        <v>55</v>
      </c>
      <c r="B47" s="1">
        <v>45870</v>
      </c>
      <c r="C47" s="1">
        <v>45901</v>
      </c>
      <c r="D47">
        <v>150.62</v>
      </c>
      <c r="E47">
        <v>125.845</v>
      </c>
      <c r="F47">
        <v>41.125999999999998</v>
      </c>
      <c r="G47">
        <v>5.1260000000000003</v>
      </c>
      <c r="H47">
        <v>189.89099999999999</v>
      </c>
      <c r="I47">
        <v>154.964</v>
      </c>
      <c r="J47">
        <v>54.697000000000003</v>
      </c>
      <c r="K47">
        <v>6.7560000000000002</v>
      </c>
    </row>
    <row r="48" spans="1:11" x14ac:dyDescent="0.2">
      <c r="A48" t="s">
        <v>56</v>
      </c>
      <c r="B48" s="1">
        <v>45870</v>
      </c>
      <c r="C48" s="1">
        <v>45901</v>
      </c>
      <c r="D48">
        <v>1818.568</v>
      </c>
      <c r="E48">
        <v>471.55900000000003</v>
      </c>
      <c r="F48">
        <v>210.316</v>
      </c>
      <c r="G48">
        <v>103.002</v>
      </c>
      <c r="H48">
        <v>1942.8409999999999</v>
      </c>
      <c r="I48">
        <v>571.57799999999997</v>
      </c>
      <c r="J48">
        <v>246.21600000000001</v>
      </c>
      <c r="K48">
        <v>116.676</v>
      </c>
    </row>
    <row r="49" spans="1:11" x14ac:dyDescent="0.2">
      <c r="A49" t="s">
        <v>58</v>
      </c>
      <c r="B49" s="1">
        <v>45870</v>
      </c>
      <c r="C49" s="1">
        <v>45901</v>
      </c>
      <c r="D49">
        <v>621.75800000000004</v>
      </c>
      <c r="E49">
        <v>0</v>
      </c>
      <c r="F49">
        <v>162.9</v>
      </c>
      <c r="G49">
        <v>0.22800000000000001</v>
      </c>
      <c r="H49">
        <v>775.48099999999999</v>
      </c>
      <c r="I49">
        <v>0</v>
      </c>
      <c r="J49">
        <v>212.3</v>
      </c>
      <c r="K49">
        <v>0.22800000000000001</v>
      </c>
    </row>
    <row r="50" spans="1:11" x14ac:dyDescent="0.2">
      <c r="A50" t="s">
        <v>59</v>
      </c>
      <c r="B50" s="1">
        <v>45870</v>
      </c>
      <c r="C50" s="1">
        <v>45901</v>
      </c>
      <c r="D50">
        <v>1940.3920000000001</v>
      </c>
      <c r="E50">
        <v>2.7120000000000002</v>
      </c>
      <c r="F50">
        <v>33.033999999999999</v>
      </c>
      <c r="G50">
        <v>0.621</v>
      </c>
      <c r="H50">
        <v>2382.1619999999998</v>
      </c>
      <c r="I50">
        <v>3.0110000000000001</v>
      </c>
      <c r="J50">
        <v>36.454999999999998</v>
      </c>
      <c r="K50">
        <v>3.1110000000000002</v>
      </c>
    </row>
    <row r="51" spans="1:11" x14ac:dyDescent="0.2">
      <c r="A51" t="s">
        <v>60</v>
      </c>
      <c r="B51" s="1">
        <v>45870</v>
      </c>
      <c r="C51" s="1">
        <v>45901</v>
      </c>
      <c r="D51">
        <v>1297.1980000000001</v>
      </c>
      <c r="E51">
        <v>287.31799999999998</v>
      </c>
      <c r="F51">
        <v>334.15199999999999</v>
      </c>
      <c r="G51">
        <v>0.28799999999999998</v>
      </c>
      <c r="H51">
        <v>1477.626</v>
      </c>
      <c r="I51">
        <v>337.23</v>
      </c>
      <c r="J51">
        <v>434.43599999999998</v>
      </c>
      <c r="K51">
        <v>0.28799999999999998</v>
      </c>
    </row>
    <row r="52" spans="1:11" x14ac:dyDescent="0.2">
      <c r="A52" t="s">
        <v>61</v>
      </c>
      <c r="B52" s="1">
        <v>45870</v>
      </c>
      <c r="C52" s="1">
        <v>45901</v>
      </c>
      <c r="D52">
        <v>1746.258</v>
      </c>
      <c r="E52">
        <v>0</v>
      </c>
      <c r="F52">
        <v>285.32600000000002</v>
      </c>
      <c r="G52">
        <v>0.113</v>
      </c>
      <c r="H52">
        <v>1956.47</v>
      </c>
      <c r="I52">
        <v>0</v>
      </c>
      <c r="J52">
        <v>321.06900000000002</v>
      </c>
      <c r="K52">
        <v>0.155</v>
      </c>
    </row>
    <row r="53" spans="1:11" x14ac:dyDescent="0.2">
      <c r="A53" t="s">
        <v>62</v>
      </c>
      <c r="B53" s="1">
        <v>45870</v>
      </c>
      <c r="C53" s="1">
        <v>45901</v>
      </c>
      <c r="D53">
        <v>1.3340000000000001</v>
      </c>
      <c r="E53">
        <v>1156.126</v>
      </c>
      <c r="F53">
        <v>0.443</v>
      </c>
      <c r="G53">
        <v>36.572000000000003</v>
      </c>
      <c r="H53">
        <v>1.4810000000000001</v>
      </c>
      <c r="I53">
        <v>1378.2360000000001</v>
      </c>
      <c r="J53">
        <v>0.46</v>
      </c>
      <c r="K53">
        <v>40.670999999999999</v>
      </c>
    </row>
    <row r="54" spans="1:11" x14ac:dyDescent="0.2">
      <c r="A54" t="s">
        <v>63</v>
      </c>
      <c r="B54" s="1">
        <v>45870</v>
      </c>
      <c r="C54" s="1">
        <v>45901</v>
      </c>
      <c r="D54">
        <v>1339.547</v>
      </c>
      <c r="E54">
        <v>488.02600000000001</v>
      </c>
      <c r="F54">
        <v>34.183999999999997</v>
      </c>
      <c r="G54">
        <v>326.76100000000002</v>
      </c>
      <c r="H54">
        <v>1779.12</v>
      </c>
      <c r="I54">
        <v>488.029</v>
      </c>
      <c r="J54">
        <v>86.484999999999999</v>
      </c>
      <c r="K54">
        <v>328.06400000000002</v>
      </c>
    </row>
    <row r="55" spans="1:11" x14ac:dyDescent="0.2">
      <c r="A55" t="s">
        <v>64</v>
      </c>
      <c r="B55" s="1">
        <v>45870</v>
      </c>
      <c r="C55" s="1">
        <v>45901</v>
      </c>
      <c r="D55">
        <v>384.22699999999998</v>
      </c>
      <c r="E55">
        <v>0</v>
      </c>
      <c r="F55">
        <v>115.15</v>
      </c>
      <c r="G55">
        <v>0</v>
      </c>
      <c r="H55">
        <v>614.42100000000005</v>
      </c>
      <c r="I55">
        <v>0</v>
      </c>
      <c r="J55">
        <v>178.851</v>
      </c>
      <c r="K55">
        <v>0</v>
      </c>
    </row>
    <row r="56" spans="1:11" x14ac:dyDescent="0.2">
      <c r="A56" t="s">
        <v>65</v>
      </c>
      <c r="B56" s="1">
        <v>45870</v>
      </c>
      <c r="C56" s="1">
        <v>45901</v>
      </c>
      <c r="D56">
        <v>1086.0260000000001</v>
      </c>
      <c r="E56">
        <v>3.5529999999999999</v>
      </c>
      <c r="F56">
        <v>22.902999999999999</v>
      </c>
      <c r="G56">
        <v>0.35899999999999999</v>
      </c>
      <c r="H56">
        <v>1333.48</v>
      </c>
      <c r="I56">
        <v>3.7450000000000001</v>
      </c>
      <c r="J56">
        <v>25.067</v>
      </c>
      <c r="K56">
        <v>1.7589999999999999</v>
      </c>
    </row>
    <row r="57" spans="1:11" x14ac:dyDescent="0.2">
      <c r="A57" t="s">
        <v>66</v>
      </c>
      <c r="B57" s="1">
        <v>45870</v>
      </c>
      <c r="C57" s="1">
        <v>45901</v>
      </c>
      <c r="D57">
        <v>1618.269</v>
      </c>
      <c r="E57">
        <v>1.752</v>
      </c>
      <c r="F57">
        <v>24.245000000000001</v>
      </c>
      <c r="G57">
        <v>0.42699999999999999</v>
      </c>
      <c r="H57">
        <v>2002.732</v>
      </c>
      <c r="I57">
        <v>1.9990000000000001</v>
      </c>
      <c r="J57">
        <v>26.885999999999999</v>
      </c>
      <c r="K57">
        <v>2.2240000000000002</v>
      </c>
    </row>
    <row r="58" spans="1:11" x14ac:dyDescent="0.2">
      <c r="A58" t="s">
        <v>67</v>
      </c>
      <c r="B58" s="1">
        <v>45870</v>
      </c>
      <c r="C58" s="1">
        <v>45901</v>
      </c>
      <c r="D58">
        <v>58.031999999999996</v>
      </c>
      <c r="E58">
        <v>0</v>
      </c>
      <c r="F58">
        <v>5.3869999999999996</v>
      </c>
      <c r="G58">
        <v>7.0999999999999994E-2</v>
      </c>
      <c r="H58">
        <v>72.120999999999995</v>
      </c>
      <c r="I58">
        <v>0</v>
      </c>
      <c r="J58">
        <v>7.9379999999999997</v>
      </c>
      <c r="K58">
        <v>7.0999999999999994E-2</v>
      </c>
    </row>
    <row r="59" spans="1:11" x14ac:dyDescent="0.2">
      <c r="A59" t="s">
        <v>68</v>
      </c>
      <c r="B59" s="1">
        <v>45870</v>
      </c>
      <c r="C59" s="1">
        <v>45901</v>
      </c>
      <c r="D59">
        <v>231.96600000000001</v>
      </c>
      <c r="E59">
        <v>4.0000000000000001E-3</v>
      </c>
      <c r="F59">
        <v>101.937</v>
      </c>
      <c r="G59">
        <v>4.0000000000000001E-3</v>
      </c>
      <c r="H59">
        <v>295.71800000000002</v>
      </c>
      <c r="I59">
        <v>3.1E-2</v>
      </c>
      <c r="J59">
        <v>137.32400000000001</v>
      </c>
      <c r="K59">
        <v>4.0000000000000001E-3</v>
      </c>
    </row>
    <row r="60" spans="1:11" x14ac:dyDescent="0.2">
      <c r="A60" t="s">
        <v>69</v>
      </c>
      <c r="B60" s="1">
        <v>45870</v>
      </c>
      <c r="C60" s="1">
        <v>45901</v>
      </c>
      <c r="D60">
        <v>421.10700000000003</v>
      </c>
      <c r="E60">
        <v>1E-3</v>
      </c>
      <c r="F60">
        <v>172.55099999999999</v>
      </c>
      <c r="G60">
        <v>4.0000000000000001E-3</v>
      </c>
      <c r="H60">
        <v>531.279</v>
      </c>
      <c r="I60">
        <v>1E-3</v>
      </c>
      <c r="J60">
        <v>229.767</v>
      </c>
      <c r="K60">
        <v>4.0000000000000001E-3</v>
      </c>
    </row>
    <row r="61" spans="1:11" x14ac:dyDescent="0.2">
      <c r="A61" t="s">
        <v>70</v>
      </c>
      <c r="B61" s="1">
        <v>45870</v>
      </c>
      <c r="C61" s="1">
        <v>45901</v>
      </c>
      <c r="D61">
        <v>4265.1180000000004</v>
      </c>
      <c r="E61">
        <v>0</v>
      </c>
      <c r="F61">
        <v>788.43899999999996</v>
      </c>
      <c r="G61">
        <v>0.17699999999999999</v>
      </c>
      <c r="H61">
        <v>5068.8860000000004</v>
      </c>
      <c r="I61">
        <v>0</v>
      </c>
      <c r="J61">
        <v>991.34900000000005</v>
      </c>
      <c r="K61">
        <v>0.17699999999999999</v>
      </c>
    </row>
    <row r="62" spans="1:11" x14ac:dyDescent="0.2">
      <c r="A62" t="s">
        <v>71</v>
      </c>
      <c r="B62" s="1">
        <v>45870</v>
      </c>
      <c r="C62" s="1">
        <v>45901</v>
      </c>
      <c r="D62">
        <v>3615.2179999999998</v>
      </c>
      <c r="E62">
        <v>0</v>
      </c>
      <c r="F62">
        <v>547.21500000000003</v>
      </c>
      <c r="G62">
        <v>6.9000000000000006E-2</v>
      </c>
      <c r="H62">
        <v>4142.201</v>
      </c>
      <c r="I62">
        <v>0</v>
      </c>
      <c r="J62">
        <v>660.04700000000003</v>
      </c>
      <c r="K62">
        <v>6.9000000000000006E-2</v>
      </c>
    </row>
    <row r="63" spans="1:11" x14ac:dyDescent="0.2">
      <c r="A63" t="s">
        <v>72</v>
      </c>
      <c r="B63" s="1">
        <v>45870</v>
      </c>
      <c r="C63" s="1">
        <v>45901</v>
      </c>
      <c r="D63">
        <v>7051.5219999999999</v>
      </c>
      <c r="E63">
        <v>0</v>
      </c>
      <c r="F63">
        <v>785.93700000000001</v>
      </c>
      <c r="G63">
        <v>0.43</v>
      </c>
      <c r="H63">
        <v>8005.5649999999996</v>
      </c>
      <c r="I63">
        <v>0</v>
      </c>
      <c r="J63">
        <v>928.71299999999997</v>
      </c>
      <c r="K63">
        <v>0.434</v>
      </c>
    </row>
    <row r="64" spans="1:11" x14ac:dyDescent="0.2">
      <c r="A64" t="s">
        <v>73</v>
      </c>
      <c r="B64" s="1">
        <v>45870</v>
      </c>
      <c r="C64" s="1">
        <v>45901</v>
      </c>
      <c r="D64">
        <v>2767.3560000000002</v>
      </c>
      <c r="E64">
        <v>86.748999999999995</v>
      </c>
      <c r="F64">
        <v>194.64599999999999</v>
      </c>
      <c r="G64">
        <v>120.089</v>
      </c>
      <c r="H64">
        <v>3152.1680000000001</v>
      </c>
      <c r="I64">
        <v>93.043000000000006</v>
      </c>
      <c r="J64">
        <v>257.78199999999998</v>
      </c>
      <c r="K64">
        <v>120.474</v>
      </c>
    </row>
    <row r="65" spans="1:11" x14ac:dyDescent="0.2">
      <c r="A65" t="s">
        <v>74</v>
      </c>
      <c r="B65" s="1">
        <v>45870</v>
      </c>
      <c r="C65" s="1">
        <v>45901</v>
      </c>
      <c r="D65">
        <v>1.4530000000000001</v>
      </c>
      <c r="E65">
        <v>2965.2739999999999</v>
      </c>
      <c r="F65">
        <v>2.7090000000000001</v>
      </c>
      <c r="G65">
        <v>27.103000000000002</v>
      </c>
      <c r="H65">
        <v>1.5820000000000001</v>
      </c>
      <c r="I65">
        <v>3439.7530000000002</v>
      </c>
      <c r="J65">
        <v>3.161</v>
      </c>
      <c r="K65">
        <v>29.84</v>
      </c>
    </row>
    <row r="66" spans="1:11" x14ac:dyDescent="0.2">
      <c r="A66" t="s">
        <v>75</v>
      </c>
      <c r="B66" s="1">
        <v>45870</v>
      </c>
      <c r="C66" s="1">
        <v>45901</v>
      </c>
      <c r="D66">
        <v>303.42200000000003</v>
      </c>
      <c r="E66">
        <v>0</v>
      </c>
      <c r="F66">
        <v>58.326999999999998</v>
      </c>
      <c r="G66">
        <v>4.0000000000000001E-3</v>
      </c>
      <c r="H66">
        <v>387.50700000000001</v>
      </c>
      <c r="I66">
        <v>0</v>
      </c>
      <c r="J66">
        <v>76.441000000000003</v>
      </c>
      <c r="K66">
        <v>4.0000000000000001E-3</v>
      </c>
    </row>
    <row r="67" spans="1:11" x14ac:dyDescent="0.2">
      <c r="A67" t="s">
        <v>76</v>
      </c>
      <c r="B67" s="1">
        <v>45870</v>
      </c>
      <c r="C67" s="1">
        <v>45901</v>
      </c>
      <c r="D67">
        <v>1.0780000000000001</v>
      </c>
      <c r="E67">
        <v>0</v>
      </c>
      <c r="F67">
        <v>0.109</v>
      </c>
      <c r="G67">
        <v>3.0000000000000001E-3</v>
      </c>
      <c r="H67">
        <v>1.0780000000000001</v>
      </c>
      <c r="I67">
        <v>0</v>
      </c>
      <c r="J67">
        <v>0.109</v>
      </c>
      <c r="K67">
        <v>3.0000000000000001E-3</v>
      </c>
    </row>
    <row r="68" spans="1:11" x14ac:dyDescent="0.2">
      <c r="A68" s="10" t="s">
        <v>77</v>
      </c>
      <c r="B68" s="19">
        <v>45870</v>
      </c>
      <c r="C68" s="19">
        <v>45901</v>
      </c>
      <c r="D68" s="10">
        <v>2.9340000000000002</v>
      </c>
      <c r="E68" s="10">
        <v>4105.076</v>
      </c>
      <c r="F68" s="10">
        <v>296.84300000000002</v>
      </c>
      <c r="G68" s="10">
        <v>70.778000000000006</v>
      </c>
      <c r="H68" s="10">
        <v>3.0840000000000001</v>
      </c>
      <c r="I68" s="10">
        <v>4536.3900000000003</v>
      </c>
      <c r="J68" s="10">
        <v>321.07</v>
      </c>
      <c r="K68" s="10">
        <v>75.372</v>
      </c>
    </row>
    <row r="69" spans="1:11" x14ac:dyDescent="0.2">
      <c r="A69" s="10" t="s">
        <v>78</v>
      </c>
      <c r="B69" s="19">
        <v>45870</v>
      </c>
      <c r="C69" s="19">
        <v>45901</v>
      </c>
      <c r="D69" s="10">
        <v>12.449</v>
      </c>
      <c r="E69" s="10">
        <v>52.316000000000003</v>
      </c>
      <c r="F69" s="10">
        <v>24.382000000000001</v>
      </c>
      <c r="G69" s="10">
        <v>5.0000000000000001E-3</v>
      </c>
      <c r="H69" s="10">
        <v>17.777999999999999</v>
      </c>
      <c r="I69" s="10">
        <v>68.896000000000001</v>
      </c>
      <c r="J69" s="10">
        <v>33.851999999999997</v>
      </c>
      <c r="K69" s="10">
        <v>7.0000000000000001E-3</v>
      </c>
    </row>
    <row r="70" spans="1:11" x14ac:dyDescent="0.2">
      <c r="A70" s="10" t="s">
        <v>79</v>
      </c>
      <c r="B70" s="19">
        <v>45870</v>
      </c>
      <c r="C70" s="19">
        <v>45901</v>
      </c>
      <c r="D70" s="10">
        <v>569.59900000000005</v>
      </c>
      <c r="E70" s="10">
        <v>910.11099999999999</v>
      </c>
      <c r="F70" s="10">
        <v>2.4609999999999999</v>
      </c>
      <c r="G70" s="10">
        <v>209.518</v>
      </c>
      <c r="H70" s="10">
        <v>597.50300000000004</v>
      </c>
      <c r="I70" s="10">
        <v>1011.674</v>
      </c>
      <c r="J70" s="10">
        <v>2.6120000000000001</v>
      </c>
      <c r="K70" s="10">
        <v>221.804</v>
      </c>
    </row>
    <row r="71" spans="1:11" x14ac:dyDescent="0.2">
      <c r="A71" s="11" t="s">
        <v>80</v>
      </c>
      <c r="B71" s="12">
        <v>45870</v>
      </c>
      <c r="C71" s="12">
        <v>45901</v>
      </c>
      <c r="D71" s="11">
        <v>617.99</v>
      </c>
      <c r="E71" s="11">
        <v>0</v>
      </c>
      <c r="F71" s="11">
        <v>36.988</v>
      </c>
      <c r="G71" s="11">
        <v>57.456000000000003</v>
      </c>
      <c r="H71" s="11">
        <v>665.11900000000003</v>
      </c>
      <c r="I71" s="11">
        <v>0</v>
      </c>
      <c r="J71" s="11">
        <v>41.189</v>
      </c>
      <c r="K71" s="11">
        <v>62.694000000000003</v>
      </c>
    </row>
    <row r="72" spans="1:11" x14ac:dyDescent="0.2">
      <c r="A72" s="20" t="s">
        <v>81</v>
      </c>
      <c r="B72" s="21">
        <v>45870</v>
      </c>
      <c r="C72" s="21">
        <v>45901</v>
      </c>
      <c r="D72" s="20">
        <v>701.62300000000005</v>
      </c>
      <c r="E72" s="20">
        <v>1.054</v>
      </c>
      <c r="F72" s="20">
        <v>3.4089999999999998</v>
      </c>
      <c r="G72" s="20">
        <v>451.16899999999998</v>
      </c>
      <c r="H72" s="20">
        <v>1093.107</v>
      </c>
      <c r="I72" s="20">
        <v>1.4139999999999999</v>
      </c>
      <c r="J72" s="20">
        <v>7.1870000000000003</v>
      </c>
      <c r="K72" s="20">
        <v>616.95899999999995</v>
      </c>
    </row>
    <row r="73" spans="1:11" x14ac:dyDescent="0.2">
      <c r="A73" t="s">
        <v>82</v>
      </c>
      <c r="B73" s="1">
        <v>45870</v>
      </c>
      <c r="C73" s="1">
        <v>45901</v>
      </c>
      <c r="D73">
        <v>247.37799999999999</v>
      </c>
      <c r="E73">
        <v>0</v>
      </c>
      <c r="F73">
        <v>0.51100000000000001</v>
      </c>
      <c r="G73">
        <v>27.855</v>
      </c>
      <c r="H73">
        <v>281.69799999999998</v>
      </c>
      <c r="I73">
        <v>0</v>
      </c>
      <c r="J73">
        <v>0.51100000000000001</v>
      </c>
      <c r="K73">
        <v>29.765000000000001</v>
      </c>
    </row>
    <row r="74" spans="1:11" x14ac:dyDescent="0.2">
      <c r="A74" s="16" t="s">
        <v>83</v>
      </c>
      <c r="B74" s="17">
        <v>45870</v>
      </c>
      <c r="C74" s="17">
        <v>45901</v>
      </c>
      <c r="D74" s="16">
        <v>2655.2020000000002</v>
      </c>
      <c r="E74" s="16">
        <v>6.8390000000000004</v>
      </c>
      <c r="F74" s="16">
        <v>361.69499999999999</v>
      </c>
      <c r="G74" s="16">
        <v>23.885999999999999</v>
      </c>
      <c r="H74" s="16">
        <v>3010.1370000000002</v>
      </c>
      <c r="I74" s="16">
        <v>6.859</v>
      </c>
      <c r="J74" s="16">
        <v>438.77199999999999</v>
      </c>
      <c r="K74" s="16">
        <v>24.655000000000001</v>
      </c>
    </row>
    <row r="75" spans="1:11" x14ac:dyDescent="0.2">
      <c r="A75" s="20" t="s">
        <v>84</v>
      </c>
      <c r="B75" s="21">
        <v>45870</v>
      </c>
      <c r="C75" s="21">
        <v>45901</v>
      </c>
      <c r="D75" s="20">
        <v>2179.4360000000001</v>
      </c>
      <c r="E75" s="20">
        <v>133.18</v>
      </c>
      <c r="F75" s="20">
        <v>780.94399999999996</v>
      </c>
      <c r="G75" s="20">
        <v>13.358000000000001</v>
      </c>
      <c r="H75" s="20">
        <v>2390.5630000000001</v>
      </c>
      <c r="I75" s="20">
        <v>172.76599999999999</v>
      </c>
      <c r="J75" s="20">
        <v>967.27300000000002</v>
      </c>
      <c r="K75" s="20">
        <v>13.359</v>
      </c>
    </row>
    <row r="76" spans="1:11" x14ac:dyDescent="0.2">
      <c r="A76" s="20" t="s">
        <v>85</v>
      </c>
      <c r="B76" s="21">
        <v>45870</v>
      </c>
      <c r="C76" s="21">
        <v>45901</v>
      </c>
      <c r="D76" s="20">
        <v>622.89700000000005</v>
      </c>
      <c r="E76" s="20">
        <v>0.64</v>
      </c>
      <c r="F76" s="20">
        <v>2.31</v>
      </c>
      <c r="G76" s="20">
        <v>362.02</v>
      </c>
      <c r="H76" s="20">
        <v>1057.4390000000001</v>
      </c>
      <c r="I76" s="20">
        <v>0.93700000000000006</v>
      </c>
      <c r="J76" s="20">
        <v>4.0419999999999998</v>
      </c>
      <c r="K76" s="20">
        <v>501.28</v>
      </c>
    </row>
    <row r="77" spans="1:11" x14ac:dyDescent="0.2">
      <c r="A77" s="20" t="s">
        <v>86</v>
      </c>
      <c r="B77" s="21">
        <v>45870</v>
      </c>
      <c r="C77" s="21">
        <v>45901</v>
      </c>
      <c r="D77" s="20">
        <v>3318.95</v>
      </c>
      <c r="E77" s="20">
        <v>0</v>
      </c>
      <c r="F77" s="20">
        <v>120.839</v>
      </c>
      <c r="G77" s="20">
        <v>1347.3820000000001</v>
      </c>
      <c r="H77" s="20">
        <v>3764.3609999999999</v>
      </c>
      <c r="I77" s="20">
        <v>0</v>
      </c>
      <c r="J77" s="20">
        <v>176.97200000000001</v>
      </c>
      <c r="K77" s="20">
        <v>1366.9069999999999</v>
      </c>
    </row>
    <row r="78" spans="1:11" x14ac:dyDescent="0.2">
      <c r="A78" s="10" t="s">
        <v>87</v>
      </c>
      <c r="B78" s="19">
        <v>45870</v>
      </c>
      <c r="C78" s="19">
        <v>45901</v>
      </c>
      <c r="D78" s="10">
        <v>328.38299999999998</v>
      </c>
      <c r="E78" s="10">
        <v>0</v>
      </c>
      <c r="F78" s="10">
        <v>28.045000000000002</v>
      </c>
      <c r="G78" s="10">
        <v>99.650999999999996</v>
      </c>
      <c r="H78" s="10">
        <v>419.80700000000002</v>
      </c>
      <c r="I78" s="10">
        <v>0</v>
      </c>
      <c r="J78" s="10">
        <v>44.332999999999998</v>
      </c>
      <c r="K78" s="10">
        <v>100.935</v>
      </c>
    </row>
    <row r="79" spans="1:11" x14ac:dyDescent="0.2">
      <c r="A79" s="10" t="s">
        <v>88</v>
      </c>
      <c r="B79" s="19">
        <v>45870</v>
      </c>
      <c r="C79" s="19">
        <v>45901</v>
      </c>
      <c r="D79" s="10">
        <v>305.52999999999997</v>
      </c>
      <c r="E79" s="10">
        <v>1.0900000000000001</v>
      </c>
      <c r="F79" s="10">
        <v>215.90299999999999</v>
      </c>
      <c r="G79" s="10">
        <v>6.2E-2</v>
      </c>
      <c r="H79" s="10">
        <v>386.685</v>
      </c>
      <c r="I79" s="10">
        <v>1.091</v>
      </c>
      <c r="J79" s="10">
        <v>270.00099999999998</v>
      </c>
      <c r="K79" s="10">
        <v>6.2E-2</v>
      </c>
    </row>
    <row r="80" spans="1:11" x14ac:dyDescent="0.2">
      <c r="A80" s="15" t="s">
        <v>89</v>
      </c>
      <c r="B80" s="14">
        <v>45870</v>
      </c>
      <c r="C80" s="14">
        <v>45901</v>
      </c>
      <c r="D80" s="13">
        <v>7.61</v>
      </c>
      <c r="E80" s="13">
        <v>0</v>
      </c>
      <c r="F80" s="13">
        <v>3.7930000000000001</v>
      </c>
      <c r="G80" s="13">
        <v>5.0000000000000001E-3</v>
      </c>
      <c r="H80" s="13">
        <v>9.2780000000000005</v>
      </c>
      <c r="I80" s="13">
        <v>0</v>
      </c>
      <c r="J80" s="13">
        <v>4.4640000000000004</v>
      </c>
      <c r="K80" s="13">
        <v>5.0000000000000001E-3</v>
      </c>
    </row>
    <row r="81" spans="1:11" x14ac:dyDescent="0.2">
      <c r="A81" t="s">
        <v>90</v>
      </c>
      <c r="B81" s="1">
        <v>45870</v>
      </c>
      <c r="C81" s="1">
        <v>45901</v>
      </c>
      <c r="D81">
        <v>1574.1389999999999</v>
      </c>
      <c r="E81">
        <v>15.082000000000001</v>
      </c>
      <c r="F81">
        <v>125.312</v>
      </c>
      <c r="G81">
        <v>136.91999999999999</v>
      </c>
      <c r="H81">
        <v>1774.748</v>
      </c>
      <c r="I81">
        <v>16.45</v>
      </c>
      <c r="J81">
        <v>167.77099999999999</v>
      </c>
      <c r="K81">
        <v>142.11199999999999</v>
      </c>
    </row>
    <row r="82" spans="1:11" x14ac:dyDescent="0.2">
      <c r="A82" t="s">
        <v>91</v>
      </c>
      <c r="B82" s="1">
        <v>45870</v>
      </c>
      <c r="C82" s="1">
        <v>45901</v>
      </c>
      <c r="D82">
        <v>828.20100000000002</v>
      </c>
      <c r="E82">
        <v>4.3879999999999999</v>
      </c>
      <c r="F82">
        <v>45.893999999999998</v>
      </c>
      <c r="G82">
        <v>170.69499999999999</v>
      </c>
      <c r="H82">
        <v>968.25599999999997</v>
      </c>
      <c r="I82">
        <v>4.5860000000000003</v>
      </c>
      <c r="J82">
        <v>50.210999999999999</v>
      </c>
      <c r="K82">
        <v>195.251</v>
      </c>
    </row>
    <row r="83" spans="1:11" x14ac:dyDescent="0.2">
      <c r="A83" t="s">
        <v>92</v>
      </c>
      <c r="B83" s="1">
        <v>45870</v>
      </c>
      <c r="C83" s="1">
        <v>45901</v>
      </c>
      <c r="D83">
        <v>3081.9589999999998</v>
      </c>
      <c r="E83">
        <v>0</v>
      </c>
      <c r="F83">
        <v>98.858999999999995</v>
      </c>
      <c r="G83">
        <v>24.884</v>
      </c>
      <c r="H83">
        <v>3543.5149999999999</v>
      </c>
      <c r="I83">
        <v>0</v>
      </c>
      <c r="J83">
        <v>135.01599999999999</v>
      </c>
      <c r="K83">
        <v>27.259</v>
      </c>
    </row>
    <row r="84" spans="1:11" x14ac:dyDescent="0.2">
      <c r="A84" t="s">
        <v>93</v>
      </c>
      <c r="B84" s="1">
        <v>45870</v>
      </c>
      <c r="C84" s="1">
        <v>45901</v>
      </c>
      <c r="D84">
        <v>2327.2020000000002</v>
      </c>
      <c r="E84">
        <v>1.736</v>
      </c>
      <c r="F84">
        <v>18.048999999999999</v>
      </c>
      <c r="G84">
        <v>2.2690000000000001</v>
      </c>
      <c r="H84">
        <v>2780.029</v>
      </c>
      <c r="I84">
        <v>1.9159999999999999</v>
      </c>
      <c r="J84">
        <v>20.388000000000002</v>
      </c>
      <c r="K84">
        <v>2.556</v>
      </c>
    </row>
    <row r="85" spans="1:11" x14ac:dyDescent="0.2">
      <c r="A85" t="s">
        <v>94</v>
      </c>
      <c r="B85" s="1">
        <v>45870</v>
      </c>
      <c r="C85" s="1">
        <v>45901</v>
      </c>
      <c r="D85">
        <v>5238.433</v>
      </c>
      <c r="E85">
        <v>0</v>
      </c>
      <c r="F85">
        <v>449.541</v>
      </c>
      <c r="G85">
        <v>32.593000000000004</v>
      </c>
      <c r="H85">
        <v>6089.5559999999996</v>
      </c>
      <c r="I85">
        <v>0</v>
      </c>
      <c r="J85">
        <v>614.75599999999997</v>
      </c>
      <c r="K85">
        <v>34.088000000000001</v>
      </c>
    </row>
    <row r="86" spans="1:11" x14ac:dyDescent="0.2">
      <c r="A86" t="s">
        <v>95</v>
      </c>
      <c r="B86" s="1">
        <v>45870</v>
      </c>
      <c r="C86" s="1">
        <v>45901</v>
      </c>
      <c r="D86">
        <v>3025.8760000000002</v>
      </c>
      <c r="E86">
        <v>0</v>
      </c>
      <c r="F86">
        <v>659.86500000000001</v>
      </c>
      <c r="G86">
        <v>5.0000000000000001E-3</v>
      </c>
      <c r="H86">
        <v>3592.8359999999998</v>
      </c>
      <c r="I86">
        <v>0</v>
      </c>
      <c r="J86">
        <v>818.86099999999999</v>
      </c>
      <c r="K86">
        <v>6.0000000000000001E-3</v>
      </c>
    </row>
    <row r="87" spans="1:11" x14ac:dyDescent="0.2">
      <c r="A87" t="s">
        <v>96</v>
      </c>
      <c r="B87" s="1">
        <v>45870</v>
      </c>
      <c r="C87" s="1">
        <v>45901</v>
      </c>
      <c r="D87">
        <v>3241.1120000000001</v>
      </c>
      <c r="E87">
        <v>0.26300000000000001</v>
      </c>
      <c r="F87">
        <v>457.27699999999999</v>
      </c>
      <c r="G87">
        <v>7.6689999999999996</v>
      </c>
      <c r="H87">
        <v>3850.2829999999999</v>
      </c>
      <c r="I87">
        <v>0.26300000000000001</v>
      </c>
      <c r="J87">
        <v>590.33000000000004</v>
      </c>
      <c r="K87">
        <v>7.6859999999999999</v>
      </c>
    </row>
    <row r="88" spans="1:11" x14ac:dyDescent="0.2">
      <c r="A88" t="s">
        <v>97</v>
      </c>
      <c r="B88" s="1">
        <v>45870</v>
      </c>
      <c r="C88" s="1">
        <v>45901</v>
      </c>
      <c r="D88">
        <v>201.06399999999999</v>
      </c>
      <c r="E88">
        <v>0</v>
      </c>
      <c r="F88">
        <v>48.808999999999997</v>
      </c>
      <c r="G88">
        <v>4.0000000000000001E-3</v>
      </c>
      <c r="H88">
        <v>274.84100000000001</v>
      </c>
      <c r="I88">
        <v>0</v>
      </c>
      <c r="J88">
        <v>70.331999999999994</v>
      </c>
      <c r="K88">
        <v>4.0000000000000001E-3</v>
      </c>
    </row>
    <row r="89" spans="1:11" x14ac:dyDescent="0.2">
      <c r="A89" t="s">
        <v>98</v>
      </c>
      <c r="B89" s="1">
        <v>45870</v>
      </c>
      <c r="C89" s="1">
        <v>45901</v>
      </c>
      <c r="D89">
        <v>139.934</v>
      </c>
      <c r="E89">
        <v>0</v>
      </c>
      <c r="F89">
        <v>31.725999999999999</v>
      </c>
      <c r="G89">
        <v>3.0000000000000001E-3</v>
      </c>
      <c r="H89">
        <v>191.922</v>
      </c>
      <c r="I89">
        <v>0</v>
      </c>
      <c r="J89">
        <v>47.322000000000003</v>
      </c>
      <c r="K89">
        <v>3.0000000000000001E-3</v>
      </c>
    </row>
    <row r="90" spans="1:11" x14ac:dyDescent="0.2">
      <c r="A90" t="s">
        <v>100</v>
      </c>
      <c r="B90" s="1">
        <v>45870</v>
      </c>
      <c r="C90" s="1">
        <v>45901</v>
      </c>
      <c r="D90">
        <v>2236.13</v>
      </c>
      <c r="E90">
        <v>158.255</v>
      </c>
      <c r="F90">
        <v>417.846</v>
      </c>
      <c r="G90">
        <v>28.238</v>
      </c>
      <c r="H90">
        <v>2460.0830000000001</v>
      </c>
      <c r="I90">
        <v>168.827</v>
      </c>
      <c r="J90">
        <v>476.57499999999999</v>
      </c>
      <c r="K90">
        <v>30.123999999999999</v>
      </c>
    </row>
    <row r="91" spans="1:11" x14ac:dyDescent="0.2">
      <c r="A91" t="s">
        <v>101</v>
      </c>
      <c r="B91" s="1">
        <v>45870</v>
      </c>
      <c r="C91" s="1">
        <v>45901</v>
      </c>
      <c r="D91">
        <v>3001.4929999999999</v>
      </c>
      <c r="E91">
        <v>0</v>
      </c>
      <c r="F91">
        <v>902.38499999999999</v>
      </c>
      <c r="G91">
        <v>0</v>
      </c>
      <c r="H91">
        <v>3450.663</v>
      </c>
      <c r="I91">
        <v>0</v>
      </c>
      <c r="J91">
        <v>1086.674</v>
      </c>
      <c r="K91">
        <v>0</v>
      </c>
    </row>
    <row r="92" spans="1:11" x14ac:dyDescent="0.2">
      <c r="A92" t="s">
        <v>102</v>
      </c>
      <c r="B92" s="1">
        <v>45870</v>
      </c>
      <c r="C92" s="1">
        <v>45901</v>
      </c>
      <c r="D92">
        <v>2832.6680000000001</v>
      </c>
      <c r="E92">
        <v>7.7050000000000001</v>
      </c>
      <c r="F92">
        <v>40.576000000000001</v>
      </c>
      <c r="G92">
        <v>1180.837</v>
      </c>
      <c r="H92">
        <v>3366.6689999999999</v>
      </c>
      <c r="I92">
        <v>9.2590000000000003</v>
      </c>
      <c r="J92">
        <v>57.207000000000001</v>
      </c>
      <c r="K92">
        <v>1239.038</v>
      </c>
    </row>
    <row r="93" spans="1:11" x14ac:dyDescent="0.2">
      <c r="A93" t="s">
        <v>103</v>
      </c>
      <c r="B93" s="1">
        <v>45870</v>
      </c>
      <c r="C93" s="1">
        <v>45901</v>
      </c>
      <c r="D93">
        <v>1767.4580000000001</v>
      </c>
      <c r="E93">
        <v>110.762</v>
      </c>
      <c r="F93">
        <v>77.052999999999997</v>
      </c>
      <c r="G93">
        <v>60.747999999999998</v>
      </c>
      <c r="H93">
        <v>1962.5930000000001</v>
      </c>
      <c r="I93">
        <v>120.955</v>
      </c>
      <c r="J93">
        <v>83.608999999999995</v>
      </c>
      <c r="K93">
        <v>100.009</v>
      </c>
    </row>
    <row r="94" spans="1:11" x14ac:dyDescent="0.2">
      <c r="A94" t="s">
        <v>104</v>
      </c>
      <c r="B94" s="1">
        <v>45870</v>
      </c>
      <c r="C94" s="1">
        <v>45901</v>
      </c>
      <c r="D94">
        <v>2800.4459999999999</v>
      </c>
      <c r="E94">
        <v>1.139</v>
      </c>
      <c r="F94">
        <v>31.062999999999999</v>
      </c>
      <c r="G94">
        <v>14.606</v>
      </c>
      <c r="H94">
        <v>3314.172</v>
      </c>
      <c r="I94">
        <v>1.232</v>
      </c>
      <c r="J94">
        <v>34.357999999999997</v>
      </c>
      <c r="K94">
        <v>14.629</v>
      </c>
    </row>
    <row r="95" spans="1:11" x14ac:dyDescent="0.2">
      <c r="A95" t="s">
        <v>105</v>
      </c>
      <c r="B95" s="1">
        <v>45870</v>
      </c>
      <c r="C95" s="1">
        <v>45901</v>
      </c>
      <c r="D95">
        <v>1044.336</v>
      </c>
      <c r="E95">
        <v>0</v>
      </c>
      <c r="F95">
        <v>126.437</v>
      </c>
      <c r="G95">
        <v>0.97599999999999998</v>
      </c>
      <c r="H95">
        <v>1183.6559999999999</v>
      </c>
      <c r="I95">
        <v>0</v>
      </c>
      <c r="J95">
        <v>156.554</v>
      </c>
      <c r="K95">
        <v>1.0369999999999999</v>
      </c>
    </row>
    <row r="96" spans="1:11" x14ac:dyDescent="0.2">
      <c r="A96" t="s">
        <v>106</v>
      </c>
      <c r="B96" s="1">
        <v>45870</v>
      </c>
      <c r="C96" s="1">
        <v>45901</v>
      </c>
      <c r="D96">
        <v>6324.8429999999998</v>
      </c>
      <c r="E96">
        <v>0</v>
      </c>
      <c r="F96">
        <v>735.32500000000005</v>
      </c>
      <c r="G96">
        <v>6.8949999999999996</v>
      </c>
      <c r="H96">
        <v>7067.549</v>
      </c>
      <c r="I96">
        <v>0</v>
      </c>
      <c r="J96">
        <v>899.90599999999995</v>
      </c>
      <c r="K96">
        <v>7.0259999999999998</v>
      </c>
    </row>
    <row r="97" spans="1:11" x14ac:dyDescent="0.2">
      <c r="A97" t="s">
        <v>107</v>
      </c>
      <c r="B97" s="1">
        <v>45870</v>
      </c>
      <c r="C97" s="1">
        <v>45901</v>
      </c>
      <c r="D97">
        <v>3004.0970000000002</v>
      </c>
      <c r="E97">
        <v>0</v>
      </c>
      <c r="F97">
        <v>317.43200000000002</v>
      </c>
      <c r="G97">
        <v>2.5000000000000001E-2</v>
      </c>
      <c r="H97">
        <v>3387.16</v>
      </c>
      <c r="I97">
        <v>0</v>
      </c>
      <c r="J97">
        <v>384.94600000000003</v>
      </c>
      <c r="K97">
        <v>2.5000000000000001E-2</v>
      </c>
    </row>
    <row r="98" spans="1:11" x14ac:dyDescent="0.2">
      <c r="A98" t="s">
        <v>108</v>
      </c>
      <c r="B98" s="1">
        <v>45870</v>
      </c>
      <c r="C98" s="1">
        <v>45901</v>
      </c>
      <c r="D98">
        <v>584.31200000000001</v>
      </c>
      <c r="E98">
        <v>0</v>
      </c>
      <c r="F98">
        <v>119.724</v>
      </c>
      <c r="G98">
        <v>0.11700000000000001</v>
      </c>
      <c r="H98">
        <v>749.226</v>
      </c>
      <c r="I98">
        <v>0</v>
      </c>
      <c r="J98">
        <v>149.33199999999999</v>
      </c>
      <c r="K98">
        <v>0.183</v>
      </c>
    </row>
    <row r="99" spans="1:11" x14ac:dyDescent="0.2">
      <c r="A99" t="s">
        <v>109</v>
      </c>
      <c r="B99" s="1">
        <v>45870</v>
      </c>
      <c r="C99" s="1">
        <v>45901</v>
      </c>
      <c r="D99">
        <v>284.56</v>
      </c>
      <c r="E99">
        <v>0.151</v>
      </c>
      <c r="F99">
        <v>73.710999999999999</v>
      </c>
      <c r="G99">
        <v>0.252</v>
      </c>
      <c r="H99">
        <v>365.27300000000002</v>
      </c>
      <c r="I99">
        <v>0.151</v>
      </c>
      <c r="J99">
        <v>89.423000000000002</v>
      </c>
      <c r="K99">
        <v>0.32800000000000001</v>
      </c>
    </row>
    <row r="100" spans="1:11" x14ac:dyDescent="0.2">
      <c r="A100" t="s">
        <v>111</v>
      </c>
      <c r="B100" s="1">
        <v>45870</v>
      </c>
      <c r="C100" s="1">
        <v>45901</v>
      </c>
      <c r="D100">
        <v>749.08299999999997</v>
      </c>
      <c r="E100">
        <v>185.66300000000001</v>
      </c>
      <c r="F100">
        <v>86.07</v>
      </c>
      <c r="G100">
        <v>169.012</v>
      </c>
      <c r="H100">
        <v>849.28700000000003</v>
      </c>
      <c r="I100">
        <v>198.876</v>
      </c>
      <c r="J100">
        <v>109.99299999999999</v>
      </c>
      <c r="K100">
        <v>183.54400000000001</v>
      </c>
    </row>
    <row r="101" spans="1:11" x14ac:dyDescent="0.2">
      <c r="A101" t="s">
        <v>112</v>
      </c>
      <c r="B101" s="1">
        <v>45870</v>
      </c>
      <c r="C101" s="1">
        <v>45901</v>
      </c>
      <c r="D101">
        <v>3866.3539999999998</v>
      </c>
      <c r="E101">
        <v>0</v>
      </c>
      <c r="F101">
        <v>11.686</v>
      </c>
      <c r="G101">
        <v>649.92600000000004</v>
      </c>
      <c r="H101">
        <v>4229.8850000000002</v>
      </c>
      <c r="I101">
        <v>0</v>
      </c>
      <c r="J101">
        <v>12.157999999999999</v>
      </c>
      <c r="K101">
        <v>713.71100000000001</v>
      </c>
    </row>
    <row r="102" spans="1:11" x14ac:dyDescent="0.2">
      <c r="A102" t="s">
        <v>113</v>
      </c>
      <c r="B102" s="1">
        <v>45870</v>
      </c>
      <c r="C102" s="1">
        <v>45901</v>
      </c>
      <c r="D102">
        <v>5540.3969999999999</v>
      </c>
      <c r="E102">
        <v>0</v>
      </c>
      <c r="F102">
        <v>988.827</v>
      </c>
      <c r="G102">
        <v>0.11899999999999999</v>
      </c>
      <c r="H102">
        <v>6351.76</v>
      </c>
      <c r="I102">
        <v>0</v>
      </c>
      <c r="J102">
        <v>1215.085</v>
      </c>
      <c r="K102">
        <v>0.11899999999999999</v>
      </c>
    </row>
    <row r="103" spans="1:11" x14ac:dyDescent="0.2">
      <c r="A103" t="s">
        <v>114</v>
      </c>
      <c r="B103" s="1">
        <v>45870</v>
      </c>
      <c r="C103" s="1">
        <v>45901</v>
      </c>
      <c r="D103">
        <v>1737.1610000000001</v>
      </c>
      <c r="E103">
        <v>1.081</v>
      </c>
      <c r="F103">
        <v>6.23</v>
      </c>
      <c r="G103">
        <v>186.87700000000001</v>
      </c>
      <c r="H103">
        <v>1925.7349999999999</v>
      </c>
      <c r="I103">
        <v>1.081</v>
      </c>
      <c r="J103">
        <v>8.9629999999999992</v>
      </c>
      <c r="K103">
        <v>194.643</v>
      </c>
    </row>
    <row r="104" spans="1:11" x14ac:dyDescent="0.2">
      <c r="A104" t="s">
        <v>115</v>
      </c>
      <c r="B104" s="1">
        <v>45870</v>
      </c>
      <c r="C104" s="1">
        <v>45901</v>
      </c>
      <c r="D104">
        <v>1.802</v>
      </c>
      <c r="E104">
        <v>1521.3920000000001</v>
      </c>
      <c r="F104">
        <v>0.45400000000000001</v>
      </c>
      <c r="G104">
        <v>33.802</v>
      </c>
      <c r="H104">
        <v>1.958</v>
      </c>
      <c r="I104">
        <v>1669.441</v>
      </c>
      <c r="J104">
        <v>0.53</v>
      </c>
      <c r="K104">
        <v>35.972000000000001</v>
      </c>
    </row>
    <row r="105" spans="1:11" x14ac:dyDescent="0.2">
      <c r="A105" t="s">
        <v>116</v>
      </c>
      <c r="B105" s="1">
        <v>45870</v>
      </c>
      <c r="C105" s="1">
        <v>45901</v>
      </c>
      <c r="D105">
        <v>1.137</v>
      </c>
      <c r="E105">
        <v>2656.085</v>
      </c>
      <c r="F105">
        <v>0.3</v>
      </c>
      <c r="G105">
        <v>39.707999999999998</v>
      </c>
      <c r="H105">
        <v>1.228</v>
      </c>
      <c r="I105">
        <v>3127.402</v>
      </c>
      <c r="J105">
        <v>0.30199999999999999</v>
      </c>
      <c r="K105">
        <v>43.615000000000002</v>
      </c>
    </row>
    <row r="106" spans="1:11" x14ac:dyDescent="0.2">
      <c r="A106" t="s">
        <v>117</v>
      </c>
      <c r="B106" s="1">
        <v>45870</v>
      </c>
      <c r="C106" s="1">
        <v>45901</v>
      </c>
      <c r="D106">
        <v>277.238</v>
      </c>
      <c r="E106">
        <v>0</v>
      </c>
      <c r="F106">
        <v>74.67</v>
      </c>
      <c r="G106">
        <v>3.0000000000000001E-3</v>
      </c>
      <c r="H106">
        <v>359.28300000000002</v>
      </c>
      <c r="I106">
        <v>0</v>
      </c>
      <c r="J106">
        <v>100.40900000000001</v>
      </c>
      <c r="K106">
        <v>3.0000000000000001E-3</v>
      </c>
    </row>
    <row r="107" spans="1:11" x14ac:dyDescent="0.2">
      <c r="A107" t="s">
        <v>118</v>
      </c>
      <c r="B107" s="1">
        <v>45870</v>
      </c>
      <c r="C107" s="1">
        <v>45901</v>
      </c>
      <c r="D107">
        <v>183.38900000000001</v>
      </c>
      <c r="E107">
        <v>0</v>
      </c>
      <c r="F107">
        <v>20.666</v>
      </c>
      <c r="G107">
        <v>5.3940000000000001</v>
      </c>
      <c r="H107">
        <v>240.542</v>
      </c>
      <c r="I107">
        <v>0</v>
      </c>
      <c r="J107">
        <v>29.719000000000001</v>
      </c>
      <c r="K107">
        <v>6.3040000000000003</v>
      </c>
    </row>
    <row r="108" spans="1:11" x14ac:dyDescent="0.2">
      <c r="A108" t="s">
        <v>119</v>
      </c>
      <c r="B108" s="1">
        <v>45870</v>
      </c>
      <c r="C108" s="1">
        <v>45901</v>
      </c>
      <c r="D108">
        <v>168.613</v>
      </c>
      <c r="E108">
        <v>0</v>
      </c>
      <c r="F108">
        <v>1.6080000000000001</v>
      </c>
      <c r="G108">
        <v>16.991</v>
      </c>
      <c r="H108">
        <v>205.399</v>
      </c>
      <c r="I108">
        <v>0</v>
      </c>
      <c r="J108">
        <v>1.704</v>
      </c>
      <c r="K108">
        <v>20.808</v>
      </c>
    </row>
    <row r="109" spans="1:11" x14ac:dyDescent="0.2">
      <c r="A109" t="s">
        <v>120</v>
      </c>
      <c r="B109" s="1">
        <v>45870</v>
      </c>
      <c r="C109" s="1">
        <v>45901</v>
      </c>
      <c r="D109">
        <v>368.226</v>
      </c>
      <c r="E109">
        <v>0</v>
      </c>
      <c r="F109">
        <v>206.18100000000001</v>
      </c>
      <c r="G109">
        <v>13.848000000000001</v>
      </c>
      <c r="H109">
        <v>453.73399999999998</v>
      </c>
      <c r="I109">
        <v>0</v>
      </c>
      <c r="J109">
        <v>254.095</v>
      </c>
      <c r="K109">
        <v>17.126999999999999</v>
      </c>
    </row>
    <row r="110" spans="1:11" x14ac:dyDescent="0.2">
      <c r="A110" t="s">
        <v>121</v>
      </c>
      <c r="B110" s="1">
        <v>45870</v>
      </c>
      <c r="C110" s="1">
        <v>45901</v>
      </c>
      <c r="D110">
        <v>2739.3470000000002</v>
      </c>
      <c r="E110">
        <v>0</v>
      </c>
      <c r="F110">
        <v>1086.4349999999999</v>
      </c>
      <c r="G110">
        <v>137.31399999999999</v>
      </c>
      <c r="H110">
        <v>2943.6460000000002</v>
      </c>
      <c r="I110">
        <v>0</v>
      </c>
      <c r="J110">
        <v>1197.502</v>
      </c>
      <c r="K110">
        <v>149.05699999999999</v>
      </c>
    </row>
    <row r="111" spans="1:11" x14ac:dyDescent="0.2">
      <c r="A111" t="s">
        <v>123</v>
      </c>
      <c r="B111" s="1">
        <v>45870</v>
      </c>
      <c r="C111" s="1">
        <v>45901</v>
      </c>
      <c r="D111">
        <v>1728.5719999999999</v>
      </c>
      <c r="E111">
        <v>2.4159999999999999</v>
      </c>
      <c r="F111">
        <v>25.899000000000001</v>
      </c>
      <c r="G111">
        <v>120.488</v>
      </c>
      <c r="H111">
        <v>2122.8470000000002</v>
      </c>
      <c r="I111">
        <v>2.83</v>
      </c>
      <c r="J111">
        <v>30.379000000000001</v>
      </c>
      <c r="K111">
        <v>143.441</v>
      </c>
    </row>
    <row r="112" spans="1:11" x14ac:dyDescent="0.2">
      <c r="A112" t="s">
        <v>124</v>
      </c>
      <c r="B112" s="1">
        <v>45870</v>
      </c>
      <c r="C112" s="1">
        <v>45901</v>
      </c>
      <c r="D112">
        <v>3166.422</v>
      </c>
      <c r="E112">
        <v>0</v>
      </c>
      <c r="F112">
        <v>111.31399999999999</v>
      </c>
      <c r="G112">
        <v>109.755</v>
      </c>
      <c r="H112">
        <v>3594.73</v>
      </c>
      <c r="I112">
        <v>0</v>
      </c>
      <c r="J112">
        <v>145.80000000000001</v>
      </c>
      <c r="K112">
        <v>110.78700000000001</v>
      </c>
    </row>
    <row r="113" spans="1:11" x14ac:dyDescent="0.2">
      <c r="A113" t="s">
        <v>125</v>
      </c>
      <c r="B113" s="1">
        <v>45870</v>
      </c>
      <c r="C113" s="1">
        <v>45901</v>
      </c>
      <c r="D113">
        <v>4352.2129999999997</v>
      </c>
      <c r="E113">
        <v>0</v>
      </c>
      <c r="F113">
        <v>759.28599999999994</v>
      </c>
      <c r="G113">
        <v>0</v>
      </c>
      <c r="H113">
        <v>5093.2110000000002</v>
      </c>
      <c r="I113">
        <v>0</v>
      </c>
      <c r="J113">
        <v>956.05399999999997</v>
      </c>
      <c r="K113">
        <v>0</v>
      </c>
    </row>
    <row r="114" spans="1:11" x14ac:dyDescent="0.2">
      <c r="A114" t="s">
        <v>126</v>
      </c>
      <c r="B114" s="1">
        <v>45870</v>
      </c>
      <c r="C114" s="1">
        <v>45901</v>
      </c>
      <c r="D114">
        <v>3666.6120000000001</v>
      </c>
      <c r="E114">
        <v>0</v>
      </c>
      <c r="F114">
        <v>477.78699999999998</v>
      </c>
      <c r="G114">
        <v>17.283000000000001</v>
      </c>
      <c r="H114">
        <v>4183.9979999999996</v>
      </c>
      <c r="I114">
        <v>0</v>
      </c>
      <c r="J114">
        <v>582.41999999999996</v>
      </c>
      <c r="K114">
        <v>17.350000000000001</v>
      </c>
    </row>
    <row r="115" spans="1:11" x14ac:dyDescent="0.2">
      <c r="A115" t="s">
        <v>127</v>
      </c>
      <c r="B115" s="1">
        <v>45870</v>
      </c>
      <c r="C115" s="1">
        <v>45901</v>
      </c>
      <c r="D115">
        <v>2039.085</v>
      </c>
      <c r="E115">
        <v>0</v>
      </c>
      <c r="F115">
        <v>175.98400000000001</v>
      </c>
      <c r="G115">
        <v>1.2450000000000001</v>
      </c>
      <c r="H115">
        <v>2311.4029999999998</v>
      </c>
      <c r="I115">
        <v>0</v>
      </c>
      <c r="J115">
        <v>218.804</v>
      </c>
      <c r="K115">
        <v>1.2450000000000001</v>
      </c>
    </row>
    <row r="116" spans="1:11" x14ac:dyDescent="0.2">
      <c r="A116" t="s">
        <v>128</v>
      </c>
      <c r="B116" s="1">
        <v>45870</v>
      </c>
      <c r="C116" s="1">
        <v>45901</v>
      </c>
      <c r="D116">
        <v>3458.8330000000001</v>
      </c>
      <c r="E116">
        <v>0</v>
      </c>
      <c r="F116">
        <v>261.262</v>
      </c>
      <c r="G116">
        <v>45.417000000000002</v>
      </c>
      <c r="H116">
        <v>3958.0729999999999</v>
      </c>
      <c r="I116">
        <v>0</v>
      </c>
      <c r="J116">
        <v>340.67</v>
      </c>
      <c r="K116">
        <v>48.176000000000002</v>
      </c>
    </row>
    <row r="117" spans="1:11" x14ac:dyDescent="0.2">
      <c r="A117" t="s">
        <v>129</v>
      </c>
      <c r="B117" s="1">
        <v>45870</v>
      </c>
      <c r="C117" s="1">
        <v>45901</v>
      </c>
      <c r="D117">
        <v>3901.732</v>
      </c>
      <c r="E117">
        <v>0</v>
      </c>
      <c r="F117">
        <v>161.64699999999999</v>
      </c>
      <c r="G117">
        <v>83.284000000000006</v>
      </c>
      <c r="H117">
        <v>4458.3789999999999</v>
      </c>
      <c r="I117">
        <v>0</v>
      </c>
      <c r="J117">
        <v>203.4</v>
      </c>
      <c r="K117">
        <v>86.63</v>
      </c>
    </row>
    <row r="118" spans="1:11" x14ac:dyDescent="0.2">
      <c r="A118" t="s">
        <v>130</v>
      </c>
      <c r="B118" s="1">
        <v>45870</v>
      </c>
      <c r="C118" s="1">
        <v>45901</v>
      </c>
      <c r="D118">
        <v>2744.904</v>
      </c>
      <c r="E118">
        <v>0</v>
      </c>
      <c r="F118">
        <v>185.19399999999999</v>
      </c>
      <c r="G118">
        <v>12.832000000000001</v>
      </c>
      <c r="H118">
        <v>3117.0639999999999</v>
      </c>
      <c r="I118">
        <v>0</v>
      </c>
      <c r="J118">
        <v>224.62100000000001</v>
      </c>
      <c r="K118">
        <v>12.884</v>
      </c>
    </row>
    <row r="119" spans="1:11" x14ac:dyDescent="0.2">
      <c r="A119" t="s">
        <v>131</v>
      </c>
      <c r="B119" s="1">
        <v>45870</v>
      </c>
      <c r="C119" s="1">
        <v>45901</v>
      </c>
      <c r="D119">
        <v>2801.7310000000002</v>
      </c>
      <c r="E119">
        <v>0</v>
      </c>
      <c r="F119">
        <v>396.77699999999999</v>
      </c>
      <c r="G119">
        <v>0.23200000000000001</v>
      </c>
      <c r="H119">
        <v>3250.89</v>
      </c>
      <c r="I119">
        <v>0</v>
      </c>
      <c r="J119">
        <v>498.48</v>
      </c>
      <c r="K119">
        <v>0.23200000000000001</v>
      </c>
    </row>
    <row r="120" spans="1:11" x14ac:dyDescent="0.2">
      <c r="A120" t="s">
        <v>132</v>
      </c>
      <c r="B120" s="1">
        <v>45870</v>
      </c>
      <c r="C120" s="1">
        <v>45901</v>
      </c>
      <c r="D120">
        <v>3673.9279999999999</v>
      </c>
      <c r="E120">
        <v>0</v>
      </c>
      <c r="F120">
        <v>417.10599999999999</v>
      </c>
      <c r="G120">
        <v>3.105</v>
      </c>
      <c r="H120">
        <v>4262.74</v>
      </c>
      <c r="I120">
        <v>0</v>
      </c>
      <c r="J120">
        <v>539.60199999999998</v>
      </c>
      <c r="K120">
        <v>3.5670000000000002</v>
      </c>
    </row>
    <row r="121" spans="1:11" x14ac:dyDescent="0.2">
      <c r="A121" t="s">
        <v>133</v>
      </c>
      <c r="B121" s="1">
        <v>45870</v>
      </c>
      <c r="C121" s="1">
        <v>45901</v>
      </c>
      <c r="D121">
        <v>2187.7379999999998</v>
      </c>
      <c r="E121">
        <v>5.2999999999999999E-2</v>
      </c>
      <c r="F121">
        <v>620.92100000000005</v>
      </c>
      <c r="G121">
        <v>2.4E-2</v>
      </c>
      <c r="H121">
        <v>2585.3989999999999</v>
      </c>
      <c r="I121">
        <v>5.2999999999999999E-2</v>
      </c>
      <c r="J121">
        <v>738.98500000000001</v>
      </c>
      <c r="K121">
        <v>4.4999999999999998E-2</v>
      </c>
    </row>
    <row r="122" spans="1:11" x14ac:dyDescent="0.2">
      <c r="A122" t="s">
        <v>134</v>
      </c>
      <c r="B122" s="1">
        <v>45870</v>
      </c>
      <c r="C122" s="1">
        <v>45901</v>
      </c>
      <c r="D122">
        <v>3090.0320000000002</v>
      </c>
      <c r="E122">
        <v>0</v>
      </c>
      <c r="F122">
        <v>496.43200000000002</v>
      </c>
      <c r="G122">
        <v>2E-3</v>
      </c>
      <c r="H122">
        <v>3586.65</v>
      </c>
      <c r="I122">
        <v>0</v>
      </c>
      <c r="J122">
        <v>588.98699999999997</v>
      </c>
      <c r="K122">
        <v>2E-3</v>
      </c>
    </row>
    <row r="123" spans="1:11" x14ac:dyDescent="0.2">
      <c r="A123" t="s">
        <v>135</v>
      </c>
      <c r="B123" s="1">
        <v>45870</v>
      </c>
      <c r="C123" s="1">
        <v>45901</v>
      </c>
      <c r="D123">
        <v>2508.9520000000002</v>
      </c>
      <c r="E123">
        <v>0</v>
      </c>
      <c r="F123">
        <v>9.6959999999999997</v>
      </c>
      <c r="G123">
        <v>236.74600000000001</v>
      </c>
      <c r="H123">
        <v>2922.7420000000002</v>
      </c>
      <c r="I123">
        <v>0</v>
      </c>
      <c r="J123">
        <v>12.164999999999999</v>
      </c>
      <c r="K123">
        <v>261.57400000000001</v>
      </c>
    </row>
    <row r="124" spans="1:11" x14ac:dyDescent="0.2">
      <c r="A124" t="s">
        <v>136</v>
      </c>
      <c r="B124" s="1">
        <v>45870</v>
      </c>
      <c r="C124" s="1">
        <v>45901</v>
      </c>
      <c r="D124">
        <v>1033.1769999999999</v>
      </c>
      <c r="E124">
        <v>0</v>
      </c>
      <c r="F124">
        <v>0.33800000000000002</v>
      </c>
      <c r="G124">
        <v>47.387999999999998</v>
      </c>
      <c r="H124">
        <v>1269.0409999999999</v>
      </c>
      <c r="I124">
        <v>0</v>
      </c>
      <c r="J124">
        <v>0.33800000000000002</v>
      </c>
      <c r="K124">
        <v>58.113999999999997</v>
      </c>
    </row>
    <row r="125" spans="1:11" x14ac:dyDescent="0.2">
      <c r="A125" t="s">
        <v>137</v>
      </c>
      <c r="B125" s="1">
        <v>45870</v>
      </c>
      <c r="C125" s="1">
        <v>45901</v>
      </c>
      <c r="D125">
        <v>1190.451</v>
      </c>
      <c r="E125">
        <v>0</v>
      </c>
      <c r="F125">
        <v>0.63300000000000001</v>
      </c>
      <c r="G125">
        <v>283.94400000000002</v>
      </c>
      <c r="H125">
        <v>1352.2550000000001</v>
      </c>
      <c r="I125">
        <v>0</v>
      </c>
      <c r="J125">
        <v>0.73799999999999999</v>
      </c>
      <c r="K125">
        <v>321.07499999999999</v>
      </c>
    </row>
    <row r="126" spans="1:11" x14ac:dyDescent="0.2">
      <c r="A126" t="s">
        <v>138</v>
      </c>
      <c r="B126" s="1">
        <v>45870</v>
      </c>
      <c r="C126" s="1">
        <v>45901</v>
      </c>
      <c r="D126">
        <v>58.249000000000002</v>
      </c>
      <c r="E126">
        <v>0</v>
      </c>
      <c r="F126">
        <v>6.6050000000000004</v>
      </c>
      <c r="G126">
        <v>6.0000000000000001E-3</v>
      </c>
      <c r="H126">
        <v>72.082999999999998</v>
      </c>
      <c r="I126">
        <v>0</v>
      </c>
      <c r="J126">
        <v>8.6240000000000006</v>
      </c>
      <c r="K126">
        <v>7.0000000000000001E-3</v>
      </c>
    </row>
    <row r="127" spans="1:11" x14ac:dyDescent="0.2">
      <c r="A127" t="s">
        <v>139</v>
      </c>
      <c r="B127" s="1">
        <v>45870</v>
      </c>
      <c r="C127" s="1">
        <v>45901</v>
      </c>
      <c r="D127">
        <v>257.392</v>
      </c>
      <c r="E127">
        <v>0</v>
      </c>
      <c r="F127">
        <v>27.61</v>
      </c>
      <c r="G127">
        <v>9.9000000000000005E-2</v>
      </c>
      <c r="H127">
        <v>319.62799999999999</v>
      </c>
      <c r="I127">
        <v>0</v>
      </c>
      <c r="J127">
        <v>36.322000000000003</v>
      </c>
      <c r="K127">
        <v>0.10199999999999999</v>
      </c>
    </row>
    <row r="128" spans="1:11" x14ac:dyDescent="0.2">
      <c r="A128" t="s">
        <v>140</v>
      </c>
      <c r="B128" s="1">
        <v>45870</v>
      </c>
      <c r="C128" s="1">
        <v>45901</v>
      </c>
      <c r="D128">
        <v>238.24700000000001</v>
      </c>
      <c r="E128">
        <v>0</v>
      </c>
      <c r="F128">
        <v>28.25</v>
      </c>
      <c r="G128">
        <v>0.34699999999999998</v>
      </c>
      <c r="H128">
        <v>293.88799999999998</v>
      </c>
      <c r="I128">
        <v>0</v>
      </c>
      <c r="J128">
        <v>36.884999999999998</v>
      </c>
      <c r="K128">
        <v>0.34699999999999998</v>
      </c>
    </row>
    <row r="129" spans="1:11" x14ac:dyDescent="0.2">
      <c r="A129" t="s">
        <v>141</v>
      </c>
      <c r="B129" s="1">
        <v>45870</v>
      </c>
      <c r="C129" s="1">
        <v>45901</v>
      </c>
      <c r="D129">
        <v>0.13</v>
      </c>
      <c r="E129">
        <v>2287.9609999999998</v>
      </c>
      <c r="F129">
        <v>0.29399999999999998</v>
      </c>
      <c r="G129">
        <v>30.565000000000001</v>
      </c>
      <c r="H129">
        <v>0.25</v>
      </c>
      <c r="I129">
        <v>2752.297</v>
      </c>
      <c r="J129">
        <v>22.919</v>
      </c>
      <c r="K129">
        <v>33.863</v>
      </c>
    </row>
    <row r="130" spans="1:11" x14ac:dyDescent="0.2">
      <c r="A130" t="s">
        <v>142</v>
      </c>
      <c r="B130" s="1">
        <v>45870</v>
      </c>
      <c r="C130" s="1">
        <v>45901</v>
      </c>
      <c r="D130">
        <v>2737.7510000000002</v>
      </c>
      <c r="E130">
        <v>0</v>
      </c>
      <c r="F130">
        <v>109.333</v>
      </c>
      <c r="G130">
        <v>45.628999999999998</v>
      </c>
      <c r="H130">
        <v>3154.2440000000001</v>
      </c>
      <c r="I130">
        <v>0</v>
      </c>
      <c r="J130">
        <v>149.773</v>
      </c>
      <c r="K130">
        <v>46.256</v>
      </c>
    </row>
    <row r="131" spans="1:11" x14ac:dyDescent="0.2">
      <c r="A131" t="s">
        <v>143</v>
      </c>
      <c r="B131" s="1">
        <v>45870</v>
      </c>
      <c r="C131" s="1">
        <v>45901</v>
      </c>
      <c r="D131">
        <v>2236.9589999999998</v>
      </c>
      <c r="E131">
        <v>265.495</v>
      </c>
      <c r="F131">
        <v>145.102</v>
      </c>
      <c r="G131">
        <v>5.54</v>
      </c>
      <c r="H131">
        <v>2483.5189999999998</v>
      </c>
      <c r="I131">
        <v>314.43299999999999</v>
      </c>
      <c r="J131">
        <v>196.46600000000001</v>
      </c>
      <c r="K131">
        <v>5.915</v>
      </c>
    </row>
    <row r="132" spans="1:11" x14ac:dyDescent="0.2">
      <c r="A132" t="s">
        <v>145</v>
      </c>
      <c r="B132" s="1">
        <v>45870</v>
      </c>
      <c r="C132" s="1">
        <v>45901</v>
      </c>
      <c r="D132">
        <v>0.88600000000000001</v>
      </c>
      <c r="E132">
        <v>4075.6469999999999</v>
      </c>
      <c r="F132">
        <v>5361.0770000000002</v>
      </c>
      <c r="G132">
        <v>1.4710000000000001</v>
      </c>
      <c r="H132">
        <v>0.88600000000000001</v>
      </c>
      <c r="I132">
        <v>4601.9170000000004</v>
      </c>
      <c r="J132">
        <v>5899.0230000000001</v>
      </c>
      <c r="K132">
        <v>1.478</v>
      </c>
    </row>
    <row r="133" spans="1:11" x14ac:dyDescent="0.2">
      <c r="A133" t="s">
        <v>146</v>
      </c>
      <c r="B133" s="1">
        <v>45870</v>
      </c>
      <c r="C133" s="1">
        <v>45901</v>
      </c>
      <c r="D133">
        <v>8281.1470000000008</v>
      </c>
      <c r="E133">
        <v>0</v>
      </c>
      <c r="F133">
        <v>1128.2950000000001</v>
      </c>
      <c r="G133">
        <v>0.32300000000000001</v>
      </c>
      <c r="H133">
        <v>9123.5470000000005</v>
      </c>
      <c r="I133">
        <v>0</v>
      </c>
      <c r="J133">
        <v>1254.2860000000001</v>
      </c>
      <c r="K133">
        <v>0.32300000000000001</v>
      </c>
    </row>
    <row r="134" spans="1:11" x14ac:dyDescent="0.2">
      <c r="A134" t="s">
        <v>147</v>
      </c>
      <c r="B134" s="1">
        <v>45870</v>
      </c>
      <c r="C134" s="1">
        <v>45901</v>
      </c>
      <c r="D134">
        <v>815.74400000000003</v>
      </c>
      <c r="E134">
        <v>0</v>
      </c>
      <c r="F134">
        <v>110.35899999999999</v>
      </c>
      <c r="G134">
        <v>4.0000000000000001E-3</v>
      </c>
      <c r="H134">
        <v>1003.337</v>
      </c>
      <c r="I134">
        <v>0</v>
      </c>
      <c r="J134">
        <v>139.09</v>
      </c>
      <c r="K134">
        <v>4.0000000000000001E-3</v>
      </c>
    </row>
    <row r="135" spans="1:11" x14ac:dyDescent="0.2">
      <c r="A135" t="s">
        <v>148</v>
      </c>
      <c r="B135" s="1">
        <v>45870</v>
      </c>
      <c r="C135" s="1">
        <v>45901</v>
      </c>
      <c r="D135">
        <v>6051.2790000000005</v>
      </c>
      <c r="E135">
        <v>0</v>
      </c>
      <c r="F135">
        <v>4.274</v>
      </c>
      <c r="G135">
        <v>311.79199999999997</v>
      </c>
      <c r="H135">
        <v>6756.3829999999998</v>
      </c>
      <c r="I135">
        <v>0</v>
      </c>
      <c r="J135">
        <v>5.4870000000000001</v>
      </c>
      <c r="K135">
        <v>335.23399999999998</v>
      </c>
    </row>
    <row r="136" spans="1:11" x14ac:dyDescent="0.2">
      <c r="A136" t="s">
        <v>149</v>
      </c>
      <c r="B136" s="1">
        <v>45870</v>
      </c>
      <c r="C136" s="1">
        <v>45901</v>
      </c>
      <c r="D136">
        <v>1.33</v>
      </c>
      <c r="E136">
        <v>1648.7329999999999</v>
      </c>
      <c r="F136">
        <v>24.815000000000001</v>
      </c>
      <c r="G136">
        <v>457.411</v>
      </c>
      <c r="H136">
        <v>1.33</v>
      </c>
      <c r="I136">
        <v>1979.61</v>
      </c>
      <c r="J136">
        <v>27.63</v>
      </c>
      <c r="K136">
        <v>592.81100000000004</v>
      </c>
    </row>
    <row r="137" spans="1:11" x14ac:dyDescent="0.2">
      <c r="A137" t="s">
        <v>150</v>
      </c>
      <c r="B137" s="1">
        <v>45870</v>
      </c>
      <c r="C137" s="1">
        <v>45901</v>
      </c>
      <c r="D137">
        <v>6682.7939999999999</v>
      </c>
      <c r="E137">
        <v>0</v>
      </c>
      <c r="F137">
        <v>231.18700000000001</v>
      </c>
      <c r="G137">
        <v>116.437</v>
      </c>
      <c r="H137">
        <v>7374.5649999999996</v>
      </c>
      <c r="I137">
        <v>0</v>
      </c>
      <c r="J137">
        <v>262.76900000000001</v>
      </c>
      <c r="K137">
        <v>129.26499999999999</v>
      </c>
    </row>
    <row r="138" spans="1:11" x14ac:dyDescent="0.2">
      <c r="A138" t="s">
        <v>151</v>
      </c>
      <c r="B138" s="1">
        <v>45870</v>
      </c>
      <c r="C138" s="1">
        <v>45901</v>
      </c>
      <c r="D138">
        <v>960.22299999999996</v>
      </c>
      <c r="E138">
        <v>2.891</v>
      </c>
      <c r="F138">
        <v>9.6739999999999995</v>
      </c>
      <c r="G138">
        <v>977.66499999999996</v>
      </c>
      <c r="H138">
        <v>1423.5329999999999</v>
      </c>
      <c r="I138">
        <v>3.7709999999999999</v>
      </c>
      <c r="J138">
        <v>11.425000000000001</v>
      </c>
      <c r="K138">
        <v>1418.9380000000001</v>
      </c>
    </row>
    <row r="139" spans="1:11" x14ac:dyDescent="0.2">
      <c r="A139" t="s">
        <v>152</v>
      </c>
      <c r="B139" s="1">
        <v>45870</v>
      </c>
      <c r="C139" s="1">
        <v>45901</v>
      </c>
      <c r="D139">
        <v>3922.7860000000001</v>
      </c>
      <c r="E139">
        <v>4.4180000000000001</v>
      </c>
      <c r="F139">
        <v>353.46600000000001</v>
      </c>
      <c r="G139">
        <v>322.38200000000001</v>
      </c>
      <c r="H139">
        <v>4224.7839999999997</v>
      </c>
      <c r="I139">
        <v>4.42</v>
      </c>
      <c r="J139">
        <v>524.56700000000001</v>
      </c>
      <c r="K139">
        <v>329.41300000000001</v>
      </c>
    </row>
    <row r="140" spans="1:11" x14ac:dyDescent="0.2">
      <c r="A140" t="s">
        <v>153</v>
      </c>
      <c r="B140" s="1">
        <v>45870</v>
      </c>
      <c r="C140" s="1">
        <v>45901</v>
      </c>
      <c r="D140">
        <v>0.23899999999999999</v>
      </c>
      <c r="E140">
        <v>2250.9430000000002</v>
      </c>
      <c r="F140">
        <v>49.503999999999998</v>
      </c>
      <c r="G140">
        <v>19.962</v>
      </c>
      <c r="H140">
        <v>0.26400000000000001</v>
      </c>
      <c r="I140">
        <v>2704.3980000000001</v>
      </c>
      <c r="J140">
        <v>49.573999999999998</v>
      </c>
      <c r="K140">
        <v>23.073</v>
      </c>
    </row>
    <row r="141" spans="1:11" x14ac:dyDescent="0.2">
      <c r="A141" t="s">
        <v>154</v>
      </c>
      <c r="B141" s="1">
        <v>45870</v>
      </c>
      <c r="C141" s="1">
        <v>45901</v>
      </c>
      <c r="D141">
        <v>3756.6280000000002</v>
      </c>
      <c r="E141">
        <v>0</v>
      </c>
      <c r="F141">
        <v>140.55000000000001</v>
      </c>
      <c r="G141">
        <v>125.343</v>
      </c>
      <c r="H141">
        <v>4421.3190000000004</v>
      </c>
      <c r="I141">
        <v>0</v>
      </c>
      <c r="J141">
        <v>201.97499999999999</v>
      </c>
      <c r="K141">
        <v>134.761</v>
      </c>
    </row>
    <row r="142" spans="1:11" x14ac:dyDescent="0.2">
      <c r="A142" t="s">
        <v>155</v>
      </c>
      <c r="B142" s="1">
        <v>45870</v>
      </c>
      <c r="C142" s="1">
        <v>45901</v>
      </c>
      <c r="D142">
        <v>2133.884</v>
      </c>
      <c r="E142">
        <v>202.63300000000001</v>
      </c>
      <c r="F142">
        <v>668.58199999999999</v>
      </c>
      <c r="G142">
        <v>4.4999999999999998E-2</v>
      </c>
      <c r="H142">
        <v>2517.5770000000002</v>
      </c>
      <c r="I142">
        <v>207.80699999999999</v>
      </c>
      <c r="J142">
        <v>874.39200000000005</v>
      </c>
      <c r="K142">
        <v>4.9000000000000002E-2</v>
      </c>
    </row>
    <row r="143" spans="1:11" x14ac:dyDescent="0.2">
      <c r="A143" t="s">
        <v>156</v>
      </c>
      <c r="B143" s="1">
        <v>45870</v>
      </c>
      <c r="C143" s="1">
        <v>45901</v>
      </c>
      <c r="D143">
        <v>3866.5509999999999</v>
      </c>
      <c r="E143">
        <v>2.1999999999999999E-2</v>
      </c>
      <c r="F143">
        <v>273.58300000000003</v>
      </c>
      <c r="G143">
        <v>8.2140000000000004</v>
      </c>
      <c r="H143">
        <v>4381.2719999999999</v>
      </c>
      <c r="I143">
        <v>2.1999999999999999E-2</v>
      </c>
      <c r="J143">
        <v>355.44600000000003</v>
      </c>
      <c r="K143">
        <v>8.2889999999999997</v>
      </c>
    </row>
    <row r="144" spans="1:11" x14ac:dyDescent="0.2">
      <c r="A144" t="s">
        <v>157</v>
      </c>
      <c r="B144" s="1">
        <v>45870</v>
      </c>
      <c r="C144" s="1">
        <v>45901</v>
      </c>
      <c r="D144">
        <v>3061.8310000000001</v>
      </c>
      <c r="E144">
        <v>0</v>
      </c>
      <c r="F144">
        <v>222.82</v>
      </c>
      <c r="G144">
        <v>32.465000000000003</v>
      </c>
      <c r="H144">
        <v>3485.9209999999998</v>
      </c>
      <c r="I144">
        <v>0</v>
      </c>
      <c r="J144">
        <v>278.99599999999998</v>
      </c>
      <c r="K144">
        <v>37.334000000000003</v>
      </c>
    </row>
    <row r="145" spans="1:11" x14ac:dyDescent="0.2">
      <c r="A145" t="s">
        <v>158</v>
      </c>
      <c r="B145" s="1">
        <v>45870</v>
      </c>
      <c r="C145" s="1">
        <v>45901</v>
      </c>
      <c r="D145">
        <v>1835.7380000000001</v>
      </c>
      <c r="E145">
        <v>0.85799999999999998</v>
      </c>
      <c r="F145">
        <v>23.238</v>
      </c>
      <c r="G145">
        <v>0.249</v>
      </c>
      <c r="H145">
        <v>2183.473</v>
      </c>
      <c r="I145">
        <v>0.95899999999999996</v>
      </c>
      <c r="J145">
        <v>25.544</v>
      </c>
      <c r="K145">
        <v>2.944</v>
      </c>
    </row>
    <row r="146" spans="1:11" x14ac:dyDescent="0.2">
      <c r="A146" t="s">
        <v>159</v>
      </c>
      <c r="B146" s="1">
        <v>45870</v>
      </c>
      <c r="C146" s="1">
        <v>45901</v>
      </c>
      <c r="D146">
        <v>1.2909999999999999</v>
      </c>
      <c r="E146">
        <v>1863.259</v>
      </c>
      <c r="F146">
        <v>0.29799999999999999</v>
      </c>
      <c r="G146">
        <v>29.948</v>
      </c>
      <c r="H146">
        <v>1.4219999999999999</v>
      </c>
      <c r="I146">
        <v>2239.2489999999998</v>
      </c>
      <c r="J146">
        <v>0.30099999999999999</v>
      </c>
      <c r="K146">
        <v>34.57</v>
      </c>
    </row>
    <row r="147" spans="1:11" x14ac:dyDescent="0.2">
      <c r="A147" t="s">
        <v>160</v>
      </c>
      <c r="B147" s="1">
        <v>45870</v>
      </c>
      <c r="C147" s="1">
        <v>45901</v>
      </c>
      <c r="D147">
        <v>1263.259</v>
      </c>
      <c r="E147">
        <v>8.2000000000000003E-2</v>
      </c>
      <c r="F147">
        <v>87.516000000000005</v>
      </c>
      <c r="G147">
        <v>47.024000000000001</v>
      </c>
      <c r="H147">
        <v>1441.075</v>
      </c>
      <c r="I147">
        <v>8.7999999999999995E-2</v>
      </c>
      <c r="J147">
        <v>119.538</v>
      </c>
      <c r="K147">
        <v>48.399000000000001</v>
      </c>
    </row>
    <row r="148" spans="1:11" x14ac:dyDescent="0.2">
      <c r="A148" t="s">
        <v>161</v>
      </c>
      <c r="B148" s="1">
        <v>45870</v>
      </c>
      <c r="C148" s="1">
        <v>45901</v>
      </c>
      <c r="D148">
        <v>1376.884</v>
      </c>
      <c r="E148">
        <v>1E-3</v>
      </c>
      <c r="F148">
        <v>186.66</v>
      </c>
      <c r="G148">
        <v>64.847999999999999</v>
      </c>
      <c r="H148">
        <v>1524.482</v>
      </c>
      <c r="I148">
        <v>2E-3</v>
      </c>
      <c r="J148">
        <v>246.61699999999999</v>
      </c>
      <c r="K148">
        <v>66.03</v>
      </c>
    </row>
    <row r="149" spans="1:11" x14ac:dyDescent="0.2">
      <c r="A149" t="s">
        <v>162</v>
      </c>
      <c r="B149" s="1">
        <v>45870</v>
      </c>
      <c r="C149" s="1">
        <v>45901</v>
      </c>
      <c r="D149">
        <v>1959.694</v>
      </c>
      <c r="E149">
        <v>0</v>
      </c>
      <c r="F149">
        <v>175.25399999999999</v>
      </c>
      <c r="G149">
        <v>1.6180000000000001</v>
      </c>
      <c r="H149">
        <v>2198.393</v>
      </c>
      <c r="I149">
        <v>0</v>
      </c>
      <c r="J149">
        <v>221.50299999999999</v>
      </c>
      <c r="K149">
        <v>1.629</v>
      </c>
    </row>
    <row r="150" spans="1:11" x14ac:dyDescent="0.2">
      <c r="A150" t="s">
        <v>163</v>
      </c>
      <c r="B150" s="1">
        <v>45870</v>
      </c>
      <c r="C150" s="1">
        <v>45901</v>
      </c>
      <c r="D150">
        <v>3.2909999999999999</v>
      </c>
      <c r="E150">
        <v>1768.835</v>
      </c>
      <c r="F150">
        <v>0.46600000000000003</v>
      </c>
      <c r="G150">
        <v>28.614000000000001</v>
      </c>
      <c r="H150">
        <v>3.4169999999999998</v>
      </c>
      <c r="I150">
        <v>2124.66</v>
      </c>
      <c r="J150">
        <v>0.46800000000000003</v>
      </c>
      <c r="K150">
        <v>32.615000000000002</v>
      </c>
    </row>
    <row r="151" spans="1:11" x14ac:dyDescent="0.2">
      <c r="A151" t="s">
        <v>164</v>
      </c>
      <c r="B151" s="1">
        <v>45870</v>
      </c>
      <c r="C151" s="1">
        <v>45901</v>
      </c>
      <c r="D151">
        <v>1202.8530000000001</v>
      </c>
      <c r="E151">
        <v>694.73699999999997</v>
      </c>
      <c r="F151">
        <v>0.439</v>
      </c>
      <c r="G151">
        <v>475.4</v>
      </c>
      <c r="H151">
        <v>1278.4770000000001</v>
      </c>
      <c r="I151">
        <v>844.95600000000002</v>
      </c>
      <c r="J151">
        <v>0.439</v>
      </c>
      <c r="K151">
        <v>535.01700000000005</v>
      </c>
    </row>
    <row r="152" spans="1:11" x14ac:dyDescent="0.2">
      <c r="A152" t="s">
        <v>165</v>
      </c>
      <c r="B152" s="1">
        <v>45870</v>
      </c>
      <c r="C152" s="1">
        <v>45901</v>
      </c>
      <c r="D152">
        <v>4.7549999999999999</v>
      </c>
      <c r="E152">
        <v>2337.9690000000001</v>
      </c>
      <c r="F152">
        <v>3.4889999999999999</v>
      </c>
      <c r="G152">
        <v>18.858000000000001</v>
      </c>
      <c r="H152">
        <v>5.1029999999999998</v>
      </c>
      <c r="I152">
        <v>2810.009</v>
      </c>
      <c r="J152">
        <v>4.1040000000000001</v>
      </c>
      <c r="K152">
        <v>20.788</v>
      </c>
    </row>
    <row r="153" spans="1:11" x14ac:dyDescent="0.2">
      <c r="A153" s="10" t="s">
        <v>167</v>
      </c>
      <c r="B153" s="19">
        <v>45870</v>
      </c>
      <c r="C153" s="19">
        <v>45901</v>
      </c>
      <c r="D153" s="10">
        <v>2596.4389999999999</v>
      </c>
      <c r="E153" s="10">
        <v>6.7140000000000004</v>
      </c>
      <c r="F153" s="10">
        <v>346.423</v>
      </c>
      <c r="G153" s="10">
        <v>1.0429999999999999</v>
      </c>
      <c r="H153" s="10">
        <v>2931.6039999999998</v>
      </c>
      <c r="I153" s="10">
        <v>6.7329999999999997</v>
      </c>
      <c r="J153" s="10">
        <v>420.839</v>
      </c>
      <c r="K153" s="10">
        <v>1.07</v>
      </c>
    </row>
    <row r="154" spans="1:11" x14ac:dyDescent="0.2">
      <c r="A154" s="10" t="s">
        <v>168</v>
      </c>
      <c r="B154" s="19">
        <v>45870</v>
      </c>
      <c r="C154" s="19">
        <v>45901</v>
      </c>
      <c r="D154" s="10">
        <v>1.4850000000000001</v>
      </c>
      <c r="E154" s="10">
        <v>1275.5519999999999</v>
      </c>
      <c r="F154" s="10">
        <v>0.34300000000000003</v>
      </c>
      <c r="G154" s="10">
        <v>14.941000000000001</v>
      </c>
      <c r="H154" s="10">
        <v>1.728</v>
      </c>
      <c r="I154" s="10">
        <v>1780.8140000000001</v>
      </c>
      <c r="J154" s="10">
        <v>0.34799999999999998</v>
      </c>
      <c r="K154" s="10">
        <v>18.936</v>
      </c>
    </row>
    <row r="155" spans="1:11" x14ac:dyDescent="0.2">
      <c r="A155" s="10" t="s">
        <v>169</v>
      </c>
      <c r="B155" s="19">
        <v>45870</v>
      </c>
      <c r="C155" s="19">
        <v>45901</v>
      </c>
      <c r="D155" s="10">
        <v>3283.5329999999999</v>
      </c>
      <c r="E155" s="10">
        <v>0</v>
      </c>
      <c r="F155" s="10">
        <v>0.7</v>
      </c>
      <c r="G155" s="10">
        <v>1107.223</v>
      </c>
      <c r="H155" s="10">
        <v>3739.5410000000002</v>
      </c>
      <c r="I155" s="10">
        <v>0</v>
      </c>
      <c r="J155" s="10">
        <v>0.79500000000000004</v>
      </c>
      <c r="K155" s="10">
        <v>1228.962</v>
      </c>
    </row>
    <row r="156" spans="1:11" x14ac:dyDescent="0.2">
      <c r="A156" s="10" t="s">
        <v>170</v>
      </c>
      <c r="B156" s="19">
        <v>45870</v>
      </c>
      <c r="C156" s="19">
        <v>45901</v>
      </c>
      <c r="D156" s="10">
        <v>0.187</v>
      </c>
      <c r="E156" s="10">
        <v>816.58500000000004</v>
      </c>
      <c r="F156" s="10">
        <v>0.441</v>
      </c>
      <c r="G156" s="10">
        <v>7.7050000000000001</v>
      </c>
      <c r="H156" s="10">
        <v>0.29699999999999999</v>
      </c>
      <c r="I156" s="10">
        <v>1356.712</v>
      </c>
      <c r="J156" s="10">
        <v>0.443</v>
      </c>
      <c r="K156" s="10">
        <v>12.99</v>
      </c>
    </row>
    <row r="157" spans="1:11" x14ac:dyDescent="0.2">
      <c r="A157" s="10" t="s">
        <v>171</v>
      </c>
      <c r="B157" s="19">
        <v>45870</v>
      </c>
      <c r="C157" s="19">
        <v>45901</v>
      </c>
      <c r="D157" s="10">
        <v>2187.1480000000001</v>
      </c>
      <c r="E157" s="10">
        <v>0</v>
      </c>
      <c r="F157" s="10">
        <v>0.77800000000000002</v>
      </c>
      <c r="G157" s="10">
        <v>741.76700000000005</v>
      </c>
      <c r="H157" s="10">
        <v>2501.3110000000001</v>
      </c>
      <c r="I157" s="10">
        <v>0</v>
      </c>
      <c r="J157" s="10">
        <v>0.78400000000000003</v>
      </c>
      <c r="K157" s="10">
        <v>824.30100000000004</v>
      </c>
    </row>
    <row r="158" spans="1:11" x14ac:dyDescent="0.2">
      <c r="A158" s="10" t="s">
        <v>172</v>
      </c>
      <c r="B158" s="19">
        <v>45870</v>
      </c>
      <c r="C158" s="19">
        <v>45901</v>
      </c>
      <c r="D158" s="10">
        <v>619.24400000000003</v>
      </c>
      <c r="E158" s="10">
        <v>297.13900000000001</v>
      </c>
      <c r="F158" s="10">
        <v>109.51900000000001</v>
      </c>
      <c r="G158" s="10">
        <v>28.24</v>
      </c>
      <c r="H158" s="10">
        <v>728.16899999999998</v>
      </c>
      <c r="I158" s="10">
        <v>351.51900000000001</v>
      </c>
      <c r="J158" s="10">
        <v>148.589</v>
      </c>
      <c r="K158" s="10">
        <v>29.21</v>
      </c>
    </row>
    <row r="159" spans="1:11" x14ac:dyDescent="0.2">
      <c r="A159" s="10" t="s">
        <v>173</v>
      </c>
      <c r="B159" s="19">
        <v>45870</v>
      </c>
      <c r="C159" s="19">
        <v>45901</v>
      </c>
      <c r="D159" s="10">
        <v>158.636</v>
      </c>
      <c r="E159" s="10">
        <v>1.7629999999999999</v>
      </c>
      <c r="F159" s="10">
        <v>1.847</v>
      </c>
      <c r="G159" s="10">
        <v>34.116</v>
      </c>
      <c r="H159" s="10">
        <v>200.887</v>
      </c>
      <c r="I159" s="10">
        <v>1.764</v>
      </c>
      <c r="J159" s="10">
        <v>2.4990000000000001</v>
      </c>
      <c r="K159" s="10">
        <v>38.091999999999999</v>
      </c>
    </row>
    <row r="160" spans="1:11" x14ac:dyDescent="0.2">
      <c r="A160" s="10" t="s">
        <v>174</v>
      </c>
      <c r="B160" s="19">
        <v>45870</v>
      </c>
      <c r="C160" s="19">
        <v>45901</v>
      </c>
      <c r="D160" s="10">
        <v>275.32100000000003</v>
      </c>
      <c r="E160" s="10">
        <v>0</v>
      </c>
      <c r="F160" s="10">
        <v>10.593</v>
      </c>
      <c r="G160" s="10">
        <v>10.266999999999999</v>
      </c>
      <c r="H160" s="10">
        <v>342.16</v>
      </c>
      <c r="I160" s="10">
        <v>0</v>
      </c>
      <c r="J160" s="10">
        <v>15.304</v>
      </c>
      <c r="K160" s="10">
        <v>10.837</v>
      </c>
    </row>
    <row r="161" spans="1:11" x14ac:dyDescent="0.2">
      <c r="A161" t="s">
        <v>175</v>
      </c>
      <c r="B161" s="1">
        <v>45870</v>
      </c>
      <c r="C161" s="1">
        <v>45901</v>
      </c>
      <c r="D161">
        <v>645.99199999999996</v>
      </c>
      <c r="E161">
        <v>0</v>
      </c>
      <c r="F161">
        <v>95.341999999999999</v>
      </c>
      <c r="G161">
        <v>2.5000000000000001E-2</v>
      </c>
      <c r="H161">
        <v>955.61699999999996</v>
      </c>
      <c r="I161">
        <v>0</v>
      </c>
      <c r="J161">
        <v>138.85400000000001</v>
      </c>
      <c r="K161">
        <v>0.03</v>
      </c>
    </row>
    <row r="162" spans="1:11" x14ac:dyDescent="0.2">
      <c r="A162" t="s">
        <v>176</v>
      </c>
      <c r="B162" s="1">
        <v>45870</v>
      </c>
      <c r="C162" s="1">
        <v>45901</v>
      </c>
      <c r="D162">
        <v>3396.06</v>
      </c>
      <c r="E162">
        <v>26.085000000000001</v>
      </c>
      <c r="F162">
        <v>153.84100000000001</v>
      </c>
      <c r="G162">
        <v>115.24299999999999</v>
      </c>
      <c r="H162">
        <v>3805.2040000000002</v>
      </c>
      <c r="I162">
        <v>26.363</v>
      </c>
      <c r="J162">
        <v>212.994</v>
      </c>
      <c r="K162">
        <v>115.78400000000001</v>
      </c>
    </row>
    <row r="163" spans="1:11" x14ac:dyDescent="0.2">
      <c r="A163" t="s">
        <v>177</v>
      </c>
      <c r="B163" s="1">
        <v>45870</v>
      </c>
      <c r="C163" s="1">
        <v>45901</v>
      </c>
      <c r="D163">
        <v>2288.7689999999998</v>
      </c>
      <c r="E163">
        <v>1.4610000000000001</v>
      </c>
      <c r="F163">
        <v>16.376000000000001</v>
      </c>
      <c r="G163">
        <v>17.920999999999999</v>
      </c>
      <c r="H163">
        <v>2704.4029999999998</v>
      </c>
      <c r="I163">
        <v>1.6180000000000001</v>
      </c>
      <c r="J163">
        <v>18.068999999999999</v>
      </c>
      <c r="K163">
        <v>21.158000000000001</v>
      </c>
    </row>
    <row r="164" spans="1:11" x14ac:dyDescent="0.2">
      <c r="A164" t="s">
        <v>178</v>
      </c>
      <c r="B164" s="1">
        <v>45870</v>
      </c>
      <c r="C164" s="1">
        <v>45901</v>
      </c>
      <c r="D164">
        <v>33.987000000000002</v>
      </c>
      <c r="E164">
        <v>39.103000000000002</v>
      </c>
      <c r="F164">
        <v>40.128</v>
      </c>
      <c r="G164">
        <v>7.9619999999999997</v>
      </c>
      <c r="H164">
        <v>37.323</v>
      </c>
      <c r="I164">
        <v>44.648000000000003</v>
      </c>
      <c r="J164">
        <v>44.256999999999998</v>
      </c>
      <c r="K164">
        <v>8.359</v>
      </c>
    </row>
    <row r="165" spans="1:11" x14ac:dyDescent="0.2">
      <c r="A165" t="s">
        <v>179</v>
      </c>
      <c r="B165" s="1">
        <v>45870</v>
      </c>
      <c r="C165" s="1">
        <v>45901</v>
      </c>
      <c r="D165">
        <v>1130.2080000000001</v>
      </c>
      <c r="E165">
        <v>0</v>
      </c>
      <c r="F165">
        <v>0.93200000000000005</v>
      </c>
      <c r="G165">
        <v>233.08699999999999</v>
      </c>
      <c r="H165">
        <v>1297.885</v>
      </c>
      <c r="I165">
        <v>0</v>
      </c>
      <c r="J165">
        <v>0.93200000000000005</v>
      </c>
      <c r="K165">
        <v>262.608</v>
      </c>
    </row>
    <row r="166" spans="1:11" x14ac:dyDescent="0.2">
      <c r="A166" t="s">
        <v>180</v>
      </c>
      <c r="B166" s="1">
        <v>45870</v>
      </c>
      <c r="C166" s="1">
        <v>45901</v>
      </c>
      <c r="D166">
        <v>3.944</v>
      </c>
      <c r="E166">
        <v>1191.7660000000001</v>
      </c>
      <c r="F166">
        <v>0.35699999999999998</v>
      </c>
      <c r="G166">
        <v>31.004999999999999</v>
      </c>
      <c r="H166">
        <v>4.367</v>
      </c>
      <c r="I166">
        <v>1408.5319999999999</v>
      </c>
      <c r="J166">
        <v>0.371</v>
      </c>
      <c r="K166">
        <v>34.567999999999998</v>
      </c>
    </row>
    <row r="167" spans="1:11" x14ac:dyDescent="0.2">
      <c r="A167" t="s">
        <v>182</v>
      </c>
      <c r="B167" s="1">
        <v>45870</v>
      </c>
      <c r="C167" s="1">
        <v>45901</v>
      </c>
      <c r="D167">
        <v>1769.5650000000001</v>
      </c>
      <c r="E167">
        <v>58.322000000000003</v>
      </c>
      <c r="F167">
        <v>180.79400000000001</v>
      </c>
      <c r="G167">
        <v>2.8860000000000001</v>
      </c>
      <c r="H167">
        <v>1979.019</v>
      </c>
      <c r="I167">
        <v>91.158000000000001</v>
      </c>
      <c r="J167">
        <v>232.40299999999999</v>
      </c>
      <c r="K167">
        <v>25.512</v>
      </c>
    </row>
    <row r="168" spans="1:11" x14ac:dyDescent="0.2">
      <c r="A168" t="s">
        <v>183</v>
      </c>
      <c r="B168" s="1">
        <v>45870</v>
      </c>
      <c r="C168" s="1">
        <v>45901</v>
      </c>
      <c r="D168">
        <v>1217.143</v>
      </c>
      <c r="E168">
        <v>25.513999999999999</v>
      </c>
      <c r="F168">
        <v>109.33</v>
      </c>
      <c r="G168">
        <v>115.477</v>
      </c>
      <c r="H168">
        <v>1396.1279999999999</v>
      </c>
      <c r="I168">
        <v>30.413</v>
      </c>
      <c r="J168">
        <v>162.059</v>
      </c>
      <c r="K168">
        <v>118.44199999999999</v>
      </c>
    </row>
    <row r="169" spans="1:11" x14ac:dyDescent="0.2">
      <c r="A169" t="s">
        <v>184</v>
      </c>
      <c r="B169" s="1">
        <v>45870</v>
      </c>
      <c r="C169" s="1">
        <v>45877.5625</v>
      </c>
      <c r="D169">
        <v>1544.4480000000001</v>
      </c>
      <c r="E169">
        <v>0.60599999999999998</v>
      </c>
      <c r="F169">
        <v>11.343</v>
      </c>
      <c r="G169">
        <v>12.923</v>
      </c>
      <c r="H169">
        <v>1631.444</v>
      </c>
      <c r="I169">
        <v>0.622</v>
      </c>
      <c r="J169">
        <v>11.645</v>
      </c>
      <c r="K169">
        <v>13.535</v>
      </c>
    </row>
    <row r="170" spans="1:11" x14ac:dyDescent="0.2">
      <c r="A170" t="s">
        <v>185</v>
      </c>
      <c r="B170" s="1">
        <v>45870</v>
      </c>
      <c r="C170" s="1">
        <v>45901</v>
      </c>
      <c r="D170">
        <v>2997.134</v>
      </c>
      <c r="E170">
        <v>0</v>
      </c>
      <c r="F170">
        <v>77.707999999999998</v>
      </c>
      <c r="G170">
        <v>63.313000000000002</v>
      </c>
      <c r="H170">
        <v>3376.502</v>
      </c>
      <c r="I170">
        <v>0</v>
      </c>
      <c r="J170">
        <v>90.3</v>
      </c>
      <c r="K170">
        <v>67.534999999999997</v>
      </c>
    </row>
    <row r="171" spans="1:11" x14ac:dyDescent="0.2">
      <c r="A171" t="s">
        <v>186</v>
      </c>
      <c r="B171" s="1">
        <v>45870</v>
      </c>
      <c r="C171" s="1">
        <v>45901</v>
      </c>
      <c r="D171">
        <v>1739.0409999999999</v>
      </c>
      <c r="E171">
        <v>1.498</v>
      </c>
      <c r="F171">
        <v>14.217000000000001</v>
      </c>
      <c r="G171">
        <v>16</v>
      </c>
      <c r="H171">
        <v>2179.3820000000001</v>
      </c>
      <c r="I171">
        <v>1.91</v>
      </c>
      <c r="J171">
        <v>70.573999999999998</v>
      </c>
      <c r="K171">
        <v>158.809</v>
      </c>
    </row>
    <row r="172" spans="1:11" x14ac:dyDescent="0.2">
      <c r="A172" t="s">
        <v>187</v>
      </c>
      <c r="B172" s="1">
        <v>45870</v>
      </c>
      <c r="C172" s="1">
        <v>45901</v>
      </c>
      <c r="D172">
        <v>1.2689999999999999</v>
      </c>
      <c r="E172">
        <v>657.779</v>
      </c>
      <c r="F172">
        <v>16.611999999999998</v>
      </c>
      <c r="G172">
        <v>7.883</v>
      </c>
      <c r="H172">
        <v>1.3859999999999999</v>
      </c>
      <c r="I172">
        <v>714.70100000000002</v>
      </c>
      <c r="J172">
        <v>19.097999999999999</v>
      </c>
      <c r="K172">
        <v>8.7859999999999996</v>
      </c>
    </row>
    <row r="173" spans="1:11" x14ac:dyDescent="0.2">
      <c r="A173" t="s">
        <v>188</v>
      </c>
      <c r="B173" s="1">
        <v>45870</v>
      </c>
      <c r="C173" s="1">
        <v>45901</v>
      </c>
      <c r="D173">
        <v>62.04</v>
      </c>
      <c r="E173">
        <v>0.24</v>
      </c>
      <c r="F173">
        <v>6.8620000000000001</v>
      </c>
      <c r="G173">
        <v>1.3540000000000001</v>
      </c>
      <c r="H173">
        <v>76.468000000000004</v>
      </c>
      <c r="I173">
        <v>0.47699999999999998</v>
      </c>
      <c r="J173">
        <v>9.891</v>
      </c>
      <c r="K173">
        <v>1.9450000000000001</v>
      </c>
    </row>
    <row r="174" spans="1:11" x14ac:dyDescent="0.2">
      <c r="B174" s="1"/>
      <c r="C17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5523-DB95-954B-A62D-A5C7DA9E292C}">
  <dimension ref="A1:K241"/>
  <sheetViews>
    <sheetView topLeftCell="A106" workbookViewId="0">
      <selection activeCell="A128" sqref="A128:B130"/>
    </sheetView>
  </sheetViews>
  <sheetFormatPr baseColWidth="10" defaultRowHeight="16" x14ac:dyDescent="0.2"/>
  <cols>
    <col min="1" max="1" width="22" style="2" customWidth="1"/>
    <col min="2" max="2" width="42" customWidth="1"/>
    <col min="3" max="3" width="17.6640625" bestFit="1" customWidth="1"/>
    <col min="5" max="5" width="17.6640625" bestFit="1" customWidth="1"/>
    <col min="7" max="7" width="19.33203125" bestFit="1" customWidth="1"/>
    <col min="8" max="8" width="17.6640625" bestFit="1" customWidth="1"/>
    <col min="9" max="9" width="7.83203125" bestFit="1" customWidth="1"/>
    <col min="10" max="10" width="5.1640625" bestFit="1" customWidth="1"/>
  </cols>
  <sheetData>
    <row r="1" spans="1:11" x14ac:dyDescent="0.2">
      <c r="A1" s="5" t="s">
        <v>192</v>
      </c>
      <c r="B1" s="5" t="s">
        <v>1</v>
      </c>
    </row>
    <row r="2" spans="1:11" x14ac:dyDescent="0.2">
      <c r="A2" s="139" t="s">
        <v>329</v>
      </c>
      <c r="B2" s="140" t="s">
        <v>330</v>
      </c>
      <c r="C2" t="str">
        <f>E8</f>
        <v>HXE1030023301511</v>
      </c>
      <c r="D2">
        <v>300</v>
      </c>
      <c r="E2" t="s">
        <v>167</v>
      </c>
    </row>
    <row r="3" spans="1:11" x14ac:dyDescent="0.2">
      <c r="A3" s="139" t="s">
        <v>331</v>
      </c>
      <c r="B3" s="140" t="s">
        <v>332</v>
      </c>
      <c r="C3" t="str">
        <f>E9</f>
        <v>HXE1030023301512</v>
      </c>
      <c r="D3">
        <v>500</v>
      </c>
      <c r="E3" t="s">
        <v>168</v>
      </c>
    </row>
    <row r="4" spans="1:11" x14ac:dyDescent="0.2">
      <c r="A4" s="139" t="s">
        <v>475</v>
      </c>
      <c r="B4" s="140" t="s">
        <v>476</v>
      </c>
      <c r="C4" t="str">
        <f>E3</f>
        <v>HXE1030023299911</v>
      </c>
      <c r="D4">
        <v>160</v>
      </c>
      <c r="E4" t="s">
        <v>169</v>
      </c>
    </row>
    <row r="5" spans="1:11" x14ac:dyDescent="0.2">
      <c r="A5" s="139" t="s">
        <v>545</v>
      </c>
      <c r="B5" s="139" t="s">
        <v>545</v>
      </c>
      <c r="C5" t="str">
        <f>E10</f>
        <v>HXE1030026595030</v>
      </c>
      <c r="D5">
        <v>4000</v>
      </c>
    </row>
    <row r="6" spans="1:11" x14ac:dyDescent="0.2">
      <c r="A6" s="139" t="s">
        <v>660</v>
      </c>
      <c r="B6" s="140" t="str">
        <f>"594030300002113780"</f>
        <v>594030300002113780</v>
      </c>
      <c r="C6">
        <v>23301788874</v>
      </c>
      <c r="D6">
        <v>4000</v>
      </c>
    </row>
    <row r="7" spans="1:11" x14ac:dyDescent="0.2">
      <c r="A7" s="139" t="s">
        <v>333</v>
      </c>
      <c r="B7" s="140" t="s">
        <v>334</v>
      </c>
      <c r="C7" t="str">
        <f>E4</f>
        <v>HXE1030023301475</v>
      </c>
      <c r="D7">
        <v>300</v>
      </c>
      <c r="E7" t="s">
        <v>170</v>
      </c>
    </row>
    <row r="8" spans="1:11" x14ac:dyDescent="0.2">
      <c r="A8" s="139" t="s">
        <v>335</v>
      </c>
      <c r="B8" s="140" t="s">
        <v>336</v>
      </c>
      <c r="C8" t="str">
        <f>E2</f>
        <v>HXE1030023298238</v>
      </c>
      <c r="D8">
        <v>500</v>
      </c>
      <c r="E8" t="s">
        <v>171</v>
      </c>
    </row>
    <row r="9" spans="1:11" x14ac:dyDescent="0.2">
      <c r="A9" s="139" t="s">
        <v>477</v>
      </c>
      <c r="B9" s="140" t="s">
        <v>478</v>
      </c>
      <c r="C9" t="str">
        <f>E7</f>
        <v>HXE1030023301476</v>
      </c>
      <c r="D9">
        <v>160</v>
      </c>
      <c r="E9" t="s">
        <v>172</v>
      </c>
    </row>
    <row r="10" spans="1:11" x14ac:dyDescent="0.2">
      <c r="A10" s="139" t="s">
        <v>546</v>
      </c>
      <c r="B10" s="139" t="s">
        <v>546</v>
      </c>
      <c r="C10" t="str">
        <f>E11</f>
        <v>HXE1030026595046</v>
      </c>
      <c r="D10">
        <v>4000</v>
      </c>
      <c r="E10" t="s">
        <v>173</v>
      </c>
    </row>
    <row r="11" spans="1:11" x14ac:dyDescent="0.2">
      <c r="A11" s="139" t="s">
        <v>661</v>
      </c>
      <c r="B11" s="140" t="str">
        <f>"594030300002113780"</f>
        <v>594030300002113780</v>
      </c>
      <c r="C11">
        <v>23301789063</v>
      </c>
      <c r="D11">
        <v>4000</v>
      </c>
      <c r="E11" t="s">
        <v>174</v>
      </c>
    </row>
    <row r="12" spans="1:11" x14ac:dyDescent="0.2">
      <c r="A12" s="4" t="s">
        <v>212</v>
      </c>
      <c r="B12" s="4" t="s">
        <v>202</v>
      </c>
      <c r="C12" t="str">
        <f>E15</f>
        <v>HXE1030023301458</v>
      </c>
      <c r="D12">
        <v>120</v>
      </c>
      <c r="E12" s="25" t="s">
        <v>80</v>
      </c>
      <c r="G12" s="8" t="s">
        <v>520</v>
      </c>
      <c r="H12" s="8" t="s">
        <v>524</v>
      </c>
      <c r="I12" s="8" t="s">
        <v>554</v>
      </c>
      <c r="J12" s="8">
        <v>1200</v>
      </c>
    </row>
    <row r="13" spans="1:11" x14ac:dyDescent="0.2">
      <c r="A13" s="4" t="s">
        <v>211</v>
      </c>
      <c r="B13" s="4" t="s">
        <v>203</v>
      </c>
      <c r="C13" t="str">
        <f>E16</f>
        <v>HXE1030023301470</v>
      </c>
      <c r="D13">
        <v>600</v>
      </c>
      <c r="E13" s="25" t="s">
        <v>81</v>
      </c>
      <c r="G13" s="8" t="s">
        <v>521</v>
      </c>
      <c r="H13" s="7" t="s">
        <v>522</v>
      </c>
      <c r="I13" s="8" t="s">
        <v>555</v>
      </c>
      <c r="J13" s="8">
        <v>4000</v>
      </c>
      <c r="K13" s="8" t="s">
        <v>211</v>
      </c>
    </row>
    <row r="14" spans="1:11" x14ac:dyDescent="0.2">
      <c r="A14" s="4" t="s">
        <v>214</v>
      </c>
      <c r="B14" s="4" t="s">
        <v>206</v>
      </c>
      <c r="C14" t="str">
        <f>E13</f>
        <v>HXE1030023301450</v>
      </c>
      <c r="D14">
        <v>300</v>
      </c>
      <c r="E14" s="60" t="s">
        <v>82</v>
      </c>
      <c r="F14">
        <v>160</v>
      </c>
      <c r="K14" s="8" t="s">
        <v>210</v>
      </c>
    </row>
    <row r="15" spans="1:11" x14ac:dyDescent="0.2">
      <c r="A15" s="4" t="s">
        <v>210</v>
      </c>
      <c r="B15" s="4" t="s">
        <v>204</v>
      </c>
      <c r="C15" t="str">
        <f>E18</f>
        <v>HXE1030023301471</v>
      </c>
      <c r="D15">
        <v>600</v>
      </c>
      <c r="E15" s="25" t="s">
        <v>83</v>
      </c>
      <c r="G15" s="8" t="s">
        <v>519</v>
      </c>
      <c r="H15" s="8" t="s">
        <v>523</v>
      </c>
      <c r="I15" s="8" t="s">
        <v>556</v>
      </c>
      <c r="J15" s="8">
        <v>600</v>
      </c>
      <c r="K15" s="8"/>
    </row>
    <row r="16" spans="1:11" x14ac:dyDescent="0.2">
      <c r="A16" s="4" t="s">
        <v>213</v>
      </c>
      <c r="B16" s="4" t="s">
        <v>207</v>
      </c>
      <c r="C16" t="str">
        <f>E17</f>
        <v>HXE1030023298271</v>
      </c>
      <c r="D16">
        <v>400</v>
      </c>
      <c r="E16" s="25" t="s">
        <v>84</v>
      </c>
      <c r="G16" s="8" t="s">
        <v>208</v>
      </c>
      <c r="H16" s="8">
        <v>2744825</v>
      </c>
      <c r="I16" s="8" t="s">
        <v>557</v>
      </c>
      <c r="J16" s="8">
        <v>120</v>
      </c>
    </row>
    <row r="17" spans="1:9" x14ac:dyDescent="0.2">
      <c r="A17" s="4" t="s">
        <v>209</v>
      </c>
      <c r="B17" s="4" t="s">
        <v>205</v>
      </c>
      <c r="C17" t="str">
        <f>E12</f>
        <v>HXE1030023298272</v>
      </c>
      <c r="D17">
        <v>120</v>
      </c>
      <c r="E17" s="25" t="s">
        <v>85</v>
      </c>
      <c r="G17" t="s">
        <v>87</v>
      </c>
      <c r="H17">
        <v>600</v>
      </c>
      <c r="I17" s="8" t="s">
        <v>519</v>
      </c>
    </row>
    <row r="18" spans="1:9" x14ac:dyDescent="0.2">
      <c r="A18" s="4" t="s">
        <v>558</v>
      </c>
      <c r="B18" s="59" t="s">
        <v>208</v>
      </c>
      <c r="C18" t="str">
        <f>E14</f>
        <v>HXE1030023301452</v>
      </c>
      <c r="D18">
        <v>120</v>
      </c>
      <c r="E18" s="25" t="s">
        <v>86</v>
      </c>
      <c r="G18" t="s">
        <v>88</v>
      </c>
      <c r="H18">
        <v>4000</v>
      </c>
      <c r="I18" s="8" t="s">
        <v>521</v>
      </c>
    </row>
    <row r="19" spans="1:9" x14ac:dyDescent="0.2">
      <c r="A19" s="4" t="s">
        <v>321</v>
      </c>
      <c r="B19" s="4" t="s">
        <v>322</v>
      </c>
      <c r="C19" t="str">
        <f>E23</f>
        <v>HXE1030023301525</v>
      </c>
      <c r="D19">
        <v>800</v>
      </c>
      <c r="E19" t="s">
        <v>92</v>
      </c>
      <c r="G19" t="s">
        <v>89</v>
      </c>
      <c r="H19">
        <v>1200</v>
      </c>
      <c r="I19" s="8" t="s">
        <v>520</v>
      </c>
    </row>
    <row r="20" spans="1:9" x14ac:dyDescent="0.2">
      <c r="A20" s="4" t="s">
        <v>323</v>
      </c>
      <c r="B20" s="4" t="s">
        <v>324</v>
      </c>
      <c r="C20" t="str">
        <f>E21</f>
        <v>HXE1030023301504</v>
      </c>
      <c r="D20">
        <v>800</v>
      </c>
      <c r="E20" t="s">
        <v>93</v>
      </c>
    </row>
    <row r="21" spans="1:9" x14ac:dyDescent="0.2">
      <c r="A21" s="4" t="s">
        <v>473</v>
      </c>
      <c r="B21" s="4" t="s">
        <v>474</v>
      </c>
      <c r="C21" t="str">
        <f>E20</f>
        <v>HXE1030023301501</v>
      </c>
      <c r="D21">
        <v>160</v>
      </c>
      <c r="E21" t="s">
        <v>94</v>
      </c>
    </row>
    <row r="22" spans="1:9" x14ac:dyDescent="0.2">
      <c r="A22" s="4" t="s">
        <v>325</v>
      </c>
      <c r="B22" s="4" t="s">
        <v>326</v>
      </c>
      <c r="C22" t="str">
        <f>E22</f>
        <v>HXE1030023301507</v>
      </c>
      <c r="D22">
        <v>800</v>
      </c>
      <c r="E22" t="s">
        <v>95</v>
      </c>
      <c r="G22" t="s">
        <v>97</v>
      </c>
    </row>
    <row r="23" spans="1:9" x14ac:dyDescent="0.2">
      <c r="A23" s="4" t="s">
        <v>327</v>
      </c>
      <c r="B23" s="4" t="s">
        <v>328</v>
      </c>
      <c r="C23" t="str">
        <f>E19</f>
        <v>HXE1030023301491</v>
      </c>
      <c r="D23">
        <v>800</v>
      </c>
      <c r="E23" t="s">
        <v>96</v>
      </c>
      <c r="G23" t="s">
        <v>98</v>
      </c>
    </row>
    <row r="24" spans="1:9" x14ac:dyDescent="0.2">
      <c r="A24" s="4" t="s">
        <v>237</v>
      </c>
      <c r="B24" s="4" t="s">
        <v>238</v>
      </c>
      <c r="C24" t="str">
        <f>E30</f>
        <v>HXE1030023301518</v>
      </c>
      <c r="D24">
        <v>500</v>
      </c>
      <c r="E24" s="75" t="s">
        <v>58</v>
      </c>
    </row>
    <row r="25" spans="1:9" x14ac:dyDescent="0.2">
      <c r="A25" s="4" t="s">
        <v>441</v>
      </c>
      <c r="B25" s="4" t="s">
        <v>442</v>
      </c>
      <c r="C25" t="str">
        <f>E31</f>
        <v>HXE1030023301519</v>
      </c>
      <c r="D25">
        <v>120</v>
      </c>
      <c r="E25" s="75" t="s">
        <v>59</v>
      </c>
    </row>
    <row r="26" spans="1:9" x14ac:dyDescent="0.2">
      <c r="A26" s="4" t="s">
        <v>239</v>
      </c>
      <c r="B26" s="4" t="s">
        <v>240</v>
      </c>
      <c r="C26" t="str">
        <f>E24</f>
        <v>HXE1030023298270</v>
      </c>
      <c r="D26">
        <v>500</v>
      </c>
      <c r="E26" s="75" t="s">
        <v>60</v>
      </c>
    </row>
    <row r="27" spans="1:9" x14ac:dyDescent="0.2">
      <c r="A27" s="4" t="s">
        <v>443</v>
      </c>
      <c r="B27" s="4" t="s">
        <v>444</v>
      </c>
      <c r="C27" t="str">
        <f>E25</f>
        <v>HXE1030023298274</v>
      </c>
      <c r="D27">
        <v>160</v>
      </c>
      <c r="E27" s="75" t="s">
        <v>61</v>
      </c>
      <c r="G27">
        <v>486</v>
      </c>
    </row>
    <row r="28" spans="1:9" x14ac:dyDescent="0.2">
      <c r="A28" s="58" t="s">
        <v>545</v>
      </c>
      <c r="B28" s="4"/>
      <c r="C28" t="s">
        <v>68</v>
      </c>
      <c r="D28">
        <v>2000</v>
      </c>
      <c r="E28" s="75" t="s">
        <v>62</v>
      </c>
    </row>
    <row r="29" spans="1:9" x14ac:dyDescent="0.2">
      <c r="A29" s="4" t="s">
        <v>582</v>
      </c>
      <c r="B29" s="4" t="s">
        <v>576</v>
      </c>
      <c r="C29" t="s">
        <v>577</v>
      </c>
      <c r="D29">
        <v>2000</v>
      </c>
      <c r="E29" s="75" t="s">
        <v>63</v>
      </c>
    </row>
    <row r="30" spans="1:9" x14ac:dyDescent="0.2">
      <c r="A30" s="4" t="s">
        <v>241</v>
      </c>
      <c r="B30" s="4" t="s">
        <v>242</v>
      </c>
      <c r="C30" t="str">
        <f>E29</f>
        <v>HXE1030023301474</v>
      </c>
      <c r="D30">
        <v>500</v>
      </c>
      <c r="E30" s="75" t="s">
        <v>64</v>
      </c>
    </row>
    <row r="31" spans="1:9" x14ac:dyDescent="0.2">
      <c r="A31" s="4" t="s">
        <v>445</v>
      </c>
      <c r="B31" s="4" t="s">
        <v>446</v>
      </c>
      <c r="C31" t="str">
        <f>E32</f>
        <v>HXE1030023301520</v>
      </c>
      <c r="D31">
        <v>400</v>
      </c>
      <c r="E31" s="75" t="s">
        <v>65</v>
      </c>
    </row>
    <row r="32" spans="1:9" x14ac:dyDescent="0.2">
      <c r="A32" s="4" t="s">
        <v>243</v>
      </c>
      <c r="B32" s="4" t="s">
        <v>244</v>
      </c>
      <c r="C32" s="76" t="s">
        <v>575</v>
      </c>
      <c r="D32">
        <v>500</v>
      </c>
      <c r="E32" s="75" t="s">
        <v>66</v>
      </c>
    </row>
    <row r="33" spans="1:5" x14ac:dyDescent="0.2">
      <c r="A33" s="58" t="s">
        <v>546</v>
      </c>
      <c r="B33" s="4"/>
      <c r="C33" t="s">
        <v>67</v>
      </c>
      <c r="D33">
        <v>16000</v>
      </c>
      <c r="E33" s="75" t="s">
        <v>67</v>
      </c>
    </row>
    <row r="34" spans="1:5" x14ac:dyDescent="0.2">
      <c r="A34" s="4" t="s">
        <v>583</v>
      </c>
      <c r="B34" s="4" t="s">
        <v>578</v>
      </c>
      <c r="C34" t="s">
        <v>579</v>
      </c>
      <c r="D34">
        <v>16000</v>
      </c>
      <c r="E34" s="75" t="s">
        <v>68</v>
      </c>
    </row>
    <row r="35" spans="1:5" x14ac:dyDescent="0.2">
      <c r="A35" s="4" t="s">
        <v>245</v>
      </c>
      <c r="B35" s="4" t="s">
        <v>246</v>
      </c>
      <c r="C35" t="str">
        <f>E26</f>
        <v>HXE1030023301454</v>
      </c>
      <c r="D35">
        <v>500</v>
      </c>
      <c r="E35" s="75" t="s">
        <v>69</v>
      </c>
    </row>
    <row r="36" spans="1:5" x14ac:dyDescent="0.2">
      <c r="A36" s="4" t="s">
        <v>447</v>
      </c>
      <c r="B36" s="4" t="s">
        <v>448</v>
      </c>
      <c r="C36" t="str">
        <f>E28</f>
        <v>HXE1030023301469</v>
      </c>
      <c r="D36">
        <v>400</v>
      </c>
    </row>
    <row r="37" spans="1:5" x14ac:dyDescent="0.2">
      <c r="A37" s="4" t="s">
        <v>247</v>
      </c>
      <c r="B37" s="4" t="s">
        <v>248</v>
      </c>
      <c r="C37" t="str">
        <f>E27</f>
        <v>HXE1030023301468</v>
      </c>
      <c r="D37">
        <v>500</v>
      </c>
    </row>
    <row r="38" spans="1:5" x14ac:dyDescent="0.2">
      <c r="A38" s="58" t="s">
        <v>560</v>
      </c>
      <c r="B38" s="4"/>
      <c r="C38" t="s">
        <v>69</v>
      </c>
      <c r="D38">
        <v>1600</v>
      </c>
    </row>
    <row r="39" spans="1:5" x14ac:dyDescent="0.2">
      <c r="A39" s="4" t="s">
        <v>584</v>
      </c>
      <c r="B39" s="4" t="s">
        <v>580</v>
      </c>
      <c r="C39" t="s">
        <v>581</v>
      </c>
      <c r="D39">
        <v>1600</v>
      </c>
    </row>
    <row r="40" spans="1:5" x14ac:dyDescent="0.2">
      <c r="A40" s="4" t="s">
        <v>287</v>
      </c>
      <c r="B40" s="4" t="s">
        <v>288</v>
      </c>
      <c r="C40" t="str">
        <f>E42</f>
        <v>HXE1030023298275</v>
      </c>
      <c r="D40">
        <v>600</v>
      </c>
      <c r="E40" t="s">
        <v>40</v>
      </c>
    </row>
    <row r="41" spans="1:5" x14ac:dyDescent="0.2">
      <c r="A41" s="4" t="s">
        <v>289</v>
      </c>
      <c r="B41" s="4" t="s">
        <v>290</v>
      </c>
      <c r="C41" t="str">
        <f>E45</f>
        <v>HXE1030023301489</v>
      </c>
      <c r="D41">
        <v>600</v>
      </c>
      <c r="E41" t="s">
        <v>41</v>
      </c>
    </row>
    <row r="42" spans="1:5" x14ac:dyDescent="0.2">
      <c r="A42" s="4" t="s">
        <v>465</v>
      </c>
      <c r="B42" s="4" t="s">
        <v>466</v>
      </c>
      <c r="C42" t="str">
        <f>E40</f>
        <v>HXE1030023295924</v>
      </c>
      <c r="D42">
        <v>120</v>
      </c>
      <c r="E42" t="s">
        <v>42</v>
      </c>
    </row>
    <row r="43" spans="1:5" x14ac:dyDescent="0.2">
      <c r="A43" s="4" t="s">
        <v>291</v>
      </c>
      <c r="B43" s="4" t="s">
        <v>292</v>
      </c>
      <c r="C43" t="str">
        <f>E41</f>
        <v>HXE1030023298269</v>
      </c>
      <c r="D43">
        <v>600</v>
      </c>
      <c r="E43" t="s">
        <v>43</v>
      </c>
    </row>
    <row r="44" spans="1:5" x14ac:dyDescent="0.2">
      <c r="A44" s="4" t="s">
        <v>293</v>
      </c>
      <c r="B44" s="4" t="s">
        <v>294</v>
      </c>
      <c r="C44" t="str">
        <f>E43</f>
        <v>HXE1030023301448</v>
      </c>
      <c r="D44">
        <v>500</v>
      </c>
      <c r="E44" t="s">
        <v>44</v>
      </c>
    </row>
    <row r="45" spans="1:5" x14ac:dyDescent="0.2">
      <c r="A45" s="4" t="s">
        <v>295</v>
      </c>
      <c r="B45" s="4" t="s">
        <v>296</v>
      </c>
      <c r="C45" t="str">
        <f>E44</f>
        <v>HXE1030023301473</v>
      </c>
      <c r="D45">
        <v>250</v>
      </c>
      <c r="E45" t="s">
        <v>45</v>
      </c>
    </row>
    <row r="46" spans="1:5" x14ac:dyDescent="0.2">
      <c r="A46" s="4" t="s">
        <v>297</v>
      </c>
      <c r="B46" s="4" t="s">
        <v>298</v>
      </c>
    </row>
    <row r="47" spans="1:5" x14ac:dyDescent="0.2">
      <c r="A47" s="4" t="s">
        <v>467</v>
      </c>
      <c r="B47" s="4" t="s">
        <v>468</v>
      </c>
    </row>
    <row r="48" spans="1:5" x14ac:dyDescent="0.2">
      <c r="A48" s="4" t="s">
        <v>299</v>
      </c>
      <c r="B48" s="4" t="s">
        <v>300</v>
      </c>
    </row>
    <row r="49" spans="1:8" x14ac:dyDescent="0.2">
      <c r="A49" s="4" t="s">
        <v>301</v>
      </c>
      <c r="B49" s="4" t="s">
        <v>302</v>
      </c>
    </row>
    <row r="50" spans="1:8" x14ac:dyDescent="0.2">
      <c r="A50" s="4" t="s">
        <v>303</v>
      </c>
      <c r="B50" s="4" t="s">
        <v>304</v>
      </c>
    </row>
    <row r="51" spans="1:8" x14ac:dyDescent="0.2">
      <c r="A51" s="4" t="s">
        <v>305</v>
      </c>
      <c r="B51" s="4" t="s">
        <v>306</v>
      </c>
    </row>
    <row r="52" spans="1:8" x14ac:dyDescent="0.2">
      <c r="A52" s="4" t="s">
        <v>337</v>
      </c>
      <c r="B52" s="4" t="s">
        <v>338</v>
      </c>
      <c r="C52" t="str">
        <f>E54</f>
        <v>HXE1030023301522</v>
      </c>
      <c r="D52">
        <v>800</v>
      </c>
      <c r="E52" t="s">
        <v>24</v>
      </c>
      <c r="F52" t="s">
        <v>191</v>
      </c>
    </row>
    <row r="53" spans="1:8" x14ac:dyDescent="0.2">
      <c r="A53" s="4" t="s">
        <v>479</v>
      </c>
      <c r="B53" s="4" t="s">
        <v>480</v>
      </c>
      <c r="C53" t="str">
        <f>E56</f>
        <v>HXE1030026595070</v>
      </c>
      <c r="D53">
        <v>400</v>
      </c>
      <c r="E53" t="s">
        <v>25</v>
      </c>
      <c r="H53">
        <f>1600/400/1.73</f>
        <v>2.3121387283236996</v>
      </c>
    </row>
    <row r="54" spans="1:8" x14ac:dyDescent="0.2">
      <c r="A54" s="4" t="s">
        <v>339</v>
      </c>
      <c r="B54" s="4" t="s">
        <v>340</v>
      </c>
      <c r="C54" t="str">
        <f>E53</f>
        <v>HXE1030023301494</v>
      </c>
      <c r="D54">
        <v>600</v>
      </c>
      <c r="E54" t="s">
        <v>26</v>
      </c>
    </row>
    <row r="55" spans="1:8" x14ac:dyDescent="0.2">
      <c r="A55" s="4" t="s">
        <v>481</v>
      </c>
      <c r="B55" s="4" t="s">
        <v>482</v>
      </c>
      <c r="C55" t="str">
        <f>E55</f>
        <v>HXE1030023301523</v>
      </c>
      <c r="D55">
        <v>500</v>
      </c>
      <c r="E55" t="s">
        <v>27</v>
      </c>
    </row>
    <row r="56" spans="1:8" x14ac:dyDescent="0.2">
      <c r="A56" s="4" t="s">
        <v>341</v>
      </c>
      <c r="B56" s="4" t="s">
        <v>342</v>
      </c>
      <c r="C56" t="str">
        <f>E52</f>
        <v>HXE1030023301492</v>
      </c>
      <c r="D56">
        <v>800</v>
      </c>
      <c r="E56" t="s">
        <v>28</v>
      </c>
    </row>
    <row r="57" spans="1:8" x14ac:dyDescent="0.2">
      <c r="A57" s="4" t="s">
        <v>483</v>
      </c>
      <c r="B57" s="4" t="s">
        <v>484</v>
      </c>
      <c r="C57" t="str">
        <f>F52</f>
        <v>HXE1030023301521</v>
      </c>
      <c r="D57">
        <v>800</v>
      </c>
    </row>
    <row r="58" spans="1:8" x14ac:dyDescent="0.2">
      <c r="A58" s="4" t="s">
        <v>343</v>
      </c>
      <c r="B58" s="4" t="s">
        <v>344</v>
      </c>
      <c r="C58" t="str">
        <f>E58</f>
        <v>HXE1030023298278</v>
      </c>
      <c r="D58">
        <v>800</v>
      </c>
      <c r="E58" t="s">
        <v>189</v>
      </c>
    </row>
    <row r="59" spans="1:8" x14ac:dyDescent="0.2">
      <c r="A59" s="4" t="s">
        <v>485</v>
      </c>
      <c r="B59" s="59" t="s">
        <v>486</v>
      </c>
      <c r="C59" t="str">
        <f>E59</f>
        <v>HXE1030023301505</v>
      </c>
      <c r="D59">
        <v>160</v>
      </c>
      <c r="E59" t="s">
        <v>190</v>
      </c>
    </row>
    <row r="60" spans="1:8" x14ac:dyDescent="0.2">
      <c r="A60" s="4" t="s">
        <v>249</v>
      </c>
      <c r="B60" s="24" t="s">
        <v>250</v>
      </c>
      <c r="C60" t="str">
        <f>E67</f>
        <v>HXE1030023301459</v>
      </c>
      <c r="D60">
        <v>800</v>
      </c>
      <c r="E60" s="25" t="s">
        <v>100</v>
      </c>
    </row>
    <row r="61" spans="1:8" x14ac:dyDescent="0.2">
      <c r="A61" s="4" t="s">
        <v>251</v>
      </c>
      <c r="B61" s="24" t="s">
        <v>252</v>
      </c>
      <c r="C61" t="str">
        <f>E69</f>
        <v>HXE1030023301516</v>
      </c>
      <c r="D61">
        <v>800</v>
      </c>
      <c r="E61" s="25" t="s">
        <v>101</v>
      </c>
    </row>
    <row r="62" spans="1:8" x14ac:dyDescent="0.2">
      <c r="A62" s="4" t="s">
        <v>449</v>
      </c>
      <c r="B62" s="4" t="s">
        <v>450</v>
      </c>
      <c r="C62" t="str">
        <f>E62</f>
        <v>HXE1030023301455</v>
      </c>
      <c r="D62">
        <v>400</v>
      </c>
      <c r="E62" s="25" t="s">
        <v>102</v>
      </c>
    </row>
    <row r="63" spans="1:8" x14ac:dyDescent="0.2">
      <c r="A63" s="4"/>
      <c r="B63" s="4" t="s">
        <v>663</v>
      </c>
      <c r="C63" t="s">
        <v>105</v>
      </c>
      <c r="D63">
        <v>500</v>
      </c>
      <c r="E63" s="25" t="s">
        <v>105</v>
      </c>
      <c r="F63">
        <v>500</v>
      </c>
    </row>
    <row r="64" spans="1:8" x14ac:dyDescent="0.2">
      <c r="A64" s="4"/>
      <c r="B64" s="4" t="s">
        <v>664</v>
      </c>
      <c r="C64" t="s">
        <v>106</v>
      </c>
      <c r="D64">
        <v>80</v>
      </c>
      <c r="E64" s="25" t="s">
        <v>106</v>
      </c>
      <c r="F64">
        <v>80</v>
      </c>
    </row>
    <row r="65" spans="1:5" x14ac:dyDescent="0.2">
      <c r="A65" s="4" t="s">
        <v>545</v>
      </c>
      <c r="B65" s="4" t="s">
        <v>545</v>
      </c>
      <c r="C65" t="str">
        <f>E70</f>
        <v>HXE1030026595025</v>
      </c>
      <c r="E65" s="25"/>
    </row>
    <row r="66" spans="1:5" x14ac:dyDescent="0.2">
      <c r="A66" s="4" t="s">
        <v>665</v>
      </c>
      <c r="B66" s="4" t="str">
        <f>"594030500002463001"</f>
        <v>594030500002463001</v>
      </c>
      <c r="E66" s="25"/>
    </row>
    <row r="67" spans="1:5" x14ac:dyDescent="0.2">
      <c r="A67" s="4" t="s">
        <v>253</v>
      </c>
      <c r="B67" s="24" t="s">
        <v>254</v>
      </c>
      <c r="C67" t="str">
        <f>E61</f>
        <v>HXE1030023301449</v>
      </c>
      <c r="D67">
        <v>600</v>
      </c>
      <c r="E67" s="25" t="s">
        <v>103</v>
      </c>
    </row>
    <row r="68" spans="1:5" x14ac:dyDescent="0.2">
      <c r="A68" s="4" t="s">
        <v>255</v>
      </c>
      <c r="B68" s="24" t="s">
        <v>256</v>
      </c>
      <c r="C68" t="str">
        <f>E60</f>
        <v>HXE1030023299908</v>
      </c>
      <c r="D68">
        <v>800</v>
      </c>
      <c r="E68" s="25" t="s">
        <v>104</v>
      </c>
    </row>
    <row r="69" spans="1:5" x14ac:dyDescent="0.2">
      <c r="A69" s="74" t="s">
        <v>451</v>
      </c>
      <c r="B69" s="82" t="s">
        <v>452</v>
      </c>
      <c r="C69" t="str">
        <f>E68</f>
        <v>HXE1030023301460</v>
      </c>
      <c r="D69">
        <v>300</v>
      </c>
      <c r="E69" t="s">
        <v>107</v>
      </c>
    </row>
    <row r="70" spans="1:5" x14ac:dyDescent="0.2">
      <c r="A70" s="4" t="s">
        <v>546</v>
      </c>
      <c r="B70" s="4" t="s">
        <v>546</v>
      </c>
      <c r="E70" t="s">
        <v>108</v>
      </c>
    </row>
    <row r="71" spans="1:5" ht="17" thickBot="1" x14ac:dyDescent="0.25">
      <c r="A71" s="4" t="s">
        <v>666</v>
      </c>
      <c r="B71" s="4" t="str">
        <f>"594030500002463001"</f>
        <v>594030500002463001</v>
      </c>
      <c r="C71" t="str">
        <f>E71</f>
        <v>HXE1030026595027</v>
      </c>
      <c r="E71" t="s">
        <v>109</v>
      </c>
    </row>
    <row r="72" spans="1:5" x14ac:dyDescent="0.2">
      <c r="A72" s="84" t="s">
        <v>375</v>
      </c>
      <c r="B72" s="84" t="s">
        <v>376</v>
      </c>
      <c r="C72" t="s">
        <v>111</v>
      </c>
      <c r="D72">
        <v>800</v>
      </c>
      <c r="E72" s="85" t="s">
        <v>111</v>
      </c>
    </row>
    <row r="73" spans="1:5" x14ac:dyDescent="0.2">
      <c r="A73" s="84" t="s">
        <v>545</v>
      </c>
      <c r="B73" s="84"/>
      <c r="C73" t="s">
        <v>119</v>
      </c>
      <c r="D73">
        <v>8000</v>
      </c>
      <c r="E73" s="16" t="s">
        <v>112</v>
      </c>
    </row>
    <row r="74" spans="1:5" ht="17" thickBot="1" x14ac:dyDescent="0.25">
      <c r="A74" s="84" t="s">
        <v>585</v>
      </c>
      <c r="B74" s="84" t="s">
        <v>590</v>
      </c>
      <c r="C74" s="43" t="s">
        <v>594</v>
      </c>
      <c r="E74" s="16" t="s">
        <v>113</v>
      </c>
    </row>
    <row r="75" spans="1:5" x14ac:dyDescent="0.2">
      <c r="A75" s="84" t="s">
        <v>377</v>
      </c>
      <c r="B75" s="84" t="s">
        <v>378</v>
      </c>
      <c r="C75" t="s">
        <v>114</v>
      </c>
      <c r="D75">
        <v>600</v>
      </c>
      <c r="E75" s="16" t="s">
        <v>114</v>
      </c>
    </row>
    <row r="76" spans="1:5" x14ac:dyDescent="0.2">
      <c r="A76" s="84" t="s">
        <v>507</v>
      </c>
      <c r="B76" s="84" t="s">
        <v>508</v>
      </c>
      <c r="C76" t="s">
        <v>115</v>
      </c>
      <c r="D76">
        <v>200</v>
      </c>
      <c r="E76" t="s">
        <v>115</v>
      </c>
    </row>
    <row r="77" spans="1:5" x14ac:dyDescent="0.2">
      <c r="A77" s="84" t="s">
        <v>379</v>
      </c>
      <c r="B77" s="84" t="s">
        <v>380</v>
      </c>
      <c r="C77" s="23"/>
      <c r="E77" t="s">
        <v>116</v>
      </c>
    </row>
    <row r="78" spans="1:5" x14ac:dyDescent="0.2">
      <c r="A78" s="84" t="s">
        <v>509</v>
      </c>
      <c r="B78" s="84" t="s">
        <v>510</v>
      </c>
      <c r="C78" t="s">
        <v>116</v>
      </c>
      <c r="D78">
        <v>200</v>
      </c>
      <c r="E78" s="16" t="s">
        <v>117</v>
      </c>
    </row>
    <row r="79" spans="1:5" x14ac:dyDescent="0.2">
      <c r="A79" s="84" t="s">
        <v>546</v>
      </c>
      <c r="B79" s="84"/>
      <c r="C79" t="s">
        <v>117</v>
      </c>
      <c r="D79">
        <v>8000</v>
      </c>
      <c r="E79" s="16" t="s">
        <v>118</v>
      </c>
    </row>
    <row r="80" spans="1:5" ht="17" thickBot="1" x14ac:dyDescent="0.25">
      <c r="A80" s="84" t="s">
        <v>586</v>
      </c>
      <c r="B80" s="84" t="s">
        <v>591</v>
      </c>
      <c r="C80" s="43" t="s">
        <v>595</v>
      </c>
      <c r="E80" s="16" t="s">
        <v>119</v>
      </c>
    </row>
    <row r="81" spans="1:5" x14ac:dyDescent="0.2">
      <c r="A81" s="84" t="s">
        <v>381</v>
      </c>
      <c r="B81" s="84" t="s">
        <v>382</v>
      </c>
      <c r="C81" t="s">
        <v>121</v>
      </c>
      <c r="D81">
        <v>120</v>
      </c>
      <c r="E81" s="16" t="s">
        <v>120</v>
      </c>
    </row>
    <row r="82" spans="1:5" ht="17" thickBot="1" x14ac:dyDescent="0.25">
      <c r="A82" s="84" t="s">
        <v>560</v>
      </c>
      <c r="B82" s="84"/>
      <c r="C82" t="s">
        <v>120</v>
      </c>
      <c r="D82">
        <v>300</v>
      </c>
      <c r="E82" s="86" t="s">
        <v>121</v>
      </c>
    </row>
    <row r="83" spans="1:5" ht="17" thickBot="1" x14ac:dyDescent="0.25">
      <c r="A83" s="84" t="s">
        <v>587</v>
      </c>
      <c r="B83" s="84" t="s">
        <v>592</v>
      </c>
      <c r="C83" s="43" t="s">
        <v>596</v>
      </c>
    </row>
    <row r="84" spans="1:5" x14ac:dyDescent="0.2">
      <c r="A84" s="84" t="s">
        <v>383</v>
      </c>
      <c r="B84" s="84" t="s">
        <v>384</v>
      </c>
      <c r="C84" t="s">
        <v>112</v>
      </c>
      <c r="D84">
        <v>600</v>
      </c>
    </row>
    <row r="85" spans="1:5" x14ac:dyDescent="0.2">
      <c r="A85" s="84" t="s">
        <v>385</v>
      </c>
      <c r="B85" s="84" t="s">
        <v>386</v>
      </c>
      <c r="C85" s="23" t="s">
        <v>113</v>
      </c>
      <c r="D85">
        <v>600</v>
      </c>
    </row>
    <row r="86" spans="1:5" x14ac:dyDescent="0.2">
      <c r="A86" s="84" t="s">
        <v>588</v>
      </c>
      <c r="B86" s="84"/>
      <c r="C86" t="s">
        <v>118</v>
      </c>
      <c r="D86">
        <v>4000</v>
      </c>
    </row>
    <row r="87" spans="1:5" ht="17" thickBot="1" x14ac:dyDescent="0.25">
      <c r="A87" s="84" t="s">
        <v>589</v>
      </c>
      <c r="B87" s="84" t="s">
        <v>593</v>
      </c>
      <c r="C87" s="43" t="s">
        <v>597</v>
      </c>
    </row>
    <row r="88" spans="1:5" x14ac:dyDescent="0.2">
      <c r="A88" s="135" t="s">
        <v>345</v>
      </c>
      <c r="B88" s="135" t="s">
        <v>346</v>
      </c>
      <c r="C88" s="23" t="str">
        <f>E93</f>
        <v>HXE1030023298259</v>
      </c>
      <c r="D88">
        <v>400</v>
      </c>
      <c r="E88" s="128" t="s">
        <v>123</v>
      </c>
    </row>
    <row r="89" spans="1:5" x14ac:dyDescent="0.2">
      <c r="A89" s="84" t="s">
        <v>347</v>
      </c>
      <c r="B89" s="84" t="s">
        <v>348</v>
      </c>
      <c r="C89" s="23" t="str">
        <f>E95</f>
        <v>HXE1030023298261</v>
      </c>
      <c r="D89">
        <v>400</v>
      </c>
      <c r="E89" s="128" t="s">
        <v>124</v>
      </c>
    </row>
    <row r="90" spans="1:5" x14ac:dyDescent="0.2">
      <c r="A90" s="84" t="s">
        <v>487</v>
      </c>
      <c r="B90" s="84" t="s">
        <v>488</v>
      </c>
      <c r="C90" s="132" t="str">
        <f>E88</f>
        <v>HXE1030023295925</v>
      </c>
      <c r="D90">
        <v>50</v>
      </c>
      <c r="E90" s="90" t="s">
        <v>125</v>
      </c>
    </row>
    <row r="91" spans="1:5" x14ac:dyDescent="0.2">
      <c r="A91" s="84" t="s">
        <v>349</v>
      </c>
      <c r="B91" s="84" t="s">
        <v>350</v>
      </c>
      <c r="C91" s="130" t="s">
        <v>134</v>
      </c>
      <c r="D91">
        <v>400</v>
      </c>
      <c r="E91" s="128" t="s">
        <v>126</v>
      </c>
    </row>
    <row r="92" spans="1:5" x14ac:dyDescent="0.2">
      <c r="A92" s="84" t="s">
        <v>351</v>
      </c>
      <c r="B92" s="84" t="s">
        <v>352</v>
      </c>
      <c r="C92" s="22" t="str">
        <f>E96</f>
        <v>HXE1030023298262</v>
      </c>
      <c r="D92">
        <v>400</v>
      </c>
      <c r="E92" s="128" t="s">
        <v>127</v>
      </c>
    </row>
    <row r="93" spans="1:5" x14ac:dyDescent="0.2">
      <c r="A93" s="84" t="s">
        <v>353</v>
      </c>
      <c r="B93" s="84" t="s">
        <v>354</v>
      </c>
      <c r="C93" s="22" t="str">
        <f>E94</f>
        <v>HXE1030023298260</v>
      </c>
      <c r="D93">
        <v>400</v>
      </c>
      <c r="E93" s="128" t="s">
        <v>128</v>
      </c>
    </row>
    <row r="94" spans="1:5" x14ac:dyDescent="0.2">
      <c r="A94" s="84" t="s">
        <v>545</v>
      </c>
      <c r="B94" s="84"/>
      <c r="C94" t="str">
        <f>E104</f>
        <v>HXE1030026595058</v>
      </c>
      <c r="D94">
        <v>16000</v>
      </c>
      <c r="E94" s="128" t="s">
        <v>129</v>
      </c>
    </row>
    <row r="95" spans="1:5" x14ac:dyDescent="0.2">
      <c r="A95" s="84" t="s">
        <v>617</v>
      </c>
      <c r="B95" s="84" t="s">
        <v>620</v>
      </c>
      <c r="C95" t="s">
        <v>623</v>
      </c>
      <c r="D95">
        <v>16000</v>
      </c>
      <c r="E95" s="128" t="s">
        <v>130</v>
      </c>
    </row>
    <row r="96" spans="1:5" x14ac:dyDescent="0.2">
      <c r="A96" s="84" t="s">
        <v>355</v>
      </c>
      <c r="B96" s="84" t="s">
        <v>356</v>
      </c>
      <c r="C96" s="60" t="str">
        <f>E97</f>
        <v>HXE1030023299913</v>
      </c>
      <c r="D96">
        <v>400</v>
      </c>
      <c r="E96" s="128" t="s">
        <v>131</v>
      </c>
    </row>
    <row r="97" spans="1:5" x14ac:dyDescent="0.2">
      <c r="A97" s="84" t="s">
        <v>357</v>
      </c>
      <c r="B97" s="84" t="s">
        <v>358</v>
      </c>
      <c r="C97" s="60" t="str">
        <f>E100</f>
        <v>HXE1030023299916</v>
      </c>
      <c r="D97">
        <v>500</v>
      </c>
      <c r="E97" s="128" t="s">
        <v>132</v>
      </c>
    </row>
    <row r="98" spans="1:5" x14ac:dyDescent="0.2">
      <c r="A98" s="84" t="s">
        <v>359</v>
      </c>
      <c r="B98" s="84" t="s">
        <v>360</v>
      </c>
      <c r="C98" s="131" t="str">
        <f>E89</f>
        <v>HXE1030023298239</v>
      </c>
      <c r="D98">
        <v>400</v>
      </c>
      <c r="E98" s="128" t="s">
        <v>133</v>
      </c>
    </row>
    <row r="99" spans="1:5" x14ac:dyDescent="0.2">
      <c r="A99" s="84" t="s">
        <v>361</v>
      </c>
      <c r="B99" s="84" t="s">
        <v>362</v>
      </c>
      <c r="C99" s="131" t="str">
        <f>E91</f>
        <v>HXE1030023298257</v>
      </c>
      <c r="D99">
        <v>400</v>
      </c>
      <c r="E99" s="128" t="s">
        <v>134</v>
      </c>
    </row>
    <row r="100" spans="1:5" x14ac:dyDescent="0.2">
      <c r="A100" s="84" t="s">
        <v>546</v>
      </c>
      <c r="B100" s="84"/>
      <c r="C100" t="str">
        <f>E105</f>
        <v>HXE1030026595059</v>
      </c>
      <c r="D100">
        <v>16000</v>
      </c>
      <c r="E100" s="128" t="s">
        <v>135</v>
      </c>
    </row>
    <row r="101" spans="1:5" x14ac:dyDescent="0.2">
      <c r="A101" s="84" t="s">
        <v>618</v>
      </c>
      <c r="B101" s="84" t="s">
        <v>621</v>
      </c>
      <c r="C101" t="s">
        <v>624</v>
      </c>
      <c r="D101">
        <v>16000</v>
      </c>
      <c r="E101" s="128" t="s">
        <v>136</v>
      </c>
    </row>
    <row r="102" spans="1:5" x14ac:dyDescent="0.2">
      <c r="A102" s="84" t="s">
        <v>363</v>
      </c>
      <c r="B102" s="84" t="s">
        <v>364</v>
      </c>
      <c r="C102" s="133" t="str">
        <f>E92</f>
        <v>HXE1030023298258</v>
      </c>
      <c r="D102">
        <v>400</v>
      </c>
      <c r="E102" s="129" t="s">
        <v>137</v>
      </c>
    </row>
    <row r="103" spans="1:5" x14ac:dyDescent="0.2">
      <c r="A103" s="84" t="s">
        <v>365</v>
      </c>
      <c r="B103" s="84" t="s">
        <v>366</v>
      </c>
      <c r="C103" s="133" t="str">
        <f>E98</f>
        <v>HXE1030023299914</v>
      </c>
      <c r="D103">
        <v>400</v>
      </c>
      <c r="E103" s="90" t="s">
        <v>138</v>
      </c>
    </row>
    <row r="104" spans="1:5" x14ac:dyDescent="0.2">
      <c r="A104" s="84" t="s">
        <v>367</v>
      </c>
      <c r="B104" s="84" t="s">
        <v>368</v>
      </c>
      <c r="C104" t="s">
        <v>125</v>
      </c>
      <c r="D104">
        <v>400</v>
      </c>
      <c r="E104" s="90" t="s">
        <v>139</v>
      </c>
    </row>
    <row r="105" spans="1:5" x14ac:dyDescent="0.2">
      <c r="A105" s="84" t="s">
        <v>369</v>
      </c>
      <c r="B105" s="84" t="s">
        <v>370</v>
      </c>
      <c r="C105" t="str">
        <f>E102</f>
        <v>HXE1030023299918</v>
      </c>
      <c r="D105">
        <v>400</v>
      </c>
      <c r="E105" s="90" t="s">
        <v>140</v>
      </c>
    </row>
    <row r="106" spans="1:5" x14ac:dyDescent="0.2">
      <c r="A106" s="84" t="s">
        <v>626</v>
      </c>
      <c r="B106" s="84" t="s">
        <v>627</v>
      </c>
      <c r="C106" t="str">
        <f>E101</f>
        <v>HXE1030023299917</v>
      </c>
      <c r="D106">
        <v>500</v>
      </c>
      <c r="E106" s="90"/>
    </row>
    <row r="107" spans="1:5" x14ac:dyDescent="0.2">
      <c r="A107" s="84" t="s">
        <v>560</v>
      </c>
      <c r="B107" s="84"/>
      <c r="C107" t="str">
        <f>E103</f>
        <v>HXE1030026595041</v>
      </c>
      <c r="D107">
        <v>16000</v>
      </c>
    </row>
    <row r="108" spans="1:5" x14ac:dyDescent="0.2">
      <c r="A108" s="84" t="s">
        <v>619</v>
      </c>
      <c r="B108" s="84" t="s">
        <v>622</v>
      </c>
      <c r="C108" t="s">
        <v>625</v>
      </c>
      <c r="D108">
        <v>16000</v>
      </c>
    </row>
    <row r="109" spans="1:5" x14ac:dyDescent="0.2">
      <c r="A109" s="4" t="s">
        <v>427</v>
      </c>
      <c r="B109" s="4" t="s">
        <v>428</v>
      </c>
      <c r="C109" t="s">
        <v>90</v>
      </c>
      <c r="D109">
        <v>200</v>
      </c>
    </row>
    <row r="110" spans="1:5" x14ac:dyDescent="0.2">
      <c r="A110" s="4" t="s">
        <v>517</v>
      </c>
      <c r="B110" s="4" t="s">
        <v>518</v>
      </c>
      <c r="C110" t="s">
        <v>91</v>
      </c>
      <c r="D110">
        <v>120</v>
      </c>
    </row>
    <row r="111" spans="1:5" x14ac:dyDescent="0.2">
      <c r="A111" s="4" t="s">
        <v>676</v>
      </c>
      <c r="B111" s="4"/>
    </row>
    <row r="112" spans="1:5" x14ac:dyDescent="0.2">
      <c r="A112" s="4" t="s">
        <v>677</v>
      </c>
      <c r="B112" s="4" t="str">
        <f>"594020100002637995"</f>
        <v>594020100002637995</v>
      </c>
      <c r="C112" t="str">
        <f>"240290133935"</f>
        <v>240290133935</v>
      </c>
      <c r="D112">
        <v>800</v>
      </c>
    </row>
    <row r="113" spans="1:5" x14ac:dyDescent="0.2">
      <c r="A113" s="4" t="s">
        <v>197</v>
      </c>
      <c r="B113" s="4" t="s">
        <v>194</v>
      </c>
      <c r="C113" t="str">
        <f>E113</f>
        <v>HXE1030023301465</v>
      </c>
      <c r="D113">
        <v>120</v>
      </c>
      <c r="E113" s="90" t="s">
        <v>54</v>
      </c>
    </row>
    <row r="114" spans="1:5" x14ac:dyDescent="0.2">
      <c r="A114" s="4" t="s">
        <v>196</v>
      </c>
      <c r="B114" s="4" t="s">
        <v>195</v>
      </c>
      <c r="C114" t="str">
        <f>E115</f>
        <v>HXE1030026595064</v>
      </c>
      <c r="D114">
        <v>120</v>
      </c>
      <c r="E114" s="90" t="s">
        <v>55</v>
      </c>
    </row>
    <row r="115" spans="1:5" x14ac:dyDescent="0.2">
      <c r="A115" s="4" t="s">
        <v>533</v>
      </c>
      <c r="B115" s="4" t="s">
        <v>533</v>
      </c>
      <c r="C115" t="str">
        <f>E114</f>
        <v>HXE1030026595029</v>
      </c>
      <c r="D115">
        <v>400</v>
      </c>
      <c r="E115" s="90" t="s">
        <v>56</v>
      </c>
    </row>
    <row r="116" spans="1:5" x14ac:dyDescent="0.2">
      <c r="A116" s="138" t="s">
        <v>197</v>
      </c>
      <c r="B116" s="4" t="str">
        <f>"594020400001705610"</f>
        <v>594020400001705610</v>
      </c>
      <c r="C116" t="str">
        <f>"230290097650"</f>
        <v>230290097650</v>
      </c>
      <c r="D116">
        <v>400</v>
      </c>
    </row>
    <row r="117" spans="1:5" x14ac:dyDescent="0.2">
      <c r="A117" s="4" t="s">
        <v>201</v>
      </c>
      <c r="B117" s="4" t="s">
        <v>198</v>
      </c>
      <c r="C117" t="str">
        <f>E119</f>
        <v>HXE1030023301485</v>
      </c>
      <c r="D117">
        <v>200</v>
      </c>
      <c r="E117" s="18" t="s">
        <v>77</v>
      </c>
    </row>
    <row r="118" spans="1:5" x14ac:dyDescent="0.2">
      <c r="A118" s="4" t="s">
        <v>200</v>
      </c>
      <c r="B118" s="4" t="s">
        <v>199</v>
      </c>
      <c r="C118" t="str">
        <f>E117</f>
        <v>HXE1030023299912</v>
      </c>
      <c r="D118">
        <v>120</v>
      </c>
      <c r="E118" s="18" t="s">
        <v>78</v>
      </c>
    </row>
    <row r="119" spans="1:5" x14ac:dyDescent="0.2">
      <c r="A119" s="4" t="s">
        <v>533</v>
      </c>
      <c r="B119" s="4"/>
      <c r="C119" t="str">
        <f>E118</f>
        <v>HXE1030026595052</v>
      </c>
      <c r="D119">
        <v>1200</v>
      </c>
      <c r="E119" s="18" t="s">
        <v>79</v>
      </c>
    </row>
    <row r="120" spans="1:5" x14ac:dyDescent="0.2">
      <c r="A120" s="4" t="s">
        <v>201</v>
      </c>
      <c r="B120" s="4" t="str">
        <f>"59401060000191744771568947"</f>
        <v>59401060000191744771568947</v>
      </c>
      <c r="C120">
        <v>73069392</v>
      </c>
      <c r="D120">
        <v>1200</v>
      </c>
    </row>
    <row r="121" spans="1:5" x14ac:dyDescent="0.2">
      <c r="A121" s="6" t="s">
        <v>415</v>
      </c>
      <c r="B121" s="7" t="s">
        <v>416</v>
      </c>
    </row>
    <row r="122" spans="1:5" x14ac:dyDescent="0.2">
      <c r="A122" s="6" t="s">
        <v>417</v>
      </c>
      <c r="B122" s="7" t="s">
        <v>418</v>
      </c>
    </row>
    <row r="123" spans="1:5" x14ac:dyDescent="0.2">
      <c r="A123" s="6" t="s">
        <v>419</v>
      </c>
      <c r="B123" s="7" t="s">
        <v>420</v>
      </c>
    </row>
    <row r="124" spans="1:5" x14ac:dyDescent="0.2">
      <c r="A124" s="6" t="s">
        <v>421</v>
      </c>
      <c r="B124" s="7" t="s">
        <v>422</v>
      </c>
    </row>
    <row r="125" spans="1:5" x14ac:dyDescent="0.2">
      <c r="A125" s="6" t="s">
        <v>423</v>
      </c>
      <c r="B125" s="7" t="s">
        <v>424</v>
      </c>
    </row>
    <row r="126" spans="1:5" x14ac:dyDescent="0.2">
      <c r="A126" s="6" t="s">
        <v>425</v>
      </c>
      <c r="B126" s="7" t="s">
        <v>426</v>
      </c>
    </row>
    <row r="127" spans="1:5" x14ac:dyDescent="0.2">
      <c r="A127" s="6" t="s">
        <v>407</v>
      </c>
      <c r="B127" s="3" t="s">
        <v>408</v>
      </c>
      <c r="C127" s="98" t="s">
        <v>164</v>
      </c>
      <c r="D127">
        <v>120</v>
      </c>
    </row>
    <row r="128" spans="1:5" x14ac:dyDescent="0.2">
      <c r="A128" s="4" t="s">
        <v>511</v>
      </c>
      <c r="B128" s="4" t="s">
        <v>512</v>
      </c>
      <c r="C128" s="90" t="s">
        <v>165</v>
      </c>
      <c r="D128">
        <v>80</v>
      </c>
    </row>
    <row r="129" spans="1:5" x14ac:dyDescent="0.2">
      <c r="A129" s="4" t="s">
        <v>533</v>
      </c>
      <c r="B129" s="4" t="s">
        <v>533</v>
      </c>
    </row>
    <row r="130" spans="1:5" x14ac:dyDescent="0.2">
      <c r="A130" s="4" t="s">
        <v>680</v>
      </c>
      <c r="B130" s="4" t="str">
        <f>"594020600000985765"</f>
        <v>594020600000985765</v>
      </c>
      <c r="C130" t="str">
        <f>"2732950"</f>
        <v>2732950</v>
      </c>
      <c r="D130">
        <v>800</v>
      </c>
    </row>
    <row r="131" spans="1:5" x14ac:dyDescent="0.2">
      <c r="A131" s="4" t="s">
        <v>409</v>
      </c>
      <c r="B131" s="4" t="s">
        <v>410</v>
      </c>
      <c r="C131" t="str">
        <f>E132</f>
        <v>HXE1030023301497</v>
      </c>
      <c r="D131">
        <v>120</v>
      </c>
      <c r="E131" s="90" t="s">
        <v>52</v>
      </c>
    </row>
    <row r="132" spans="1:5" x14ac:dyDescent="0.2">
      <c r="A132" s="4" t="s">
        <v>513</v>
      </c>
      <c r="B132" s="4" t="s">
        <v>514</v>
      </c>
      <c r="C132" t="str">
        <f>E131</f>
        <v>HXE1030023301488</v>
      </c>
      <c r="D132">
        <v>120</v>
      </c>
      <c r="E132" s="90" t="s">
        <v>53</v>
      </c>
    </row>
    <row r="133" spans="1:5" x14ac:dyDescent="0.2">
      <c r="A133" s="4" t="s">
        <v>533</v>
      </c>
      <c r="B133" s="4"/>
    </row>
    <row r="134" spans="1:5" x14ac:dyDescent="0.2">
      <c r="A134" s="4" t="s">
        <v>409</v>
      </c>
      <c r="B134" s="4" t="str">
        <f>"594020300002588154"</f>
        <v>594020300002588154</v>
      </c>
      <c r="C134" t="str">
        <f>"240290127139"</f>
        <v>240290127139</v>
      </c>
      <c r="D134">
        <v>400</v>
      </c>
    </row>
    <row r="135" spans="1:5" x14ac:dyDescent="0.2">
      <c r="A135" s="4" t="s">
        <v>411</v>
      </c>
      <c r="B135" s="4" t="s">
        <v>412</v>
      </c>
      <c r="C135" t="str">
        <f>E135</f>
        <v>HXE1030023298237</v>
      </c>
      <c r="D135">
        <v>120</v>
      </c>
      <c r="E135" s="90" t="s">
        <v>178</v>
      </c>
    </row>
    <row r="136" spans="1:5" x14ac:dyDescent="0.2">
      <c r="A136" s="4" t="s">
        <v>515</v>
      </c>
      <c r="B136" s="4" t="s">
        <v>516</v>
      </c>
      <c r="C136" t="str">
        <f>E137</f>
        <v>HXE1030023301510</v>
      </c>
      <c r="D136">
        <v>120</v>
      </c>
      <c r="E136" s="90" t="s">
        <v>179</v>
      </c>
    </row>
    <row r="137" spans="1:5" x14ac:dyDescent="0.2">
      <c r="A137" s="4" t="s">
        <v>413</v>
      </c>
      <c r="B137" s="4" t="s">
        <v>414</v>
      </c>
      <c r="C137" t="str">
        <f>E136</f>
        <v>HXE1030023301447</v>
      </c>
      <c r="D137">
        <v>200</v>
      </c>
      <c r="E137" s="90" t="s">
        <v>180</v>
      </c>
    </row>
    <row r="138" spans="1:5" x14ac:dyDescent="0.2">
      <c r="A138" s="4" t="s">
        <v>653</v>
      </c>
      <c r="B138" s="4"/>
      <c r="E138" s="90"/>
    </row>
    <row r="139" spans="1:5" x14ac:dyDescent="0.2">
      <c r="A139" s="4" t="s">
        <v>652</v>
      </c>
      <c r="B139" s="4" t="s">
        <v>654</v>
      </c>
      <c r="C139">
        <v>2753290</v>
      </c>
      <c r="D139">
        <v>1200</v>
      </c>
      <c r="E139" s="90"/>
    </row>
    <row r="140" spans="1:5" x14ac:dyDescent="0.2">
      <c r="A140" s="84" t="s">
        <v>387</v>
      </c>
      <c r="B140" s="84" t="s">
        <v>388</v>
      </c>
      <c r="C140" t="str">
        <f>E149</f>
        <v>HXE1030023301532</v>
      </c>
      <c r="D140">
        <v>600</v>
      </c>
      <c r="E140" s="129" t="s">
        <v>29</v>
      </c>
    </row>
    <row r="141" spans="1:5" x14ac:dyDescent="0.2">
      <c r="A141" s="84" t="s">
        <v>493</v>
      </c>
      <c r="B141" s="84" t="s">
        <v>494</v>
      </c>
      <c r="C141" t="str">
        <f>E148</f>
        <v>HXE1030023301530</v>
      </c>
      <c r="D141">
        <v>300</v>
      </c>
      <c r="E141" s="129" t="s">
        <v>30</v>
      </c>
    </row>
    <row r="142" spans="1:5" x14ac:dyDescent="0.2">
      <c r="A142" s="84" t="s">
        <v>389</v>
      </c>
      <c r="B142" s="84" t="s">
        <v>390</v>
      </c>
      <c r="C142" t="str">
        <f>E140</f>
        <v>HXE1030023298244</v>
      </c>
      <c r="D142">
        <v>600</v>
      </c>
      <c r="E142" s="129" t="s">
        <v>31</v>
      </c>
    </row>
    <row r="143" spans="1:5" x14ac:dyDescent="0.2">
      <c r="A143" s="84" t="s">
        <v>495</v>
      </c>
      <c r="B143" s="84" t="s">
        <v>496</v>
      </c>
      <c r="C143" t="str">
        <f>E145</f>
        <v>HXE1030023298266</v>
      </c>
      <c r="D143">
        <v>300</v>
      </c>
      <c r="E143" s="129" t="s">
        <v>32</v>
      </c>
    </row>
    <row r="144" spans="1:5" x14ac:dyDescent="0.2">
      <c r="A144" s="84" t="s">
        <v>638</v>
      </c>
      <c r="B144" s="84"/>
      <c r="D144">
        <v>4000</v>
      </c>
      <c r="E144" s="129" t="s">
        <v>33</v>
      </c>
    </row>
    <row r="145" spans="1:5" x14ac:dyDescent="0.2">
      <c r="A145" s="84" t="s">
        <v>636</v>
      </c>
      <c r="B145" s="84" t="str">
        <f>"594020200001925328"</f>
        <v>594020200001925328</v>
      </c>
      <c r="C145" t="s">
        <v>633</v>
      </c>
      <c r="D145">
        <v>4000</v>
      </c>
      <c r="E145" s="129" t="s">
        <v>34</v>
      </c>
    </row>
    <row r="146" spans="1:5" x14ac:dyDescent="0.2">
      <c r="A146" s="84" t="s">
        <v>391</v>
      </c>
      <c r="B146" s="84" t="s">
        <v>392</v>
      </c>
      <c r="C146" t="str">
        <f>E144</f>
        <v>HXE1030023298263</v>
      </c>
      <c r="D146">
        <v>120</v>
      </c>
      <c r="E146" s="129" t="s">
        <v>35</v>
      </c>
    </row>
    <row r="147" spans="1:5" x14ac:dyDescent="0.2">
      <c r="A147" s="84" t="s">
        <v>639</v>
      </c>
      <c r="B147" s="84"/>
      <c r="D147">
        <v>800</v>
      </c>
      <c r="E147" s="129" t="s">
        <v>36</v>
      </c>
    </row>
    <row r="148" spans="1:5" x14ac:dyDescent="0.2">
      <c r="A148" s="84" t="s">
        <v>641</v>
      </c>
      <c r="B148" s="84" t="str">
        <f>"594020200001926066"</f>
        <v>594020200001926066</v>
      </c>
      <c r="C148" t="s">
        <v>634</v>
      </c>
      <c r="D148">
        <v>800</v>
      </c>
      <c r="E148" s="129" t="s">
        <v>37</v>
      </c>
    </row>
    <row r="149" spans="1:5" x14ac:dyDescent="0.2">
      <c r="A149" s="84" t="s">
        <v>393</v>
      </c>
      <c r="B149" s="84" t="s">
        <v>394</v>
      </c>
      <c r="C149" t="str">
        <f>E141</f>
        <v>HXE1030023298247</v>
      </c>
      <c r="D149">
        <v>250</v>
      </c>
      <c r="E149" s="129" t="s">
        <v>38</v>
      </c>
    </row>
    <row r="150" spans="1:5" x14ac:dyDescent="0.2">
      <c r="A150" s="84" t="s">
        <v>640</v>
      </c>
      <c r="B150" s="84"/>
      <c r="D150">
        <v>800</v>
      </c>
    </row>
    <row r="151" spans="1:5" x14ac:dyDescent="0.2">
      <c r="A151" s="84" t="s">
        <v>637</v>
      </c>
      <c r="B151" s="84" t="str">
        <f>"594020200000000477"</f>
        <v>594020200000000477</v>
      </c>
      <c r="C151" t="s">
        <v>635</v>
      </c>
      <c r="D151">
        <v>800</v>
      </c>
    </row>
    <row r="152" spans="1:5" x14ac:dyDescent="0.2">
      <c r="A152" s="84" t="s">
        <v>395</v>
      </c>
      <c r="B152" s="84" t="s">
        <v>396</v>
      </c>
      <c r="C152" t="str">
        <f>E142</f>
        <v>HXE1030023298251</v>
      </c>
      <c r="D152">
        <v>500</v>
      </c>
    </row>
    <row r="153" spans="1:5" x14ac:dyDescent="0.2">
      <c r="A153" s="84" t="s">
        <v>497</v>
      </c>
      <c r="B153" s="84" t="s">
        <v>498</v>
      </c>
      <c r="C153" t="str">
        <f>E143</f>
        <v>HXE1030023298254</v>
      </c>
      <c r="D153">
        <v>250</v>
      </c>
    </row>
    <row r="154" spans="1:5" x14ac:dyDescent="0.2">
      <c r="A154" s="84" t="s">
        <v>642</v>
      </c>
      <c r="B154" s="84"/>
      <c r="D154">
        <v>1200</v>
      </c>
    </row>
    <row r="155" spans="1:5" x14ac:dyDescent="0.2">
      <c r="A155" s="84" t="s">
        <v>629</v>
      </c>
      <c r="B155" s="84" t="str">
        <f>"594020200001926325"</f>
        <v>594020200001926325</v>
      </c>
      <c r="C155" t="s">
        <v>630</v>
      </c>
      <c r="D155">
        <v>1200</v>
      </c>
    </row>
    <row r="156" spans="1:5" x14ac:dyDescent="0.2">
      <c r="A156" s="84" t="s">
        <v>397</v>
      </c>
      <c r="B156" s="84" t="s">
        <v>398</v>
      </c>
      <c r="C156" t="str">
        <f>E147</f>
        <v>HXE1030023301498</v>
      </c>
      <c r="D156">
        <v>500</v>
      </c>
    </row>
    <row r="157" spans="1:5" x14ac:dyDescent="0.2">
      <c r="A157" s="84" t="s">
        <v>499</v>
      </c>
      <c r="B157" s="84" t="s">
        <v>500</v>
      </c>
      <c r="C157" t="str">
        <f>E146</f>
        <v>HXE1030023298268</v>
      </c>
      <c r="D157">
        <v>250</v>
      </c>
    </row>
    <row r="158" spans="1:5" x14ac:dyDescent="0.2">
      <c r="A158" s="84" t="s">
        <v>643</v>
      </c>
      <c r="B158" s="84"/>
      <c r="D158">
        <v>1000</v>
      </c>
    </row>
    <row r="159" spans="1:5" x14ac:dyDescent="0.2">
      <c r="A159" s="84" t="s">
        <v>632</v>
      </c>
      <c r="B159" s="84" t="str">
        <f>"594020200001926332"</f>
        <v>594020200001926332</v>
      </c>
      <c r="C159" t="s">
        <v>631</v>
      </c>
      <c r="D159">
        <v>1000</v>
      </c>
    </row>
    <row r="160" spans="1:5" x14ac:dyDescent="0.2">
      <c r="A160" s="84" t="s">
        <v>307</v>
      </c>
      <c r="B160" s="84" t="s">
        <v>308</v>
      </c>
      <c r="C160" t="str">
        <f>E163</f>
        <v>HXE1030026595065</v>
      </c>
      <c r="D160">
        <v>500</v>
      </c>
      <c r="E160" t="s">
        <v>145</v>
      </c>
    </row>
    <row r="161" spans="1:5" x14ac:dyDescent="0.2">
      <c r="A161" s="126" t="s">
        <v>469</v>
      </c>
      <c r="B161" s="126" t="s">
        <v>470</v>
      </c>
      <c r="C161" t="str">
        <f>E164</f>
        <v>HXE1030026595066</v>
      </c>
      <c r="D161">
        <v>160</v>
      </c>
      <c r="E161" t="s">
        <v>146</v>
      </c>
    </row>
    <row r="162" spans="1:5" x14ac:dyDescent="0.2">
      <c r="A162" s="126" t="s">
        <v>309</v>
      </c>
      <c r="B162" s="84" t="s">
        <v>310</v>
      </c>
      <c r="C162" t="str">
        <f>E165</f>
        <v>HXE1030026595067</v>
      </c>
      <c r="D162">
        <v>500</v>
      </c>
      <c r="E162" t="s">
        <v>147</v>
      </c>
    </row>
    <row r="163" spans="1:5" x14ac:dyDescent="0.2">
      <c r="A163" s="126" t="s">
        <v>311</v>
      </c>
      <c r="B163" s="84" t="s">
        <v>312</v>
      </c>
      <c r="C163" t="str">
        <f>E161</f>
        <v>HXE1030023301531</v>
      </c>
      <c r="D163">
        <v>500</v>
      </c>
      <c r="E163" t="s">
        <v>148</v>
      </c>
    </row>
    <row r="164" spans="1:5" x14ac:dyDescent="0.2">
      <c r="A164" s="126" t="s">
        <v>313</v>
      </c>
      <c r="B164" s="84" t="s">
        <v>314</v>
      </c>
      <c r="C164" t="str">
        <f>E160</f>
        <v>HXE1030023301524</v>
      </c>
      <c r="D164">
        <v>500</v>
      </c>
      <c r="E164" t="s">
        <v>149</v>
      </c>
    </row>
    <row r="165" spans="1:5" x14ac:dyDescent="0.2">
      <c r="A165" s="126"/>
      <c r="B165" s="84"/>
      <c r="C165" t="str">
        <f>E162</f>
        <v>HXE1030026595055</v>
      </c>
      <c r="D165">
        <v>8000</v>
      </c>
      <c r="E165" t="s">
        <v>150</v>
      </c>
    </row>
    <row r="166" spans="1:5" x14ac:dyDescent="0.2">
      <c r="A166" s="126" t="s">
        <v>605</v>
      </c>
      <c r="B166" s="84" t="s">
        <v>603</v>
      </c>
      <c r="C166" t="s">
        <v>604</v>
      </c>
      <c r="D166">
        <v>8000</v>
      </c>
    </row>
    <row r="167" spans="1:5" x14ac:dyDescent="0.2">
      <c r="A167" s="74" t="s">
        <v>223</v>
      </c>
      <c r="B167" s="4" t="s">
        <v>224</v>
      </c>
      <c r="C167" t="str">
        <f>E170</f>
        <v>HXE1030023301509</v>
      </c>
      <c r="D167">
        <v>600</v>
      </c>
      <c r="E167" s="90" t="s">
        <v>151</v>
      </c>
    </row>
    <row r="168" spans="1:5" x14ac:dyDescent="0.2">
      <c r="A168" s="74" t="s">
        <v>225</v>
      </c>
      <c r="B168" s="4" t="s">
        <v>226</v>
      </c>
      <c r="C168" t="str">
        <f>E171</f>
        <v>HXE1030023301514</v>
      </c>
      <c r="D168">
        <v>600</v>
      </c>
      <c r="E168" s="90" t="s">
        <v>152</v>
      </c>
    </row>
    <row r="169" spans="1:5" x14ac:dyDescent="0.2">
      <c r="A169" s="74" t="s">
        <v>433</v>
      </c>
      <c r="B169" s="4" t="s">
        <v>434</v>
      </c>
      <c r="C169" t="str">
        <f>E169</f>
        <v>HXE1030023301477</v>
      </c>
      <c r="D169">
        <v>400</v>
      </c>
      <c r="E169" s="90" t="s">
        <v>153</v>
      </c>
    </row>
    <row r="170" spans="1:5" x14ac:dyDescent="0.2">
      <c r="A170" s="74" t="s">
        <v>227</v>
      </c>
      <c r="B170" s="4" t="s">
        <v>228</v>
      </c>
      <c r="C170" t="str">
        <f>E168</f>
        <v>HXE1030023298242</v>
      </c>
      <c r="D170">
        <v>500</v>
      </c>
      <c r="E170" s="90" t="s">
        <v>154</v>
      </c>
    </row>
    <row r="171" spans="1:5" x14ac:dyDescent="0.2">
      <c r="A171" s="74" t="s">
        <v>435</v>
      </c>
      <c r="B171" s="4" t="s">
        <v>436</v>
      </c>
      <c r="C171" t="str">
        <f>E167</f>
        <v>HXE1030023295929</v>
      </c>
      <c r="D171">
        <v>160</v>
      </c>
      <c r="E171" s="90" t="s">
        <v>155</v>
      </c>
    </row>
    <row r="172" spans="1:5" x14ac:dyDescent="0.2">
      <c r="A172" s="74"/>
      <c r="B172" s="4"/>
    </row>
    <row r="173" spans="1:5" x14ac:dyDescent="0.2">
      <c r="A173" s="74" t="s">
        <v>607</v>
      </c>
      <c r="B173" s="4" t="str">
        <f>"594030100003367652"</f>
        <v>594030100003367652</v>
      </c>
      <c r="C173" s="8" t="s">
        <v>609</v>
      </c>
      <c r="D173">
        <v>6000</v>
      </c>
    </row>
    <row r="174" spans="1:5" x14ac:dyDescent="0.2">
      <c r="A174" s="74"/>
      <c r="B174" s="4"/>
      <c r="C174" s="8"/>
    </row>
    <row r="175" spans="1:5" x14ac:dyDescent="0.2">
      <c r="A175" s="74" t="s">
        <v>608</v>
      </c>
      <c r="B175" s="4" t="str">
        <f>"594030100003367652"</f>
        <v>594030100003367652</v>
      </c>
      <c r="C175" s="8">
        <v>20301781009</v>
      </c>
      <c r="D175">
        <v>6000</v>
      </c>
    </row>
    <row r="176" spans="1:5" x14ac:dyDescent="0.2">
      <c r="A176" s="74" t="s">
        <v>399</v>
      </c>
      <c r="B176" s="4" t="s">
        <v>400</v>
      </c>
      <c r="C176" t="str">
        <f>E177</f>
        <v>HXE1030023298246</v>
      </c>
      <c r="D176">
        <v>500</v>
      </c>
      <c r="E176" t="s">
        <v>16</v>
      </c>
    </row>
    <row r="177" spans="1:5" x14ac:dyDescent="0.2">
      <c r="A177" s="74" t="s">
        <v>501</v>
      </c>
      <c r="B177" s="4" t="s">
        <v>502</v>
      </c>
      <c r="C177" t="str">
        <f>E181</f>
        <v>HXE1030023298253</v>
      </c>
      <c r="D177">
        <v>300</v>
      </c>
      <c r="E177" s="25" t="s">
        <v>17</v>
      </c>
    </row>
    <row r="178" spans="1:5" ht="17" thickBot="1" x14ac:dyDescent="0.25">
      <c r="A178" s="74" t="s">
        <v>401</v>
      </c>
      <c r="B178" s="4" t="s">
        <v>402</v>
      </c>
      <c r="C178" t="str">
        <f>E179</f>
        <v>HXE1030023298249</v>
      </c>
      <c r="D178">
        <v>500</v>
      </c>
      <c r="E178" s="25" t="s">
        <v>18</v>
      </c>
    </row>
    <row r="179" spans="1:5" ht="17" thickTop="1" x14ac:dyDescent="0.2">
      <c r="A179" s="9" t="s">
        <v>503</v>
      </c>
      <c r="B179" s="9" t="s">
        <v>504</v>
      </c>
      <c r="C179" t="str">
        <f>E178</f>
        <v>HXE1030023298248</v>
      </c>
      <c r="D179">
        <v>160</v>
      </c>
      <c r="E179" s="25" t="s">
        <v>19</v>
      </c>
    </row>
    <row r="180" spans="1:5" x14ac:dyDescent="0.2">
      <c r="A180" s="4" t="s">
        <v>403</v>
      </c>
      <c r="B180" s="4" t="s">
        <v>404</v>
      </c>
      <c r="C180" t="str">
        <f>E180</f>
        <v>HXE1030023298250</v>
      </c>
      <c r="D180">
        <v>200</v>
      </c>
      <c r="E180" s="25" t="s">
        <v>20</v>
      </c>
    </row>
    <row r="181" spans="1:5" x14ac:dyDescent="0.2">
      <c r="A181" s="4" t="s">
        <v>505</v>
      </c>
      <c r="B181" s="4" t="s">
        <v>506</v>
      </c>
      <c r="C181" t="str">
        <f>E182</f>
        <v>HXE1030023298255</v>
      </c>
      <c r="D181">
        <v>40</v>
      </c>
      <c r="E181" s="25" t="s">
        <v>21</v>
      </c>
    </row>
    <row r="182" spans="1:5" x14ac:dyDescent="0.2">
      <c r="A182" s="4" t="s">
        <v>405</v>
      </c>
      <c r="B182" s="4" t="s">
        <v>406</v>
      </c>
      <c r="C182" t="str">
        <f>E176</f>
        <v>HXE1030023298245</v>
      </c>
      <c r="D182">
        <v>500</v>
      </c>
      <c r="E182" s="25" t="s">
        <v>22</v>
      </c>
    </row>
    <row r="183" spans="1:5" x14ac:dyDescent="0.2">
      <c r="A183" s="4" t="s">
        <v>561</v>
      </c>
      <c r="B183" s="4" t="s">
        <v>562</v>
      </c>
      <c r="C183" t="str">
        <f>E183</f>
        <v>HXE1030023298256</v>
      </c>
      <c r="D183">
        <v>300</v>
      </c>
      <c r="E183" t="s">
        <v>23</v>
      </c>
    </row>
    <row r="184" spans="1:5" x14ac:dyDescent="0.2">
      <c r="A184" s="4" t="s">
        <v>215</v>
      </c>
      <c r="B184" s="4" t="s">
        <v>216</v>
      </c>
      <c r="C184" t="str">
        <f>E188</f>
        <v>HXE1030026595022</v>
      </c>
      <c r="D184" s="25">
        <v>300</v>
      </c>
      <c r="E184" t="s">
        <v>10</v>
      </c>
    </row>
    <row r="185" spans="1:5" x14ac:dyDescent="0.2">
      <c r="A185" s="4" t="s">
        <v>429</v>
      </c>
      <c r="B185" s="4" t="s">
        <v>430</v>
      </c>
      <c r="C185" t="str">
        <f>E187</f>
        <v>HXE1030026595021</v>
      </c>
      <c r="D185">
        <v>300</v>
      </c>
      <c r="E185" t="s">
        <v>11</v>
      </c>
    </row>
    <row r="186" spans="1:5" x14ac:dyDescent="0.2">
      <c r="A186" s="4" t="s">
        <v>217</v>
      </c>
      <c r="B186" s="4" t="s">
        <v>218</v>
      </c>
      <c r="C186" t="str">
        <f>E185</f>
        <v>HXE1030026595019</v>
      </c>
      <c r="D186" s="25">
        <v>300</v>
      </c>
      <c r="E186" t="s">
        <v>12</v>
      </c>
    </row>
    <row r="187" spans="1:5" x14ac:dyDescent="0.2">
      <c r="A187" s="4" t="s">
        <v>219</v>
      </c>
      <c r="B187" s="4" t="s">
        <v>220</v>
      </c>
      <c r="C187" t="str">
        <f>E186</f>
        <v>HXE1030026595020</v>
      </c>
      <c r="D187">
        <v>300</v>
      </c>
      <c r="E187" t="s">
        <v>13</v>
      </c>
    </row>
    <row r="188" spans="1:5" x14ac:dyDescent="0.2">
      <c r="A188" s="4" t="s">
        <v>431</v>
      </c>
      <c r="B188" s="4" t="s">
        <v>432</v>
      </c>
      <c r="C188" t="str">
        <f>E184</f>
        <v>HXE1030023301513</v>
      </c>
      <c r="D188">
        <v>120</v>
      </c>
      <c r="E188" t="s">
        <v>14</v>
      </c>
    </row>
    <row r="189" spans="1:5" x14ac:dyDescent="0.2">
      <c r="A189" s="4" t="s">
        <v>221</v>
      </c>
      <c r="B189" s="4" t="s">
        <v>222</v>
      </c>
      <c r="C189" t="str">
        <f>E189</f>
        <v>HXE1030026595023</v>
      </c>
      <c r="D189" s="25">
        <v>300</v>
      </c>
      <c r="E189" t="s">
        <v>15</v>
      </c>
    </row>
    <row r="190" spans="1:5" x14ac:dyDescent="0.2">
      <c r="A190" s="84" t="s">
        <v>229</v>
      </c>
      <c r="B190" s="84" t="s">
        <v>230</v>
      </c>
      <c r="C190" t="s">
        <v>142</v>
      </c>
      <c r="D190">
        <v>600</v>
      </c>
      <c r="E190" t="s">
        <v>141</v>
      </c>
    </row>
    <row r="191" spans="1:5" x14ac:dyDescent="0.2">
      <c r="A191" s="84" t="s">
        <v>231</v>
      </c>
      <c r="B191" s="84" t="s">
        <v>232</v>
      </c>
      <c r="C191" t="s">
        <v>143</v>
      </c>
      <c r="D191">
        <v>500</v>
      </c>
      <c r="E191" t="s">
        <v>142</v>
      </c>
    </row>
    <row r="192" spans="1:5" x14ac:dyDescent="0.2">
      <c r="A192" s="84" t="s">
        <v>437</v>
      </c>
      <c r="B192" s="84" t="s">
        <v>438</v>
      </c>
      <c r="C192" t="s">
        <v>141</v>
      </c>
      <c r="D192">
        <v>400</v>
      </c>
      <c r="E192" t="s">
        <v>143</v>
      </c>
    </row>
    <row r="193" spans="1:5" x14ac:dyDescent="0.2">
      <c r="A193" s="84"/>
      <c r="B193" s="84"/>
    </row>
    <row r="194" spans="1:5" x14ac:dyDescent="0.2">
      <c r="A194" s="84" t="s">
        <v>600</v>
      </c>
      <c r="B194" s="84" t="s">
        <v>601</v>
      </c>
      <c r="C194">
        <v>53047288</v>
      </c>
      <c r="D194">
        <v>4000</v>
      </c>
    </row>
    <row r="195" spans="1:5" x14ac:dyDescent="0.2">
      <c r="A195" s="4" t="s">
        <v>371</v>
      </c>
      <c r="B195" s="4" t="s">
        <v>372</v>
      </c>
      <c r="C195" t="str">
        <f>E197</f>
        <v>HXE1030023301466</v>
      </c>
      <c r="D195">
        <v>600</v>
      </c>
      <c r="E195" t="s">
        <v>159</v>
      </c>
    </row>
    <row r="196" spans="1:5" x14ac:dyDescent="0.2">
      <c r="A196" s="4" t="s">
        <v>489</v>
      </c>
      <c r="B196" s="4" t="s">
        <v>490</v>
      </c>
      <c r="C196" t="str">
        <f>E199</f>
        <v>HXE1030023301496</v>
      </c>
      <c r="D196">
        <v>250</v>
      </c>
      <c r="E196" t="s">
        <v>160</v>
      </c>
    </row>
    <row r="197" spans="1:5" x14ac:dyDescent="0.2">
      <c r="A197" s="4" t="s">
        <v>545</v>
      </c>
      <c r="B197" s="4"/>
      <c r="E197" t="s">
        <v>161</v>
      </c>
    </row>
    <row r="198" spans="1:5" x14ac:dyDescent="0.2">
      <c r="A198" s="25" t="s">
        <v>613</v>
      </c>
      <c r="B198" s="4" t="str">
        <f>"59401040000145272271526125"</f>
        <v>59401040000145272271526125</v>
      </c>
      <c r="C198">
        <v>90065626</v>
      </c>
      <c r="E198" t="s">
        <v>162</v>
      </c>
    </row>
    <row r="199" spans="1:5" x14ac:dyDescent="0.2">
      <c r="A199" s="4" t="s">
        <v>373</v>
      </c>
      <c r="B199" s="4" t="s">
        <v>374</v>
      </c>
      <c r="C199" t="str">
        <f>E196</f>
        <v>HXE1030023301461</v>
      </c>
      <c r="D199">
        <v>800</v>
      </c>
      <c r="E199" t="s">
        <v>163</v>
      </c>
    </row>
    <row r="200" spans="1:5" x14ac:dyDescent="0.2">
      <c r="A200" s="4" t="s">
        <v>491</v>
      </c>
      <c r="B200" s="4" t="s">
        <v>492</v>
      </c>
      <c r="C200" t="str">
        <f>E195</f>
        <v>HXE1030023298277</v>
      </c>
      <c r="D200">
        <v>250</v>
      </c>
    </row>
    <row r="201" spans="1:5" x14ac:dyDescent="0.2">
      <c r="A201" s="4" t="s">
        <v>546</v>
      </c>
      <c r="B201" s="4"/>
    </row>
    <row r="202" spans="1:5" x14ac:dyDescent="0.2">
      <c r="A202" s="25" t="s">
        <v>614</v>
      </c>
      <c r="B202" s="4" t="str">
        <f>"59401040000153661371602579"</f>
        <v>59401040000153661371602579</v>
      </c>
      <c r="C202">
        <v>68040749</v>
      </c>
    </row>
    <row r="203" spans="1:5" x14ac:dyDescent="0.2">
      <c r="A203" s="25" t="s">
        <v>616</v>
      </c>
      <c r="B203" s="4" t="str">
        <f>"59401040000171945071723445/1"</f>
        <v>59401040000171945071723445/1</v>
      </c>
      <c r="C203" t="str">
        <f>E198</f>
        <v>HXE1030023301495</v>
      </c>
      <c r="D203">
        <v>200</v>
      </c>
    </row>
    <row r="204" spans="1:5" x14ac:dyDescent="0.2">
      <c r="A204" s="4" t="s">
        <v>546</v>
      </c>
      <c r="B204" s="4"/>
    </row>
    <row r="205" spans="1:5" x14ac:dyDescent="0.2">
      <c r="A205" s="25" t="s">
        <v>615</v>
      </c>
      <c r="B205" s="4" t="str">
        <f>"59401040000171945071723445"</f>
        <v>59401040000171945071723445</v>
      </c>
      <c r="C205">
        <v>90078095</v>
      </c>
      <c r="D205">
        <f>4*200</f>
        <v>800</v>
      </c>
    </row>
    <row r="206" spans="1:5" x14ac:dyDescent="0.2">
      <c r="A206" s="4"/>
      <c r="B206" s="4"/>
    </row>
    <row r="207" spans="1:5" x14ac:dyDescent="0.2">
      <c r="A207" s="4"/>
      <c r="B207" s="4"/>
    </row>
    <row r="208" spans="1:5" x14ac:dyDescent="0.2">
      <c r="A208" s="4" t="s">
        <v>233</v>
      </c>
      <c r="B208" s="4" t="s">
        <v>234</v>
      </c>
      <c r="C208" t="str">
        <f>E209</f>
        <v>HXE1030023301451</v>
      </c>
      <c r="D208">
        <v>500</v>
      </c>
      <c r="E208" s="90" t="s">
        <v>156</v>
      </c>
    </row>
    <row r="209" spans="1:8" x14ac:dyDescent="0.2">
      <c r="A209" s="4" t="s">
        <v>235</v>
      </c>
      <c r="B209" s="4" t="s">
        <v>236</v>
      </c>
      <c r="C209" t="str">
        <f>E208</f>
        <v>HXE1030023298235</v>
      </c>
      <c r="D209">
        <v>500</v>
      </c>
      <c r="E209" s="90" t="s">
        <v>157</v>
      </c>
    </row>
    <row r="210" spans="1:8" x14ac:dyDescent="0.2">
      <c r="A210" s="4" t="s">
        <v>439</v>
      </c>
      <c r="B210" s="4" t="s">
        <v>440</v>
      </c>
      <c r="C210" t="str">
        <f>E210</f>
        <v>HXE1030023298243</v>
      </c>
      <c r="D210">
        <v>120</v>
      </c>
      <c r="E210" s="90" t="s">
        <v>158</v>
      </c>
    </row>
    <row r="211" spans="1:8" x14ac:dyDescent="0.2">
      <c r="A211" s="4"/>
      <c r="B211" s="4"/>
    </row>
    <row r="212" spans="1:8" x14ac:dyDescent="0.2">
      <c r="A212" s="4" t="s">
        <v>611</v>
      </c>
      <c r="B212" s="4" t="str">
        <f>"594040400001839968"</f>
        <v>594040400001839968</v>
      </c>
      <c r="C212">
        <v>2865278</v>
      </c>
    </row>
    <row r="213" spans="1:8" x14ac:dyDescent="0.2">
      <c r="A213" s="4" t="s">
        <v>315</v>
      </c>
      <c r="B213" s="4" t="s">
        <v>316</v>
      </c>
      <c r="C213" t="str">
        <f>E216</f>
        <v>HXE1030023301528</v>
      </c>
      <c r="D213">
        <v>600</v>
      </c>
      <c r="E213" t="s">
        <v>47</v>
      </c>
    </row>
    <row r="214" spans="1:8" x14ac:dyDescent="0.2">
      <c r="A214" s="4" t="s">
        <v>471</v>
      </c>
      <c r="B214" s="4" t="s">
        <v>472</v>
      </c>
      <c r="C214" t="str">
        <f>E214</f>
        <v>HXE1030023301457</v>
      </c>
      <c r="D214">
        <v>120</v>
      </c>
      <c r="E214" t="s">
        <v>48</v>
      </c>
    </row>
    <row r="215" spans="1:8" x14ac:dyDescent="0.2">
      <c r="A215" s="4" t="s">
        <v>317</v>
      </c>
      <c r="B215" s="4" t="s">
        <v>318</v>
      </c>
      <c r="C215" t="str">
        <f>E215</f>
        <v>HXE1030023301527</v>
      </c>
      <c r="D215">
        <v>600</v>
      </c>
      <c r="E215" t="s">
        <v>49</v>
      </c>
    </row>
    <row r="216" spans="1:8" x14ac:dyDescent="0.2">
      <c r="A216" s="4" t="s">
        <v>319</v>
      </c>
      <c r="B216" s="4" t="s">
        <v>320</v>
      </c>
      <c r="C216" t="str">
        <f>E213</f>
        <v>HXE1030023298265</v>
      </c>
      <c r="D216">
        <v>500</v>
      </c>
      <c r="E216" t="s">
        <v>50</v>
      </c>
    </row>
    <row r="217" spans="1:8" x14ac:dyDescent="0.2">
      <c r="A217" s="4" t="s">
        <v>257</v>
      </c>
      <c r="B217" s="4" t="s">
        <v>258</v>
      </c>
      <c r="C217" t="str">
        <f>E217</f>
        <v>HXE1030023298241</v>
      </c>
      <c r="D217">
        <v>500</v>
      </c>
      <c r="E217" t="s">
        <v>70</v>
      </c>
      <c r="H217">
        <f t="shared" ref="H217:H226" si="0">H216+1</f>
        <v>1</v>
      </c>
    </row>
    <row r="218" spans="1:8" x14ac:dyDescent="0.2">
      <c r="A218" s="4" t="s">
        <v>259</v>
      </c>
      <c r="B218" s="4" t="s">
        <v>260</v>
      </c>
      <c r="C218" t="str">
        <f>E219</f>
        <v>HXE1030023301480</v>
      </c>
      <c r="D218">
        <v>500</v>
      </c>
      <c r="E218" t="s">
        <v>71</v>
      </c>
      <c r="H218">
        <f t="shared" si="0"/>
        <v>2</v>
      </c>
    </row>
    <row r="219" spans="1:8" x14ac:dyDescent="0.2">
      <c r="A219" s="4" t="s">
        <v>261</v>
      </c>
      <c r="B219" s="4" t="s">
        <v>262</v>
      </c>
      <c r="C219" t="str">
        <f>E218</f>
        <v>HXE1030023298267</v>
      </c>
      <c r="D219">
        <v>500</v>
      </c>
      <c r="E219" t="s">
        <v>72</v>
      </c>
      <c r="H219">
        <f t="shared" si="0"/>
        <v>3</v>
      </c>
    </row>
    <row r="220" spans="1:8" x14ac:dyDescent="0.2">
      <c r="A220" s="4" t="s">
        <v>453</v>
      </c>
      <c r="B220" s="4" t="s">
        <v>454</v>
      </c>
      <c r="C220" t="str">
        <f>E221</f>
        <v>HXE1030023301517</v>
      </c>
      <c r="D220">
        <v>300</v>
      </c>
      <c r="E220" t="s">
        <v>73</v>
      </c>
      <c r="H220">
        <f t="shared" si="0"/>
        <v>4</v>
      </c>
    </row>
    <row r="221" spans="1:8" x14ac:dyDescent="0.2">
      <c r="A221" s="4" t="s">
        <v>263</v>
      </c>
      <c r="B221" s="4" t="s">
        <v>264</v>
      </c>
      <c r="C221" t="str">
        <f>E220</f>
        <v>HXE1030023301499</v>
      </c>
      <c r="D221">
        <v>500</v>
      </c>
      <c r="E221" t="s">
        <v>74</v>
      </c>
      <c r="H221">
        <f t="shared" si="0"/>
        <v>5</v>
      </c>
    </row>
    <row r="222" spans="1:8" x14ac:dyDescent="0.2">
      <c r="A222" s="4" t="s">
        <v>265</v>
      </c>
      <c r="B222" s="4" t="s">
        <v>266</v>
      </c>
      <c r="C222" t="s">
        <v>532</v>
      </c>
      <c r="H222">
        <f t="shared" si="0"/>
        <v>6</v>
      </c>
    </row>
    <row r="223" spans="1:8" x14ac:dyDescent="0.2">
      <c r="A223" s="4" t="s">
        <v>267</v>
      </c>
      <c r="B223" s="4" t="s">
        <v>268</v>
      </c>
      <c r="C223" t="s">
        <v>75</v>
      </c>
      <c r="G223" s="8" t="s">
        <v>530</v>
      </c>
      <c r="H223">
        <f t="shared" si="0"/>
        <v>7</v>
      </c>
    </row>
    <row r="224" spans="1:8" x14ac:dyDescent="0.2">
      <c r="A224" s="4" t="s">
        <v>269</v>
      </c>
      <c r="B224" s="4" t="s">
        <v>270</v>
      </c>
      <c r="H224">
        <f t="shared" si="0"/>
        <v>8</v>
      </c>
    </row>
    <row r="225" spans="1:8" x14ac:dyDescent="0.2">
      <c r="A225" s="4" t="s">
        <v>271</v>
      </c>
      <c r="B225" s="4" t="s">
        <v>272</v>
      </c>
      <c r="C225" t="s">
        <v>76</v>
      </c>
      <c r="G225" s="8" t="s">
        <v>531</v>
      </c>
      <c r="H225">
        <f t="shared" si="0"/>
        <v>9</v>
      </c>
    </row>
    <row r="226" spans="1:8" x14ac:dyDescent="0.2">
      <c r="A226" s="4" t="s">
        <v>455</v>
      </c>
      <c r="B226" s="4" t="s">
        <v>456</v>
      </c>
      <c r="H226">
        <f t="shared" si="0"/>
        <v>10</v>
      </c>
    </row>
    <row r="227" spans="1:8" x14ac:dyDescent="0.2">
      <c r="A227" s="4" t="s">
        <v>273</v>
      </c>
      <c r="B227" s="4" t="s">
        <v>274</v>
      </c>
    </row>
    <row r="228" spans="1:8" x14ac:dyDescent="0.2">
      <c r="A228" s="4" t="s">
        <v>275</v>
      </c>
      <c r="B228" s="4" t="s">
        <v>276</v>
      </c>
    </row>
    <row r="229" spans="1:8" x14ac:dyDescent="0.2">
      <c r="A229" s="84" t="s">
        <v>277</v>
      </c>
      <c r="B229" s="84" t="s">
        <v>278</v>
      </c>
      <c r="C229" t="str">
        <f>E230</f>
        <v>HXE1030026595061</v>
      </c>
      <c r="D229">
        <v>500</v>
      </c>
      <c r="E229" t="s">
        <v>175</v>
      </c>
    </row>
    <row r="230" spans="1:8" x14ac:dyDescent="0.2">
      <c r="A230" s="84" t="s">
        <v>279</v>
      </c>
      <c r="B230" s="84" t="s">
        <v>280</v>
      </c>
      <c r="C230" t="str">
        <f>E229</f>
        <v>HXE1030023301500</v>
      </c>
      <c r="D230">
        <v>600</v>
      </c>
      <c r="E230" t="s">
        <v>176</v>
      </c>
    </row>
    <row r="231" spans="1:8" x14ac:dyDescent="0.2">
      <c r="A231" s="84" t="s">
        <v>457</v>
      </c>
      <c r="B231" s="84" t="s">
        <v>458</v>
      </c>
      <c r="C231" t="str">
        <f>E231</f>
        <v>HXE1030026595071</v>
      </c>
      <c r="D231">
        <v>300</v>
      </c>
      <c r="E231" t="s">
        <v>177</v>
      </c>
    </row>
    <row r="232" spans="1:8" x14ac:dyDescent="0.2">
      <c r="A232" s="84" t="s">
        <v>533</v>
      </c>
      <c r="B232" s="84" t="s">
        <v>533</v>
      </c>
    </row>
    <row r="233" spans="1:8" x14ac:dyDescent="0.2">
      <c r="A233" s="84" t="s">
        <v>650</v>
      </c>
      <c r="B233" s="84" t="str">
        <f>"59401030000224144171589916"</f>
        <v>59401030000224144171589916</v>
      </c>
      <c r="C233">
        <v>262167</v>
      </c>
    </row>
    <row r="234" spans="1:8" x14ac:dyDescent="0.2">
      <c r="A234" s="4" t="s">
        <v>281</v>
      </c>
      <c r="B234" s="4" t="s">
        <v>282</v>
      </c>
      <c r="C234" t="str">
        <f>E234</f>
        <v>HXE1030023301479</v>
      </c>
      <c r="D234">
        <v>500</v>
      </c>
      <c r="E234" t="s">
        <v>182</v>
      </c>
    </row>
    <row r="235" spans="1:8" x14ac:dyDescent="0.2">
      <c r="A235" s="4" t="s">
        <v>459</v>
      </c>
      <c r="B235" s="4" t="s">
        <v>460</v>
      </c>
      <c r="C235" t="str">
        <f>E236</f>
        <v>HXE1030023301483</v>
      </c>
      <c r="D235">
        <v>250</v>
      </c>
      <c r="E235" t="s">
        <v>183</v>
      </c>
    </row>
    <row r="236" spans="1:8" x14ac:dyDescent="0.2">
      <c r="A236" s="4" t="s">
        <v>461</v>
      </c>
      <c r="B236" s="4" t="s">
        <v>462</v>
      </c>
      <c r="C236" t="str">
        <f>E239</f>
        <v>HXE1030023301529</v>
      </c>
      <c r="D236">
        <v>120</v>
      </c>
      <c r="E236" t="s">
        <v>184</v>
      </c>
    </row>
    <row r="237" spans="1:8" x14ac:dyDescent="0.2">
      <c r="A237" s="4" t="s">
        <v>283</v>
      </c>
      <c r="B237" s="4" t="s">
        <v>284</v>
      </c>
      <c r="C237" t="str">
        <f>E235</f>
        <v>HXE1030023301482</v>
      </c>
      <c r="D237">
        <v>500</v>
      </c>
      <c r="E237" t="s">
        <v>185</v>
      </c>
    </row>
    <row r="238" spans="1:8" x14ac:dyDescent="0.2">
      <c r="A238" s="4" t="s">
        <v>463</v>
      </c>
      <c r="B238" s="4" t="s">
        <v>464</v>
      </c>
      <c r="C238" t="str">
        <f>E238</f>
        <v>HXE1030023301515</v>
      </c>
      <c r="D238">
        <v>250</v>
      </c>
      <c r="E238" t="s">
        <v>186</v>
      </c>
    </row>
    <row r="239" spans="1:8" x14ac:dyDescent="0.2">
      <c r="A239" s="4" t="s">
        <v>285</v>
      </c>
      <c r="B239" s="4" t="s">
        <v>286</v>
      </c>
      <c r="C239" t="str">
        <f>E237</f>
        <v>HXE1030023301484</v>
      </c>
      <c r="D239">
        <v>120</v>
      </c>
      <c r="E239" t="s">
        <v>187</v>
      </c>
    </row>
    <row r="240" spans="1:8" x14ac:dyDescent="0.2">
      <c r="A240" s="138" t="s">
        <v>533</v>
      </c>
      <c r="B240" s="25"/>
      <c r="C240" t="str">
        <f>E240</f>
        <v>HXE1030026595039</v>
      </c>
      <c r="D240">
        <v>16000</v>
      </c>
      <c r="E240" t="s">
        <v>188</v>
      </c>
    </row>
    <row r="241" spans="1:4" x14ac:dyDescent="0.2">
      <c r="A241" s="138" t="s">
        <v>656</v>
      </c>
      <c r="B241" s="138" t="s">
        <v>657</v>
      </c>
      <c r="C241" t="s">
        <v>658</v>
      </c>
      <c r="D241">
        <v>16000</v>
      </c>
    </row>
  </sheetData>
  <sortState xmlns:xlrd2="http://schemas.microsoft.com/office/spreadsheetml/2017/richdata2" ref="A2:B239">
    <sortCondition ref="A1:A239"/>
  </sortState>
  <phoneticPr fontId="4" type="noConversion"/>
  <conditionalFormatting sqref="C127:C128">
    <cfRule type="duplicateValues" dxfId="5" priority="1"/>
  </conditionalFormatting>
  <conditionalFormatting sqref="E113:E115">
    <cfRule type="duplicateValues" dxfId="4" priority="4"/>
  </conditionalFormatting>
  <conditionalFormatting sqref="E117:E119">
    <cfRule type="duplicateValues" dxfId="3" priority="2"/>
  </conditionalFormatting>
  <conditionalFormatting sqref="E131:E132">
    <cfRule type="duplicateValues" dxfId="2" priority="5"/>
  </conditionalFormatting>
  <conditionalFormatting sqref="E135:E139">
    <cfRule type="duplicateValues" dxfId="1" priority="6"/>
  </conditionalFormatting>
  <conditionalFormatting sqref="E140:E14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Centralizator</vt:lpstr>
      <vt:lpstr>Sheet5</vt:lpstr>
      <vt:lpstr>Sheet6</vt:lpstr>
      <vt:lpstr>contoare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Musat</dc:creator>
  <cp:lastModifiedBy>Liviu Musat</cp:lastModifiedBy>
  <dcterms:created xsi:type="dcterms:W3CDTF">2025-09-16T14:28:19Z</dcterms:created>
  <dcterms:modified xsi:type="dcterms:W3CDTF">2025-09-26T13:37:49Z</dcterms:modified>
</cp:coreProperties>
</file>