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s Table" sheetId="1" r:id="rId4"/>
    <sheet state="visible" name="Rankings" sheetId="2" r:id="rId5"/>
    <sheet state="visible" name="About" sheetId="3" r:id="rId6"/>
    <sheet state="visible" name="Datasets Table" sheetId="4" r:id="rId7"/>
    <sheet state="visible" name="GPT achievements" sheetId="5" r:id="rId8"/>
    <sheet state="visible" name="Compute Table (2024)" sheetId="6" r:id="rId9"/>
    <sheet state="visible" name="Humanoids (2024)" sheetId="7" r:id="rId10"/>
    <sheet state="visible" name="Aux" sheetId="8" r:id="rId11"/>
  </sheets>
  <definedNames/>
  <calcPr/>
</workbook>
</file>

<file path=xl/sharedStrings.xml><?xml version="1.0" encoding="utf-8"?>
<sst xmlns="http://schemas.openxmlformats.org/spreadsheetml/2006/main" count="6619" uniqueCount="3312">
  <si>
    <t>https://lifearchitect.ai/models-table</t>
  </si>
  <si>
    <t>Timeline view:</t>
  </si>
  <si>
    <t>https://lifearchitect.ai/timeline</t>
  </si>
  <si>
    <t>The Memo:</t>
  </si>
  <si>
    <t>https://lifearchitect.ai/memo</t>
  </si>
  <si>
    <t>Model</t>
  </si>
  <si>
    <t>Lab</t>
  </si>
  <si>
    <t>Playground</t>
  </si>
  <si>
    <t>Parameters 
(B)</t>
  </si>
  <si>
    <t>Tokens 
trained (B)</t>
  </si>
  <si>
    <t>Ratio Tokens:Params
(Chinchilla scaling≥20:1)</t>
  </si>
  <si>
    <t>ALScore 
"ALScore" is a quick and dirty rating of the model's power. The formula is:
Sqr Root of (Parameters x Tokens) ÷ 300.
Any ALScore ≥ 1.0 is a powerful model in mid-2023.</t>
  </si>
  <si>
    <t>MMLU</t>
  </si>
  <si>
    <t>MMLU
-Pro</t>
  </si>
  <si>
    <t>GPQA</t>
  </si>
  <si>
    <t>HLE</t>
  </si>
  <si>
    <t>Training dataset</t>
  </si>
  <si>
    <t>Announced
▼</t>
  </si>
  <si>
    <t>Public?</t>
  </si>
  <si>
    <t>Paper / Repo</t>
  </si>
  <si>
    <t>Arch</t>
  </si>
  <si>
    <t>Tags</t>
  </si>
  <si>
    <t>Notes</t>
  </si>
  <si>
    <t>Count (rough)</t>
  </si>
  <si>
    <t>AuroraGPT (ScienceGPT)</t>
  </si>
  <si>
    <t>Argonne National Laboratory</t>
  </si>
  <si>
    <t>https://lifearchitect.ai/auroragpt/</t>
  </si>
  <si>
    <t>TBA</t>
  </si>
  <si>
    <t>🔴</t>
  </si>
  <si>
    <r>
      <rPr>
        <rFont val="Calibri"/>
        <color rgb="FF000000"/>
        <sz val="14.0"/>
        <u/>
      </rPr>
      <t xml:space="preserve">Three models targeted in Jul/2024: </t>
    </r>
    <r>
      <rPr>
        <rFont val="Calibri"/>
        <color rgb="FF073763"/>
        <sz val="14.0"/>
        <u/>
      </rPr>
      <t>AuroraGPT-7B-P (Ponte Vecchio GPU testing) AuroraGPT-7B-A (Aurora) AuroraGPT-7B-A-S (Aurora + Science).</t>
    </r>
  </si>
  <si>
    <t>l</t>
  </si>
  <si>
    <t>DeepSeek-R2</t>
  </si>
  <si>
    <t>DeepSeek-AI</t>
  </si>
  <si>
    <t>https://www.reuters.com/technology/artificial-intelligence/deepseek-rushes-launch-new-ai-model-china-goes-all-2025-02-25/</t>
  </si>
  <si>
    <t>🟢</t>
  </si>
  <si>
    <t>https://docs.google.com/document/d/e/2PACX-1vTmx-A5sBe_3RsURGM7VvLWsAgUXbcIb2pFaW7f1FTPgK7mGvYENXGQPoF2u4onFndJ_5tzZ02su-vg/pub</t>
  </si>
  <si>
    <t>MoE</t>
  </si>
  <si>
    <t>Reasoning, SOTA</t>
  </si>
  <si>
    <r>
      <rPr>
        <rFont val="Calibri"/>
        <i/>
        <sz val="14.0"/>
      </rPr>
      <t xml:space="preserve">Due April 2025. Hybrid MoE, 1.2TA78B. 5.2PB corpus=1.3Qa tokens. 1.3 quadrillion tokens = 1,300T tokens = 1,300,000B tokens "Constructed a 5.2 PB high-quality corpus covering vertical domains such as finance, law, and patents." </t>
    </r>
    <r>
      <rPr>
        <rFont val="Calibri"/>
        <i/>
        <color rgb="FF1155CC"/>
        <sz val="14.0"/>
        <u/>
      </rPr>
      <t>http://jiuyangongshe.com/a/1h4gq724su0</t>
    </r>
    <r>
      <rPr>
        <rFont val="Calibri"/>
        <i/>
        <sz val="14.0"/>
      </rPr>
      <t xml:space="preserve"> and translated at: </t>
    </r>
    <r>
      <rPr>
        <rFont val="Calibri"/>
        <i/>
        <color rgb="FF1155CC"/>
        <sz val="14.0"/>
        <u/>
      </rPr>
      <t>https://docs.google.com/document/d/e/2PACX-1vTmx-A5sBe_3RsURGM7VvLWsAgUXbcIb2pFaW7f1FTPgK7mGvYENXGQPoF2u4onFndJ_5tzZ02su-vg/pub</t>
    </r>
    <r>
      <rPr>
        <rFont val="Calibri"/>
        <i/>
        <sz val="14.0"/>
      </rPr>
      <t xml:space="preserve"> </t>
    </r>
  </si>
  <si>
    <t>k</t>
  </si>
  <si>
    <t>ERNIE 5</t>
  </si>
  <si>
    <t>Baidu</t>
  </si>
  <si>
    <t>https://lifearchitect.ai/ernie/</t>
  </si>
  <si>
    <t>j</t>
  </si>
  <si>
    <t>Gemini Ultra</t>
  </si>
  <si>
    <t>Google DeepMind</t>
  </si>
  <si>
    <t>https://www.reddit.com/r/singularity/comments/1kbpdvp/a_string_referencing_gemini_ultra_has_been_added/</t>
  </si>
  <si>
    <t>Due May/2025.</t>
  </si>
  <si>
    <t>i</t>
  </si>
  <si>
    <t>GPT-6</t>
  </si>
  <si>
    <t>OpenAI</t>
  </si>
  <si>
    <t>https://lifearchitect.ai/gpt-6/</t>
  </si>
  <si>
    <t>SOTA</t>
  </si>
  <si>
    <t>Due 2025.</t>
  </si>
  <si>
    <t>f</t>
  </si>
  <si>
    <t>Llama 4 Reasoning</t>
  </si>
  <si>
    <t>Meta AI</t>
  </si>
  <si>
    <t>https://ai.meta.com/blog/llama-4-multimodal-intelligence/</t>
  </si>
  <si>
    <t>Announced, coming soon.</t>
  </si>
  <si>
    <t>d</t>
  </si>
  <si>
    <t>o4</t>
  </si>
  <si>
    <t>https://lifearchitect.ai/o4/</t>
  </si>
  <si>
    <t>b</t>
  </si>
  <si>
    <t>o5</t>
  </si>
  <si>
    <t>https://lifearchitect.ai/o5/</t>
  </si>
  <si>
    <t>Due 2025. Proto-ASI.</t>
  </si>
  <si>
    <t>CoDA</t>
  </si>
  <si>
    <t>Salesforce</t>
  </si>
  <si>
    <t>https://huggingface.co/Salesforce/CoDA-v0-Instruct</t>
  </si>
  <si>
    <t>synthetic, web-scale</t>
  </si>
  <si>
    <t>https://github.com/SalesforceAIResearch/CoDA/blob/main/technical_report.pdf</t>
  </si>
  <si>
    <t>Dense</t>
  </si>
  <si>
    <t>Diffusion</t>
  </si>
  <si>
    <t>"diffusion coder trained on TPU [Google TPU v4-1024 VM]"</t>
  </si>
  <si>
    <t>Granite-4.0 Small</t>
  </si>
  <si>
    <t>IBM</t>
  </si>
  <si>
    <t>https://huggingface.co/ibm-granite/granite-4.0-h-small</t>
  </si>
  <si>
    <t>https://www.ibm.com/granite/docs/models/granite</t>
  </si>
  <si>
    <t>Reasoning</t>
  </si>
  <si>
    <r>
      <rPr>
        <rFont val="Calibri"/>
        <color rgb="FF073763"/>
        <sz val="14.0"/>
      </rPr>
      <t xml:space="preserve">32B-A9B. Announce: </t>
    </r>
    <r>
      <rPr>
        <rFont val="Calibri"/>
        <color rgb="FF1155CC"/>
        <sz val="14.0"/>
        <u/>
      </rPr>
      <t>https://www.ibm.com/new/announcements/ibm-granite-4-0-hyper-efficient-high-performance-hybrid-models</t>
    </r>
  </si>
  <si>
    <t>GLM-4.6</t>
  </si>
  <si>
    <t>Z.AI</t>
  </si>
  <si>
    <t>https://huggingface.co/zai-org/GLM-4.6</t>
  </si>
  <si>
    <t>https://z.ai/blog/glm-4.6</t>
  </si>
  <si>
    <t>355B-A32B. "context window has been expanded from 128K to 200K tokens"</t>
  </si>
  <si>
    <t>Ring-1T-preview</t>
  </si>
  <si>
    <t>InclusionAI</t>
  </si>
  <si>
    <t>https://huggingface.co/inclusionAI/Ring-1T-preview</t>
  </si>
  <si>
    <t>1T-A48.5B.</t>
  </si>
  <si>
    <t>Claude Sonnet 4.5</t>
  </si>
  <si>
    <t>Anthropic</t>
  </si>
  <si>
    <r>
      <rPr>
        <rFont val="Calibri"/>
        <color rgb="FF1155CC"/>
        <sz val="10.0"/>
        <u/>
      </rPr>
      <t>https://claude.ai/</t>
    </r>
    <r>
      <rPr>
        <rFont val="Calibri"/>
        <sz val="10.0"/>
      </rPr>
      <t xml:space="preserve"> </t>
    </r>
  </si>
  <si>
    <t>https://assets.anthropic.com/m/12f214efcc2f457a/original/Claude-Sonnet-4-5-System-Card.pdf</t>
  </si>
  <si>
    <r>
      <rPr>
        <rFont val="Calibri"/>
        <color rgb="FF073763"/>
        <sz val="14.0"/>
      </rPr>
      <t xml:space="preserve">The Claude Sonnet 4.5 "system card" is an absolute farce. Announce: </t>
    </r>
    <r>
      <rPr>
        <rFont val="Calibri"/>
        <color rgb="FF1155CC"/>
        <sz val="14.0"/>
        <u/>
      </rPr>
      <t>https://www.anthropic.com/news/claude-sonnet-4-5</t>
    </r>
  </si>
  <si>
    <t>Gemini Robotics 1.5</t>
  </si>
  <si>
    <t>https://storage.googleapis.com/deepmind-media/gemini-robotics/Gemini-Robotics-1-5-Tech-Report.pdf</t>
  </si>
  <si>
    <t>2. "vision-language-action (VLA) model turns visual information and instructions into motor commands for a robot to perform a task." Available to select partners.</t>
  </si>
  <si>
    <t>Gemini Robotics-ER 1.5</t>
  </si>
  <si>
    <t>https://aistudio.google.com/?model=gemini-robotics-er-1.5-preview</t>
  </si>
  <si>
    <t>1. "vision-language model (VLM) reasons about the physical world, natively calls digital tools and creates detailed, multi-step plans to complete a mission." Available to all devs.</t>
  </si>
  <si>
    <t>TimesFM-ICF</t>
  </si>
  <si>
    <t>Google</t>
  </si>
  <si>
    <t>https://huggingface.co/collections/google/timesfm-release-66e4be5fdb56e960c1e482a6</t>
  </si>
  <si>
    <t>special</t>
  </si>
  <si>
    <t>https://research.google/blog/time-series-foundation-models-can-be-few-shot-learners/</t>
  </si>
  <si>
    <t>TimesFM-ICF is 6.8% more accurate than TimesFM (Base). Time-series forecasting only. 'a large pretraining corpus of 100B real world time-points' may be more than 100B tokens.</t>
  </si>
  <si>
    <t>Qwen3-Max</t>
  </si>
  <si>
    <t>Alibaba</t>
  </si>
  <si>
    <t>https://chat.qwen.ai/</t>
  </si>
  <si>
    <t>https://qwen.ai/blog?id=241398b9cd6353de490b0f82806c7848c5d2777d&amp;from=research.latest-advancements-list</t>
  </si>
  <si>
    <t>"Qwen3-Max-Thinking — still under active training — is already demonstrating remarkable potential. When augmented with tool usage and scaled test-time compute, the Thinking variant has achieved 100% on challenging reasoning benchmarks such as AIME 25 and HMMT. "</t>
  </si>
  <si>
    <t>Qwen3-Omni</t>
  </si>
  <si>
    <t>https://github.com/QwenLM/Qwen3-Omni?tab=readme-ov-file</t>
  </si>
  <si>
    <t>https://github.com/QwenLM/Qwen3-Omni/blob/main/assets/Qwen3_Omni.pdf</t>
  </si>
  <si>
    <t>"Qwen3-Omni is a unified end-to-end model capable of processing multiple modalities, such as text, audio, image and video, and generating real-time text or speech response."... "pretraining utilizes a large-scale dataset containing approximately 2 trillion tokens, with the following distribution across modalities: text (0.57 trillion), audio (0.77 trillion), image (0.82 trillion), video (0.05 trillion), and video-audio (0.05 trillion)."</t>
  </si>
  <si>
    <t>DeepSeek-V3.1-Terminus</t>
  </si>
  <si>
    <t>https://huggingface.co/deepseek-ai/DeepSeek-V3.1-Terminus</t>
  </si>
  <si>
    <t>https://api-docs.deepseek.com/news/news250922</t>
  </si>
  <si>
    <t>SOTA, Reasoning</t>
  </si>
  <si>
    <r>
      <rPr>
        <rFont val="Calibri"/>
        <sz val="14.0"/>
      </rPr>
      <t xml:space="preserve">Hybrid reasoning. Dataset tokens: </t>
    </r>
    <r>
      <rPr>
        <rFont val="Calibri"/>
        <color rgb="FF1155CC"/>
        <sz val="14.0"/>
        <u/>
      </rPr>
      <t>https://x.com/deepseek_ai/status/1958417072536608952</t>
    </r>
    <r>
      <rPr>
        <rFont val="Calibri"/>
        <sz val="14.0"/>
      </rPr>
      <t xml:space="preserve"> HLE: </t>
    </r>
    <r>
      <rPr>
        <rFont val="Calibri"/>
        <color rgb="FF1155CC"/>
        <sz val="14.0"/>
        <u/>
      </rPr>
      <t>https://x.com/deepseek_ai/status/1958417068568481854/photo/2</t>
    </r>
  </si>
  <si>
    <t>Isaac 0.1</t>
  </si>
  <si>
    <t>Perceptron</t>
  </si>
  <si>
    <t>https://huggingface.co/PerceptronAI/Isaac-0.1</t>
  </si>
  <si>
    <t>https://www.perceptron.inc/blog/introducing-isaac-0-1</t>
  </si>
  <si>
    <t>"perceptive-language model...delivering capabilities that meet or exceed those of models over 50 times its size. Founded by the team behind Meta's Chameleon multimodal models, Perceptron is tackling a fundamental challenge: bringing the power of physical AI to the dynamic, multimodal, and real-time environments we live and work in."</t>
  </si>
  <si>
    <t>Grok 4 Fast</t>
  </si>
  <si>
    <t>xAI</t>
  </si>
  <si>
    <t>https://grok.com/</t>
  </si>
  <si>
    <t>https://x.ai/news/grok-4-fast</t>
  </si>
  <si>
    <t>"2M token context window, and a unified architecture that blends reasoning and non-reasoning modes in one model."</t>
  </si>
  <si>
    <t>VaultGemma</t>
  </si>
  <si>
    <t>https://huggingface.co/google/vaultgemma-1b</t>
  </si>
  <si>
    <t>web-scale</t>
  </si>
  <si>
    <t>https://services.google.com/fh/files/blogs/vaultgemma_tech_report.pdf</t>
  </si>
  <si>
    <r>
      <rPr>
        <rFont val="Calibri"/>
        <sz val="14.0"/>
      </rPr>
      <t xml:space="preserve">"Differential Privacy (DP) has emerged as the gold standard, providing a rigorous, mathematical framework to limit the influence of any single example in the training data on the resulting model. A model trained with DP provably bounds the reconstruction or leakage of information tied to individual data points." Announce: </t>
    </r>
    <r>
      <rPr>
        <rFont val="Calibri"/>
        <color rgb="FF1155CC"/>
        <sz val="14.0"/>
        <u/>
      </rPr>
      <t>https://research.google/blog/vaultgemma-the-worlds-most-capable-differentially-private-llm/</t>
    </r>
  </si>
  <si>
    <t>Qwen3-Next-80B-A3B</t>
  </si>
  <si>
    <t>https://huggingface.co/collections/Qwen/qwen3-next-68c25fd6838e585db8eeea9d</t>
  </si>
  <si>
    <t>https://qwen.ai/blog?id=4074cca80393150c248e508aa62983f9cb7d27cd&amp;from=research.latest-advancements-list</t>
  </si>
  <si>
    <t>"Qwen3-Next introduces several key improvements: a hybrid attention mechanism, a highly sparse Mixture-of-Experts (MoE) structure, training-stability-friendly optimizations, and a multi-token prediction mechanism for faster inference."</t>
  </si>
  <si>
    <t>K2-Think</t>
  </si>
  <si>
    <t>MBZUAI</t>
  </si>
  <si>
    <t>https://www.k2think.ai/</t>
  </si>
  <si>
    <t>https://arxiv.org/abs/2509.07604</t>
  </si>
  <si>
    <t>"Built on the Qwen2.5 base model, our system shows that smaller models can compete at the highest levels by combining advanced post-training and test-time computation techniques. The approach is based on six key technical pillars: Long Chain-of-thought Supervised Finetuning, Reinforcement Learning with Verifiable Rewards (RLVR), Agentic planning prior to reasoning, Test-time Scaling, Speculative Decoding, and Inference-optimized Hardware, all using publicly available open-source datasets."</t>
  </si>
  <si>
    <t>mmBERT</t>
  </si>
  <si>
    <t>JHU</t>
  </si>
  <si>
    <t>https://huggingface.co/collections/jhu-clsp/mmbert-a-modern-multilingual-encoder-68b725831d7c6e3acc435ed4</t>
  </si>
  <si>
    <t>https://arxiv.org/abs/2509.06888</t>
  </si>
  <si>
    <t>"a modern multilingual encoder trained on 3T tokens and 1833 languages. We introduce several novel elements in training: an inverse masking schedule and a cascading annealed language learning schedule for multilingual data" Announce: https://huggingface.co/blog/mmbert</t>
  </si>
  <si>
    <t>ERNIE X1.1</t>
  </si>
  <si>
    <t>https://ernie.baidu.com/</t>
  </si>
  <si>
    <t>https://www.prnewswire.com/news-releases/baidu-unveils-reasoning-model-ernie-x1-1-with-upgrades-in-key-capabilities-302551170.html</t>
  </si>
  <si>
    <t>ERNIE-4.5-21B-A3B-Thinking</t>
  </si>
  <si>
    <t>https://huggingface.co/baidu/ERNIE-4.5-21B-A3B-Thinking</t>
  </si>
  <si>
    <t>Klear-46B-A2.5B</t>
  </si>
  <si>
    <t>Kuaishou</t>
  </si>
  <si>
    <t>https://huggingface.co/Kwai-Klear/Klear-46B-A2.5B-Instruct</t>
  </si>
  <si>
    <t>46B-A2.5B.</t>
  </si>
  <si>
    <t>TildeOpen-30b</t>
  </si>
  <si>
    <t>Tilde AI</t>
  </si>
  <si>
    <t>https://huggingface.co/TildeAI/TildeOpen-30b</t>
  </si>
  <si>
    <t>https://tilde.ai/lv/tildeopen-llm/</t>
  </si>
  <si>
    <t>"language data from across Europe"</t>
  </si>
  <si>
    <t>Qwen3-Max-Preview</t>
  </si>
  <si>
    <t>https://modelstudio.console.alibabacloud.com/?tab=doc#/doc/?type=model&amp;url=2840914_2&amp;modelId=qwen3-max-preview</t>
  </si>
  <si>
    <t>GPQA score is SuperGPQA. "our biggest model yet, with over 1 trillion parameters"</t>
  </si>
  <si>
    <t>Kimi K2-Instruct-0905</t>
  </si>
  <si>
    <t>Moonshot AI</t>
  </si>
  <si>
    <r>
      <rPr>
        <rFont val="Calibri"/>
        <color rgb="FF1155CC"/>
        <sz val="10.0"/>
        <u/>
      </rPr>
      <t>https://huggingface.co/moonshotai/Kimi-K2-Instruct</t>
    </r>
    <r>
      <rPr>
        <rFont val="Calibri"/>
        <color rgb="FF073763"/>
        <sz val="10.0"/>
      </rPr>
      <t xml:space="preserve"> </t>
    </r>
  </si>
  <si>
    <t>https://huggingface.co/moonshotai/Kimi-K2-Instruct-0905</t>
  </si>
  <si>
    <t>1TA32B. 1T parameters and 384 experts. Open source SOTA.</t>
  </si>
  <si>
    <t>Apertus</t>
  </si>
  <si>
    <t>ETH Zürich</t>
  </si>
  <si>
    <t>https://huggingface.co/swiss-ai/Apertus-70B-Instruct-2509</t>
  </si>
  <si>
    <t>https://github.com/swiss-ai/apertus-tech-report/blob/main/Apertus_Tech_Report.pdf</t>
  </si>
  <si>
    <r>
      <rPr>
        <rFont val="Calibri"/>
        <color rgb="FF000000"/>
        <sz val="14.0"/>
      </rPr>
      <t xml:space="preserve">"Apertus – Latin for “open”" 1,811 languages. Announce: </t>
    </r>
    <r>
      <rPr>
        <rFont val="Calibri"/>
        <color rgb="FF1155CC"/>
        <sz val="14.0"/>
        <u/>
      </rPr>
      <t>https://ethz.ch/en/news-and-events/eth-news/news/2025/09/press-release-apertus-a-fully-open-transparent-multilingual-language-model.html</t>
    </r>
  </si>
  <si>
    <t>MAI-1-preview</t>
  </si>
  <si>
    <t>Microsoft</t>
  </si>
  <si>
    <t>https://microsoft.ai/news/two-new-in-house-models/</t>
  </si>
  <si>
    <t>MAI=Microsoft artificial intelligence. "MAI’s first foundation model trained end-to-end... MAI-1-preview is an in-house mixture-of-experts model, pre-trained and post-trained on ~15,000 NVIDIA H100 GPUs. This model is designed to provide powerful capabilities to consumers seeking to benefit from models that specialize in following instructions and providing helpful responses to everyday queries. We will be rolling MAI-1-preview out for certain text use cases within Copilot"</t>
  </si>
  <si>
    <t>grok-code-fast-1</t>
  </si>
  <si>
    <t>https://github.com/features/copilot</t>
  </si>
  <si>
    <t>https://data.x.ai/2025-08-26-grok-code-fast-1-model-card.pdf</t>
  </si>
  <si>
    <r>
      <rPr>
        <rFont val="Calibri"/>
        <color rgb="FF073763"/>
        <sz val="14.0"/>
      </rPr>
      <t xml:space="preserve">"We built grok-code-fast-1 from scratch, starting with a brand-new model architecture. To lay a robust foundation, we carefully assembled a pre-training corpus rich with programming-related content. For post-training, we curated high-quality datasets that reflect real-world pull requests and coding tasks." Announce: </t>
    </r>
    <r>
      <rPr>
        <rFont val="Calibri"/>
        <color rgb="FF1155CC"/>
        <sz val="14.0"/>
        <u/>
      </rPr>
      <t>https://x.ai/news/grok-code-fast-1</t>
    </r>
  </si>
  <si>
    <t>Hermes 4</t>
  </si>
  <si>
    <t>Nous Research</t>
  </si>
  <si>
    <t>https://huggingface.co/NousResearch/Hermes-4-405B-FP8</t>
  </si>
  <si>
    <t>https://arxiv.org/abs/2508.18255</t>
  </si>
  <si>
    <r>
      <rPr>
        <rFont val="Calibri"/>
        <color rgb="FF073763"/>
        <sz val="14.0"/>
      </rPr>
      <t xml:space="preserve">Based on Llama 3. Announce: </t>
    </r>
    <r>
      <rPr>
        <rFont val="Calibri"/>
        <color rgb="FF1155CC"/>
        <sz val="14.0"/>
        <u/>
      </rPr>
      <t>https://hermes4.nousresearch.com/</t>
    </r>
  </si>
  <si>
    <t>Jet-Nemotron-4B</t>
  </si>
  <si>
    <t>NVIDIA</t>
  </si>
  <si>
    <t>https://github.com/NVlabs/Jet-Nemotron</t>
  </si>
  <si>
    <t>https://arxiv.org/abs/2508.15884v1</t>
  </si>
  <si>
    <t>"pre-training corpus and train Jet-Nemotron models for 50B tokens. This is also the setting in Section 2 where we perform PostNAS. At the second stage, we include more high-quality data from math [65] and coding [66, 67] domains into our data mixture. The models are then trained on 350B tokens."</t>
  </si>
  <si>
    <t>DeepSeek-V3.1-Base</t>
  </si>
  <si>
    <t>https://huggingface.co/deepseek-ai/DeepSeek-V3.1-Base</t>
  </si>
  <si>
    <r>
      <rPr>
        <rFont val="Calibri"/>
        <sz val="14.0"/>
      </rPr>
      <t xml:space="preserve">Hybrid reasoning. Dataset tokens: </t>
    </r>
    <r>
      <rPr>
        <rFont val="Calibri"/>
        <color rgb="FF1155CC"/>
        <sz val="14.0"/>
        <u/>
      </rPr>
      <t>https://x.com/deepseek_ai/status/1958417072536608952</t>
    </r>
    <r>
      <rPr>
        <rFont val="Calibri"/>
        <sz val="14.0"/>
      </rPr>
      <t xml:space="preserve"> HLE: </t>
    </r>
    <r>
      <rPr>
        <rFont val="Calibri"/>
        <color rgb="FF1155CC"/>
        <sz val="14.0"/>
        <u/>
      </rPr>
      <t>https://x.com/deepseek_ai/status/1958417068568481854/photo/2</t>
    </r>
  </si>
  <si>
    <t>Nemotron Nano 2</t>
  </si>
  <si>
    <t>https://huggingface.co/nvidia/NVIDIA-Nemotron-Nano-12B-v2-Base</t>
  </si>
  <si>
    <t>https://research.nvidia.com/labs/adlr/files/NVIDIA-Nemotron-Nano-2-Technical-Report.pdf</t>
  </si>
  <si>
    <r>
      <rPr>
        <rFont val="Calibri"/>
        <sz val="14.0"/>
      </rPr>
      <t xml:space="preserve">Announce: </t>
    </r>
    <r>
      <rPr>
        <rFont val="Calibri"/>
        <color rgb="FF1155CC"/>
        <sz val="14.0"/>
        <u/>
      </rPr>
      <t>https://research.nvidia.com/labs/adlr/NVIDIA-Nemotron-Nano-2/</t>
    </r>
  </si>
  <si>
    <t>Gemma 3 270M</t>
  </si>
  <si>
    <t>https://huggingface.co/google/gemma-3-270m-it</t>
  </si>
  <si>
    <t>https://developers.googleblog.com/en/introducing-gemma-3-270m/</t>
  </si>
  <si>
    <t>This is a record tokens-to-params ratio (for text models) of 22,223:1.</t>
  </si>
  <si>
    <t>GPT-5</t>
  </si>
  <si>
    <t>https://poe.com/GPT-5</t>
  </si>
  <si>
    <t>https://openai.com/index/gpt-5-system-card/</t>
  </si>
  <si>
    <r>
      <rPr>
        <rFont val="Calibri"/>
        <sz val="14.0"/>
      </rPr>
      <t xml:space="preserve">Announce: </t>
    </r>
    <r>
      <rPr>
        <rFont val="Calibri"/>
        <color rgb="FF1155CC"/>
        <sz val="14.0"/>
        <u/>
      </rPr>
      <t>https://openai.com/index/introducing-gpt-5/.</t>
    </r>
    <r>
      <rPr>
        <rFont val="Calibri"/>
        <sz val="14.0"/>
      </rPr>
      <t xml:space="preserve"> MMLU is based on ES and PT translated from EN.</t>
    </r>
  </si>
  <si>
    <t>gpt-oss-120b</t>
  </si>
  <si>
    <t>https://huggingface.co/openai/gpt-oss-120b</t>
  </si>
  <si>
    <t>https://cdn.openai.com/pdf/419b6906-9da6-406c-a19d-1bb078ac7637/oai_gpt-oss_model_card.pdf</t>
  </si>
  <si>
    <r>
      <rPr>
        <rFont val="Calibri"/>
        <color rgb="FF073763"/>
        <sz val="14.0"/>
      </rPr>
      <t xml:space="preserve">116.8B total parameters and 5.1B “active” parameters per token per forward pass. </t>
    </r>
    <r>
      <rPr>
        <rFont val="Calibri"/>
        <color rgb="FF1155CC"/>
        <sz val="14.0"/>
        <u/>
      </rPr>
      <t>https://openai.com/index/introducing-gpt-oss/</t>
    </r>
  </si>
  <si>
    <t>gpt-oss-20b</t>
  </si>
  <si>
    <t>https://huggingface.co/openai/gpt-oss-20b</t>
  </si>
  <si>
    <r>
      <rPr>
        <rFont val="Calibri"/>
        <color rgb="FF073763"/>
        <sz val="14.0"/>
      </rPr>
      <t xml:space="preserve">20.9B total and 3.6B active parameters. </t>
    </r>
    <r>
      <rPr>
        <rFont val="Calibri"/>
        <color rgb="FF1155CC"/>
        <sz val="14.0"/>
        <u/>
      </rPr>
      <t>https://openai.com/index/introducing-gpt-oss/</t>
    </r>
  </si>
  <si>
    <t>Claude Opus 4.1</t>
  </si>
  <si>
    <r>
      <rPr>
        <rFont val="Calibri"/>
        <color rgb="FF1155CC"/>
        <sz val="10.0"/>
        <u/>
      </rPr>
      <t>https://claude.ai/</t>
    </r>
    <r>
      <rPr>
        <rFont val="Calibri"/>
        <sz val="10.0"/>
      </rPr>
      <t xml:space="preserve"> </t>
    </r>
  </si>
  <si>
    <t>https://www.anthropic.com/news/claude-opus-4-1</t>
  </si>
  <si>
    <t>GLM-4.5</t>
  </si>
  <si>
    <t>https://huggingface.co/zai-org/GLM-4.5</t>
  </si>
  <si>
    <t>https://z.ai/blog/glm-4.5</t>
  </si>
  <si>
    <t>355B-A32B.</t>
  </si>
  <si>
    <t>T1</t>
  </si>
  <si>
    <t>China Telecom Artificial Intelligence Research Institute</t>
  </si>
  <si>
    <t>https://github.com/Tele-AI/T1</t>
  </si>
  <si>
    <t>https://arxiv.org/abs/2507.18013</t>
  </si>
  <si>
    <t>Intern-S1</t>
  </si>
  <si>
    <t>Shanghai AI Laboratory/SenseTime</t>
  </si>
  <si>
    <t>https://huggingface.co/internlm/Intern-S1</t>
  </si>
  <si>
    <t>41T tokens assumes base model of Qwen3. "Built upon a 235B MoE language model and a 6B Vision encoder, Intern-S1 has been further pretrained on 5 trillion tokens of multimodal data"</t>
  </si>
  <si>
    <t>Step 3</t>
  </si>
  <si>
    <t>StepFun</t>
  </si>
  <si>
    <t>https://www.stepfun.com/</t>
  </si>
  <si>
    <t>https://github.com/stepfun-ai/Step3/blob/main/Step3-Sys-Tech-Report.pdf</t>
  </si>
  <si>
    <r>
      <rPr>
        <rFont val="Calibri"/>
        <color rgb="FF073763"/>
        <sz val="14.0"/>
      </rPr>
      <t xml:space="preserve">321B-A38B. </t>
    </r>
    <r>
      <rPr>
        <rFont val="Calibri"/>
        <color rgb="FF1155CC"/>
        <sz val="14.0"/>
        <u/>
      </rPr>
      <t>https://x.com/CyouSakura/status/1948767450751009227</t>
    </r>
  </si>
  <si>
    <t>Qwen3-235B-A22B-Thinking-2507</t>
  </si>
  <si>
    <t>https://huggingface.co/Qwen/Qwen3-235B-A22B-Thinking-2507</t>
  </si>
  <si>
    <t>235B-A22B. "Qwen3 is pre-trained on 36 trillion tokens across 119 languages" MMLU score is MMLU-Redux.</t>
  </si>
  <si>
    <t>KAT-V1-200B</t>
  </si>
  <si>
    <t>https://arxiv.org/abs/2507.08297</t>
  </si>
  <si>
    <t>200BA40B. In training as of Jul/2025. "to address the overthinking problem in reasoning-intensive tasks"</t>
  </si>
  <si>
    <t>KAT-V1-40B</t>
  </si>
  <si>
    <t>https://huggingface.co/Kwaipilot/KAT-V1-40B</t>
  </si>
  <si>
    <t>"to address the overthinking problem in reasoning-intensive tasks"</t>
  </si>
  <si>
    <t>Qwen3-Coder-480B-A35B-Instruct</t>
  </si>
  <si>
    <t>https://huggingface.co/Qwen/Qwen3-Coder-480B-A35B-Instruct</t>
  </si>
  <si>
    <t>https://qwenlm.github.io/blog/qwen3-coder/</t>
  </si>
  <si>
    <t>480B-A35B.</t>
  </si>
  <si>
    <t>Qwen3-235B-A22B-Instruct-2507</t>
  </si>
  <si>
    <t>https://huggingface.co/Qwen/Qwen3-235B-A22B-Instruct-2507</t>
  </si>
  <si>
    <t>FlexOlmo</t>
  </si>
  <si>
    <t>Allen AI</t>
  </si>
  <si>
    <t>https://huggingface.co/allenai/FlexOlmo-7x7B-1T</t>
  </si>
  <si>
    <t>https://arxiv.org/abs/2507.07024v1</t>
  </si>
  <si>
    <t>37B-A20B. "We adopt the OLMo-2 7B setup, starting from a a checkpoint pre-trained on 4T tokens and annealed for 50B tokens to produce a public expert. We then train two additional experts on math and code, each for 50B tokens, and combine them with the public expert to form a three-expert version of FLEXOLMO."</t>
  </si>
  <si>
    <t>EXAONE 4.0</t>
  </si>
  <si>
    <t>LG</t>
  </si>
  <si>
    <t>https://huggingface.co/LGAI-EXAONE/EXAONE-4.0-32B</t>
  </si>
  <si>
    <t>https://www.lgresearch.ai/data/cdn/upload/EXAONE_4_0.pdf</t>
  </si>
  <si>
    <t>“EXAONE”=“EXpert AI for EveryONE”. Training tokens/ratio: EXAONE-3 7.8B=8T tokens (Aug/2024) -&gt; EXAONE-3.5 7.8B=9T -&gt; EXAONE-3.5 32B=6.5T tokens -&gt; EXAONE 4.0 32B=14T tokens. MMLU score is MMLU-Redux. Interesting: "To focus [RL] training on more informative data samples, we perform accuracy-based filtering by generating eight responses from the SFT model and excluding samples where all eight responses are correct, a pre-filtering step that removes problems that are easy for the model to avoid inefficient training."</t>
  </si>
  <si>
    <t>Kimi K2</t>
  </si>
  <si>
    <t>https://huggingface.co/moonshotai/Kimi-K2-Instruct</t>
  </si>
  <si>
    <t>https://moonshotai.github.io/Kimi-K2/</t>
  </si>
  <si>
    <t>Reka Flash 3.1</t>
  </si>
  <si>
    <t>Reka AI</t>
  </si>
  <si>
    <t>https://huggingface.co/RekaAI/reka-flash-3.1</t>
  </si>
  <si>
    <t>https://www.reka.ai/news/introducing-reka-flash</t>
  </si>
  <si>
    <t>Devstral Medium</t>
  </si>
  <si>
    <t>Mistral</t>
  </si>
  <si>
    <t>https://chat.mistral.ai/chat</t>
  </si>
  <si>
    <t>https://mistral.ai/news/devstral-2507</t>
  </si>
  <si>
    <t>Non-reasoning.</t>
  </si>
  <si>
    <t>Grok 4</t>
  </si>
  <si>
    <t>https://lifearchitect.ai/grok/</t>
  </si>
  <si>
    <t>"The smartest AI in the world, 100% on SAT, etc, questions that it's never seen before."</t>
  </si>
  <si>
    <t>Phi-4-mini-flash-reasoning</t>
  </si>
  <si>
    <t>https://huggingface.co/microsoft/Phi-4-mini-flash-reasoning</t>
  </si>
  <si>
    <t>https://azure.microsoft.com/en-us/blog/reasoning-reimagined-introducing-phi-4-mini-flash-reasoning/</t>
  </si>
  <si>
    <t>"Pre-training: 5T tokens; Reasoning training: 150B tokens" "At the core of Phi-4-mini-flash-reasoning is the newly introduced decoder-hybrid-decoder architecture, SambaY, whose central innovation is the Gated Memory Unit (GMU), a simple yet effective mechanism for sharing representations between layers.  The architecture includes a self-decoder that combines Mamba (a State Space Model) and Sliding Window Attention (SWA), along with a single layer of full attention. The architecture also involves a cross-decoder that interleaves expensive cross-attention layers with the new, efficient GMUs. This new architecture with GMU modules drastically improves decoding efficiency, boosts long-context retrieval performance and enables the architecture to deliver exceptional performance across a wide range of tasks. "</t>
  </si>
  <si>
    <t>T5Gemma</t>
  </si>
  <si>
    <t>https://huggingface.co/google/t5gemma-9b-9b-ul2-it</t>
  </si>
  <si>
    <t>https://developers.googleblog.com/en/t5gemma/</t>
  </si>
  <si>
    <r>
      <rPr>
        <rFont val="Calibri"/>
        <sz val="14.0"/>
      </rPr>
      <t xml:space="preserve">Related paper: </t>
    </r>
    <r>
      <rPr>
        <rFont val="Calibri"/>
        <color rgb="FF1155CC"/>
        <sz val="14.0"/>
        <u/>
      </rPr>
      <t>https://arxiv.org/abs/2504.06225.</t>
    </r>
    <r>
      <rPr>
        <rFont val="Calibri"/>
        <sz val="14.0"/>
      </rPr>
      <t xml:space="preserve"> Dataset was Gemma 2 9B on 8T tokens + 2T tokens adapted.</t>
    </r>
  </si>
  <si>
    <t>MedGemma</t>
  </si>
  <si>
    <t>https://huggingface.co/google/medgemma-27b-it</t>
  </si>
  <si>
    <t>https://arxiv.org/abs/2507.05201</t>
  </si>
  <si>
    <t xml:space="preserve">Multimodal model. Text MMLU score for med only=87.0. </t>
  </si>
  <si>
    <t>R1T2 Chimera</t>
  </si>
  <si>
    <t>TNG</t>
  </si>
  <si>
    <t>https://huggingface.co/tngtech/DeepSeek-TNG-R1T2-Chimera</t>
  </si>
  <si>
    <t>https://arxiv.org/abs/2506.14794</t>
  </si>
  <si>
    <r>
      <rPr>
        <rFont val="Calibri"/>
        <sz val="14.0"/>
      </rPr>
      <t xml:space="preserve">Assembly of Experts-method of V3-0324, R1, R1-0528. Announce: </t>
    </r>
    <r>
      <rPr>
        <rFont val="Calibri"/>
        <color rgb="FF1155CC"/>
        <sz val="14.0"/>
        <u/>
      </rPr>
      <t>https://x.com/tngtech/status/1940531045432283412?s=46</t>
    </r>
  </si>
  <si>
    <t>Spectra 1.1</t>
  </si>
  <si>
    <t>Consortium</t>
  </si>
  <si>
    <t>https://arxiv.org/abs/2506.23025</t>
  </si>
  <si>
    <t>"Spectra-1.1, an open suite of TriLMs trained on up to 1.2 trillion tokens, demonstrating sustained performance gains at scale. Furthermore, to improve inference efficiency, we propose novel 2-bit and 1.6-bit packing schemes for ternary weights"</t>
  </si>
  <si>
    <t>DiffuCoder</t>
  </si>
  <si>
    <t>Apple</t>
  </si>
  <si>
    <t>https://github.com/apple/ml-diffucoder</t>
  </si>
  <si>
    <t>code, The Stack</t>
  </si>
  <si>
    <t>https://arxiv.org/abs/2506.20639</t>
  </si>
  <si>
    <t>"We adapt our model from Qwen2.5-Coder (Hui et al., 2024) as the base model to perform continual pre-training using the adaptation approach from Gong et al. (2025). During this pre-training, we use a 400B-token code pre-training corpus from RefineCode (Huang et al., 2024) and Stackv2 (Lozhkov et al., 2024)."</t>
  </si>
  <si>
    <t>Hunyuan-A13B</t>
  </si>
  <si>
    <t>Tencent</t>
  </si>
  <si>
    <t>https://huggingface.co/tencent/Hunyuan-A13B-Instruct</t>
  </si>
  <si>
    <t>80B-A13B. 'We have open-sourced Hunyuan-A13B-Pretrain , Hunyuan-A13B-Instruct , Hunyuan-A13B-Instruct-FP8 , Hunyuan-A13B-Instruct-GPTQ-Int4 on Hugging Face.'</t>
  </si>
  <si>
    <t>Mercury</t>
  </si>
  <si>
    <t>Inception</t>
  </si>
  <si>
    <t>https://chat.inceptionlabs.ai/</t>
  </si>
  <si>
    <t>https://www.inceptionlabs.ai/introducing-mercury-our-general-chat-model</t>
  </si>
  <si>
    <t>Diffusion large language model (dLLM).</t>
  </si>
  <si>
    <t>Mu</t>
  </si>
  <si>
    <t>https://blogs.windows.com/windows-insider/2025/06/13/announcing-windows-11-insider-preview-build-26200-5651-dev-channel/</t>
  </si>
  <si>
    <t>https://blogs.windows.com/windowsexperience/2025/06/23/introducing-mu-language-model-and-how-it-enabled-the-agent-in-windows-settings/</t>
  </si>
  <si>
    <t>"distillation from Microsoft’s Phi models...Mu is an efficient 330M encoder–decoder language model optimized for small-scale deployment, particularly on the NPUs on Copilot+ PCs. It follows a transformer encoder–decoder architecture"</t>
  </si>
  <si>
    <t>Gemini Robotics On-Device</t>
  </si>
  <si>
    <t>https://docs.google.com/forms/u/0/d/1sM5GqcVMWv-KmKY3TOMpVtQ-lDFeAftQ-d9xQn92jCE/viewform?ts=67cef986&amp;edit_requested=true</t>
  </si>
  <si>
    <t>https://deepmind.google/discover/blog/gemini-robotics-on-device-brings-ai-to-local-robotic-devices/</t>
  </si>
  <si>
    <r>
      <rPr>
        <rFont val="Calibri"/>
        <sz val="14.0"/>
      </rPr>
      <t xml:space="preserve">See Mar/2025 Gemini Robotics-ER model for comparison. Announce: </t>
    </r>
    <r>
      <rPr>
        <rFont val="Calibri"/>
        <color rgb="FF1155CC"/>
        <sz val="14.0"/>
        <u/>
      </rPr>
      <t>https://deepmind.google/discover/blog/gemini-robotics-on-device-brings-ai-to-local-robotic-devices/</t>
    </r>
  </si>
  <si>
    <t>ICONN-1</t>
  </si>
  <si>
    <t>ICONNAI</t>
  </si>
  <si>
    <t>https://huggingface.co/ICONNAI/ICONN-1</t>
  </si>
  <si>
    <t>"ICONN-1 (this version) is optimized for natural, emotionally resonant, and conversational interactions. ICONN-e1 is a specialized variant of the model fine-tuned for advanced reasoning, critical analysis, and complex problem-solving."</t>
  </si>
  <si>
    <t>MiniMax-M1</t>
  </si>
  <si>
    <t>MiniMax</t>
  </si>
  <si>
    <t>https://huggingface.co/MiniMaxAI/MiniMax-M1-80k</t>
  </si>
  <si>
    <t>https://arxiv.org/abs/2506.13585</t>
  </si>
  <si>
    <r>
      <rPr>
        <rFont val="Calibri"/>
        <sz val="14.0"/>
      </rPr>
      <t xml:space="preserve">456B-A45.9B. Announce: </t>
    </r>
    <r>
      <rPr>
        <rFont val="Calibri"/>
        <color rgb="FF1155CC"/>
        <sz val="14.0"/>
        <u/>
      </rPr>
      <t>https://www.minimax.io/news/minimaxm1</t>
    </r>
  </si>
  <si>
    <t>Magistral Medium</t>
  </si>
  <si>
    <t>https://mistral.ai/static/research/magistral.pdf</t>
  </si>
  <si>
    <r>
      <rPr>
        <rFont val="Calibri"/>
        <color rgb="FF073763"/>
        <sz val="14.0"/>
      </rPr>
      <t xml:space="preserve">Magistral Small=24B. Announce: </t>
    </r>
    <r>
      <rPr>
        <rFont val="Calibri"/>
        <color rgb="FF1155CC"/>
        <sz val="14.0"/>
        <u/>
      </rPr>
      <t>https://mistral.ai/news/magistral</t>
    </r>
  </si>
  <si>
    <t>Comma v0.1-2T</t>
  </si>
  <si>
    <t>EleutherAI</t>
  </si>
  <si>
    <t>https://huggingface.co/common-pile/comma-v0.1-2t</t>
  </si>
  <si>
    <t>https://arxiv.org/abs/2506.05209</t>
  </si>
  <si>
    <t>"Comma v0.1-2T is a decoder-only transformer that uses the same architecture as Llama 3. Training was done in two stages: first on 1.93 trillion tokens with a cosine learning rate schedule, and second a "cool-down" training phase on 75.5 billion tokens from high-quality sources. The final model is the average of 10 checkpoints during this cool-down phase. Both training phases use a batch size of 8.3 million tokens per step. Training was performed using lingua on 512 AMD MI300A GPUs."</t>
  </si>
  <si>
    <t>dots.llm1</t>
  </si>
  <si>
    <t>Xiaohongshu/RedNote</t>
  </si>
  <si>
    <t>https://huggingface.co/rednote-hilab/dots.llm1.base</t>
  </si>
  <si>
    <t>https://github.com/rednote-hilab/dots.llm1/blob/main/dots1_tech_report.pdf</t>
  </si>
  <si>
    <t>142B-A14B. "dots.llm1, a large-scale MoE model that activates 14 billion parameters out of a total of 142 billion parameters, delivering performance on par with state-of-the-art models while reducing training and inference costs. Leveraging our meticulously crafted and efficient data processing pipeline, dots.llm1 achieves performance comparable to Qwen2.5-72B after pretraining on 11.2T high-quality tokens and post-training to fully unlock its capabilities. Notably, no synthetic data is used during pretraining. To foster further research, we open-source intermediate training checkpoints at every one trillion tokens, providing valuable insights into the learning dynamics of large language models."</t>
  </si>
  <si>
    <t>Gemini 2.5 Pro 06-05</t>
  </si>
  <si>
    <t>https://deepmind.google/models/gemini-diffusion/</t>
  </si>
  <si>
    <t>https://storage.googleapis.com/deepmind-media/gemini/gemini_v2_5_report.pdf</t>
  </si>
  <si>
    <t>"an upgraded preview of Gemini 2.5 Pro, our most intelligent model yet. Building on the version we released in May and showed at I/O, this model will be the generally available, stable version starting in a couple of weeks, ready for enterprise-scale applications."</t>
  </si>
  <si>
    <t>MiMo-7B-RL-0530</t>
  </si>
  <si>
    <t>Xiaomi</t>
  </si>
  <si>
    <t>https://huggingface.co/XiaomiMiMo/MiMo-7B-RL-0530</t>
  </si>
  <si>
    <t>https://arxiv.org/abs/2505.07608</t>
  </si>
  <si>
    <t>"[2025.05.30] During the RL training, by continuously expanding the training window size (from 32K to 48K), the performance of MiMo-7B-RL-0530 on AIME24 can be continuously improved and eventually surpass that of DeepSeek R1... MiMo-7B-Base is pre-trained on approximately 25 trillion tokens."</t>
  </si>
  <si>
    <t>DeepTransformers</t>
  </si>
  <si>
    <t>https://arxiv.org/abs/2505.23735</t>
  </si>
  <si>
    <t>"Atlas, a long-term memory module with high capacity that learns to memorize the context by optimizing the memory based on the current and past tokens, overcoming the online nature of long-term memory models. Building on this insight, we present a new family of Transformer-like architectures, called DeepTransformers, that are strict generalizations of the original Transformer architecture."</t>
  </si>
  <si>
    <t>Atlas</t>
  </si>
  <si>
    <t>DeepSeek-R1-0528</t>
  </si>
  <si>
    <t>https://chat.deepseek.com/</t>
  </si>
  <si>
    <t>https://huggingface.co/deepseek-ai/DeepSeek-R1-0528</t>
  </si>
  <si>
    <t>Censorship increased significantly. "overall performance is now approaching that of leading models, such as o3 and Gemini 2.5 Pro." MMLU shows MMLU-Redux score with lower error rate.</t>
  </si>
  <si>
    <t>Fathom-R1-14B</t>
  </si>
  <si>
    <t>Fractal Analytics</t>
  </si>
  <si>
    <t>https://huggingface.co/FractalAIResearch/Fathom-R1-14B</t>
  </si>
  <si>
    <t>Base R1-distilled-14B model, based on Qwen 14B. Media release.</t>
  </si>
  <si>
    <t>QwenLong-L1-32B</t>
  </si>
  <si>
    <t>https://huggingface.co/Tongyi-Zhiwen/QwenLong-L1-32B</t>
  </si>
  <si>
    <t>https://arxiv.org/abs/2505.17667</t>
  </si>
  <si>
    <t>"the first long-context LRM trained with reinforcement learniing for long-context reasoning."</t>
  </si>
  <si>
    <t>Claude Opus 4</t>
  </si>
  <si>
    <t>https://claude.ai/</t>
  </si>
  <si>
    <t>https://www-cdn.anthropic.com/6be99a52cb68eb70eb9572b4cafad13df32ed995.pdf</t>
  </si>
  <si>
    <t>"Claude Opus 4 is our most intelligent model to date, pushing the frontier in coding, agentic search, and creative writing. With advanced reasoning and powerful collaboration capabilities…Both models can also alternate between reasoning and tool use—like web search—to improve responses…Claude Opus 4 can work continuously for hours on complex, long-running tasks"</t>
  </si>
  <si>
    <t>Falcon-H1</t>
  </si>
  <si>
    <t>TII</t>
  </si>
  <si>
    <t>https://huggingface.co/tiiuae/Falcon-H1-34B-Instruct-GGUF</t>
  </si>
  <si>
    <t>https://huggingface.co/papers/2507.22448</t>
  </si>
  <si>
    <t>"hybrid architecture that combines the strengths of the classical Transformer-based attention mechanism with the State Space Model (SSM), known for its superior long-context memory and computational efficiency."</t>
  </si>
  <si>
    <t>Gemini Diffusion</t>
  </si>
  <si>
    <t>"Gemini Diffusion’s external benchmark performance is comparable to much larger models [like Gemini-2.0-Flash-Lite], whilst also being faster."</t>
  </si>
  <si>
    <t>Gemma 3n</t>
  </si>
  <si>
    <t>https://ai.google.dev/gemma/docs/gemma-3n</t>
  </si>
  <si>
    <t>https://developers.googleblog.com/en/introducing-gemma-3n/</t>
  </si>
  <si>
    <t>MatFormer</t>
  </si>
  <si>
    <t>Matryoshka Transformer or MatFormer model architecture. 850M (696M / 620M / 582M).</t>
  </si>
  <si>
    <t>ParScale</t>
  </si>
  <si>
    <t>https://huggingface.co/ParScale/ParScale-4.7B-P8-Python</t>
  </si>
  <si>
    <t>https://arxiv.org/abs/2505.10475</t>
  </si>
  <si>
    <t>"We introduce the third scaling paradigm for scaling LLMs: leverages parallel computation during both training and inference time (Parallel Scaling, or ParScale)... ParScale can use up to 22× less memory increase and 6× less latency increase compared to parameter scaling that achieves the same performance improvement. It can also recycle an off-the-shelf pre-trained model into a parallelly scaled one by post-training on a small amount of tokens, further reducing the training budget." MMLU shows for 1.8B models, not the 4.7B models.</t>
  </si>
  <si>
    <t>codex-1</t>
  </si>
  <si>
    <t>https://chatgpt.com/codex</t>
  </si>
  <si>
    <t>https://openai.com/index/introducing-codex/</t>
  </si>
  <si>
    <t>o3 base. "codex-1, a version of OpenAI o3 optimized for software engineering. It was trained using reinforcement learning on real-world coding tasks in a variety of environments to generate code that closely mirrors human style and PR preferences, adheres precisely to instructions, and can iteratively run tests until it receives a passing result."</t>
  </si>
  <si>
    <t>Falcon-Edge</t>
  </si>
  <si>
    <t>https://huggingface.co/tiiuae/Falcon-E-3B-Instruct</t>
  </si>
  <si>
    <t>https://huggingface.co/blog/tiiuae/falcon-edge</t>
  </si>
  <si>
    <t>"Falcon-Edge series - a collection of powerful, universal, and fine-tunable language models available in ternary format, based on the BitNet architecture."</t>
  </si>
  <si>
    <t>SWE-1</t>
  </si>
  <si>
    <t>Windsurf</t>
  </si>
  <si>
    <t>https://windsurf.com/blog/windsurf-wave-9-swe-1</t>
  </si>
  <si>
    <t>"SWE-1, optimized for the entire software engineering process, not just the task of coding."</t>
  </si>
  <si>
    <t>INTELLECT-2</t>
  </si>
  <si>
    <t>Prime Intellect</t>
  </si>
  <si>
    <t>https://chat.primeintellect.ai/</t>
  </si>
  <si>
    <t>https://storage.googleapis.com/public-technical-paper/INTELLECT_2_Technical_Report.pdf</t>
  </si>
  <si>
    <r>
      <rPr>
        <rFont val="Calibri"/>
        <color rgb="FF073763"/>
        <sz val="14.0"/>
      </rPr>
      <t xml:space="preserve">QwQ-32B base. Announce: </t>
    </r>
    <r>
      <rPr>
        <rFont val="Calibri"/>
        <color rgb="FF1155CC"/>
        <sz val="14.0"/>
        <u/>
      </rPr>
      <t>https://www.primeintellect.ai/blog/intellect-2-release</t>
    </r>
    <r>
      <rPr>
        <rFont val="Calibri"/>
        <color rgb="FF073763"/>
        <sz val="14.0"/>
      </rPr>
      <t xml:space="preserve"> Finished training 30/Apr/2025: </t>
    </r>
    <r>
      <rPr>
        <rFont val="Calibri"/>
        <color rgb="FF1155CC"/>
        <sz val="14.0"/>
        <u/>
      </rPr>
      <t>https://app.primeintellect.ai/intelligence/intellect-2</t>
    </r>
  </si>
  <si>
    <t>Pangu Ultra MoE</t>
  </si>
  <si>
    <t>Huawei</t>
  </si>
  <si>
    <t>https://github.com/pangu-tech/pangu-ultra</t>
  </si>
  <si>
    <t>https://arxiv.org/abs/2505.04519</t>
  </si>
  <si>
    <t>718B-A39B. Trained on 6,000 Ascend NPUs (Kunpeng 920 processors in Huawei Atlas 800T A2 servers).</t>
  </si>
  <si>
    <t>Mistral Medium 3</t>
  </si>
  <si>
    <t>https://mistral.ai/news/mistral-medium-3</t>
  </si>
  <si>
    <t>Multimodal. 50B param estimate based on "Mistral Medium 3 can also be deployed on any cloud, including self-hosted environments of four GPUs and above.". Note: "With the launches of Mistral Small in March and Mistral Medium today, it’s no secret that we’re working on something ‘large’ over the next few weeks. With even our medium-sized model being resoundingly better than flagship open source models such as Llama 4 Maverick, we’re excited to ‘open’ up what’s to come :) "</t>
  </si>
  <si>
    <t>Granite-4.0-Tiny-Preview</t>
  </si>
  <si>
    <t>https://huggingface.co/ibm-granite/granite-4.0-tiny-preview</t>
  </si>
  <si>
    <t>https://www.ibm.com/new/announcements/ibm-granite-4-0-tiny-preview-sneak-peek</t>
  </si>
  <si>
    <t>"the model is only partially trained—it has only seen 2.5T of a planned 15T or more training tokens...Granite 4.0 Tiny-Preview, specifically, is a fine-grained hybrid mixture of experts (MoE) model, with 7B total parameters and only 1B active parameters at inference time... Like its predecessors in Granite 3.2 and Granite 3.3, Granite 4.0 Tiny Preview offers toggleable thinking on and thinking off functionality (though its reasoning-focused post-training is very much incomplete)."</t>
  </si>
  <si>
    <t>Phi-4-reasoning-plus</t>
  </si>
  <si>
    <t>https://huggingface.co/microsoft/Phi-4-reasoning-plus</t>
  </si>
  <si>
    <t>https://arxiv.org/abs/2504.21318</t>
  </si>
  <si>
    <t>"Phi-4-reasoning-plus is a state-of-the-art open-weight reasoning model finetuned from Phi-4 using supervised fine-tuning on a dataset of chain-of-thought traces and reinforcement learning."</t>
  </si>
  <si>
    <t>Bamba-9B-v2</t>
  </si>
  <si>
    <t>https://huggingface.co/ibm-ai-platform/Bamba-9B-v2</t>
  </si>
  <si>
    <t>https://huggingface.co/blog/ibm-ai-platform/bamba-9b-v2</t>
  </si>
  <si>
    <t>"During Christmas of 2024, IBM, Princeton, CMU, and UIUC released, Bamba v1, a performant Mamba2 based pretrained model with full data lineage trained to 2T tokens. Since then, we have been busy cooking an update with new datasets. Today, we are excited to release Bamba v2, trained for an additional 1T tokens that significantly improves on Bamba v1. The L1 and L2 leaderboard scores outperform Llama 3.1 8B, which was trained with nearly 5x the amount of data. All of this with the inference speedup that we get from Mamba2 based architecture, which with the latest vLLM is 2-2.5x faster than similar sized transformer models."</t>
  </si>
  <si>
    <t>Qwen3-235B-A22B</t>
  </si>
  <si>
    <t>https://huggingface.co/Qwen/Qwen3-235B-A22B</t>
  </si>
  <si>
    <t>https://github.com/QwenLM/Qwen3/blob/main/Qwen3_Technical_Report.pdf</t>
  </si>
  <si>
    <t>Qwen3-235B-A22B. Qwen3-30B-A3B. "Qwen3 is pre-trained on 36 trillion tokens across 119 languages"</t>
  </si>
  <si>
    <t>ERNIE X1 Turbo</t>
  </si>
  <si>
    <t>https://huggingface.co/spaces/PaddlePaddle/ernie_x1_turbo_demo</t>
  </si>
  <si>
    <t>https://www.prnewswire.com/news-releases/baidu-launches-ernie-4-5-turbo-ernie-x1-turbo-and-new-suite-of-ai-tools-to-empower-developers-and-supercharge-ai-innovation-302438584.html</t>
  </si>
  <si>
    <r>
      <rPr>
        <rFont val="Calibri"/>
        <color rgb="FF073763"/>
        <sz val="14.0"/>
      </rPr>
      <t xml:space="preserve">Announce: </t>
    </r>
    <r>
      <rPr>
        <rFont val="Calibri"/>
        <color rgb="FF1155CC"/>
        <sz val="14.0"/>
        <u/>
      </rPr>
      <t>https://x.com/Baidu_Inc/status/1915603080336597310</t>
    </r>
  </si>
  <si>
    <t>ERNIE 4.5 Turbo</t>
  </si>
  <si>
    <t>https://huggingface.co/spaces/PaddlePaddle/ernie_4.5_turbo_demo</t>
  </si>
  <si>
    <r>
      <rPr>
        <rFont val="Calibri"/>
        <color rgb="FF073763"/>
        <sz val="14.0"/>
      </rPr>
      <t xml:space="preserve">Announce: </t>
    </r>
    <r>
      <rPr>
        <rFont val="Calibri"/>
        <color rgb="FF1155CC"/>
        <sz val="14.0"/>
        <u/>
      </rPr>
      <t>https://x.com/Baidu_Inc/status/1915603080336597310</t>
    </r>
  </si>
  <si>
    <t>MAI-DS-R1</t>
  </si>
  <si>
    <t>https://huggingface.co/microsoft/MAI-DS-R1</t>
  </si>
  <si>
    <t>https://techcommunity.microsoft.com/blog/machinelearningblog/introducing-mai-ds-r1/4405076</t>
  </si>
  <si>
    <t>DeepSeek-R1 base. "MAI-DS-R1, a new open weights DeepSeek R1 model variant... post-trained by the Microsoft AI team to improve its responsiveness on blocked topics and its risk profile, while maintaining its reasoning capabilities and competitive performance."</t>
  </si>
  <si>
    <t>Gemini 2.5 Flash Preview</t>
  </si>
  <si>
    <t>https://aistudio.google.com/prompts/new_chat?model=gemini-2.5-flash-preview-04-17</t>
  </si>
  <si>
    <t>https://deepmind.google/technologies/gemini/flash/</t>
  </si>
  <si>
    <r>
      <rPr>
        <rFont val="Calibri"/>
        <sz val="14.0"/>
      </rPr>
      <t xml:space="preserve">Context in=1M, out=64k. Knowledge cutoff Jan/2025. Codename 'nebula'. Note: Gemini outputs are watermarked. I do not use GDM models. </t>
    </r>
    <r>
      <rPr>
        <rFont val="Calibri"/>
        <color rgb="FF1155CC"/>
        <sz val="14.0"/>
        <u/>
      </rPr>
      <t>https://lifearchitect.ai/watermarking/</t>
    </r>
  </si>
  <si>
    <t>o4-mini</t>
  </si>
  <si>
    <t>https://chatgpt.com/?model=o4-mini-high</t>
  </si>
  <si>
    <t>https://cdn.openai.com/pdf/2221c875-02dc-4789-800b-e7758f3722c1/o3-and-o4-mini-system-card.pdf</t>
  </si>
  <si>
    <r>
      <rPr>
        <rFont val="Calibri"/>
        <color rgb="FF1155CC"/>
        <sz val="14.0"/>
        <u/>
      </rPr>
      <t>https://openai.com/index/introducing-o3-and-o4-mini/</t>
    </r>
    <r>
      <rPr>
        <rFont val="Calibri"/>
        <color rgb="FF000000"/>
        <sz val="14.0"/>
      </rPr>
      <t xml:space="preserve"> MMLU shows a translated LOTE.</t>
    </r>
  </si>
  <si>
    <t>o3</t>
  </si>
  <si>
    <t>https://chatgpt.com/?model=o3</t>
  </si>
  <si>
    <r>
      <rPr>
        <rFont val="Calibri"/>
        <color rgb="FF073763"/>
        <sz val="14.0"/>
        <u/>
      </rPr>
      <t>https://openai.com/index/introducing-o3-and-o4-mini/</t>
    </r>
    <r>
      <rPr>
        <rFont val="Calibri"/>
        <color rgb="FF000000"/>
        <sz val="14.0"/>
      </rPr>
      <t xml:space="preserve"> MMLU shows a translated LOTE.</t>
    </r>
  </si>
  <si>
    <t>BitNet b1.58 2B4T</t>
  </si>
  <si>
    <t>https://huggingface.co/microsoft/bitnet-b1.58-2B-4T-gguf</t>
  </si>
  <si>
    <t>https://arxiv.org/abs/2504.12285</t>
  </si>
  <si>
    <t>"the first open-source, native 1-bit Large Language Model (LLM) at the 2-billion parameter scale. Trained on a corpus of 4 trillion tokens"</t>
  </si>
  <si>
    <t>Granite 3.3 8B Instruct</t>
  </si>
  <si>
    <t>https://huggingface.co/ibm-granite/granite-3.3-8b-instruct</t>
  </si>
  <si>
    <t>https://www.ibm.com/new/announcements/ibm-granite-3-3-speech-recognition-refined-reasoning-rag-loras</t>
  </si>
  <si>
    <t>"Built on top of an updated Granite 3.3 base model and fine-tuned through multi-stage reinforcement learning using TPO and Group Relative Policy Optimization (GRPO), both Granite 3.3 Instruct models demonstrated significant improvement on the highly technical benchmarks conventionally associated with “reasoning” capabilities."</t>
  </si>
  <si>
    <t>GLM-4-0414</t>
  </si>
  <si>
    <t>Zhipu AI (Tsinghua)</t>
  </si>
  <si>
    <t>https://huggingface.co/THUDM/GLM-Z1-32B-0414</t>
  </si>
  <si>
    <t>https://github.com/THUDM/GLM-4/tree/main?tab=readme-ov-file</t>
  </si>
  <si>
    <t>Family: GLM-4-32B-Base-0414, GLM-4-32B-0414, GLM-Z1-32B-0414 (reasoning), GLM-Z1-Rumination-32B-0414 (reasoning + deep research).</t>
  </si>
  <si>
    <t>SEA-LION v3.5 70B R</t>
  </si>
  <si>
    <t>AI Singapore</t>
  </si>
  <si>
    <t>https://huggingface.co/aisingapore/Llama-SEA-LION-v3.5-70B-R</t>
  </si>
  <si>
    <t>https://sea-lion.ai/sea-lion-v3-5-and-updated-v3-enhanced-language-models-for-southeast-asia/</t>
  </si>
  <si>
    <t>"Based on Llama 3.1 70B. SEA-LION v3.5, our first set of hybrid reasoning models trained on Southeast Asian data. Mode selection is managed through the tokenizer’s chat template and offers versatile functionality, handling both complex reasoning tasks and general text generation."</t>
  </si>
  <si>
    <t>GPT-4.1</t>
  </si>
  <si>
    <t>https://platform.openai.com/playground/p/HqaxY9MEZ8Ta0zFbzfASn5bJ?mode=chat</t>
  </si>
  <si>
    <t>https://openai.com/index/gpt-4-1/</t>
  </si>
  <si>
    <t>Outperforms GPT‑4o "across the board, with major gains in coding and instruction following. They also have larger context windows—supporting up to 1 million tokens of context—and are able to better use that context with improved long-context comprehension. They feature a refreshed knowledge cutoff of June 2024."</t>
  </si>
  <si>
    <t>DolphinGemma</t>
  </si>
  <si>
    <t>https://blog.google/technology/ai/dolphingemma/</t>
  </si>
  <si>
    <t>"trained on Atlantic spotted dolphin sounds, we anticipate its potential utility for researchers studying other cetacean species, like bottlenose or spinner dolphins... Developed by Google, this AI model makes use of specific Google audio technologies: the SoundStream tokenizer efficiently represents dolphin sounds, which are then processed by a model architecture suited for complex sequences. This ~400M parameter model is optimally-sized to run directly on the Pixel phones WDP uses in the field."</t>
  </si>
  <si>
    <t>Apriel-5B</t>
  </si>
  <si>
    <t>ServiceNow</t>
  </si>
  <si>
    <t>https://huggingface.co/ServiceNow-AI/Apriel-5B-Instruct</t>
  </si>
  <si>
    <t>SLAM - ServiceNow Language Models Lab. The first release in the Apriel model family, designed to support research on foundation models.</t>
  </si>
  <si>
    <t>Seed-Thinking-v1.5</t>
  </si>
  <si>
    <t>ByteDance</t>
  </si>
  <si>
    <t>https://github.com/ByteDance-Seed/Seed-Thinking-v1.5</t>
  </si>
  <si>
    <t>200B-A20B. "Seed-Thinking-v1.5, capable of reasoning through thinking before responding, resulting in improved performance on a wide range of benchmarks. Seed-Thinking-v1.5 achieves 86.7 on AIME 2024, 55.0 on Codeforces and 77.3 on GPQA, demonstrating excellent reasoning abilities in STEM and coding."</t>
  </si>
  <si>
    <t>Dream 7B</t>
  </si>
  <si>
    <t>https://github.com/HKUNLP/Dream</t>
  </si>
  <si>
    <t>https://hkunlp.github.io/blog/2025/dream/</t>
  </si>
  <si>
    <t>"with Huawei Noah’s Ark Lab, we [Hong Kong University] release Dream 7B (Diffusion reasoning model), the most powerful open diffusion large language model to date."</t>
  </si>
  <si>
    <t>UltraLong-8B</t>
  </si>
  <si>
    <t>https://huggingface.co/nvidia/Llama-3.1-8B-UltraLong-4M-Instruct</t>
  </si>
  <si>
    <t>https://arxiv.org/abs/2504.06214</t>
  </si>
  <si>
    <t>Llama-3.1-8B-Instruct base. 4M context window.</t>
  </si>
  <si>
    <t>Deepcoder-14B-Preview</t>
  </si>
  <si>
    <t>Together</t>
  </si>
  <si>
    <t>https://www.together.ai/blog/deepcoder</t>
  </si>
  <si>
    <t>Base DeepSeek-R1-Distill-Qwen-14B.</t>
  </si>
  <si>
    <t>Pangu Ultra</t>
  </si>
  <si>
    <t>https://x.com/hbouammar/status/1911370093516185771</t>
  </si>
  <si>
    <t>https://arxiv.org/abs/2504.07866</t>
  </si>
  <si>
    <t>Trained on 8,192 Ascend NPUs (Kunpeng 920 processors in Huawei Atlas 800T A2 servers).</t>
  </si>
  <si>
    <t>Nemotron-H-56B-Base</t>
  </si>
  <si>
    <t>https://huggingface.co/nvidia/Nemotron-H-56B-Base-8K</t>
  </si>
  <si>
    <t>https://arxiv.org/abs/2504.03624</t>
  </si>
  <si>
    <t>https://research.nvidia.com/labs/adlr/nemotronh/</t>
  </si>
  <si>
    <t>Llama-3.1-Nemotron-Ultra-253B</t>
  </si>
  <si>
    <t>https://huggingface.co/nvidia/Llama-3_1-Nemotron-Ultra-253B-v1</t>
  </si>
  <si>
    <t>https://developer.nvidia.com/blog/build-enterprise-ai-agents-with-advanced-open-nvidia-llama-nemotron-reasoning-models/</t>
  </si>
  <si>
    <t>Llama 3.1 405B base. "Llama-3.1-Nemotron-Ultra-253B-v1 is a large language model (LLM) which is a derivative of Meta Llama-3.1-405B-Instruct (AKA the reference model). It is a reasoning model that is post trained for reasoning, human chat preferences, and tasks, such as RAG and tool calling. The model supports a context length of 128K tokens. This model fits on a single 8xH100 node for inference."</t>
  </si>
  <si>
    <t>Llama 4 Behemoth</t>
  </si>
  <si>
    <t>Abandoned</t>
  </si>
  <si>
    <t>2T-A288B. Announced Apr/2025, abandoned Jul/2025. "We also trained a teacher model, Llama 4 Behemoth, that outperforms GPT-4.5, Claude Sonnet 3.7, and Gemini 2.0 Pro on STEM-focused benchmarks such as MATH-500 and GPQA Diamond... 288B active parameters, 16 experts, and nearly two trillion total parameters."</t>
  </si>
  <si>
    <t>Llama 4 Maverick</t>
  </si>
  <si>
    <t>400B-A17B. "Our most powerful open source multimodal model. 17B active params x 128 experts, 400B total params"</t>
  </si>
  <si>
    <t>Llama 4 Scout</t>
  </si>
  <si>
    <t>200 languages, "includes diverse text, image, and video datasets."</t>
  </si>
  <si>
    <t>Sec-Gemini v1</t>
  </si>
  <si>
    <t>https://security.googleblog.com/2025/04/google-launches-sec-gemini-v1-new.html</t>
  </si>
  <si>
    <t>"Sec-Gemini v1 achieves this by combining Gemini’s advanced capabilities with near real-time cybersecurity knowledge and tooling. This combination allows it to achieve superior performance on key cybersecurity workflows, including incident root cause analysis, threat analysis, and vulnerability impact understanding."</t>
  </si>
  <si>
    <t xml:space="preserve">DeepSeek-GRM-27B </t>
  </si>
  <si>
    <t>to be released</t>
  </si>
  <si>
    <t>https://arxiv.org/abs/2504.02495</t>
  </si>
  <si>
    <t>Gemma-2-27B base. "Self-Principled Critique Tuning (SPCT) to foster scalable reward generation behaviors in GRMs through online RL, to generate principles adaptively and critiques accurately, resulting in DeepSeek-GRM models... The models will be released and open-sourced."</t>
  </si>
  <si>
    <t>Qwerky-72B</t>
  </si>
  <si>
    <t>Featherless AI</t>
  </si>
  <si>
    <t>https://featherless.ai/models/featherless-ai/Qwerky-72B</t>
  </si>
  <si>
    <t>https://featherless.ai/models/featherless-ai/Qwerky-72B/readme</t>
  </si>
  <si>
    <t>"As demonstrated with our Qwerky-72B-Preview and prior models such as QRWKV6-32B Instruct Preview, we have successfully converted Qwen 2.5 72B into a RWKV variant without requiring a pretrain on the base model or retraining the model from scratch. Enabling us to test and validate the more efficient RWKV Linear attention" Dataset from Qwen2.5=18,000 tokens.</t>
  </si>
  <si>
    <t>Cogito 70B</t>
  </si>
  <si>
    <t>Deep Cogito</t>
  </si>
  <si>
    <t>https://huggingface.co/deepcogito/cogito-v1-preview-llama-70B</t>
  </si>
  <si>
    <t>https://www.deepcogito.com/research/cogito-v1-preview</t>
  </si>
  <si>
    <t>"We are releasing early checkpoints of models in sizes 3B, 8B, 14B, 32B and 70B trained using this methodology, starting from pretrained Llama / Qwen base checkpoints."</t>
  </si>
  <si>
    <t>Agentic-Tx</t>
  </si>
  <si>
    <t>https://github.com/google-gemini/gemma-cookbook/blob/main/TxGemma/%5BTxGemma%5DAgentic_Demo_with_Hugging_Face.ipynb</t>
  </si>
  <si>
    <t>https://storage.googleapis.com/research-media/txgemma/txgemma-report.pdf</t>
  </si>
  <si>
    <t>"a therapeutics-focused agentic system powered by Gemini 2.0 Pro. Agentic-Tx is equipped with 18 tools, including: TxGemma as a tool for multi-step reasoning"</t>
  </si>
  <si>
    <t>TxGemma</t>
  </si>
  <si>
    <t>https://huggingface.co/google/txgemma-27b-chat</t>
  </si>
  <si>
    <t>"a suite of efficient, generalist large language models (LLMs) capable of therapeutic property prediction as well as interactive reasoning and explainability. Unlike task-specific models, TxGemma synthesizes information from diverse sources, enabling broad application across the therapeutic development pipeline."</t>
  </si>
  <si>
    <t>Gemini 2.5 Pro Preview</t>
  </si>
  <si>
    <t>https://aistudio.google.com/prompts/new_chat?model=gemini-2.0-pro-exp-02-05</t>
  </si>
  <si>
    <t>https://blog.google/technology/google-deepmind/gemini-model-thinking-updates-march-2025/#building-on-best-gemini</t>
  </si>
  <si>
    <r>
      <rPr>
        <rFont val="Calibri"/>
        <sz val="14.0"/>
      </rPr>
      <t xml:space="preserve">Context in=1M, out=64k. Knowledge cutoff Jan/2025. HLE SOTA. Codename 'nebula'. Note: Gemini outputs are watermarked. I do not use GDM models. </t>
    </r>
    <r>
      <rPr>
        <rFont val="Calibri"/>
        <color rgb="FF1155CC"/>
        <sz val="14.0"/>
        <u/>
      </rPr>
      <t>https://lifearchitect.ai/watermarking/</t>
    </r>
  </si>
  <si>
    <t>DeepSeek-V3 0324</t>
  </si>
  <si>
    <t>https://huggingface.co/deepseek-ai/DeepSeek-V3-0324</t>
  </si>
  <si>
    <t>Non-reasoning. Significant increase in benchmark performance compared to original V3 from Dec/2024: MMLU-Pro: 75.9 ➜ 81.2, GPQA: 59.1 ➜ 68.4. 37B active.</t>
  </si>
  <si>
    <t>Llama-3.3-Nemotron-Super-49B-v1</t>
  </si>
  <si>
    <t>https://huggingface.co/nvidia/Llama-3_3-Nemotron-Super-49B-v1</t>
  </si>
  <si>
    <t>https://build.nvidia.com/nvidia/llama-3_3-nemotron-super-49b-v1/modelcard</t>
  </si>
  <si>
    <t>Meta Llama-3.3-70B-Instruct derivative "that is post trained for reasoning, human chat preferences, and tasks, such as RAG and tool calling. The model supports a context length of 128K tokens."</t>
  </si>
  <si>
    <t>EXAONE Deep</t>
  </si>
  <si>
    <t>https://huggingface.co/LGAI-EXAONE/EXAONE-Deep-32B</t>
  </si>
  <si>
    <t>https://arxiv.org/abs/2503.12524</t>
  </si>
  <si>
    <r>
      <rPr>
        <rFont val="Calibri"/>
        <color rgb="FF073763"/>
        <sz val="14.0"/>
      </rPr>
      <t xml:space="preserve">“EXAONE”=“EXpert AI for EveryONE”. Training tokens/ratio dropped from EXAONE-3 7.8B with 8T (Aug/2024) to 3.5 (Dec/2024) 7.8B with 9T to 32B (also Deep) with 6.5T. Announce: </t>
    </r>
    <r>
      <rPr>
        <rFont val="Calibri"/>
        <color rgb="FF1155CC"/>
        <sz val="14.0"/>
        <u/>
      </rPr>
      <t>https://www.lgresearch.ai/news/view?seq=543</t>
    </r>
  </si>
  <si>
    <t>Mistral Small 3.1</t>
  </si>
  <si>
    <t>https://huggingface.co/mistralai/Mistral-Small-3.1-24B-Instruct-2503</t>
  </si>
  <si>
    <t>https://mistral.ai/news/mistral-small-3-1</t>
  </si>
  <si>
    <t>"Mistral Small 3.1 (2503) adds state-of-the-art vision understanding and enhances long context capabilities up to 128k tokens without compromising text performance."</t>
  </si>
  <si>
    <t>ERNIE 4.5</t>
  </si>
  <si>
    <t>https://huggingface.co/baidu/ERNIE-4.5-VL-424B-A47B-PT</t>
  </si>
  <si>
    <t>https://www.prnewswire.com/news-releases/baidu-unveils-ernie-4-5-and-reasoning-model-ernie-x1--makes-ernie-bot-free-ahead-of-schedule-302402490.html</t>
  </si>
  <si>
    <r>
      <rPr>
        <rFont val="Calibri"/>
        <color rgb="FF073763"/>
        <sz val="14.0"/>
      </rPr>
      <t xml:space="preserve">424B-A47B. Announce: </t>
    </r>
    <r>
      <rPr>
        <rFont val="Calibri"/>
        <color rgb="FF1155CC"/>
        <sz val="14.0"/>
        <u/>
      </rPr>
      <t>https://x.com/Baidu_Inc/status/1901094083508220035</t>
    </r>
  </si>
  <si>
    <t>X1</t>
  </si>
  <si>
    <t>https://yiyan.baidu.com/</t>
  </si>
  <si>
    <t>OLMo 2 32B</t>
  </si>
  <si>
    <t>https://playground.allenai.org/?model=olmo-2-0325-32b-instruct</t>
  </si>
  <si>
    <t>https://allenai.org/blog/olmo2-32B</t>
  </si>
  <si>
    <t>"the first fully-open model (all data, code, weights, and details are freely available) to outperform GPT3.5-Turbo and GPT-4o mini on a suite of popular, multi-skill academic benchmarks. It is comparable to the leading open-weight models while requiring only a fraction of training compute."</t>
  </si>
  <si>
    <t>Command A</t>
  </si>
  <si>
    <t>Cohere</t>
  </si>
  <si>
    <t>https://dashboard.cohere.com/playground/chat</t>
  </si>
  <si>
    <t>https://huggingface.co/CohereForAI/c4ai-command-a-03-2025</t>
  </si>
  <si>
    <t>Context=256k. "Command A is an open weights research release of a 111 billion parameter model optimized for demanding enterprises that require fast, secure, and high-quality AI. Compared to other leading proprietary and open-weights models Command A delivers maximum performance with minimum hardware costs, excelling on business-critical agentic and multilingual tasks while‬ being deployable on just two GPUs."</t>
  </si>
  <si>
    <t>Gemini Robotics</t>
  </si>
  <si>
    <t>https://storage.googleapis.com/deepmind-media/gemini-robotics/gemini_robotics_report.pdf</t>
  </si>
  <si>
    <t>Gemini 2.0 Pro (cloud). "The second model is Gemini Robotics, a state-of-theart Vision-Language-Action (VLA) model that connects strong embodied reasoning priors to dexterous low-level control of real-world robots to solve challenging manipulation tasks. As a generalist VLA, Gemini Robotics can perform a wide array of diverse and complicated tasks, while also closely following language guidance and generalizing to distribution shifts in instructions, visuals, and motions. To emphasize the flexibility and generality of the Gemini Robotics models, we also introduce an optional specialization stage, which demonstrates how Gemini Robotics can be adapted for extreme dexterity, for advanced reasoning in difficult generalization settings, and for controlling completely new robot embodiments."</t>
  </si>
  <si>
    <t>Gemini Robotics-ER</t>
  </si>
  <si>
    <t>Gemini 2.0 Flash (on device). "The first model is Gemini Robotics-ER, a VLM with strong embodied reasoning capabilities at its core, exhibiting generalization across a wide range of embodied reasoning tasks while also maintaining its core foundation model capabilities. Gemini Robotics-ER exhibits strong performance on multiple capabilities critical for understanding the physical world, ranging from 3D perception to detailed pointing to robot state estimation and affordance prediction via code."</t>
  </si>
  <si>
    <t>Gemma 3</t>
  </si>
  <si>
    <t>https://huggingface.co/ggml-org/gemma-3-27b-it-GGUF</t>
  </si>
  <si>
    <t>https://storage.googleapis.com/deepmind-media/gemma/Gemma3Report.pdf</t>
  </si>
  <si>
    <t>Trained on 1T more tokens than Gemma 2. "introduces vision understanding abilities, a wider coverage of languages and longer context – at least 128K tokens."</t>
  </si>
  <si>
    <t>Reka Flash 3</t>
  </si>
  <si>
    <t>https://huggingface.co/RekaAI/reka-flash-3</t>
  </si>
  <si>
    <t>"performs competitively with proprietary models such as OpenAI o1-mini, making it a good foundation to build applications that require low latency or on-device deployment. It is currently the best open model in its size category."</t>
  </si>
  <si>
    <t>QwQ-32B</t>
  </si>
  <si>
    <t>https://huggingface.co/Qwen/QwQ-32B</t>
  </si>
  <si>
    <t>https://qwenlm.github.io/blog/qwq-32b/</t>
  </si>
  <si>
    <t>Update to QwQ-32B-Preview released Nov/2024. Scores 1/5 on latest ALPrompt 2024 H2. Qwen with Question=QwQ</t>
  </si>
  <si>
    <t>Jamba 1.6</t>
  </si>
  <si>
    <t>AI21</t>
  </si>
  <si>
    <t>https://huggingface.co/ai21labs/AI21-Jamba-Large-1.6</t>
  </si>
  <si>
    <t>"The AI21 Jamba 1.6 family of models is state-of-the-art, hybrid SSM-Transformer instruction following foundation models. The Jamba models are the most powerful &amp; efficient long-context models on the market, which deliver up to 2.5X faster inference than leading models of comparable sizes."</t>
  </si>
  <si>
    <t>Instella-3B</t>
  </si>
  <si>
    <t>AMD</t>
  </si>
  <si>
    <t>https://huggingface.co/amd/Instella-3B</t>
  </si>
  <si>
    <t>https://rocm.blogs.amd.com/artificial-intelligence/introducing-instella-3B/README.html</t>
  </si>
  <si>
    <t>"trained from scratch on AMD Instinct™ MI300X GPUs. Instella models outperform existing fully open models of similar sizes and achieve competitive performance compared to state-of-the-art open-weight models such as Llama-3.2-3B, Gemma-2-2B, and Qwen-2.5-3B, including their instruction-tuned counterparts."</t>
  </si>
  <si>
    <t>Babel-83B</t>
  </si>
  <si>
    <t>https://huggingface.co/Tower-Babel/Babel-83B</t>
  </si>
  <si>
    <t>https://arxiv.org/abs/2503.00865</t>
  </si>
  <si>
    <t>"top 25 languages by number of speakers, including English, Chinese, Hindi, Spanish, Arabic, French, Bengali, Portuguese, Russian, Urdu, Indonesian, German, Japanese, Swahili, Filipino, Tamil, Vietnamese, Turkish, Italian, Javanese, Korean, Hausa, Persian, Thai, and Burmese. These 25 languages support over 90% of the global population..."</t>
  </si>
  <si>
    <t>Granite-3.2-8B-Instruct</t>
  </si>
  <si>
    <t>https://huggingface.co/collections/ibm-granite/granite-32-language-models-67b3bc8c13508f6d064cff9a</t>
  </si>
  <si>
    <t>https://www.ibm.com/new/announcements/ibm-granite-3-2-open-source-reasoning-and-vision</t>
  </si>
  <si>
    <t>"The new Granite 3.2 8B Instruct [offers] experimental chain-of-thought reasoning capabilities "</t>
  </si>
  <si>
    <t>C4AI Command R7B Arabic</t>
  </si>
  <si>
    <t>https://huggingface.co/CohereForAI/c4ai-command-r7b-arabic-02-2025</t>
  </si>
  <si>
    <t>"C4AI Command R7B Arabic is an open weights research release of a 7 billion parameter custom model with advanced capabilities optimized for the Arabic language (MSA dialect) along with English. The model excels at tasks that enterprises care about: instruction following, length control, RAG, and responding in the correct language. It also demonstrates excellent general purpose knowledge and understanding of Arabic language and cultures."</t>
  </si>
  <si>
    <t>GPT-4.5</t>
  </si>
  <si>
    <t>https://chat.com/</t>
  </si>
  <si>
    <t>https://openai.com/index/gpt-4-5-system-card/</t>
  </si>
  <si>
    <r>
      <rPr>
        <rFont val="Calibri"/>
        <sz val="14.0"/>
      </rPr>
      <t xml:space="preserve">"Our largest and best model for chat" </t>
    </r>
    <r>
      <rPr>
        <rFont val="Calibri"/>
        <color rgb="FF1155CC"/>
        <sz val="14.0"/>
        <u/>
      </rPr>
      <t>https://openai.com/index/introducing-gpt-4-5/</t>
    </r>
    <r>
      <rPr>
        <rFont val="Calibri"/>
        <sz val="14.0"/>
      </rPr>
      <t xml:space="preserve"> "GPT-4.5 is not a frontier model, but it is OpenAI’s largest LLM, improving on GPT-4’s computational efficiency by more than 10x. While GPT-4.5 demonstrates increased world knowledge, improved writing ability, and refined personality over previous models, it does not introduce net-new frontier capabilities compared to previous reasoning releases, and its performance is below that of o1, o3-mini, and deep research on most preparedness evaluations."</t>
    </r>
  </si>
  <si>
    <t>Hunyuan T1</t>
  </si>
  <si>
    <t>https://cloud.tencent.com/apply/p/i2zophus2x8</t>
  </si>
  <si>
    <t>https://mp.weixin.qq.com/s/BwQkXpEitOm1Piz60SE-4A</t>
  </si>
  <si>
    <t>"Based on Turbo S, by introducing technologies such as long thinking chains, retrieval enhancement and reinforcement learning, Hunyuan also launched the reasoning model T1 with deep thinking. This model has been fully launched on Tencent Yuanbao （ Tencent Hunyuan T1 model is open to all users ） , users can choose Deepseek R1 or Tencent Hunyuan T1 model to answer. The official version of Tencent Hunyuan T1 model will be launched soon, providing API access and other services to the outside world."</t>
  </si>
  <si>
    <t>Hunyuan Turbo S</t>
  </si>
  <si>
    <t>Fast thinking ("Instant reply"). "This is also the first time in the industry that the Mamba architecture has been successfully applied losslessly to a very large MoE model."</t>
  </si>
  <si>
    <t>Phi-4-multimodal</t>
  </si>
  <si>
    <t>https://huggingface.co/microsoft/Phi-4-multimodal-instruct</t>
  </si>
  <si>
    <t>https://huggingface.co/microsoft/Phi-4-multimodal-instruct/blob/main/phi_4_mm.tech_report.02252025.pdf</t>
  </si>
  <si>
    <r>
      <rPr>
        <rFont val="Calibri"/>
        <color rgb="FF073763"/>
        <sz val="14.0"/>
      </rPr>
      <t xml:space="preserve">"Training data: 5T tokens, 2.3M speech hours, and 1.1T image-text tokens" Announce: </t>
    </r>
    <r>
      <rPr>
        <rFont val="Calibri"/>
        <color rgb="FF1155CC"/>
        <sz val="14.0"/>
        <u/>
      </rPr>
      <t>https://azure.microsoft.com/en-us/blog/empowering-innovation-the-next-generation-of-the-phi-family/</t>
    </r>
  </si>
  <si>
    <t>Phi-4-mini</t>
  </si>
  <si>
    <t>https://huggingface.co/microsoft/Phi-4-mini-instruct</t>
  </si>
  <si>
    <r>
      <rPr>
        <rFont val="Calibri"/>
        <color rgb="FF073763"/>
        <sz val="14.0"/>
      </rPr>
      <t xml:space="preserve">"Phi-4-mini’s training data includes a wide variety of sources, totaling 5 trillion tokens, and is a combination of publicly available documents filtered for quality, selected high-quality educational data, and code newly created synthetic, “textbook-like” data for the purpose of teaching math, coding, common sense reasoning, general knowledge of the world (e.g., science, daily activities, theory of mind, etc.) high quality chat format supervised data covering various topics to reflect human preferences" Announce: </t>
    </r>
    <r>
      <rPr>
        <rFont val="Calibri"/>
        <color rgb="FF1155CC"/>
        <sz val="14.0"/>
        <u/>
      </rPr>
      <t>https://azure.microsoft.com/en-us/blog/empowering-innovation-the-next-generation-of-the-phi-family/</t>
    </r>
  </si>
  <si>
    <t>Mercury Coder Small</t>
  </si>
  <si>
    <t>https://www.inceptionlabs.ai/news</t>
  </si>
  <si>
    <r>
      <rPr>
        <rFont val="Calibri"/>
        <sz val="14.0"/>
      </rPr>
      <t xml:space="preserve">Diffusion large language model (dLLM). Very low 'IQ' performance (0/5 on all ALPrompts). Fast: 1,000tok/s. </t>
    </r>
    <r>
      <rPr>
        <rFont val="Calibri"/>
        <color rgb="FF1155CC"/>
        <sz val="14.0"/>
        <u/>
      </rPr>
      <t>https://x.com/inceptionailabs/status/1894847921474150456</t>
    </r>
  </si>
  <si>
    <t>QwQ-Max-Preview</t>
  </si>
  <si>
    <t>https://qwenlm.github.io/blog/qwq-max-preview/</t>
  </si>
  <si>
    <r>
      <rPr>
        <rFont val="Calibri"/>
        <color rgb="FF073763"/>
        <sz val="14.0"/>
      </rPr>
      <t xml:space="preserve">"As a sneak peek into our upcoming QwQ-Max release, this version offers a glimpse of its enhanced capabilities, with ongoing refinements and an official Apache 2.0-licensed open-source launch of QwQ-Max and Qwen2.5-Max planned soon." Announce: </t>
    </r>
    <r>
      <rPr>
        <rFont val="Calibri"/>
        <color rgb="FF1155CC"/>
        <sz val="14.0"/>
        <u/>
      </rPr>
      <t>https://x.com/Alibaba_Qwen/status/1894130603513319842</t>
    </r>
  </si>
  <si>
    <t>Claude 3.7 Sonnet</t>
  </si>
  <si>
    <t>https://assets.anthropic.com/m/785e231869ea8b3b/original/claude-3-7-sonnet-system-card.pdf</t>
  </si>
  <si>
    <r>
      <rPr>
        <rFont val="Calibri"/>
        <color rgb="FF073763"/>
        <sz val="14.0"/>
      </rPr>
      <t xml:space="preserve">Knowledge cutoff now November 2024 (was April 2024). "the first hybrid reasoning model on the market." </t>
    </r>
    <r>
      <rPr>
        <rFont val="Calibri"/>
        <color rgb="FF1155CC"/>
        <sz val="14.0"/>
        <u/>
      </rPr>
      <t>https://www.anthropic.com/news/claude-3-7-sonnet</t>
    </r>
  </si>
  <si>
    <t>Moonlight</t>
  </si>
  <si>
    <t>https://huggingface.co/moonshotai/Moonlight-16B-A3B</t>
  </si>
  <si>
    <t>https://github.com/MoonshotAI/Moonlight/blob/master/Moonlight.pdf</t>
  </si>
  <si>
    <r>
      <rPr>
        <rFont val="Calibri"/>
        <color rgb="FF000000"/>
        <sz val="14.0"/>
      </rPr>
      <t xml:space="preserve">"Scaling law experiments indicate that Muon achieves ∼ 2× computational efficiency compared to AdamW with compute optimal training." </t>
    </r>
    <r>
      <rPr>
        <rFont val="Calibri"/>
        <color rgb="FF073763"/>
        <sz val="14.0"/>
        <u/>
      </rPr>
      <t>https://github.com/MoonshotAI/Moonlight?tab=readme-ov-file</t>
    </r>
  </si>
  <si>
    <t>S2</t>
  </si>
  <si>
    <t>Figure</t>
  </si>
  <si>
    <t>https://www.figure.ai/news/helix</t>
  </si>
  <si>
    <t>Likely based on OpenVLA 7B (Jun/2024, based on Llama 2 7B) or Molmo 7B-O (Sep/2024, based on OLMo-7B-1024 with OpenAI CLIP). "high quality, multi-robot, multi-operator dataset of diverse teleoperated behaviors, ~500 hours in total. To generate natural language-conditioned training pairs, we use an auto-labeling VLM to generate hindsight instructions. The VLM processes segmented video clips from the onboard robot cameras, prompted with: "What instruction would you have given the robot to get the action seen in this video?" All items handled during training are excluded from evaluations to prevent contamination. Architecture Our system comprises two main components: S2, a VLM backbone, and S1, a latent-conditional visuomotor transformer. S2 is built on a 7B-parameter open-source, open-weight VLM pretrained on internet-scale data. It processes monocular robot images and robot state information (consisting of wrist pose and finger positions) after projecting them into vision-language embedding space. Combined with natural language commands specifying desired behaviors, S2 distills all semantic task-relevant information into a single continuous latent vector, passed to S1 to condition its low-level actions. S1, an 80M parameter cross-attention encoder-decoder transformer, handles low-level control. It relies on a fully convolutional, multi-scale vision backbone for visual processing, initialized from pretraining done entirely in simulation. While S1 receives the same image and state inputs as S2, it processes them at a higher frequency to enable more responsive closed-loop control. The latent vector from S2 is projected into S1's token space and concatenated with visual features from S1's vision backbone along the sequence dimension, providing task conditioning. S1 outputs full upper body humanoid control at 200hz, including desired wrist poses, finger flexion and abduction control, and torso and head orientation targets. We append to the action space a synthetic "percentage task completion" action, allowing Helix to predict its own termination condition, which makes it easier to sequence multiple learned behaviors."</t>
  </si>
  <si>
    <t>S1</t>
  </si>
  <si>
    <t>"high quality, multi-robot, multi-operator dataset of diverse teleoperated behaviors, ~500 hours in total. To generate natural language-conditioned training pairs, we use an auto-labeling VLM to generate hindsight instructions. The VLM processes segmented video clips from the onboard robot cameras, prompted with: "What instruction would you have given the robot to get the action seen in this video?" All items handled during training are excluded from evaluations to prevent contamination. Architecture Our system comprises two main components: S2, a VLM backbone, and S1, a latent-conditional visuomotor transformer. S2 is built on a 7B-parameter open-source, open-weight VLM pretrained on internet-scale data. It processes monocular robot images and robot state information (consisting of wrist pose and finger positions) after projecting them into vision-language embedding space. Combined with natural language commands specifying desired behaviors, S2 distills all semantic task-relevant information into a single continuous latent vector, passed to S1 to condition its low-level actions. S1, an 80M parameter cross-attention encoder-decoder transformer, handles low-level control. It relies on a fully convolutional, multi-scale vision backbone for visual processing, initialized from pretraining done entirely in simulation. While S1 receives the same image and state inputs as S2, it processes them at a higher frequency to enable more responsive closed-loop control. The latent vector from S2 is projected into S1's token space and concatenated with visual features from S1's vision backbone along the sequence dimension, providing task conditioning. S1 outputs full upper body humanoid control at 200hz, including desired wrist poses, finger flexion and abduction control, and torso and head orientation targets. We append to the action space a synthetic "percentage task completion" action, allowing Helix to predict its own termination condition, which makes it easier to sequence multiple learned behaviors."</t>
  </si>
  <si>
    <t>Baichuan-M1-14B</t>
  </si>
  <si>
    <t>Baichuan</t>
  </si>
  <si>
    <t>https://huggingface.co/baichuan-inc/Baichuan-M1-14B-Base</t>
  </si>
  <si>
    <t>https://arxiv.org/abs/2502.12671</t>
  </si>
  <si>
    <t>Medical LLM. Huge increase to 20T tokens for 14B params standard.</t>
  </si>
  <si>
    <t>Evo 2</t>
  </si>
  <si>
    <t>Arc Institute</t>
  </si>
  <si>
    <t>https://github.com/arcinstitute/evo2</t>
  </si>
  <si>
    <t>"Evo 2 is a state of the art DNA language model for long context modeling and design. Evo 2 models DNA sequences at single-nucleotide resolution at up to 1 million base pair context length using the StripedHyena 2 architecture. Evo 2 was pretrained using Savanna. Evo 2 was trained autoregressively on OpenGenome2, a dataset containing 8.8 trillion tokens from all domains of life." Greg Brockman co-author.</t>
  </si>
  <si>
    <t>R1 1776</t>
  </si>
  <si>
    <t>Perplexity</t>
  </si>
  <si>
    <t>https://huggingface.co/perplexity-ai/r1-1776</t>
  </si>
  <si>
    <t>https://www.perplexity.ai/hub/blog/open-sourcing-r1-1776</t>
  </si>
  <si>
    <t>Censorship reduced, based on DeepSeek-R1.</t>
  </si>
  <si>
    <t>Grok-3</t>
  </si>
  <si>
    <t>https://x.ai/blog/grok-3</t>
  </si>
  <si>
    <r>
      <rPr>
        <rFont val="Calibri"/>
        <color rgb="FF1155CC"/>
        <sz val="14.0"/>
        <u/>
      </rPr>
      <t>https://x.ai/blog/grok-3</t>
    </r>
    <r>
      <rPr>
        <rFont val="Calibri"/>
        <color rgb="FF073763"/>
        <sz val="14.0"/>
      </rPr>
      <t xml:space="preserve"> My full analysis: </t>
    </r>
    <r>
      <rPr>
        <rFont val="Calibri"/>
        <color rgb="FF1155CC"/>
        <sz val="14.0"/>
        <u/>
      </rPr>
      <t>https://lifearchitect.ai/whats-in-grok/</t>
    </r>
  </si>
  <si>
    <t>Mistral Saba</t>
  </si>
  <si>
    <t>https://console.mistral.ai/</t>
  </si>
  <si>
    <t>https://mistral.ai/en/news/mistral-saba</t>
  </si>
  <si>
    <t>"Mistral Saba is a 24B parameter model trained on meticulously curated datasets from across the Middle East and South Asia."</t>
  </si>
  <si>
    <t>Salamandra</t>
  </si>
  <si>
    <t>Barcelona Supercomputing Center</t>
  </si>
  <si>
    <t>https://github.com/langtech-bsc/salamandra</t>
  </si>
  <si>
    <t>https://arxiv.org/abs/2502.08489</t>
  </si>
  <si>
    <t>"The final [pre-training] dataset is composed of 55.51% FineWeb-Edu, 25.32% Colossal Oscar, 8.38% Wikipedia, 7.17% Aya Collection, and 3.63% StarCoder, totalling 315 billion tokens."</t>
  </si>
  <si>
    <t>DeepHermes 3 Preview</t>
  </si>
  <si>
    <t>https://huggingface.co/NousResearch/DeepHermes-3-Llama-3-8B-Preview</t>
  </si>
  <si>
    <r>
      <rPr>
        <rFont val="Calibri"/>
        <color rgb="FF073763"/>
        <sz val="14.0"/>
      </rPr>
      <t xml:space="preserve">Based on Llama 3 8B. GPQA score based on GPT-4o's analysis of the chart :-/ "one of the first models in the world to unify Reasoning (long chains of thought that improve answer accuracy) and normal LLM response modes into one model." </t>
    </r>
    <r>
      <rPr>
        <rFont val="Calibri"/>
        <color rgb="FF1155CC"/>
        <sz val="14.0"/>
        <u/>
      </rPr>
      <t>https://x.com/NousResearch/status/1890148004029759612</t>
    </r>
  </si>
  <si>
    <t>OREAL-32B</t>
  </si>
  <si>
    <t>https://huggingface.co/internlm/OREAL-32B</t>
  </si>
  <si>
    <t>https://arxiv.org/abs/2502.06781</t>
  </si>
  <si>
    <t xml:space="preserve">OREAL=Outcome REwArd-based reinforcement Learning. </t>
  </si>
  <si>
    <t>Gemini 2.0 Pro</t>
  </si>
  <si>
    <t>https://blog.google/technology/google-deepmind/gemini-model-updates-february-2025/</t>
  </si>
  <si>
    <r>
      <rPr>
        <rFont val="Calibri"/>
        <sz val="14.0"/>
      </rPr>
      <t xml:space="preserve">Context=2M. Disappointing benchmarks, this is the 'pro' (medium) not 'ultra' (large) model. Note: Gemini outputs are watermarked. I do not use GDM models. </t>
    </r>
    <r>
      <rPr>
        <rFont val="Calibri"/>
        <color rgb="FF1155CC"/>
        <sz val="14.0"/>
        <u/>
      </rPr>
      <t>https://lifearchitect.ai/watermarking/</t>
    </r>
  </si>
  <si>
    <t>s1-32B</t>
  </si>
  <si>
    <t>Stanford</t>
  </si>
  <si>
    <t>https://github.com/simplescaling/s1</t>
  </si>
  <si>
    <t>https://arxiv.org/abs/2501.19393</t>
  </si>
  <si>
    <t>Based on Qwen2.5-32B-Instruct. "we curate a small dataset s1K of 1,000 questions paired with reasoning traces relying on three criteria we validate through ablations: difficulty, diversity, and quality. Second, we develop budget forcing to control test-time compute by forcefully terminating the model’s thinking process or lengthening it by appending “Wait” multiple times to the model’s generation when it tries to end. This can lead the model to doublecheck its answer, often fixing incorrect reasoning steps. After supervised finetuning the Qwen2.5-32B-Instruct language model on s1K and equipping it with budget forcing, our model s1-32B exceeds o1-preview on competition math questions by up to 27% (MATH and AIME24)."</t>
  </si>
  <si>
    <t>o3-mini</t>
  </si>
  <si>
    <t>https://chatgpt.com/?model=o3-mini</t>
  </si>
  <si>
    <t>https://openai.com/index/o3-mini-system-card/</t>
  </si>
  <si>
    <t>GPQA=79.7 for 'high' thinking. ALPrompt 2025H1=1/5. My analysis is that this model’s performance is very poor, with responses often becoming disordered and illogical. OpenAI compared o3-mini to OpenAI’s software engineers, and it performed very poorly (o3-mini=0%, o1=12%). "o3-mini models have the lowest performance, with scores of 0%… We suspect o3-mini’s low performance is due to poor instruction following and confusion about specifying tools in the correct format. The model often attempts to use a hallucinated bash tool rather than python despite constant, multi-shot prompting and feedback that this format is incorrect. This resulted in long conversations that likely hurt its performance." (o3-mini paper, p31)</t>
  </si>
  <si>
    <t>Mistral Small 3</t>
  </si>
  <si>
    <t>https://huggingface.co/mistralai/Mistral-Small-24B-Instruct-2501</t>
  </si>
  <si>
    <t>MMLU=base, -Pro=base, GPQA=instruct. "When quantized, Mistral Small 3 can be run privately on a single RTX 4090 or a Macbook with 32GB RAM." "Mistral Small 3 is neither trained with RL nor synthetic data"</t>
  </si>
  <si>
    <t>Llama-3.1-Tulu-3-405B</t>
  </si>
  <si>
    <t>https://playground.allenai.org/</t>
  </si>
  <si>
    <t>https://huggingface.co/allenai/Llama-3.1-Tulu-3-405B</t>
  </si>
  <si>
    <t>Lower MMLU score than Llama 3.1 405B base.</t>
  </si>
  <si>
    <t>Qwen2.5-Max</t>
  </si>
  <si>
    <t>https://chat.qwenlm.ai/</t>
  </si>
  <si>
    <t>https://qwenlm.github.io/blog/qwen2.5-max/</t>
  </si>
  <si>
    <t>"Qwen2.5-Max emerges as a milestone in MoE development, featuring an impressive 325 billion parameters. The model has been pretrained on over 20 trillion tokens and further refined with advanced post-training methodologies such as Supervised Fine-Tuning (SFT) and Reinforcement Learning from Human Feedback (RLHF)." https://wandb.ai/byyoung3/ml-news/reports/Qwen2-5-Max-Advancing-Large-Scale-Mixture-of-Expert-Models---VmlldzoxMTEyMjUyNg</t>
  </si>
  <si>
    <t>EvaByte</t>
  </si>
  <si>
    <t>SambaNova</t>
  </si>
  <si>
    <t>https://huggingface.co/EvaByte/EvaByte</t>
  </si>
  <si>
    <t>https://hkunlp.github.io/blog/2025/evabyte/</t>
  </si>
  <si>
    <t>"efficient byte-level processing at scale... [compared to tokenizer-based LMs:] 5x less training data, excelling in coding tasks, and decoding up to 2x faster. Its token-free design also brings added flexibility, avoiding tokenizer quirks while naturally extending to multimodal applications without any architecture tweaks."</t>
  </si>
  <si>
    <t>UI-TARS-72B</t>
  </si>
  <si>
    <t>https://github.com/bytedance/UI-TARS-desktop?tab=readme-ov-file</t>
  </si>
  <si>
    <t>https://arxiv.org/abs/2501.12326</t>
  </si>
  <si>
    <t>VLM. SoTA agent 'computer use' model to 23/Jan/2024.</t>
  </si>
  <si>
    <t>Doubao-1.5-pro</t>
  </si>
  <si>
    <t>https://www.volcengine.com/docs/82379/1330310#474f7dec</t>
  </si>
  <si>
    <t>https://team.doubao.com/en/special/doubao_1_5_pro</t>
  </si>
  <si>
    <t>Includes 2.4B param ViT. "Doubao-1.5-pro uses a sparse MoE architecture. In the pre-training stage, the performance of the MoE model activated with only a small number of parameters can exceed that of ultra-large dense pre-trained models such as Llama3.1-405B. Through the study of the sparsity scaling law, the team determined the sparse ratio that balances performance and efficiency, and determined based on the MoE scaling law that a model activated with a small number of parameters can achieve the performance of a world-class model."</t>
  </si>
  <si>
    <t>Kimi k1.5</t>
  </si>
  <si>
    <t>https://github.com/MoonshotAI/kimi-k1.5?tab=readme-ov-file</t>
  </si>
  <si>
    <t>https://arxiv.org/abs/2501.12599</t>
  </si>
  <si>
    <t>"our system achieves state-of-the-art reasoning performance across multiple benchmarks and modalities---e.g., 77.5 on AIME, 96.2 on MATH 500, 94-th percentile on Codeforces, 74.9 on MathVista---matching OpenAI's o1". GPQA score is my estimate from pp13–14, noting that "the scores above come from an internal long-cot model with much smaller model size than k1.5 long-CoT model."</t>
  </si>
  <si>
    <t>DeepSeek-R1</t>
  </si>
  <si>
    <t>https://github.com/deepseek-ai/DeepSeek-R1/blob/main/DeepSeek_R1.pdf</t>
  </si>
  <si>
    <t>"DeepSeek-R1 achieves performance comparable to OpenAI-o1 across math, code, and reasoning tasks. To support the research community, we have open-sourced DeepSeek-R1-Zero, DeepSeek-R1, and six dense models distilled from DeepSeek-R1 based on Llama and Qwen. DeepSeek-R1-Distill-Qwen-32B outperforms OpenAI-o1-mini across various benchmarks"</t>
  </si>
  <si>
    <t>GPT-4b</t>
  </si>
  <si>
    <t>https://www.technologyreview.com/2025/01/17/1110086/openai-has-created-an-ai-model-for-longevity-science/</t>
  </si>
  <si>
    <r>
      <rPr>
        <rFont val="Calibri"/>
        <color rgb="FF073763"/>
        <sz val="14.0"/>
      </rPr>
      <t xml:space="preserve">Protein sequence model. "The model was trained on examples of protein sequences from many species, as well as information on which proteins tend to interact with one another. While that’s a lot of data, it’s just a fraction of what OpenAI’s flagship chatbots were trained on, making GPT-4b an example of a “small language model” that works with a focused data set." </t>
    </r>
    <r>
      <rPr>
        <rFont val="Calibri"/>
        <color rgb="FF1155CC"/>
        <sz val="14.0"/>
        <u/>
      </rPr>
      <t>https://www.technologyreview.com/2025/01/17/1110086/openai-has-created-an-ai-model-for-longevity-science/</t>
    </r>
  </si>
  <si>
    <t>Helium-1</t>
  </si>
  <si>
    <t>Kyutai</t>
  </si>
  <si>
    <t>https://huggingface.co/kyutai/helium-1-preview-2b</t>
  </si>
  <si>
    <t>https://kyutai.org/2025/01/13/helium.html</t>
  </si>
  <si>
    <t>"Helium-1 preview, an initial version of our new backbone language model with 2B parameters, targeting edge and mobile devices... We use token level distillation of a 7B parameters model to train Helium-1 preview."</t>
  </si>
  <si>
    <t>InternLM3</t>
  </si>
  <si>
    <t>https://huggingface.co/internlm/internlm3-8b-instruct</t>
  </si>
  <si>
    <r>
      <rPr>
        <rFont val="Calibri"/>
        <color rgb="FF073763"/>
        <sz val="14.0"/>
      </rPr>
      <t xml:space="preserve">"InternLM3 is trained on only 4 trillion high-quality tokens, saving more than 75% of the training cost compared to other LLMs of similar scale." Playground: </t>
    </r>
    <r>
      <rPr>
        <rFont val="Calibri"/>
        <color rgb="FF1155CC"/>
        <sz val="14.0"/>
        <u/>
      </rPr>
      <t>https://internlm-chat.intern-ai.org.cn/</t>
    </r>
    <r>
      <rPr>
        <rFont val="Calibri"/>
        <color rgb="FF073763"/>
        <sz val="14.0"/>
      </rPr>
      <t xml:space="preserve"> </t>
    </r>
  </si>
  <si>
    <t>MiniMax-Text-01</t>
  </si>
  <si>
    <t>https://github.com/MiniMax-AI/MiniMax-01</t>
  </si>
  <si>
    <t>https://arxiv.org/abs/2501.08313</t>
  </si>
  <si>
    <r>
      <rPr>
        <rFont val="Calibri"/>
        <sz val="14.0"/>
      </rPr>
      <t xml:space="preserve">A45.9B. "The pre-training corpus for MiniMax-Text-01 encompasses a comprehensive and meticulously curated dataset, incorporating diverse sources including academic literature, books, web content, and programming code... repeatedly training high-quality documents can lead to enhanced downstream performance, with certain high-quality domains being trained up to 50 times... Our findings indicate that low-quality data suffer a substantial decrease in performance after training for more than two epochs, while high-quality data can be effectively trained for up to four epochs" Login playground: </t>
    </r>
    <r>
      <rPr>
        <rFont val="Calibri"/>
        <color rgb="FF1155CC"/>
        <sz val="14.0"/>
        <u/>
      </rPr>
      <t>https://www.hailuo.ai/</t>
    </r>
  </si>
  <si>
    <t>Sky-T1-32B-Preview</t>
  </si>
  <si>
    <t>Berkeley</t>
  </si>
  <si>
    <t>https://huggingface.co/NovaSky-AI/Sky-T1-32B-Preview</t>
  </si>
  <si>
    <t>https://novasky-ai.github.io/posts/sky-t1/</t>
  </si>
  <si>
    <t>"To generate our training data we use QwQ-32B-Preview, an open-source model with reasoning capabilities comparable to o1-preview. We curate the data mixture (see later section) to cover diverse domains that require reasoning, and a reject sampling procedure to improve the data quality. We then rewrite QwQ traces with GPT-4o-mini into a well-formatted version, inspired by Still-2, to improve data quality and ease parsing... Rejection Sampling: We discard QwQ samples if they are incorrect according to the solutions provided in datasets."</t>
  </si>
  <si>
    <t>Cosmos Nemotron 34B</t>
  </si>
  <si>
    <t>https://build.nvidia.com/nvidia/cosmos-nemotron-34b</t>
  </si>
  <si>
    <t>https://research.nvidia.com/publication/2025-01_cosmos-world-foundation-model-platform-physical-ai</t>
  </si>
  <si>
    <r>
      <rPr>
        <rFont val="Calibri"/>
        <sz val="14.0"/>
      </rPr>
      <t xml:space="preserve">VLM. MMMU=47.33. "VILA project becomes part of Cosmos Nemotron family" </t>
    </r>
    <r>
      <rPr>
        <rFont val="Calibri"/>
        <color rgb="FF1155CC"/>
        <sz val="14.0"/>
        <u/>
      </rPr>
      <t>https://github.com/NVlabs/Cosmos-Nemotron</t>
    </r>
    <r>
      <rPr>
        <rFont val="Calibri"/>
        <sz val="14.0"/>
      </rPr>
      <t xml:space="preserve"> Vision Encoder: SigLIP-400M, Language Encoder: Yi-34B </t>
    </r>
    <r>
      <rPr>
        <rFont val="Calibri"/>
        <color rgb="FF1155CC"/>
        <sz val="14.0"/>
        <u/>
      </rPr>
      <t>https://blogs.nvidia.com/blog/nemotron-model-families/</t>
    </r>
    <r>
      <rPr>
        <rFont val="Calibri"/>
        <sz val="14.0"/>
      </rPr>
      <t xml:space="preserve"> </t>
    </r>
  </si>
  <si>
    <t>Cosmos 1.0</t>
  </si>
  <si>
    <t>https://huggingface.co/nvidia/Cosmos-1.0-Diffusion-14B-Video2World</t>
  </si>
  <si>
    <r>
      <rPr>
        <rFont val="Calibri"/>
        <sz val="14.0"/>
      </rPr>
      <t xml:space="preserve">WFM (world foundation model). "The models range in size from 4 billion to 14 billion parameters, with Nano being the smallest and Ultra being the largest... "Cosmos WFM models, were trained on 9,000 trillion tokens [9,000T] from 20 million hours of real-world human interactions, environment, industrial, robotics, and driving data..." </t>
    </r>
    <r>
      <rPr>
        <rFont val="Calibri"/>
        <color rgb="FF1155CC"/>
        <sz val="14.0"/>
        <u/>
      </rPr>
      <t>https://techcrunch.com/2025/01/06/nvidia-releases-its-own-brand-of-world-models/</t>
    </r>
    <r>
      <rPr>
        <rFont val="Calibri"/>
        <sz val="14.0"/>
      </rPr>
      <t xml:space="preserve"> Actual working: </t>
    </r>
    <r>
      <rPr>
        <rFont val="Calibri"/>
        <color rgb="FF1155CC"/>
        <sz val="14.0"/>
        <u/>
      </rPr>
      <t>https://lifearchitect.ai/cosmos/</t>
    </r>
  </si>
  <si>
    <t>METAGENE-1</t>
  </si>
  <si>
    <t>https://huggingface.co/metagene-ai</t>
  </si>
  <si>
    <t>https://metagene.ai/metagene-1-paper.pdf</t>
  </si>
  <si>
    <t>Llama-2-7B base. "METAGENE-1 is a 7B parameter metagenomic foundation model designed for pathogen detection and pandemic monitoring, trained on over 1.5 trillion base pairs [∼370 billion tokens (≈1.69 trillion base pairs)] of DNA and RNA collected via metagenomic sequencing of wastewater."</t>
  </si>
  <si>
    <t>Sonus-1 Reasoning</t>
  </si>
  <si>
    <t>Rubik's AI</t>
  </si>
  <si>
    <t>https://chat.sonus.ai/sonus/</t>
  </si>
  <si>
    <t>https://sonus.ai/blog/sonus-1</t>
  </si>
  <si>
    <t xml:space="preserve">Likely a Llama 3.1 405B wrapper. ALPrompt 2024H1=5/5. ALPrompt 2024H2=2/5. ALPrompt 2025H1=1/5. This is a strange model: slow and smart, but not as performant as o1. No arch details at all. </t>
  </si>
  <si>
    <t>YuLan-Mini</t>
  </si>
  <si>
    <t>Renmin</t>
  </si>
  <si>
    <t>https://github.com/RUC-GSAI/YuLan-Mini</t>
  </si>
  <si>
    <t>https://arxiv.org/abs/2412.17743</t>
  </si>
  <si>
    <t>"1.08T tokens for training. Among them are 481B English web data, 138B general English knowledge, 227B code pre-training data, 16.7B code instruction data, 93.8B mathematics pre-training data, 15.5B mathematics instruction data, and 108B Chinese data."</t>
  </si>
  <si>
    <t>DeepSeek-V3</t>
  </si>
  <si>
    <t>https://github.com/deepseek-ai/DeepSeek-V3/blob/main/DeepSeek_V3.pdf</t>
  </si>
  <si>
    <r>
      <rPr>
        <rFont val="Calibri"/>
        <sz val="14.0"/>
      </rPr>
      <t xml:space="preserve">37B active. Explain: </t>
    </r>
    <r>
      <rPr>
        <rFont val="Calibri"/>
        <color rgb="FF1155CC"/>
        <sz val="14.0"/>
        <u/>
      </rPr>
      <t>https://threadreaderapp.com/thread/1872318161883959485.html</t>
    </r>
    <r>
      <rPr>
        <rFont val="Calibri"/>
        <sz val="14.0"/>
      </rPr>
      <t xml:space="preserve"> Announce: </t>
    </r>
    <r>
      <rPr>
        <rFont val="Calibri"/>
        <color rgb="FF1155CC"/>
        <sz val="14.0"/>
        <u/>
      </rPr>
      <t>https://github.com/deepseek-ai/DeepSeek-V3?tab=readme-ov-file</t>
    </r>
  </si>
  <si>
    <t>EON-8B</t>
  </si>
  <si>
    <t>LinkedIn</t>
  </si>
  <si>
    <t>https://www.linkedin.com/blog/engineering/generative-ai/how-we-built-domain-adapted-foundation-genai-models-to-power-our-platform</t>
  </si>
  <si>
    <t>"We found the EON-8B model (a domain-adapted Llama 3.1-8B variant) to be 75x and 6x cost effective in comparison to GPT-4 and GPT-4o respectively (Figure 4)... On tasks seen during training, the EON-8B model outperformed base Llama-3-8B-Instruct and its performance was comparable to SOTA GPT models."</t>
  </si>
  <si>
    <t>o3-preview</t>
  </si>
  <si>
    <t>https://lifearchitect.ai/o3/</t>
  </si>
  <si>
    <t>SoTA model for Dec/2024. Parameter estimate is very rough centrepoint for range 400B-52T.</t>
  </si>
  <si>
    <t>RWKV-7 Goose</t>
  </si>
  <si>
    <t>RWKV</t>
  </si>
  <si>
    <t>https://github.com/BlinkDL/RWKV-LM/tree/main/RWKV-v7</t>
  </si>
  <si>
    <t>RWKV (pronounced RwaKuv) is an RNN: "multilingual, supporting over 100 languages and code.". Full run is 332B tokens of 3.1T dataset.</t>
  </si>
  <si>
    <t>ModernBERT</t>
  </si>
  <si>
    <t>International</t>
  </si>
  <si>
    <t>https://huggingface.co/blog/modernbert</t>
  </si>
  <si>
    <t>https://arxiv.org/abs/2412.13663v1</t>
  </si>
  <si>
    <r>
      <rPr>
        <rFont val="Calibri"/>
        <sz val="14.0"/>
      </rPr>
      <t xml:space="preserve">"a proper workhorse model, for retrieval, classification, etc." </t>
    </r>
    <r>
      <rPr>
        <rFont val="Calibri"/>
        <color rgb="FF1155CC"/>
        <sz val="14.0"/>
        <u/>
      </rPr>
      <t>https://bsky.app/profile/howard.fm/post/3ldod2afps62x</t>
    </r>
  </si>
  <si>
    <t>Granite 3.1 8B</t>
  </si>
  <si>
    <t>https://huggingface.co/ibm-granite/granite-3.1-8b-instruct</t>
  </si>
  <si>
    <t>https://github.com/ibm-granite/granite-3.1-language-models?tab=readme-ov-file</t>
  </si>
  <si>
    <t>Bamba-9B</t>
  </si>
  <si>
    <t>https://huggingface.co/blog/bamba</t>
  </si>
  <si>
    <t>"trained by IBM, Princeton, CMU, and UIUC on completely open data. At inference time, the model demonstrates 2.5x throughput improvement and 2x latency speedup compared to standard transformers in vLLM."</t>
  </si>
  <si>
    <t>o1-2024-12-17</t>
  </si>
  <si>
    <r>
      <rPr>
        <rFont val="Calibri"/>
        <color rgb="FF1155CC"/>
        <sz val="10.0"/>
        <u/>
      </rPr>
      <t>https://chatgpt.com/</t>
    </r>
    <r>
      <rPr>
        <rFont val="Calibri"/>
        <sz val="10.0"/>
      </rPr>
      <t xml:space="preserve"> </t>
    </r>
  </si>
  <si>
    <t>https://openai.com/index/o1-and-new-tools-for-developers/</t>
  </si>
  <si>
    <t>"o1-2024-12-17 sets new state-of-the-art results on several benchmarks, improving cost-efficiency and performance."</t>
  </si>
  <si>
    <t>Falcon 3</t>
  </si>
  <si>
    <t>https://huggingface.co/tiiuae/Falcon3-10B-Base</t>
  </si>
  <si>
    <t>https://huggingface.co/blog/falcon3</t>
  </si>
  <si>
    <t>"We conducted a single large-scale pretraining run on the 7B model, using 1024 H100 GPU chips, leveraging 14 trillion tokens... upscaled the 7B model to a 10B parameters model by duplicating the redundant layers and continuing pre-training with 2 trillion tokens of high-quality data."</t>
  </si>
  <si>
    <t>Command R7B</t>
  </si>
  <si>
    <t>https://cohereforai-c4ai-command.hf.space/models/command-r7b-12-2024</t>
  </si>
  <si>
    <t>https://huggingface.co/CohereForAI/c4ai-command-r7b-12-2024</t>
  </si>
  <si>
    <t>Maya</t>
  </si>
  <si>
    <t>https://huggingface.co/maya-multimodal/maya</t>
  </si>
  <si>
    <t>https://arxiv.org/abs/2412.07112</t>
  </si>
  <si>
    <t>VLM.</t>
  </si>
  <si>
    <t>BLT</t>
  </si>
  <si>
    <t>https://github.com/facebookresearch/blt</t>
  </si>
  <si>
    <t>https://ai.meta.com/research/publications/byte-latent-transformer-patches-scale-better-than-tokens/</t>
  </si>
  <si>
    <t>Byte Latent Transformer (BLT), a new byte-level LLM architecture that, for the first time, matches tokenization-based LLM performance</t>
  </si>
  <si>
    <t>Large Concept Model</t>
  </si>
  <si>
    <t>https://github.com/facebookresearch/large_concept_model?tab=readme-ov-file</t>
  </si>
  <si>
    <t>https://ai.meta.com/research/publications/large-concept-models-language-modeling-in-a-sentence-representation-space/</t>
  </si>
  <si>
    <t>"autoregressive sentence prediction in an embedding space." 7.7T tokens is a misprint, should be 2.2T as in paper.</t>
  </si>
  <si>
    <t>Phi-4</t>
  </si>
  <si>
    <t>https://huggingface.co/microsoft/phi-4</t>
  </si>
  <si>
    <t>https://arxiv.org/abs/2412.08905</t>
  </si>
  <si>
    <r>
      <rPr>
        <rFont val="Calibri"/>
        <color rgb="FF073763"/>
        <sz val="14.0"/>
      </rPr>
      <t xml:space="preserve">Use unsloth: </t>
    </r>
    <r>
      <rPr>
        <rFont val="Calibri"/>
        <color rgb="FF1155CC"/>
        <sz val="14.0"/>
        <u/>
      </rPr>
      <t>https://huggingface.co/unsloth/phi-4-GGUF</t>
    </r>
    <r>
      <rPr>
        <rFont val="Calibri"/>
        <color rgb="FF073763"/>
        <sz val="14.0"/>
      </rPr>
      <t xml:space="preserve"> &amp; </t>
    </r>
    <r>
      <rPr>
        <rFont val="Calibri"/>
        <color rgb="FF1155CC"/>
        <sz val="14.0"/>
        <u/>
      </rPr>
      <t>https://www.reddit.com/r/singularity/comments/1i0kso4/i_fixed_4_bugs_in_microsofts_opensource_phi4_model/</t>
    </r>
  </si>
  <si>
    <t>Gemini 2.0 Flash exp</t>
  </si>
  <si>
    <t>https://console.cloud.google.com/vertex-ai/generative/multimodal/create/text?model=gemini-2.0-flash-exp</t>
  </si>
  <si>
    <t>https://cloud.google.com/vertex-ai/generative-ai/docs/gemini-v2</t>
  </si>
  <si>
    <r>
      <rPr>
        <rFont val="Calibri"/>
        <sz val="14.0"/>
      </rPr>
      <t xml:space="preserve">Gemini 2.0 Flash was first model released, 11/Dec/2024. "New Modalities: Gemini 2.0 introduces native image generation and controllable text-to-speech capabilities" Announce: </t>
    </r>
    <r>
      <rPr>
        <rFont val="Calibri"/>
        <color rgb="FF1155CC"/>
        <sz val="14.0"/>
        <u/>
      </rPr>
      <t>https://blog.google/technology/google-deepmind/google-gemini-ai-update-december-2024/</t>
    </r>
    <r>
      <rPr>
        <rFont val="Calibri"/>
        <sz val="14.0"/>
      </rPr>
      <t xml:space="preserve"> Note: Gemini outputs are watermarked. I do not use GDM models. </t>
    </r>
    <r>
      <rPr>
        <rFont val="Calibri"/>
        <color rgb="FF1155CC"/>
        <sz val="14.0"/>
        <u/>
      </rPr>
      <t>https://lifearchitect.ai/watermarking/</t>
    </r>
  </si>
  <si>
    <t>Moxin-7B</t>
  </si>
  <si>
    <t>https://github.com/moxin-org/Moxin-LLM</t>
  </si>
  <si>
    <t>https://arxiv.org/abs/2412.06845</t>
  </si>
  <si>
    <t>"Fully Open Source" with pre-training code, configurations, training and fine-tuning datasets, and intermediate checkpoints.</t>
  </si>
  <si>
    <t>1T</t>
  </si>
  <si>
    <t>Cerebras</t>
  </si>
  <si>
    <t>https://cerebras.ai/press-release/cerebras-demonstrates-trillion-parameter-model-training-on-a-single-cs-3-system</t>
  </si>
  <si>
    <t>"For Sandia’s trillion parameter training run, Cerebras configured a 55 terabyte MemoryX device."</t>
  </si>
  <si>
    <t>InternVL 2.5</t>
  </si>
  <si>
    <t>https://huggingface.co/spaces/OpenGVLab/InternVL</t>
  </si>
  <si>
    <t>https://arxiv.org/abs/2412.05271</t>
  </si>
  <si>
    <r>
      <rPr>
        <rFont val="Calibri"/>
        <color rgb="FF073763"/>
        <sz val="14.0"/>
      </rPr>
      <t xml:space="preserve">Benchmarks are estimates based on Qwen2.5 72B Instruct as the base LLM (InternVL 2.5=InternViT-6B-448px-V2.5 5.5B + Qwen2.5-72B-Instruct). "Notably, Qwen2-VL processed a cumulative total of 1.4T tokens, while our InternVL2.5-78B is trained on just ∼120B tokens [of vision]."Dataset... we identify repetitive generation as one of the most detrimental issues. In many open-source or synthetic datasets, a small number of repetitive samples—comprising merely thousands of examples in our Stage 2 data mixture—can cause the model to spiral into repetitive loops, particularly in long-form outputs or CoT reasoning tasks. This phenomenon undermines the effectiveness of test-time scaling strategies. To address this challenge and support future research, we designed an efficient data filtering pipeline to remove low-quality samples, thereby minimizing the risk of repetitive generation." Repo: </t>
    </r>
    <r>
      <rPr>
        <rFont val="Calibri"/>
        <color rgb="FF1155CC"/>
        <sz val="14.0"/>
        <u/>
      </rPr>
      <t>https://github.com/OpenGVLab/InternVL</t>
    </r>
    <r>
      <rPr>
        <rFont val="Calibri"/>
        <color rgb="FF073763"/>
        <sz val="14.0"/>
      </rPr>
      <t xml:space="preserve"> </t>
    </r>
  </si>
  <si>
    <t>Llama 3.3</t>
  </si>
  <si>
    <t>https://huggingface.co/meta-llama/Llama-3.3-70B-Instruct</t>
  </si>
  <si>
    <t>https://github.com/meta-llama/llama-models/blob/main/models/llama3_3/MODEL_CARD.md</t>
  </si>
  <si>
    <t>Drop-in replacement for Llama 3.1 70B, comparable performance to Llama 3.1 405B.</t>
  </si>
  <si>
    <t>EXAONE-3.5</t>
  </si>
  <si>
    <t>https://huggingface.co/collections/LGAI-EXAONE/exaone-35-674d0e1bb3dcd2ab6f39dbb4</t>
  </si>
  <si>
    <t>https://arxiv.org/abs/2412.04862</t>
  </si>
  <si>
    <t>“EXAONE”=“EXpert AI for EveryONE”. Training tokens/ratio dropped from EXAONE-3 7.8B with 8T (Aug/2024) to this (Dec/2024) 7.8B with 9T to 32B with 6.5T.</t>
  </si>
  <si>
    <t>Deepthought-8B</t>
  </si>
  <si>
    <t>Ruliad</t>
  </si>
  <si>
    <t>https://chat.ruliad.co/</t>
  </si>
  <si>
    <t>https://huggingface.co/ruliad/deepthought-8b-llama-v0.01-alpha</t>
  </si>
  <si>
    <t>No evals. Llama 3.1 8B base.</t>
  </si>
  <si>
    <t>Sailor2</t>
  </si>
  <si>
    <t>Sail</t>
  </si>
  <si>
    <t>https://huggingface.co/spaces/sail/Sailor2-20B-Chat</t>
  </si>
  <si>
    <t>https://github.com/sail-sg/sailor2</t>
  </si>
  <si>
    <r>
      <rPr>
        <rFont val="Calibri"/>
        <sz val="14.0"/>
      </rPr>
      <t xml:space="preserve">SEA languages. Continual pretraining based on Qwen2.5. Project page: </t>
    </r>
    <r>
      <rPr>
        <rFont val="Calibri"/>
        <color rgb="FF1155CC"/>
        <sz val="14.0"/>
        <u/>
      </rPr>
      <t>https://sea-sailor.github.io/blog/sailor2/</t>
    </r>
  </si>
  <si>
    <t>Pleias 1.0</t>
  </si>
  <si>
    <t>PleIAs</t>
  </si>
  <si>
    <t>https://huggingface.co/PleIAs/Pleias-3b-Preview</t>
  </si>
  <si>
    <t>https://huggingface.co/blog/Pclanglais/common-models</t>
  </si>
  <si>
    <t>Trained on the Jean Zay supercomputer, 192x H100s for 20 days. Dataset is new CC + Synthetic: https://huggingface.co/datasets/PleIAs/common_corpus</t>
  </si>
  <si>
    <t>o1</t>
  </si>
  <si>
    <r>
      <rPr>
        <rFont val="Calibri"/>
        <color rgb="FF1155CC"/>
        <sz val="10.0"/>
        <u/>
      </rPr>
      <t>https://chatgpt.com/</t>
    </r>
    <r>
      <rPr>
        <rFont val="Calibri"/>
        <sz val="10.0"/>
      </rPr>
      <t xml:space="preserve"> </t>
    </r>
  </si>
  <si>
    <t>https://openai.com/index/introducing-chatgpt-pro/</t>
  </si>
  <si>
    <r>
      <rPr>
        <rFont val="Calibri"/>
        <color rgb="FF073763"/>
        <sz val="14.0"/>
      </rPr>
      <t xml:space="preserve">"a version of our most intelligent model that thinks longer for the most reliable responses" System card about safety only: </t>
    </r>
    <r>
      <rPr>
        <rFont val="Calibri"/>
        <color rgb="FF1155CC"/>
        <sz val="14.0"/>
        <u/>
      </rPr>
      <t>https://cdn.openai.com/o1-system-card-20241205.pdf</t>
    </r>
  </si>
  <si>
    <t>Nova Pro</t>
  </si>
  <si>
    <t>Amazon</t>
  </si>
  <si>
    <t>https://aws.amazon.com/bedrock/</t>
  </si>
  <si>
    <t>https://www.amazon.science/publications/the-amazon-nova-family-of-models-technical-report-and-model-card</t>
  </si>
  <si>
    <r>
      <rPr>
        <rFont val="Calibri"/>
        <sz val="14.0"/>
      </rPr>
      <t xml:space="preserve">Multimodal, same performance as Llama 3.2 90B ∴ est 90B. Model card was hidden: </t>
    </r>
    <r>
      <rPr>
        <rFont val="Calibri"/>
        <color rgb="FF1155CC"/>
        <sz val="14.0"/>
        <u/>
      </rPr>
      <t>https://assets.amazon.science/9f/a3/ae41627f4ab2bde091f1ebc6b830/the-amazon-nova-family-of-models-technical-report-and-model-card.pdf</t>
    </r>
    <r>
      <rPr>
        <rFont val="Calibri"/>
        <sz val="14.0"/>
      </rPr>
      <t xml:space="preserve"> via </t>
    </r>
    <r>
      <rPr>
        <rFont val="Calibri"/>
        <color rgb="FF1155CC"/>
        <sz val="14.0"/>
        <u/>
      </rPr>
      <t>https://www.amazon.science/publications/the-amazon-nova-family-of-models-technical-report-and-model-card</t>
    </r>
  </si>
  <si>
    <t>DisTrO 15B</t>
  </si>
  <si>
    <t>https://distro.nousresearch.com/</t>
  </si>
  <si>
    <t>https://github.com/NousResearch/DisTrO?tab=readme-ov-file</t>
  </si>
  <si>
    <r>
      <rPr>
        <rFont val="Calibri"/>
        <sz val="14.0"/>
      </rPr>
      <t xml:space="preserve">"About 14 DGXes scattered around the globe. Sometimes more sometimes less, it varies depending on availability. On average, around 112 H100s." </t>
    </r>
    <r>
      <rPr>
        <rFont val="Calibri"/>
        <color rgb="FF1155CC"/>
        <sz val="14.0"/>
        <u/>
      </rPr>
      <t>https://x.com/bloc97_/status/1863675225810043331</t>
    </r>
    <r>
      <rPr>
        <rFont val="Calibri"/>
        <sz val="14.0"/>
      </rPr>
      <t xml:space="preserve"> "we introduce DisTrO, a family of architecture-agnostic and network-agnostic distributed optimizers that reduces the inter-GPU communication requirements by four to five orders of magnitude without relying on amortized analysis, enabling low-latency training of large neural networks on slow internet bandwidths with heterogeneous networking hardware."</t>
    </r>
  </si>
  <si>
    <t>INTELLECT-1</t>
  </si>
  <si>
    <t>https://huggingface.co/PrimeIntellect/INTELLECT-1</t>
  </si>
  <si>
    <t>https://github.com/PrimeIntellect-ai/prime/blob/main/INTELLECT_1_Technical_Report.pdf</t>
  </si>
  <si>
    <t>Training complete 22/Nov/2024. Fully distributed training: "the first decentralized training run of a 10-billion-parameter model, inviting anyone to contribute compute and participate. This brings us one step closer towards open source AGI."</t>
  </si>
  <si>
    <t>QwQ-32B-Preview</t>
  </si>
  <si>
    <t>https://huggingface.co/spaces/Qwen/QwQ-32B-preview</t>
  </si>
  <si>
    <t>https://qwenlm.github.io/blog/qwq-32b-preview/</t>
  </si>
  <si>
    <t>Scores 1/5 on latest ALPrompt 2024 H2. Qwen with Question=QwQ</t>
  </si>
  <si>
    <t>Teuken-7B</t>
  </si>
  <si>
    <t>OpenGPT-X</t>
  </si>
  <si>
    <t>https://huggingface.co/openGPT-X/Teuken-7B-instruct-research-v0.4</t>
  </si>
  <si>
    <t>https://arxiv.org/abs/2410.03730</t>
  </si>
  <si>
    <r>
      <rPr>
        <rFont val="Calibri"/>
        <sz val="14.0"/>
      </rPr>
      <t xml:space="preserve">24 EU languages (60% non-English): bg, cs, da, de, el, en, es, et, fi, fr, ga, hr, hu, it, lt, lv, mt, nl, pl, pt, ro, sk, sl, sv. </t>
    </r>
    <r>
      <rPr>
        <rFont val="Calibri"/>
        <color rgb="FF1155CC"/>
        <sz val="14.0"/>
        <u/>
      </rPr>
      <t>https://opengpt-x.de/models/teuken-7b-de/</t>
    </r>
    <r>
      <rPr>
        <rFont val="Calibri"/>
        <sz val="14.0"/>
      </rPr>
      <t xml:space="preserve"> &amp; paper date is Sep/2024.</t>
    </r>
  </si>
  <si>
    <t>OLMo 2</t>
  </si>
  <si>
    <t>https://huggingface.co/collections/allenai/olmo-2-674117b93ab84e98afc72edc</t>
  </si>
  <si>
    <t>https://arxiv.org/abs/2501.00656</t>
  </si>
  <si>
    <r>
      <rPr>
        <rFont val="Calibri"/>
        <sz val="14.0"/>
      </rPr>
      <t xml:space="preserve">Open Language Model (OLMo) 2 Apache 2.0 license for research and educational use. Paper coming. Data: 5 trillion tokens (1.2 epochs of 4T tokens) + 100B tokens (3 runs) + 300B tokens (1 run) merged. </t>
    </r>
    <r>
      <rPr>
        <rFont val="Calibri"/>
        <color rgb="FF1155CC"/>
        <sz val="14.0"/>
        <u/>
      </rPr>
      <t>https://huggingface.co/allenai/OLMo-2-1124-13B</t>
    </r>
    <r>
      <rPr>
        <rFont val="Calibri"/>
        <sz val="14.0"/>
      </rPr>
      <t xml:space="preserve"> &amp; playground: </t>
    </r>
    <r>
      <rPr>
        <rFont val="Calibri"/>
        <color rgb="FF1155CC"/>
        <sz val="14.0"/>
        <u/>
      </rPr>
      <t>https://playground.allenai.org/</t>
    </r>
  </si>
  <si>
    <t>Bi-Mamba</t>
  </si>
  <si>
    <t>CMU</t>
  </si>
  <si>
    <t>https://arxiv.org/abs/2411.11843</t>
  </si>
  <si>
    <t>Unreleased, but will be replicated. "a scalable and powerful 1-bit Mamba architecture designed for more efficient large language models"</t>
  </si>
  <si>
    <t>k0-math</t>
  </si>
  <si>
    <t>https://kimi.moonshot.cn/</t>
  </si>
  <si>
    <t>https://www.globaltimes.cn/page/202411/1323248.shtml</t>
  </si>
  <si>
    <t>Reasoning, maths only. Very little info available. Chinese. Long context. No paper.</t>
  </si>
  <si>
    <t>Marco-o1</t>
  </si>
  <si>
    <t>https://huggingface.co/AIDC-AI/Marco-o1</t>
  </si>
  <si>
    <t>https://arxiv.org/abs/2411.14405</t>
  </si>
  <si>
    <t>No evals. Qwen2-7B-Instruct with a combination of the filtered Open-O1 CoT dataset, Marco-o1 CoT dataset, and Marco-o1 Instruction dataset.</t>
  </si>
  <si>
    <t>TÜLU 3</t>
  </si>
  <si>
    <t>https://allenai.org/papers/tulu-3-report.pdf</t>
  </si>
  <si>
    <t>Llama 3.1 post-training, worse performance on most benchmarks. Post training methods include new Reinforcement Learning with Verifiable Rewards (RLVR). "We perform supervised fine-tuning on new capability-focused synthetic data mixed with existing instruction datasets. We then perform preference tuning on on-policy synthetic preference data. We finish training Llama Tülu3 with our new method, Reinforcement Learning with Verifiable Rewards."</t>
  </si>
  <si>
    <t>gpt-4o-2024-11-20</t>
  </si>
  <si>
    <t>https://platform.openai.com/docs/models#gpt-4o</t>
  </si>
  <si>
    <r>
      <rPr>
        <rFont val="Calibri"/>
        <color rgb="FF073763"/>
        <sz val="14.0"/>
      </rPr>
      <t xml:space="preserve">Material decrease in benchmark scores (GPQA: -13.37%, MMLU: -3.38%) compared to Aug/2024. Pruned? Quantized? </t>
    </r>
    <r>
      <rPr>
        <rFont val="Calibri"/>
        <color rgb="FF1155CC"/>
        <sz val="14.0"/>
        <u/>
      </rPr>
      <t>https://github.com/openai/simple-evals</t>
    </r>
  </si>
  <si>
    <t>DeepSeek-R1-Lite</t>
  </si>
  <si>
    <t>https://x.com/deepseek_ai/status/1859200141355536422</t>
  </si>
  <si>
    <r>
      <rPr>
        <rFont val="Calibri"/>
        <color rgb="FF073763"/>
        <sz val="14.0"/>
      </rPr>
      <t xml:space="preserve">Scores 0/5 on latest ALPrompt 2024 H2 "DeepSeek-R1-Lite is currently still in the iterative development stage. It currently only supports web usage and does not support API calls. The base model used by DeepSeek-R1-Lite is also a relatively small model, unable to fully unleash the potential of long reasoning chains. At present, we are continuously iterating on the inference series models. In the future, the official DeepSeek-R1 model will be fully open-sourced. We will publicly release the technical report and deploy API services." </t>
    </r>
    <r>
      <rPr>
        <rFont val="Calibri"/>
        <color rgb="FF1155CC"/>
        <sz val="14.0"/>
        <u/>
      </rPr>
      <t>https://mp-weixin-qq-com.translate.goog/s/e1YnTxZlzFvjcmrLLTA8fw?_x_tr_sl=zh-CN&amp;_x_tr_tl=en&amp;_x_tr_hl=zh-TW</t>
    </r>
  </si>
  <si>
    <t>Xmodel-LM</t>
  </si>
  <si>
    <t>XiaoduoAI</t>
  </si>
  <si>
    <t>https://github.com/XiaoduoAILab/XmodelLM</t>
  </si>
  <si>
    <t>https://arxiv.org/abs/2411.10083</t>
  </si>
  <si>
    <t>SLM</t>
  </si>
  <si>
    <t>Pixtral Large</t>
  </si>
  <si>
    <t>https://huggingface.co/mistralai/Pixtral-Large-Instruct-2411</t>
  </si>
  <si>
    <t>https://mistral.ai/news/pixtral-large/</t>
  </si>
  <si>
    <t>Open-weights multimodal model built on top of Mistral Large 2.</t>
  </si>
  <si>
    <t>f1</t>
  </si>
  <si>
    <t>Fireworks</t>
  </si>
  <si>
    <t>https://fireworks.ai/models/fireworks/f1-preview/playground</t>
  </si>
  <si>
    <t>https://fireworks.ai/blog/fireworks-compound-ai-system-f1</t>
  </si>
  <si>
    <t>Compound</t>
  </si>
  <si>
    <t>"a compound AI model specialized in complex reasoning, that interweaves multiple open models at the inference layer. "</t>
  </si>
  <si>
    <t>Qwen2.5-Coder</t>
  </si>
  <si>
    <t>https://huggingface.co/Qwen/Qwen2.5-72B-Instruct</t>
  </si>
  <si>
    <t>https://arxiv.org/abs/2412.15115</t>
  </si>
  <si>
    <r>
      <rPr>
        <rFont val="Calibri"/>
        <color rgb="FF000000"/>
        <sz val="14.0"/>
        <u/>
      </rPr>
      <t>https://qwenlm.github.io/blog/qwen2.5-coder-family/</t>
    </r>
    <r>
      <rPr>
        <rFont val="Calibri"/>
        <sz val="14.0"/>
      </rPr>
      <t xml:space="preserve"> Jack Clark from Anthropic is saying it’s actually 18T tokens from Qwen2.5 + 5.5T tokens for a total of 23.5T tokens. That doesn’t seem right from my interpretation of the technical report.</t>
    </r>
  </si>
  <si>
    <t>Fox-1</t>
  </si>
  <si>
    <t>TensorOpera</t>
  </si>
  <si>
    <t>https://huggingface.co/tensoropera/Fox-1-1.6B-Instruct-v0.1</t>
  </si>
  <si>
    <t>https://arxiv.org/abs/2411.05281</t>
  </si>
  <si>
    <t>Gold standard for dataset documentation</t>
  </si>
  <si>
    <t>Hunyuan-Large</t>
  </si>
  <si>
    <t>https://huggingface.co/tencent/Tencent-Hunyuan-Large</t>
  </si>
  <si>
    <t>https://arxiv.org/abs/2411.02265</t>
  </si>
  <si>
    <t>Hunyuan-Large is pre-trained on 7T tokens, which contains nearly 1.5T tokens of high-quality and diverse synthetic data.' '389 billion parameters and 52 billion activation parameters, capable of handling up to 256K tokens'</t>
  </si>
  <si>
    <t>SEA-LIONv3</t>
  </si>
  <si>
    <t>https://huggingface.co/aisingapore/gemma2-9b-cpt-sea-lionv3-base</t>
  </si>
  <si>
    <t>https://www.linkedin.com/posts/leslieteo01_ai-machinelearning-nlp-activity-7258042808891027456-Tqab/</t>
  </si>
  <si>
    <r>
      <rPr>
        <rFont val="Calibri"/>
        <sz val="14.0"/>
      </rPr>
      <t xml:space="preserve">SEA-LION is a collection of Large Language Models (LLMs) which has been pretrained and instruct-tuned for the Southeast Asia (SEA) region. The Gemma2 9B CPT SEA-LIONv3 base model which has undergone continued pre-training from the base Gemma-2-9B model. SEA-LION stands for Southeast Asian Languages In One Network.' News: </t>
    </r>
    <r>
      <rPr>
        <rFont val="Calibri"/>
        <color rgb="FF1155CC"/>
        <sz val="14.0"/>
        <u/>
      </rPr>
      <t>https://www.techinasia.com/news/ai-singapore-boosts-sea-ai-sealion-v3-model</t>
    </r>
  </si>
  <si>
    <t>AMD OLMo</t>
  </si>
  <si>
    <t>https://huggingface.co/amd/AMD-OLMo</t>
  </si>
  <si>
    <t>https://www.amd.com/en/developer/resources/technical-articles/introducing-the-first-amd-1b-language-model.html</t>
  </si>
  <si>
    <t>1 billion parameter LMs trained from scratch using 1.3T tokens on a cluster of AMD Instinct MI250 GPUs.</t>
  </si>
  <si>
    <t>SmolLM2</t>
  </si>
  <si>
    <t>Hugging Face</t>
  </si>
  <si>
    <t>https://huggingface.co/collections/HuggingFaceTB/smollm2-6723884218bcda64b34d7db9</t>
  </si>
  <si>
    <t>Base and instruct versions, with Apache 2.0 license</t>
  </si>
  <si>
    <t>Aya-Expanse-32B</t>
  </si>
  <si>
    <t>https://huggingface.co/CohereForAI/aya-expanse-32b</t>
  </si>
  <si>
    <t>https://cohere.com/blog/aya-expanse-connecting-our-world</t>
  </si>
  <si>
    <t>"Aya Expanse, a family of highly performant multilingual models that excels across 23 languages and outperforms other leading open-weights models...we have collaborated with over 3,000 researchers from 119 countries to expand cutting-edge multilingual research... 220 language ambassadors from around the world who have been part of this release"</t>
  </si>
  <si>
    <t>Claude 3.5 Sonnet (new)</t>
  </si>
  <si>
    <t>https://assets.anthropic.com/m/61e7d27f8c8f5919/original/Claude-3-Model-Card.pdf#page=51</t>
  </si>
  <si>
    <t>Absurd naming scheme. Paper addendum pp51-64: https://assets.anthropic.com/m/61e7d27f8c8f5919/original/Claude-3-Model-Card.pdf#page=51</t>
  </si>
  <si>
    <t>Granite 3.0 8B</t>
  </si>
  <si>
    <t>https://huggingface.co/ibm-granite/granite-3.0-8b-base</t>
  </si>
  <si>
    <t>http://ibm.biz/granite-report</t>
  </si>
  <si>
    <t>Announce: https://www.ibm.com/new/ibm-granite-3-0-open-state-of-the-art-enterprise-models</t>
  </si>
  <si>
    <t>Granite-3.0-3B-A800M-Instruct</t>
  </si>
  <si>
    <t>https://huggingface.co/ibm-granite/granite-3.0-3b-a800m-instruct</t>
  </si>
  <si>
    <t>aiXcoder-7B</t>
  </si>
  <si>
    <t>aiXcoder</t>
  </si>
  <si>
    <t>https://github.com/aixcoder-plugin/aixcoder-7b</t>
  </si>
  <si>
    <t>https://arxiv.org/abs/2410.13187v1</t>
  </si>
  <si>
    <t>Dataset: The Stack</t>
  </si>
  <si>
    <t>Llama-3.1-Nemotron-70B</t>
  </si>
  <si>
    <t>https://build.nvidia.com/nvidia/llama-3_1-nemotron-70b-instruct</t>
  </si>
  <si>
    <t>https://build.nvidia.com/nvidia/llama-3_1-nemotron-70b-instruct/modelcard</t>
  </si>
  <si>
    <t>Related paper: https://arxiv.org/abs/2410.01257</t>
  </si>
  <si>
    <t>Ministral 8B</t>
  </si>
  <si>
    <t>https://huggingface.co/mistralai/Ministral-8B-Instruct-2410</t>
  </si>
  <si>
    <t>https://mistral.ai/news/ministraux/</t>
  </si>
  <si>
    <t>"Introducing the world’s best edge models"</t>
  </si>
  <si>
    <t>Yi-Lightning</t>
  </si>
  <si>
    <t>01-ai</t>
  </si>
  <si>
    <t>https://platform.lingyiwanwu.com/</t>
  </si>
  <si>
    <t>https://platform.lingyiwanwu.com/docs#%E6%A8%A1%E5%9E%8B%E4%B8%8E%E8%AE%A1%E8%B4%B9</t>
  </si>
  <si>
    <r>
      <rPr>
        <rFont val="Calibri"/>
        <color rgb="FF000000"/>
        <sz val="14.0"/>
      </rPr>
      <t xml:space="preserve">"New MoE hybrid expert architecture" and </t>
    </r>
    <r>
      <rPr>
        <rFont val="Calibri"/>
        <color rgb="FF073763"/>
        <sz val="14.0"/>
        <u/>
      </rPr>
      <t>https://x.com/01AI_Yi/status/1845776529185476613</t>
    </r>
  </si>
  <si>
    <t>Zamba2-7B</t>
  </si>
  <si>
    <t>Zyphra</t>
  </si>
  <si>
    <t>https://huggingface.co/Zyphra/Zamba2-7B</t>
  </si>
  <si>
    <t>https://www.zyphra.com/post/zamba2-7b</t>
  </si>
  <si>
    <t>Mamba2 "trained on 128 H100 GPUS for approximately 50 days using our internal training framework developed atop Megatron-LM"</t>
  </si>
  <si>
    <t>nGPT</t>
  </si>
  <si>
    <t>https://github.com/lucidrains/nGPT-pytorch</t>
  </si>
  <si>
    <t>https://arxiv.org/abs/2410.01131</t>
  </si>
  <si>
    <t>"a novel neural network architecture, the normalized Transformer (nGPT) with representation learning on the hypersphere. In nGPT, all vectors forming the embeddings, MLP, attention matrices and hidden states are unit norm normalized...reducing the number of training steps required to achieve the same accuracy by a factor of 4 to 20, depending on the sequence length."</t>
  </si>
  <si>
    <t>Inflection-3 Pi (3.0)</t>
  </si>
  <si>
    <t>Inflection AI</t>
  </si>
  <si>
    <t>https://developers.inflection.ai/</t>
  </si>
  <si>
    <t>https://developers.inflection.ai/docs</t>
  </si>
  <si>
    <t>Inference via Intel Gaudi® 3 128 GB, on-premise available. Minimum spend $100 credits.</t>
  </si>
  <si>
    <t>Inflection-3 Productivity (3.0)</t>
  </si>
  <si>
    <t>LFM-40B</t>
  </si>
  <si>
    <t>Liquid AI</t>
  </si>
  <si>
    <t>https://labs.perplexity.ai/</t>
  </si>
  <si>
    <t>https://www.liquid.ai/liquid-foundation-models</t>
  </si>
  <si>
    <t>40BA12B. Some controversy/concern over company. Liquid Foundation Models (LFM). "Human preference optimization techniques have not been applied extensively to our models yet."</t>
  </si>
  <si>
    <t>SFR-LLaMA-3.1-70B-Judge</t>
  </si>
  <si>
    <t>https://blog.salesforceairesearch.com/sfr-judge/</t>
  </si>
  <si>
    <t>https://arxiv.org/abs/2409.14664</t>
  </si>
  <si>
    <r>
      <rPr>
        <rFont val="Calibri"/>
        <color rgb="FF073763"/>
        <sz val="14.0"/>
      </rPr>
      <t xml:space="preserve">Code coming soon: </t>
    </r>
    <r>
      <rPr>
        <rFont val="Calibri"/>
        <color rgb="FF1155CC"/>
        <sz val="14.0"/>
        <u/>
      </rPr>
      <t>https://github.com/SalesforceAIResearch/SFRJudge</t>
    </r>
    <r>
      <rPr>
        <rFont val="Calibri"/>
        <color rgb="FF073763"/>
        <sz val="14.0"/>
      </rPr>
      <t xml:space="preserve"> "we opt to focus on datasets that evaluate modern (2023 and beyond) LLM responses, as older datasets likely contain lower quality responses from less capable models, with correspondingly stale annotations. We supplement human-annotated data with synthetically generated data to endow our judge models with specific capabilities (e.g., following fine-grained rubrics in evaluation)"</t>
    </r>
  </si>
  <si>
    <t>Emu3</t>
  </si>
  <si>
    <t>BAAI</t>
  </si>
  <si>
    <t>https://huggingface.co/BAAI/Emu3-Gen</t>
  </si>
  <si>
    <t>https://arxiv.org/abs/2409.18869</t>
  </si>
  <si>
    <r>
      <rPr>
        <rFont val="Calibri"/>
        <sz val="14.0"/>
      </rPr>
      <t xml:space="preserve">VLM. Dataset estimates are based on the unrelated UW/Salesforce dataset MINT-1T (3.4B images, 927M documents) </t>
    </r>
    <r>
      <rPr>
        <rFont val="Calibri"/>
        <color rgb="FF1155CC"/>
        <sz val="14.0"/>
        <u/>
      </rPr>
      <t>https://arxiv.org/abs/2406.11271v1</t>
    </r>
  </si>
  <si>
    <t>NLVM 1.0</t>
  </si>
  <si>
    <t>https://huggingface.co/nvidia/NVLM-D-72B</t>
  </si>
  <si>
    <t>https://arxiv.org/abs/2409.11402</t>
  </si>
  <si>
    <t>Flamingo clone. "we use Qwen2-72B-Instruct as the default text-only LLM backbone. We also employ Nous-Hermes-2-Yi-34B for ablation study and faster experimentation... we use InternViT-6B as the default vision encoder"</t>
  </si>
  <si>
    <t>Unnamed 1T</t>
  </si>
  <si>
    <t>https://www.scmp.com/tech/big-tech/article/3280588/china-telecom-say-ai-model-1-trillion-parameters-trained-chinese-chips</t>
  </si>
  <si>
    <r>
      <rPr>
        <rFont val="Calibri"/>
        <sz val="14.0"/>
      </rPr>
      <t xml:space="preserve">Trained on Chinese GPUs: "Ascend Atlas 800T A2 training server – a Huawei product listed as supporting the Kunpeng 920 7265 or Kunpeng 920 5250 processors" </t>
    </r>
    <r>
      <rPr>
        <rFont val="Calibri"/>
        <color rgb="FF1155CC"/>
        <sz val="14.0"/>
        <u/>
      </rPr>
      <t>https://www.theregister.com/2024/10/02/china_telecom_model_trained_local_tech/</t>
    </r>
  </si>
  <si>
    <t>TeleChat2-115B</t>
  </si>
  <si>
    <t>https://modelscope.cn/models/TeleAI/TeleChat2-115B</t>
  </si>
  <si>
    <r>
      <rPr>
        <rFont val="Calibri"/>
        <sz val="14.0"/>
      </rPr>
      <t xml:space="preserve">Trained on Chinese GPUs: "Ascend Atlas 800T A2 training server – a Huawei product listed as supporting the Kunpeng 920 7265 or Kunpeng 920 5250 processors" </t>
    </r>
    <r>
      <rPr>
        <rFont val="Calibri"/>
        <color rgb="FF1155CC"/>
        <sz val="14.0"/>
        <u/>
      </rPr>
      <t>https://www.theregister.com/2024/10/02/china_telecom_model_trained_local_tech/</t>
    </r>
  </si>
  <si>
    <t>AMD-Llama-135m</t>
  </si>
  <si>
    <t>https://huggingface.co/amd/AMD-Llama-135m</t>
  </si>
  <si>
    <t>books</t>
  </si>
  <si>
    <t>https://www.amd.com/en/developer/resources/technical-articles/introducing-amd-first-slm-135m-model-fuels-ai-advancements.html</t>
  </si>
  <si>
    <t>Small language model (SLM). Trained on AMD Instinct™ MI250 accelerators. "Pretrain Dataset: We employed the SlimPajama and Project Gutenberg dataset to pretrain the 135M model. Project Gutenberg is a library of over 70,000 free eBooks approximately.  This sums up to 670B tokens"</t>
  </si>
  <si>
    <t>Llama 3.2 90B</t>
  </si>
  <si>
    <t>https://www.llama.com/</t>
  </si>
  <si>
    <t>Vision (VLM)</t>
  </si>
  <si>
    <t>Llama 3.2 3B</t>
  </si>
  <si>
    <t>Text (LLM). "Pre-training. [For Llama 3.2 3B] We prune the models from their 8B siblings and use logits from the 8B and 70B models as token-level targets (token-level distillation). We then use knowledge distillation to recover performance."</t>
  </si>
  <si>
    <t>Molmo</t>
  </si>
  <si>
    <t>https://molmo.allenai.org/</t>
  </si>
  <si>
    <t>https://molmo.allenai.org/paper.pdf</t>
  </si>
  <si>
    <r>
      <rPr>
        <rFont val="Calibri"/>
        <sz val="14.0"/>
      </rPr>
      <t xml:space="preserve">ViT: Llava as Qwen2 (or Olmo) + CLIP. Multimodal Open Language Model built by Ai2. Announce: </t>
    </r>
    <r>
      <rPr>
        <rFont val="Calibri"/>
        <color rgb="FF1155CC"/>
        <sz val="14.0"/>
        <u/>
      </rPr>
      <t>https://molmo.allenai.org/blog</t>
    </r>
  </si>
  <si>
    <t xml:space="preserve">Gemini-1.5-Pro-002 </t>
  </si>
  <si>
    <t>https://aistudio.google.com/app/prompts/new_chat</t>
  </si>
  <si>
    <t>https://developers.googleblog.com/en/updated-production-ready-gemini-models-reduced-15-pro-pricing-increased-rate-limits-and-more/</t>
  </si>
  <si>
    <r>
      <rPr>
        <rFont val="Calibri"/>
        <sz val="14.0"/>
      </rPr>
      <t xml:space="preserve">Sparse MoE. Context window=2M. Note: Gemini outputs are watermarked. I do not use GDM models. </t>
    </r>
    <r>
      <rPr>
        <rFont val="Calibri"/>
        <color rgb="FF1155CC"/>
        <sz val="14.0"/>
        <u/>
      </rPr>
      <t>https://lifearchitect.ai/watermarking/</t>
    </r>
  </si>
  <si>
    <t>Qwen2.5</t>
  </si>
  <si>
    <t>GRIN MoE</t>
  </si>
  <si>
    <t>https://huggingface.co/microsoft/GRIN-MoE</t>
  </si>
  <si>
    <t>https://huggingface.co/microsoft/GRIN-MoE/blob/main/GRIN_MoE.pdf</t>
  </si>
  <si>
    <t>16x3.8B "only 6.6B activate parameters". GRIN=GRadient-INformed. "GRIN MoE is pre-trained on 4T tokens as a Causal Language Model. The same training dataset has been used to train Phi-3 dense models"</t>
  </si>
  <si>
    <t>Data-Gemma</t>
  </si>
  <si>
    <t>https://huggingface.co/google/datagemma-rig-27b-it</t>
  </si>
  <si>
    <t>https://docs.datacommons.org/papers/DataGemma-FullPaper.pdf</t>
  </si>
  <si>
    <t>RAG/RIG: "the LLM is fine-tuned to produce natural language Data Commons queries alongside statistics"</t>
  </si>
  <si>
    <t>o1-preview</t>
  </si>
  <si>
    <t>https://chatgpt.com/</t>
  </si>
  <si>
    <t>https://openai.com/index/introducing-openai-o1-preview/</t>
  </si>
  <si>
    <t>Reader-LM</t>
  </si>
  <si>
    <t>Jina AI</t>
  </si>
  <si>
    <t>https://huggingface.co/jinaai/reader-lm-1.5b</t>
  </si>
  <si>
    <t>https://jina.ai/news/reader-lm-small-language-models-for-cleaning-and-converting-html-to-markdown/</t>
  </si>
  <si>
    <t>HTML-&gt;Markdown. Specialist small model; outperforms GPT-4o general model, does not outperform Gemini Pro 1.5.</t>
  </si>
  <si>
    <t>Pixtral-12b-240910</t>
  </si>
  <si>
    <t>https://huggingface.co/mistralai/Pixtral-12B-2409</t>
  </si>
  <si>
    <t>https://mistral.ai/news/pixtral-12b/</t>
  </si>
  <si>
    <t>"Pixtral was trained to be a drop-in replacement for Mistral Nemo 12B."</t>
  </si>
  <si>
    <t>DeepSeek-V2.5</t>
  </si>
  <si>
    <t>https://huggingface.co/deepseek-ai/DeepSeek-V2.5</t>
  </si>
  <si>
    <t>https://github.com/deepseek-ai/DeepSeek-Coder-V2/blob/main/paper.pdf</t>
  </si>
  <si>
    <t>"DeepSeek-V2.5 is an upgraded version that combines DeepSeek-V2-Chat and DeepSeek-Coder-V2-Instruct."</t>
  </si>
  <si>
    <t>Yi-Coder</t>
  </si>
  <si>
    <t>https://huggingface.co/collections/01-ai/yi-coder-66bdb00f5bdd611f9a008f30</t>
  </si>
  <si>
    <t>https://01-ai.github.io/blog.html?post=en/2024-09-05-A-Small-but-Mighty-LLM-for-Code.md</t>
  </si>
  <si>
    <t>6B=3T tokens, 9B=+0.8T tokens, 9B-Coder=+2.4T tokens=6.2T tokens. See Yi 1.5 34B in this table</t>
  </si>
  <si>
    <t>OLMoE-1B-7B</t>
  </si>
  <si>
    <t>https://huggingface.co/collections/allenai/olmoe-66cf678c047657a30c8cd3da</t>
  </si>
  <si>
    <t>https://arxiv.org/abs/2409.02060v1</t>
  </si>
  <si>
    <t>Open Language (OL) Mixture of Experts (MoE). "We train OLMoE-1B-7B for 5 trillion tokens, however, some recent dense models train significantly longer, such as Llama 3 with 15 trillion tokens. To the best of our knowledge, there has been no large MoE that has been overtrained as much as OLMoE-1B-7B. Specifically, taking the active parameters of OLMoE-1B-7B, our token multiplier is around 5,000 (5T / 1B). There are likely benefits to training even longer, but to what degree overtraining is effective for MoEs and how it differs from dense models still requires more research."</t>
  </si>
  <si>
    <t>PLLuM</t>
  </si>
  <si>
    <t>https://opi.org.pl/en/the-launch-of-the-first-polish-open-large-language-model-pllum/</t>
  </si>
  <si>
    <t>Polish Large Language Model. Not yet available as of Sep/2024</t>
  </si>
  <si>
    <t>xLAM</t>
  </si>
  <si>
    <t>https://huggingface.co/Salesforce/xLAM-8x22b-r</t>
  </si>
  <si>
    <t>64K sequence length. Released under Apache-2.0.</t>
  </si>
  <si>
    <t>LTM-2-mini</t>
  </si>
  <si>
    <t>Magic</t>
  </si>
  <si>
    <t>https://magic.dev/blog/100m-token-context-windows</t>
  </si>
  <si>
    <t>Context=100M tokens equals ~10 million lines of code or ~750 novels.</t>
  </si>
  <si>
    <t>Rene</t>
  </si>
  <si>
    <t>Cartesia</t>
  </si>
  <si>
    <t>https://huggingface.co/cartesia-ai/Rene-v0.1-1.3b-pytorch</t>
  </si>
  <si>
    <t>https://cartesia.ai/blog/2024-08-27-on-device</t>
  </si>
  <si>
    <t>On-device. "hybrid architecture based on Mamba-2, with feedforward and sliding window attention layers interspersed"</t>
  </si>
  <si>
    <t>Gemini 1.5 Flash-8B</t>
  </si>
  <si>
    <t>https://ai.google.dev/</t>
  </si>
  <si>
    <t>https://arxiv.org/abs/2403.05530</t>
  </si>
  <si>
    <r>
      <rPr>
        <rFont val="Calibri"/>
        <sz val="14.0"/>
      </rPr>
      <t xml:space="preserve">Announce: </t>
    </r>
    <r>
      <rPr>
        <rFont val="Calibri"/>
        <color rgb="FF1155CC"/>
        <sz val="14.0"/>
        <u/>
      </rPr>
      <t>https://x.com/OfficialLoganK/status/1828480085353234535</t>
    </r>
    <r>
      <rPr>
        <rFont val="Calibri"/>
        <sz val="14.0"/>
      </rPr>
      <t xml:space="preserve"> 1M context for all modalities. Note: Gemini outputs are watermarked. I do not use GDM models. </t>
    </r>
    <r>
      <rPr>
        <rFont val="Calibri"/>
        <color rgb="FF1155CC"/>
        <sz val="14.0"/>
        <u/>
      </rPr>
      <t>https://lifearchitect.ai/watermarking/</t>
    </r>
  </si>
  <si>
    <t>Pharia-1-LLM-7B</t>
  </si>
  <si>
    <t>Aleph Alpha</t>
  </si>
  <si>
    <t>https://huggingface.co/Aleph-Alpha/Pharia-1-LLM-7B-control</t>
  </si>
  <si>
    <t>https://aleph-alpha.com/introducing-pharia-1-llm-transparent-and-compliant/</t>
  </si>
  <si>
    <t>TTT-Linear</t>
  </si>
  <si>
    <t>https://github.com/test-time-training/ttt-lm-jax</t>
  </si>
  <si>
    <t>https://arxiv.org/abs/2407.04620</t>
  </si>
  <si>
    <t>Test-Time Training (TTT) layers. Real-time learning by Stanford, UC, and Meta. Potential for frontier models in 2025+.</t>
  </si>
  <si>
    <t>Jamba 1.5</t>
  </si>
  <si>
    <t>https://huggingface.co/collections/ai21labs/jamba-15-66c44befa474a917fcf55251</t>
  </si>
  <si>
    <t>https://arxiv.org/abs/2408.12570</t>
  </si>
  <si>
    <t>Jamba 1.5 Mini (12B active/52B total) and Jamba 1.5 Large (94B active/398B total) are also optimized for business use cases and capabilities such as function calling, structured output (JSON), and grounded generation.</t>
  </si>
  <si>
    <t>phi-3.5-MoE</t>
  </si>
  <si>
    <t>https://huggingface.co/microsoft/Phi-3.5-MoE-instruct</t>
  </si>
  <si>
    <t>https://arxiv.org/abs/2407.13833https://arxiv.org/abs/2407.13833</t>
  </si>
  <si>
    <t>phi-3.5-mini</t>
  </si>
  <si>
    <t>https://huggingface.co/microsoft/Phi-3.5-mini-instruct</t>
  </si>
  <si>
    <t>https://arxiv.org/abs/2407.13833</t>
  </si>
  <si>
    <t>Minitron-4B</t>
  </si>
  <si>
    <t>https://huggingface.co/nvidia/Minitron-4B-Base</t>
  </si>
  <si>
    <t>https://arxiv.org/abs/2407.14679</t>
  </si>
  <si>
    <r>
      <rPr>
        <rFont val="Calibri"/>
        <color rgb="FF073763"/>
        <sz val="14.0"/>
      </rPr>
      <t xml:space="preserve">Pruned and distilled from Nemotron-4 15B: </t>
    </r>
    <r>
      <rPr>
        <rFont val="Calibri"/>
        <color rgb="FF1155CC"/>
        <sz val="14.0"/>
        <u/>
      </rPr>
      <t>https://developer.nvidia.com/blog/how-to-prune-and-distill-llama-3-1-8b-to-an-nvidia-llama-3-1-minitron-4b-model/</t>
    </r>
  </si>
  <si>
    <t>sarvam-2b</t>
  </si>
  <si>
    <t>Sarvam AI</t>
  </si>
  <si>
    <t>https://huggingface.co/sarvamai/sarvam-2b-v0.5</t>
  </si>
  <si>
    <t>Indic languages supported are: Bengali, Gujarati, Hindi, Kannada, Malayalam, Marathi, Oriya, Punjabi, Tamil, and Telugu.</t>
  </si>
  <si>
    <t>Grok-2</t>
  </si>
  <si>
    <t>https://huggingface.co/xai-org/grok-2</t>
  </si>
  <si>
    <t>https://x.ai/blog/grok-2</t>
  </si>
  <si>
    <r>
      <rPr>
        <rFont val="Calibri"/>
        <sz val="14.0"/>
      </rPr>
      <t xml:space="preserve">MMLU-Pro=75.5=SOTA. Claude 3.5S MMLU-Pro=72.83. "Grok-2 has been tested on the LMSYS leaderboard under the name "sus-column-r." At the time of this blog post, it is outperforming both Claude 3.5 Sonnet and GPT-4-Turbo." [Alan: Grok is Heinlein, Sixth Column is also Heinlein: </t>
    </r>
    <r>
      <rPr>
        <rFont val="Calibri"/>
        <color rgb="FF1155CC"/>
        <sz val="14.0"/>
        <u/>
      </rPr>
      <t>https://en.wikipedia.org/wiki/Sixth_Column</t>
    </r>
    <r>
      <rPr>
        <rFont val="Calibri"/>
        <sz val="14.0"/>
      </rPr>
      <t xml:space="preserve"> ]</t>
    </r>
  </si>
  <si>
    <t>EXAONE 3.0</t>
  </si>
  <si>
    <t>https://huggingface.co/LGAI-EXAONE/EXAONE-3.0-7.8B-Instruct</t>
  </si>
  <si>
    <t>https://arxiv.org/abs/2408.03541</t>
  </si>
  <si>
    <t>“EXAONE”=“EXpert AI for EveryONE”</t>
  </si>
  <si>
    <t>Falcon Mamba 7B</t>
  </si>
  <si>
    <t>https://falconllm.tii.ae/falcon-models.html</t>
  </si>
  <si>
    <t>https://falconllm.tii.ae/tii-releases-first-sslm-with-falcon-mamba-7b.html</t>
  </si>
  <si>
    <t>https://huggingface.co/spaces/tiiuae/falcon-mamba-playground</t>
  </si>
  <si>
    <t>Palmyra-Med-70B</t>
  </si>
  <si>
    <t>Writer</t>
  </si>
  <si>
    <t>https://huggingface.co/Writer/Palmyra-Med-70B-32K</t>
  </si>
  <si>
    <t>https://writer.com/blog/palmyra-med-fin-models/</t>
  </si>
  <si>
    <t>Medical. MMLU Medical Genetics=94.0</t>
  </si>
  <si>
    <t>Palmyra-Fin-70B</t>
  </si>
  <si>
    <t>https://huggingface.co/Writer/Palmyra-Fin-70B-32K</t>
  </si>
  <si>
    <t>Financial. "across a variety of real-world financial use cases. It outperformed popular models like Claude 3.5 Sonnet, GPT-4o, and Mixtral-8x7b"</t>
  </si>
  <si>
    <t>Zamba2-small</t>
  </si>
  <si>
    <t>https://huggingface.co/Zyphra/Zamba2-2.7B</t>
  </si>
  <si>
    <t>https://www.zyphra.com/post/zamba2-small</t>
  </si>
  <si>
    <t>Mamba2</t>
  </si>
  <si>
    <t>Minitron-8B</t>
  </si>
  <si>
    <t>https://huggingface.co/nvidia/Mistral-NeMo-Minitron-8B-Base</t>
  </si>
  <si>
    <t>https://blogs.nvidia.com/blog/mistral-nemo-minitron-8b-small-language-model/</t>
  </si>
  <si>
    <r>
      <rPr>
        <rFont val="Calibri"/>
        <color rgb="FF073763"/>
        <sz val="14.0"/>
      </rPr>
      <t xml:space="preserve">Pruned and distilled from Nemotron-4 15B: </t>
    </r>
    <r>
      <rPr>
        <rFont val="Calibri"/>
        <color rgb="FF1155CC"/>
        <sz val="14.0"/>
        <u/>
      </rPr>
      <t>https://developer.nvidia.com/blog/how-to-prune-and-distill-llama-3-1-8b-to-an-nvidia-llama-3-1-minitron-4b-model/</t>
    </r>
  </si>
  <si>
    <t>Mistral Large 2</t>
  </si>
  <si>
    <t>https://huggingface.co/mistralai/Mistral-Large-Instruct-2407</t>
  </si>
  <si>
    <t>https://mistral.ai/news/mistral-large-2407/</t>
  </si>
  <si>
    <t>Fits on a single node for inference.</t>
  </si>
  <si>
    <t>Llama 3.1 405B</t>
  </si>
  <si>
    <t>https://www.meta.ai/</t>
  </si>
  <si>
    <t>https://ai.meta.com/research/publications/the-llama-3-herd-of-models/</t>
  </si>
  <si>
    <r>
      <rPr>
        <rFont val="Calibri"/>
        <sz val="14.0"/>
      </rPr>
      <t xml:space="preserve">Announce: </t>
    </r>
    <r>
      <rPr>
        <rFont val="Calibri"/>
        <color rgb="FF1155CC"/>
        <sz val="14.0"/>
        <u/>
      </rPr>
      <t>https://ai.meta.com/blog/meta-llama-3-1/</t>
    </r>
    <r>
      <rPr>
        <rFont val="Calibri"/>
        <sz val="14.0"/>
      </rPr>
      <t xml:space="preserve"> Model card: </t>
    </r>
    <r>
      <rPr>
        <rFont val="Calibri"/>
        <color rgb="FF1155CC"/>
        <sz val="14.0"/>
        <u/>
      </rPr>
      <t>https://github.com/meta-llama/llama-models/blob/main/models/llama3_1/MODEL_CARD.md</t>
    </r>
  </si>
  <si>
    <t>GPT-4o mini</t>
  </si>
  <si>
    <t>https://openai.com/index/gpt-4o-mini-advancing-cost-efficient-intelligence/</t>
  </si>
  <si>
    <r>
      <rPr>
        <rFont val="Calibri"/>
        <sz val="14.0"/>
      </rPr>
      <t xml:space="preserve">Omnimodel. "OpenAI would not disclose exactly how large GPT-4o mini is, but said it’s roughly in the same tier as other small AI models, such as Llama 3 8b, Claude Haiku and Gemini 1.5 Flash." </t>
    </r>
    <r>
      <rPr>
        <rFont val="Calibri"/>
        <color rgb="FF1155CC"/>
        <sz val="14.0"/>
        <u/>
      </rPr>
      <t>https://techcrunch.com/2024/07/18/openai-unveils-gpt-4o-mini-a-small-ai-model-powering-chatgpt/</t>
    </r>
    <r>
      <rPr>
        <rFont val="Calibri"/>
        <sz val="14.0"/>
      </rPr>
      <t xml:space="preserve"> "tested GPT-4o to identify potential risks, which we have addressed and plan to share the details of in the forthcoming GPT-4o system card and Preparedness scorecard." And related paper about instruction hierarchy: </t>
    </r>
    <r>
      <rPr>
        <rFont val="Calibri"/>
        <color rgb="FF1155CC"/>
        <sz val="14.0"/>
        <u/>
      </rPr>
      <t>https://arxiv.org/abs/2404.13208</t>
    </r>
    <r>
      <rPr>
        <rFont val="Calibri"/>
        <sz val="14.0"/>
      </rPr>
      <t xml:space="preserve"> </t>
    </r>
  </si>
  <si>
    <t>NeMo</t>
  </si>
  <si>
    <t>https://huggingface.co/mistralai/Mistral-Nemo-Base-2407</t>
  </si>
  <si>
    <t>https://mistral.ai/news/mistral-nemo/</t>
  </si>
  <si>
    <r>
      <rPr>
        <rFont val="Calibri"/>
        <sz val="14.0"/>
      </rPr>
      <t xml:space="preserve">With NVIDIA. "Drop-in replacement of Mistral 7B". "trained using Megatron-LM, part of NVIDIA NeMo, with 3,072 H100 80GB Tensor Core GPUs" </t>
    </r>
    <r>
      <rPr>
        <rFont val="Calibri"/>
        <color rgb="FF1155CC"/>
        <sz val="14.0"/>
        <u/>
      </rPr>
      <t>https://blogs.nvidia.com/blog/mistral-nvidia-ai-model/</t>
    </r>
  </si>
  <si>
    <t>Codestral Mamba</t>
  </si>
  <si>
    <t>https://huggingface.co/mistralai/mamba-codestral-7B-v0.1</t>
  </si>
  <si>
    <t>https://mistral.ai/news/codestral-mamba/</t>
  </si>
  <si>
    <t>"Unlike Transformer models, Mamba models offer the advantage of linear time inference and the theoretical ability to model sequences of infinite length."</t>
  </si>
  <si>
    <t>Mathstral</t>
  </si>
  <si>
    <t>https://huggingface.co/mistralai/mathstral-7B-v0.1</t>
  </si>
  <si>
    <t>https://mistral.ai/news/mathstral/</t>
  </si>
  <si>
    <t>"We’re contributing Mathstral to the science community to bolster efforts in advanced mathematical problems requiring complex, multi-step logical reasoning."</t>
  </si>
  <si>
    <t>SpreadsheetLLM</t>
  </si>
  <si>
    <t>https://arxiv.org/abs/2407.09025v1</t>
  </si>
  <si>
    <t>Notable finetune of GPT4-0125-preview "outperforming the vanilla approach by 25.6% in GPT4’s in-context learning setting"</t>
  </si>
  <si>
    <t>Spectra</t>
  </si>
  <si>
    <t>https://huggingface.co/SpectraSuite</t>
  </si>
  <si>
    <t>https://arxiv.org/abs/2407.12327</t>
  </si>
  <si>
    <t>AKA TriLM. "Spectra LLM suite, the first open suite of LLMs spanning multiple bit-widths, including FloatLMs, QuantLMs, and TriLMs, ranging from 99M to 3.9B parameters trained on 300B tokens."</t>
  </si>
  <si>
    <t>next-gen</t>
  </si>
  <si>
    <t>DeepL</t>
  </si>
  <si>
    <t>https://www.deepl.com/en/translator</t>
  </si>
  <si>
    <t>https://www.deepl.com/en/blog/next-gen-language-model</t>
  </si>
  <si>
    <t>"Built using our own groundbreaking, specialized LLM technology and proprietary training data, designed specifically for translation"</t>
  </si>
  <si>
    <t>SmolLM</t>
  </si>
  <si>
    <t>https://huggingface.co/collections/HuggingFaceTB/smollm-6695016cad7167254ce15966</t>
  </si>
  <si>
    <t>https://huggingface.co/blog/smollm</t>
  </si>
  <si>
    <t>Dataset includes new Cosmopedia v2 synthetic data. 135M and 360M models,each trained on 600B tokens from Smollm-Corpus. 1.7B model trained on 1T tokens from Smollm-Corpus.</t>
  </si>
  <si>
    <t>Mockingbird</t>
  </si>
  <si>
    <t>Vectara</t>
  </si>
  <si>
    <t>https://vectara.com/platform/</t>
  </si>
  <si>
    <t>https://vectara.com/blog/mockingbird-a-rag-and-structured-output-focused-llm/</t>
  </si>
  <si>
    <t>"At &lt;10B parameters it's an LLM trained to provide optimal results for RAG and structured outputs."</t>
  </si>
  <si>
    <t>FLAMe</t>
  </si>
  <si>
    <t>dialogue</t>
  </si>
  <si>
    <t>https://arxiv.org/abs/2407.10817v1</t>
  </si>
  <si>
    <t>LLM-as-a-Judge autorater. Foundational Large Autorater Models (FLAMe). Uses an instruction-tuned PaLM-2-24B model. Unrelated to Microsoft FLAME Jan/2023.</t>
  </si>
  <si>
    <t>Step-2</t>
  </si>
  <si>
    <t>https://platform.stepfun.com/#language-step2</t>
  </si>
  <si>
    <t>https://platform.stepfun.com/docs/llm/text</t>
  </si>
  <si>
    <r>
      <rPr>
        <rFont val="Calibri"/>
        <color rgb="FF073763"/>
        <sz val="14.0"/>
      </rPr>
      <t xml:space="preserve">Launched early Jul/2024: </t>
    </r>
    <r>
      <rPr>
        <rFont val="Calibri"/>
        <color rgb="FF1155CC"/>
        <sz val="14.0"/>
        <u/>
      </rPr>
      <t>https://pandaily.com/stepfun-releases-three-large-models-of-the-step-series/</t>
    </r>
    <r>
      <rPr>
        <rFont val="Calibri"/>
        <color rgb="FF073763"/>
        <sz val="14.0"/>
      </rPr>
      <t xml:space="preserve"> "StepFun, founded in April 2023 with the mission to “Scale-up possibilities for everyone,” unites top talent in artificial intelligence from both domestic and international backgrounds, and is dedicated to advancing toward AGI. The company has already launched the Step series of foundation models, which includes Step-2, a cutting-edge trillion-parameter Mixture of Experts (MoE) language model; Step-1.5V, a powerful multimodal large model; and Step-1V, an innovative image generation model, among others."</t>
    </r>
  </si>
  <si>
    <t>H2O-Danube3-4B</t>
  </si>
  <si>
    <t>H2O.ai</t>
  </si>
  <si>
    <t>https://h2o.ai/platform/danube/personal-gpt/</t>
  </si>
  <si>
    <t>https://arxiv.org/abs/2407.09276</t>
  </si>
  <si>
    <r>
      <rPr>
        <rFont val="Calibri"/>
        <color rgb="FF073763"/>
        <sz val="14.0"/>
      </rPr>
      <t xml:space="preserve">Runs natively and fully offline on mobile phone. "H2O-Danube3 is a family of decoder only LLM models that use the general Llama model architecture adopting core principles from Llama 2 and Mistral with custom parameters determining the shape of each layer and total parameter count. We use the Mistral tokenizer..." MMLU for chat=54.74, base=55.18 via </t>
    </r>
    <r>
      <rPr>
        <rFont val="Calibri"/>
        <color rgb="FF1155CC"/>
        <sz val="14.0"/>
        <u/>
      </rPr>
      <t>https://huggingface.co/h2oai/h2o-danube3-4b-base</t>
    </r>
  </si>
  <si>
    <t>Causal Axioms</t>
  </si>
  <si>
    <t>https://arxiv.org/abs/2407.07612v1</t>
  </si>
  <si>
    <t>"the training dataset follows a specific structure, we develop a custom tokenizer. Alphanumeric node names are tokenized at a character level, while special terms such as ‘causes’, ‘Does’, ‘cause’, ‘Yes’, and ‘No’ are tokenized at the word level... Our training setup consists of around 175k instances of sequential chains with size of chains ranging from 3 to 6 nodes... All models are trained for 100 epochs. [LifeArchitect.ai estimate is 12 tokens per node x 6 nodes x 175,000 instances x 100 epochs = 1.26B tokens]" Based on GPT-2 arch.</t>
  </si>
  <si>
    <t>SenseNova 5.5</t>
  </si>
  <si>
    <t>SenseTime</t>
  </si>
  <si>
    <t>https://platform.sensenova.cn/home#/home</t>
  </si>
  <si>
    <t>https://www.sensetime.com/en/news-detail/51168278?categoryId=1072</t>
  </si>
  <si>
    <t>"The model training was based on over 10TB tokens [sic, taken as 10T tokens instead of 10TB=2T tokens] of high-quality training data, including a large amount of synthetically-generated reasoning chain data, which help to enhance its reasoning capabilities." &amp; "The updates include SenseNova 5o, the first real-time multimodal model in China, which provides a new AI interaction model on par with GPT-4o’s streaming interaction capabilities"</t>
  </si>
  <si>
    <t>Helium 7B</t>
  </si>
  <si>
    <t>https://moshi.chat/</t>
  </si>
  <si>
    <t>https://youtu.be/hm2IJSKcYvo</t>
  </si>
  <si>
    <t>"1. The model is fine-tuned on 100K transcripts generated by Helium itself. 2. These transcripts are highly detailed, heavily annotated with emotion and style, and conversational. 3. Text to Speech Engine is further fine-tuned on 20 hours of audio recorded by Alice and licensed."</t>
  </si>
  <si>
    <t>InternLM2.5</t>
  </si>
  <si>
    <t>https://huggingface.co/internlm/internlm2_5-20b-chat</t>
  </si>
  <si>
    <t>https://github.com/InternLM/InternLM/blob/main/model_cards/internlm2.5_7b.md</t>
  </si>
  <si>
    <t>"The release of InternLM2.5 series contains 7B model size for now and we are going to release the 1.8B and 20B versions soon" [20B released around 1/Aug/2024]</t>
  </si>
  <si>
    <t>Tele-FLM-1T</t>
  </si>
  <si>
    <t>https://huggingface.co/CofeAI/Tele-FLM-1T</t>
  </si>
  <si>
    <t>https://arxiv.org/abs/2407.02783</t>
  </si>
  <si>
    <t>Technical arch testing only, ratio is too low for decent performance.</t>
  </si>
  <si>
    <t>YuLan-Base-12B</t>
  </si>
  <si>
    <t>https://github-com.translate.goog/RUC-GSAI/YuLan-Chat?_x_tr_sl=zh-CN&amp;_x_tr_tl=en&amp;_x_tr_hl=en&amp;_x_tr_pto=sc</t>
  </si>
  <si>
    <t>https://arxiv.org/abs/2406.19853</t>
  </si>
  <si>
    <t>"YuLan's training is finished on Jan, 2024 and has achieved performance on par with state-of-the-art LLMs across various English and Chinese benchmarks."</t>
  </si>
  <si>
    <t>ERNIE 4.0 Turbo</t>
  </si>
  <si>
    <t>https://www.reuters.com/technology/artificial-intelligence/baidu-launches-upgraded-ai-model-says-user-base-hits-300-mln-2024-06-28/</t>
  </si>
  <si>
    <t>"Ernie Bot has reached 300 million users since its launch [on 16/Mar/2023, public Aug/2023]" Jun/2024</t>
  </si>
  <si>
    <t>Gemma 2</t>
  </si>
  <si>
    <t>https://huggingface.co/google/gemma-2-27b-it</t>
  </si>
  <si>
    <t>https://storage.googleapis.com/deepmind-media/gemma/gemma-2-report.pdf</t>
  </si>
  <si>
    <r>
      <rPr>
        <rFont val="Calibri"/>
        <color rgb="FF000000"/>
        <sz val="14.0"/>
      </rPr>
      <t xml:space="preserve">Announce: </t>
    </r>
    <r>
      <rPr>
        <rFont val="Calibri"/>
        <color rgb="FF1155CC"/>
        <sz val="14.0"/>
        <u/>
      </rPr>
      <t>https://blog.google/technology/developers/google-gemma-2/</t>
    </r>
  </si>
  <si>
    <t>CriticGPT</t>
  </si>
  <si>
    <t>https://cdn.openai.com/llm-critics-help-catch-llm-bugs-paper.pdf</t>
  </si>
  <si>
    <r>
      <rPr>
        <rFont val="Calibri"/>
        <color rgb="FF073763"/>
        <sz val="14.0"/>
      </rPr>
      <t xml:space="preserve">"LLM Critics Help Catch LLM Bugs" Announce: </t>
    </r>
    <r>
      <rPr>
        <rFont val="Calibri"/>
        <color rgb="FF1155CC"/>
        <sz val="14.0"/>
        <u/>
      </rPr>
      <t>https://openai.com/index/finding-gpt4s-mistakes-with-gpt-4/</t>
    </r>
  </si>
  <si>
    <t>4M-21</t>
  </si>
  <si>
    <t>https://github.com/apple/ml-4m/</t>
  </si>
  <si>
    <t>https://arxiv.org/abs/2406.09406</t>
  </si>
  <si>
    <r>
      <rPr>
        <rFont val="Calibri"/>
        <sz val="14.0"/>
      </rPr>
      <t xml:space="preserve">Vision model based on T5-XXL. Modalities: RGB, Caption, Bounding boxes, Semantic segmentation, Depth, Human poses, Surface normals, CLIP, DINOv2, ImageBind, Metadata, Canny edges, SAM edges, SAM instances, Color palette. Project page: </t>
    </r>
    <r>
      <rPr>
        <rFont val="Calibri"/>
        <color rgb="FF1155CC"/>
        <sz val="14.0"/>
        <u/>
      </rPr>
      <t>https://4m.epfl.ch/</t>
    </r>
  </si>
  <si>
    <t>ESM3</t>
  </si>
  <si>
    <t>EvolutionaryScale</t>
  </si>
  <si>
    <t>https://github.com/evolutionaryscale/esm</t>
  </si>
  <si>
    <t>🟡</t>
  </si>
  <si>
    <t>https://www.evolutionaryscale.ai/blog/esm3-release</t>
  </si>
  <si>
    <t>Biology large language model: "sequence, structure, and function are all masked and predicted during training, ESM3 can generate in all three modalities." 1.4B only released.</t>
  </si>
  <si>
    <t>PanGu 5.0 Super</t>
  </si>
  <si>
    <t>https://www.huaweicloud.com/intl/en-us/product/modelarts.html</t>
  </si>
  <si>
    <t>https://www.huaweicentral.com/huawei-cloud-unveils-pangu-large-model-5-0/</t>
  </si>
  <si>
    <t>https://x.com/faridofanani96/status/1804079517193113850/photo/1</t>
  </si>
  <si>
    <t>Claude 3.5 Sonnet</t>
  </si>
  <si>
    <t>https://poe.com/Claude-3.5-Sonnet</t>
  </si>
  <si>
    <t>https://www.anthropic.com/news/claude-3-5-sonnet</t>
  </si>
  <si>
    <r>
      <rPr>
        <rFont val="Calibri"/>
        <color rgb="FF073763"/>
        <sz val="14.0"/>
      </rPr>
      <t xml:space="preserve">MMLU=90.4 with prompting. Model card: </t>
    </r>
    <r>
      <rPr>
        <rFont val="Calibri"/>
        <color rgb="FF1155CC"/>
        <sz val="14.0"/>
        <u/>
      </rPr>
      <t>https://www-cdn.anthropic.com/fed9cc193a14b84131812372d8d5857f8f304c52/Model_Card_Claude_3_Addendum.pdf</t>
    </r>
    <r>
      <rPr>
        <rFont val="Calibri"/>
        <color rgb="FF073763"/>
        <sz val="14.0"/>
      </rPr>
      <t xml:space="preserve"> </t>
    </r>
  </si>
  <si>
    <t>DeepSeek-Coder-V2</t>
  </si>
  <si>
    <t>https://chat.deepseek.com/coder</t>
  </si>
  <si>
    <t>DeepSeek-V2 with additional 6 trillion tokens.</t>
  </si>
  <si>
    <t>DCLM-Baseline 7B 2.6T</t>
  </si>
  <si>
    <t>https://huggingface.co/apple/DCLM-Baseline-7B</t>
  </si>
  <si>
    <t>https://arxiv.org/abs/2406.11794</t>
  </si>
  <si>
    <r>
      <rPr>
        <rFont val="Calibri"/>
        <color rgb="FF073763"/>
        <sz val="14.0"/>
      </rPr>
      <t xml:space="preserve">New dataset: 240T tokens: 8× larger than previous SOTA dataset. DCLM-Pool is 240T, DCLM-Baseline is 3.8T: "we combine our 3.8T DCLM-BASELINE with the StarCoder and ProofPile2 data to arrive at a 4.1T token dataset. We train a 7B model for 2.5T tokens" and "We release the DCLM benchmark, framework, models, and datasets at </t>
    </r>
    <r>
      <rPr>
        <rFont val="Calibri"/>
        <color rgb="FF1155CC"/>
        <sz val="14.0"/>
        <u/>
      </rPr>
      <t>https://datacomp.ai/dclm.</t>
    </r>
    <r>
      <rPr>
        <rFont val="Calibri"/>
        <color rgb="FF073763"/>
        <sz val="14.0"/>
      </rPr>
      <t>"</t>
    </r>
  </si>
  <si>
    <t>Nemotron-4-340B</t>
  </si>
  <si>
    <t>https://build.nvidia.com/nvidia/nemotron-4-340b-instruct</t>
  </si>
  <si>
    <t>https://d1qx31qr3h6wln.cloudfront.net/publications/Nemotron_4_340B_8T.pdf</t>
  </si>
  <si>
    <r>
      <rPr>
        <rFont val="Calibri"/>
        <color rgb="FF073763"/>
        <sz val="14.0"/>
      </rPr>
      <t xml:space="preserve">Open-source equiv of Mar/2023 GPT-4 (1760MoE≈340B, 13T), same param count but 2x the tokens of May/2023 PaLM 2 (340B, 3.6T), competitor to Nov/2023 Grok-1 (314B, 6T). Trained on 6,144 H100s. ~1.3TB for inference. 50+ natural and 40+ coding languages. Trained between December 2023 and May 2024. MMLU 0-shot for instruct=78.7, 5-shot for base=81.1. Permalink for paper: </t>
    </r>
    <r>
      <rPr>
        <rFont val="Calibri"/>
        <color rgb="FF1155CC"/>
        <sz val="14.0"/>
        <u/>
      </rPr>
      <t>https://research.nvidia.com/publication/2024-06_nemotron-4-340b</t>
    </r>
  </si>
  <si>
    <t>Apple On-Device model Jun/2024</t>
  </si>
  <si>
    <t>https://github.com/apple/corenet/tree/main/projects/openelm</t>
  </si>
  <si>
    <t>https://arxiv.org/abs/2404.14619</t>
  </si>
  <si>
    <r>
      <rPr>
        <rFont val="Calibri"/>
        <color rgb="FF1155CC"/>
        <sz val="14.0"/>
        <u/>
      </rPr>
      <t>https://lifearchitect.ai/apple/</t>
    </r>
    <r>
      <rPr>
        <rFont val="Calibri"/>
        <sz val="14.0"/>
      </rPr>
      <t xml:space="preserve"> Likely to be the Apple OpenELM model (Apr/2024). "two of these models — a ~3 billion parameter on-device language model, and a larger server-based language model available with Private Cloud Compute". </t>
    </r>
    <r>
      <rPr>
        <rFont val="Calibri"/>
        <color rgb="FF1155CC"/>
        <sz val="14.0"/>
        <u/>
      </rPr>
      <t>https://machinelearning.apple.com/research/introducing-apple-foundation-models</t>
    </r>
    <r>
      <rPr>
        <rFont val="Calibri"/>
        <sz val="14.0"/>
      </rPr>
      <t xml:space="preserve"> The server-based model is possibly Ferret, although it is more properly called a multimodal model (not just language). It could also be Apple GPT based on their Ajax framework: </t>
    </r>
    <r>
      <rPr>
        <rFont val="Calibri"/>
        <color rgb="FF1155CC"/>
        <sz val="14.0"/>
        <u/>
      </rPr>
      <t>https://archive.md/f3C0r</t>
    </r>
  </si>
  <si>
    <t>MatMul-Free LM</t>
  </si>
  <si>
    <t>UCSC</t>
  </si>
  <si>
    <t>https://github.com/ridgerchu/matmulfreellm</t>
  </si>
  <si>
    <t>https://arxiv.org/abs/2406.02528</t>
  </si>
  <si>
    <t>"we explore alternative methods for mixing tokens without relying on matrix multiplications." Compared with Transformer++ based on Llama-2, not to be confused with the pre-GPT-3 American Express Transformer++ paper from 2/Mar/2020. Instead, Transformer++ is defined in the Mamba paper: 'Transformer++: A Transformer with an improved architecture, namely rotary positional encodings (Su et al. 2021) and SwiGLU MLP (Shazeer 2020)'</t>
  </si>
  <si>
    <t>Luna</t>
  </si>
  <si>
    <t>Galileo</t>
  </si>
  <si>
    <t>https://www.rungalileo.io/blog/introducing-galileo-luna-a-family-of-evaluation-foundation-models</t>
  </si>
  <si>
    <t>https://arxiv.org/abs/2406.00975</t>
  </si>
  <si>
    <t>Based on DeBERTA-large (440M). RoBERTa=162B token dataset.</t>
  </si>
  <si>
    <t>Qwen2</t>
  </si>
  <si>
    <t>https://huggingface.co/spaces/Qwen/Qwen2-72B-Instruct</t>
  </si>
  <si>
    <t>https://arxiv.org/abs/2407.10671</t>
  </si>
  <si>
    <r>
      <rPr>
        <rFont val="Calibri"/>
        <sz val="14.0"/>
      </rPr>
      <t xml:space="preserve">Instruct MMLU=82. Instruct GPQA=41.9. </t>
    </r>
    <r>
      <rPr>
        <rFont val="Calibri"/>
        <color rgb="FF1155CC"/>
        <sz val="14.0"/>
        <u/>
      </rPr>
      <t>https://qwenlm.github.io/blog/qwen2/</t>
    </r>
  </si>
  <si>
    <t>Qwen2-57B-A14B</t>
  </si>
  <si>
    <t xml:space="preserve">https://github.com/QwenLM/Qwen2?tab=readme-ov-file </t>
  </si>
  <si>
    <t>https://qwenlm.github.io/blog/qwen2/</t>
  </si>
  <si>
    <t>Skywork MoE 16x13B</t>
  </si>
  <si>
    <t>Kunlun Tech</t>
  </si>
  <si>
    <t>https://huggingface.co/Skywork/Skywork-MoE-Base</t>
  </si>
  <si>
    <t>https://github.com/SkyworkAI/Skywork-MoE/blob/main/skywork-moe-tech-report.pdf</t>
  </si>
  <si>
    <t>CN + EN. "(MoE) model with 146 billion parameters, 16 experts, and 22 billion activated parameters. This model is initialized from the pre-existing dense checkpoints of our Skywork-13B model."</t>
  </si>
  <si>
    <t>Mamba-2</t>
  </si>
  <si>
    <t>https://github.com/state-spaces/mamba</t>
  </si>
  <si>
    <t>https://arxiv.org/abs/2405.21060</t>
  </si>
  <si>
    <r>
      <rPr>
        <rFont val="Calibri"/>
        <sz val="14.0"/>
      </rPr>
      <t xml:space="preserve">Analysis: </t>
    </r>
    <r>
      <rPr>
        <rFont val="Calibri"/>
        <color rgb="FF1155CC"/>
        <sz val="14.0"/>
        <u/>
      </rPr>
      <t>https://tridao.me/blog/2024/mamba2-part1-model/</t>
    </r>
  </si>
  <si>
    <t>MAP-Neo</t>
  </si>
  <si>
    <t>https://map-neo.github.io/</t>
  </si>
  <si>
    <t>https://arxiv.org/abs/2405.19327</t>
  </si>
  <si>
    <t>"first fully open-sourced bilingual LLM with comparable performance to existing state-of-the-art LLMs... we open-source all details to reproduce our MAP-Neo, where the cleaned pre-training corpus, data cleaning pipeline, checkpoints, and well-optimized training/evaluation framework are provided."</t>
  </si>
  <si>
    <t>K2</t>
  </si>
  <si>
    <t>LLM360</t>
  </si>
  <si>
    <t>https://huggingface.co/LLM360/K2</t>
  </si>
  <si>
    <t>https://www.llm360.ai/blog/several-new-releases-to-further-our-mission.html</t>
  </si>
  <si>
    <t>"K2-65B is a fully reproducible LLM outperforming Llama 2 70B using 35% less compute."</t>
  </si>
  <si>
    <t>Codestral</t>
  </si>
  <si>
    <t>https://huggingface.co/mistralai/Codestral-22B-v0.1</t>
  </si>
  <si>
    <t>https://mistral.ai/news/codestral/</t>
  </si>
  <si>
    <t>Fluent in 80+ programming languages</t>
  </si>
  <si>
    <t>Aya-23-35B</t>
  </si>
  <si>
    <t>https://huggingface.co/spaces/CohereForAI/aya-23</t>
  </si>
  <si>
    <t>https://drive.google.com/file/d/1YKBPo61pnl97C1c_1C2ZVOnPhqf7MLSc/view</t>
  </si>
  <si>
    <t>Yi-XLarge</t>
  </si>
  <si>
    <t>https://platform.01.ai/</t>
  </si>
  <si>
    <t>https://www.aixinzhijie.com/article/6845768</t>
  </si>
  <si>
    <r>
      <rPr>
        <rFont val="Calibri"/>
        <color rgb="FF073763"/>
        <sz val="14.0"/>
      </rPr>
      <t xml:space="preserve">Still training as of May/2024: </t>
    </r>
    <r>
      <rPr>
        <rFont val="Calibri"/>
        <color rgb="FF1155CC"/>
        <sz val="14.0"/>
        <u/>
      </rPr>
      <t>https://appserversrc.8btc.cn/FnDYlEC4STBhphu6M3NL4CKH43FW</t>
    </r>
    <r>
      <rPr>
        <rFont val="Calibri"/>
        <color rgb="FF073763"/>
        <sz val="14.0"/>
      </rPr>
      <t xml:space="preserve"> dead link, use: </t>
    </r>
    <r>
      <rPr>
        <rFont val="Calibri"/>
        <color rgb="FF1155CC"/>
        <sz val="14.0"/>
        <u/>
      </rPr>
      <t>https://finance.china.com.cn/roll/20240513/6116857.shtml</t>
    </r>
  </si>
  <si>
    <t>Yi-Large</t>
  </si>
  <si>
    <t>Chameleon</t>
  </si>
  <si>
    <t>https://ai.meta.com/resources/models-and-libraries/chameleon-downloads/?gk_enable=chameleon_web_flow_is_live</t>
  </si>
  <si>
    <t>https://arxiv.org/abs/2405.09818</t>
  </si>
  <si>
    <t>Multimodal</t>
  </si>
  <si>
    <t>LearnLM</t>
  </si>
  <si>
    <t>https://learning.google.com/experiments/learn-about/signup</t>
  </si>
  <si>
    <t>https://storage.googleapis.com/deepmind-media/LearnLM/LearnLM_paper.pdf</t>
  </si>
  <si>
    <t>Fine-tuned + prompted Gemini (Dec/2023). "The results of LearnLM-Tutor reproduce the performance of Gemini Pro, for example an MMLU score of 0.72 and MATH score of 0.33."</t>
  </si>
  <si>
    <t>Sparse Llama 7B</t>
  </si>
  <si>
    <t>https://huggingface.co/spaces/neuralmagic/llama-2-sparse-transfer-chat-deepsparse</t>
  </si>
  <si>
    <t>https://arxiv.org/abs/2405.03594</t>
  </si>
  <si>
    <t>Hybrid</t>
  </si>
  <si>
    <r>
      <rPr>
        <rFont val="Calibri"/>
        <color rgb="FF1155CC"/>
        <sz val="14.0"/>
        <u/>
      </rPr>
      <t>https://www.cerebras.net/blog/introducing-sparse-llama-70-smaller-3x-faster-full-accuracy</t>
    </r>
    <r>
      <rPr>
        <rFont val="Calibri"/>
        <color rgb="FF000000"/>
        <sz val="14.0"/>
      </rPr>
      <t xml:space="preserve"> "For the 50% sparse model, we utilized 45 billion tokens of pretraining data, while an additional 100 billion tokens were used for the 70% model. This represents approximately 2% to 8% of the original 2 trillion tokens used to train the base Llama-2 model."</t>
    </r>
  </si>
  <si>
    <t>Gemini 1.5 Flash</t>
  </si>
  <si>
    <t>https://goo.gle/GeminiV1-5</t>
  </si>
  <si>
    <r>
      <rPr>
        <rFont val="Calibri"/>
        <sz val="14.0"/>
      </rPr>
      <t xml:space="preserve">1M context length. Note: Gemini outputs are watermarked. I do not use GDM models. </t>
    </r>
    <r>
      <rPr>
        <rFont val="Calibri"/>
        <color rgb="FF1155CC"/>
        <sz val="14.0"/>
        <u/>
      </rPr>
      <t>https://lifearchitect.ai/watermarking/</t>
    </r>
  </si>
  <si>
    <t>GPT-4o</t>
  </si>
  <si>
    <t>https://openai.com/index/gpt-4o-system-card/</t>
  </si>
  <si>
    <r>
      <rPr>
        <rFont val="Calibri,Arial"/>
        <sz val="14.0"/>
      </rPr>
      <t xml:space="preserve">gpt-4o-2024-05-13 no longer easily available, so hidden in the Model Table rankings. Omnimodel. ‘[GPT-4o is] likely an early checkpoint of GPT-5’. </t>
    </r>
    <r>
      <rPr>
        <rFont val="Calibri,Arial"/>
        <color rgb="FF1155CC"/>
        <sz val="14.0"/>
        <u/>
      </rPr>
      <t>https://twitter.com/drjimfan/status/1790089671365767313</t>
    </r>
    <r>
      <rPr>
        <rFont val="Calibri,Arial"/>
        <sz val="14.0"/>
      </rPr>
      <t xml:space="preserve"> ELO: </t>
    </r>
    <r>
      <rPr>
        <rFont val="Calibri,Arial"/>
        <color rgb="FF1155CC"/>
        <sz val="14.0"/>
        <u/>
      </rPr>
      <t>https://twitter.com/LiamFedus/status/1790064963966370209</t>
    </r>
    <r>
      <rPr>
        <rFont val="Calibri,Arial"/>
        <sz val="14.0"/>
      </rPr>
      <t xml:space="preserve"> Demo: </t>
    </r>
    <r>
      <rPr>
        <rFont val="Calibri,Arial"/>
        <color rgb="FF1155CC"/>
        <sz val="14.0"/>
        <u/>
      </rPr>
      <t>https://youtu.be/DQacCB9tDaw</t>
    </r>
  </si>
  <si>
    <t>Falcon 2 11B</t>
  </si>
  <si>
    <t>https://huggingface.co/tiiuae/falcon-11B</t>
  </si>
  <si>
    <t>https://www.tii.ae/news/falcon-2-uaes-technology-innovation-institute-releases-new-ai-model-series-outperforming-metas</t>
  </si>
  <si>
    <r>
      <rPr>
        <rFont val="Calibri"/>
        <color rgb="FF073763"/>
        <sz val="14.0"/>
      </rPr>
      <t xml:space="preserve">Announce: </t>
    </r>
    <r>
      <rPr>
        <rFont val="Calibri"/>
        <color rgb="FF1155CC"/>
        <sz val="14.0"/>
        <u/>
      </rPr>
      <t>https://www.tii.ae/news/falcon-2-uaes-technology-innovation-institute-releases-new-ai-model-series-outperforming-metas</t>
    </r>
  </si>
  <si>
    <t>Fugaku-LLM</t>
  </si>
  <si>
    <t>Fujitsu</t>
  </si>
  <si>
    <t>https://huggingface.co/Fugaku-LLM/Fugaku-LLM-13B-instruct</t>
  </si>
  <si>
    <t>https://www.fujitsu.com/global/about/resources/news/press-releases/2024/0510-01.html</t>
  </si>
  <si>
    <r>
      <rPr>
        <rFont val="Calibri,Arial"/>
        <color rgb="FF073763"/>
        <sz val="14.0"/>
      </rPr>
      <t xml:space="preserve">Japanese. CPU trained: 158,976+ A64FX CPUs (7M+ cores), zero GPUs. </t>
    </r>
    <r>
      <rPr>
        <rFont val="Calibri,Arial"/>
        <color rgb="FF1155CC"/>
        <sz val="14.0"/>
        <u/>
      </rPr>
      <t>https://en.wikipedia.org/wiki/Fugaku_(supercomputer)</t>
    </r>
  </si>
  <si>
    <t>Yi 1.5 34B</t>
  </si>
  <si>
    <t>https://huggingface.co/01-ai/Yi-1.5-34B-Chat</t>
  </si>
  <si>
    <t>https://github.com/01-ai/Yi-1.5</t>
  </si>
  <si>
    <t>Uses 600B more training tokens than Yi 1.0 (Nov/2023).</t>
  </si>
  <si>
    <t>YOCO</t>
  </si>
  <si>
    <t>https://github.com/microsoft/unilm/tree/master/YOCO</t>
  </si>
  <si>
    <t>https://arxiv.org/abs/2405.05254</t>
  </si>
  <si>
    <t>With Tsingua. You Only Cache Once (YOCO). Long context "1M context length with near-perfect needle retrieval accuracy"</t>
  </si>
  <si>
    <t>DeepSeek-V2</t>
  </si>
  <si>
    <t>https://arxiv.org/abs/2405.04434</t>
  </si>
  <si>
    <t>Huge dataset, 12% Chinese "Therefore, we acknowledge that DeepSeek-V2 still has a slight gap in basic English capabilities with LLaMA3 70B".</t>
  </si>
  <si>
    <t>ChuXin</t>
  </si>
  <si>
    <t>Independent</t>
  </si>
  <si>
    <t>https://huggingface.co/chuxin-llm/Chuxin-1.6B-Base</t>
  </si>
  <si>
    <t>https://arxiv.org/abs/2405.04828</t>
  </si>
  <si>
    <t>"results on the ”Needle In A Haystack”(NIAH) tests indicate that ChuXin-1M performs well across all context window lengths up to 1M."</t>
  </si>
  <si>
    <t>RWKV-v6 Finch</t>
  </si>
  <si>
    <t>https://huggingface.co/spaces/BlinkDL/RWKV-Gradio-2</t>
  </si>
  <si>
    <t>https://huggingface.co/BlinkDL/rwkv-6-world</t>
  </si>
  <si>
    <r>
      <rPr>
        <rFont val="Calibri"/>
        <color rgb="FF000000"/>
        <sz val="14.0"/>
      </rPr>
      <t xml:space="preserve">RWKV (pronounced RwaKuv) is an RNN:  </t>
    </r>
    <r>
      <rPr>
        <rFont val="Calibri"/>
        <color rgb="FF1155CC"/>
        <sz val="14.0"/>
        <u/>
      </rPr>
      <t>https://twitter.com/BlinkDL_AI/status/1787834625211158562</t>
    </r>
  </si>
  <si>
    <t>xLSTM</t>
  </si>
  <si>
    <t>ELLIS</t>
  </si>
  <si>
    <t>https://arxiv.org/abs/2405.04517</t>
  </si>
  <si>
    <t>New method LSTM to xLSTM, see also RNNs. Code/weights doesn't seem to be released. https://github.com/AI-Guru/xlstm-resources</t>
  </si>
  <si>
    <t>Granite Code</t>
  </si>
  <si>
    <t>https://github.com/ibm-granite/granite-code-models</t>
  </si>
  <si>
    <t>code</t>
  </si>
  <si>
    <t>https://github.com/ibm-granite/granite-code-models/blob/main/paper.pdf</t>
  </si>
  <si>
    <t>MMLU=50 for 8B model only. Dataset: publicly available datasets (e.g., GitHub Code Clean, Starcoder data), public code repositories, and issues from GitHub.</t>
  </si>
  <si>
    <t>Qwen-Max</t>
  </si>
  <si>
    <t>https://chat.lmsys.org/</t>
  </si>
  <si>
    <t>https://help.aliyun.com/zh/dashscope/developer-reference/model-introduction</t>
  </si>
  <si>
    <t>https://twitter.com/JustinLin610/status/1787584325367529509</t>
  </si>
  <si>
    <t>Med-Gemini-L 1.0</t>
  </si>
  <si>
    <t>https://twitter.com/alan_karthi/status/1785117450528264216</t>
  </si>
  <si>
    <t>https://arxiv.org/abs/2404.18416</t>
  </si>
  <si>
    <t>Med-Gemini-M 1.0 and Med-Gemini-L 1.0  (Pro and Ultra finetunes) "For language tasks that require less complex reasoning, such as summarizing medical notes and creating referral letters, we introduce Med-Gemini-M 1.0 by fine-tuning the Gemini 1.0 Pro model. For other tasks that require more advanced reasoning, we introduce Med-Gemini-L 1.0 by fine-tuning the Gemini 1.0 Ultra model using a self-training method to enable the models to efficiently use web search."</t>
  </si>
  <si>
    <t>TinyStories</t>
  </si>
  <si>
    <t>https://huggingface.co/roneneldan/TinyStories-33M</t>
  </si>
  <si>
    <t>https://arxiv.org/abs/2305.07759</t>
  </si>
  <si>
    <t>Precursor to phi.</t>
  </si>
  <si>
    <t>Tele-FLM</t>
  </si>
  <si>
    <t>https://huggingface.co/CofeAI/Tele-FLM</t>
  </si>
  <si>
    <t>https://arxiv.org/abs/2404.16645</t>
  </si>
  <si>
    <t xml:space="preserve">Also known as FLM-2. "We will open-source a 1T model checkpoint, namely Tele-FLM-1T, to advance further training and research." Discussion paper Jul/2024: https://arxiv.org/abs/2407.02783  </t>
  </si>
  <si>
    <t>Qwen-1.5 110B</t>
  </si>
  <si>
    <t>https://huggingface.co/spaces/Qwen/Qwen1.5-110B-Chat-demo</t>
  </si>
  <si>
    <t>https://qwenlm.github.io/blog/qwen1.5-110b/</t>
  </si>
  <si>
    <t>Worse performance on GPQA (72B=36.3, 110B=35.9).</t>
  </si>
  <si>
    <t>Arctic</t>
  </si>
  <si>
    <t>Snowflake AI Research</t>
  </si>
  <si>
    <t>https://arctic.streamlit.app/</t>
  </si>
  <si>
    <t>https://www.snowflake.com/blog/arctic-open-efficient-foundation-language-models-snowflake/</t>
  </si>
  <si>
    <t>"Arctic uses a unique Dense-MoE Hybrid transformer architecture. It combines a 10B dense transformer model with a residual 128×3.66B MoE MLP resulting in 480B total and 17B active parameters chosen using a top-2 gating."</t>
  </si>
  <si>
    <t>SenseNova 5.0</t>
  </si>
  <si>
    <t>https://news.futunn.com/en/post/41290101/a-large-shangtang-multi-modal-model-with-600-billion-parameters</t>
  </si>
  <si>
    <r>
      <rPr>
        <rFont val="Calibri"/>
        <color rgb="FF073763"/>
        <sz val="14.0"/>
      </rPr>
      <t xml:space="preserve">GPT-4 scale; low media coverage; no demo in Western world. </t>
    </r>
    <r>
      <rPr>
        <rFont val="Calibri"/>
        <color rgb="FF1155CC"/>
        <sz val="14.0"/>
        <u/>
      </rPr>
      <t>https://www.techinasia.com/sensetime-pauses-trading-stock-rises-30-model-launch</t>
    </r>
  </si>
  <si>
    <t>OpenELM</t>
  </si>
  <si>
    <t>https://huggingface.co/apple/OpenELM-3B-Instruct</t>
  </si>
  <si>
    <r>
      <rPr>
        <rFont val="Calibri"/>
        <color rgb="FF073763"/>
        <sz val="14.0"/>
      </rPr>
      <t xml:space="preserve">On-device model (laptop, phone). Open-source Efficient Language Models (OpenELM). </t>
    </r>
    <r>
      <rPr>
        <rFont val="Calibri"/>
        <color rgb="FF1155CC"/>
        <sz val="14.0"/>
        <u/>
      </rPr>
      <t>https://venturebeat.com/ai/apple-releases-openelm-small-open-source-ai-models-designed-to-run-on-device/</t>
    </r>
  </si>
  <si>
    <t>phi-3-medium</t>
  </si>
  <si>
    <t>https://huggingface.co/microsoft/Phi-3-medium-128k-instruct</t>
  </si>
  <si>
    <t>https://arxiv.org/abs/2404.14219</t>
  </si>
  <si>
    <t>Preview only, benchmarks being investigated as of May/2024.</t>
  </si>
  <si>
    <t>phi-3-mini</t>
  </si>
  <si>
    <t>https://huggingface.co/microsoft/Phi-3-mini-128k-instruct</t>
  </si>
  <si>
    <t>"phi3-mini can be quantized to 4-bits so that it only occupies ≈ 1.8GB of memory. We tested the quantized model by deploying phi-3-mini on iPhone 14 with A16 Bionic chip running natively on-device and fully offline achieving more than 12 tokens per second."</t>
  </si>
  <si>
    <t>Llama 3 70B</t>
  </si>
  <si>
    <t>https://meta.ai/</t>
  </si>
  <si>
    <t>https://ai.meta.com/blog/meta-llama-3/</t>
  </si>
  <si>
    <t>Instruct MMLU-Pro=56.2</t>
  </si>
  <si>
    <t>Zamba 7B</t>
  </si>
  <si>
    <t>https://huggingface.co/Zyphra/Zamba-7B-v1</t>
  </si>
  <si>
    <t>https://arxiv.org/html/2405.16712v1</t>
  </si>
  <si>
    <t>Mamba1</t>
  </si>
  <si>
    <t>HLAT</t>
  </si>
  <si>
    <t>https://arxiv.org/abs/2404.10630</t>
  </si>
  <si>
    <r>
      <rPr>
        <rFont val="Calibri"/>
        <color rgb="FF073763"/>
        <sz val="14.0"/>
      </rPr>
      <t xml:space="preserve">HLAT=High-quality LLM pre-trained on AWS Trainium. Same arch as Llama 7B. The pre-training is performed up to 64 Amazon EC2 trn1.32xlarge instances with totalling up to 1024 AWS Trainium accelerators. Read more about Trainium: </t>
    </r>
    <r>
      <rPr>
        <rFont val="Calibri"/>
        <color rgb="FF1155CC"/>
        <sz val="14.0"/>
        <u/>
      </rPr>
      <t>https://www.aboutamazon.com/news/aws/what-you-need-to-know-about-the-aws-ai-chips-powering-amazons-partnership-with-anthropic</t>
    </r>
  </si>
  <si>
    <t>Idefics2</t>
  </si>
  <si>
    <t>https://huggingface.co/HuggingFaceM4/idefics2-8b</t>
  </si>
  <si>
    <t>https://huggingface.co/blog/idefics2</t>
  </si>
  <si>
    <t>Clone of Flamingo now using Mistral 7B. Named after Asterix and Obelix's dog Idefix (Image-aware Decoder Enhanced à la Flamingo with Interleaved Cross-attentionS)</t>
  </si>
  <si>
    <t>Reka Core</t>
  </si>
  <si>
    <t>https://poe.com/RekaCore</t>
  </si>
  <si>
    <t>https://publications.reka.ai/reka-core-tech-report.pdf</t>
  </si>
  <si>
    <t>https://www.reka.ai/news/reka-core-our-frontier-class-multimodal-language-model</t>
  </si>
  <si>
    <t>WizardLM-2-8x22B</t>
  </si>
  <si>
    <t>https://huggingface.co/MaziyarPanahi/WizardLM-2-8x22B-GGUF</t>
  </si>
  <si>
    <t>https://wizardlm.github.io/WizardLM2/</t>
  </si>
  <si>
    <t>Base model = mistral-8x22b.</t>
  </si>
  <si>
    <t>Pile-T5</t>
  </si>
  <si>
    <t>https://huggingface.co/EleutherAI/pile-t5-xxl</t>
  </si>
  <si>
    <t>https://blog.eleuther.ai/pile-t5/</t>
  </si>
  <si>
    <t>Zephyr 141B-A35B</t>
  </si>
  <si>
    <t>Hugging Face H4</t>
  </si>
  <si>
    <t>https://huggingface.co/HuggingFaceH4/zephyr-orpo-141b-A35b-v0.1</t>
  </si>
  <si>
    <t>https://arxiv.org/abs/2403.07691</t>
  </si>
  <si>
    <t>mixtral-8x22b finetune using Odds Ratio Preference Optimization (ORPO).</t>
  </si>
  <si>
    <t>Rerank 3</t>
  </si>
  <si>
    <t>https://docs.cohere.com/reference/rerank-1</t>
  </si>
  <si>
    <t>https://txt.cohere.com/rerank-3/</t>
  </si>
  <si>
    <t>RAG + semantic search, possibly backed by Command-R+.</t>
  </si>
  <si>
    <t>gpt-4-turbo-2024-04-09</t>
  </si>
  <si>
    <t>https://chat.openai.com/</t>
  </si>
  <si>
    <t>https://cdn.openai.com/papers/gpt-4.pdf</t>
  </si>
  <si>
    <r>
      <rPr>
        <rFont val="Calibri"/>
        <sz val="14.0"/>
      </rPr>
      <t xml:space="preserve">This is such a significantly better model that I've added it here. This GPQA=46.5%, old GPT-4 GPQA=36%. </t>
    </r>
    <r>
      <rPr>
        <rFont val="Calibri"/>
        <color rgb="FF1155CC"/>
        <sz val="14.0"/>
        <u/>
      </rPr>
      <t>https://twitter.com/EpochAIResearch/status/1778463039932584205</t>
    </r>
    <r>
      <rPr>
        <rFont val="Calibri"/>
        <sz val="14.0"/>
      </rPr>
      <t xml:space="preserve"> MMLU scores are unclear, but may have improved by 1%: </t>
    </r>
    <r>
      <rPr>
        <rFont val="Calibri"/>
        <color rgb="FF1155CC"/>
        <sz val="14.0"/>
        <u/>
      </rPr>
      <t>https://twitter.com/OpenAI/status/1778602770784002136.</t>
    </r>
    <r>
      <rPr>
        <rFont val="Calibri"/>
        <sz val="14.0"/>
      </rPr>
      <t xml:space="preserve"> Final benchmarks are here: </t>
    </r>
    <r>
      <rPr>
        <rFont val="Calibri"/>
        <color rgb="FF1155CC"/>
        <sz val="14.0"/>
        <u/>
      </rPr>
      <t>https://archive.md/6Cc0Z</t>
    </r>
  </si>
  <si>
    <t>MiniCPM-2.4B</t>
  </si>
  <si>
    <t>Tsinghua</t>
  </si>
  <si>
    <t>https://github.com/OpenBMB/MiniCPM/</t>
  </si>
  <si>
    <t>https://arxiv.org/abs/2404.06395</t>
  </si>
  <si>
    <t>MoE option=https://huggingface.co/openbmb/MiniCPM-MoE-8x2B</t>
  </si>
  <si>
    <t>Ferret-UI</t>
  </si>
  <si>
    <t>https://github.com/apple/ml-ferret</t>
  </si>
  <si>
    <t>web-scale, special</t>
  </si>
  <si>
    <t>https://arxiv.org/abs/2404.05719</t>
  </si>
  <si>
    <t>Vicuna base, multimodal. Extension of Ferret from Oct/2023.</t>
  </si>
  <si>
    <t>mixtral-8x22b</t>
  </si>
  <si>
    <t>https://huggingface.co/mistral-community/Mixtral-8x22B-v0.1</t>
  </si>
  <si>
    <t>https://mistral.ai/news/mixtral-8x22b/</t>
  </si>
  <si>
    <t>MoE=22Bx8, seq=65536.</t>
  </si>
  <si>
    <t>Sailor</t>
  </si>
  <si>
    <t>https://huggingface.co/sail</t>
  </si>
  <si>
    <t>https://arxiv.org/abs/2404.03608v1</t>
  </si>
  <si>
    <t>SEA languages. Based on Qwen-1.5. https://github.com/sail-sg/sailor-llm "Generally Sailor models consume around 200B tokens, completing a full pass through the SailCraft corpus once. However, the Sailor-0.5B model undergoes training with 400B tokens, equivalent to 2 epochs."</t>
  </si>
  <si>
    <t>JetMoE-8B</t>
  </si>
  <si>
    <t>MIT</t>
  </si>
  <si>
    <t>https://www.lepton.ai/playground/chat?model=jetmoe-8b-chat</t>
  </si>
  <si>
    <t>https://huggingface.co/jetmoe/jetmoe-8b</t>
  </si>
  <si>
    <t>Eurus</t>
  </si>
  <si>
    <t>https://huggingface.co/collections/openbmb/eurus-660bc40bec5376b3adc9d1c5</t>
  </si>
  <si>
    <t>Fine-tune of Mistral-7B and CodeLlama-70B.</t>
  </si>
  <si>
    <t>Command-R+</t>
  </si>
  <si>
    <t>https://huggingface.co/spaces/CohereForAI/c4ai-command-r-plus</t>
  </si>
  <si>
    <t>https://huggingface.co/CohereForAI/c4ai-command-r-plus</t>
  </si>
  <si>
    <t>purpose-built to excel at real-world enterprise use cases. Announce with no arch details: https://txt.cohere.com/command-r-plus-microsoft-azure/</t>
  </si>
  <si>
    <t>Viking</t>
  </si>
  <si>
    <t>Silo AI</t>
  </si>
  <si>
    <t>https://www.silo.ai/blog/viking-7b-13b-33b-sailing-the-nordic-seas-of-multilinguality</t>
  </si>
  <si>
    <t>Viking uses an architecture similar to Llama 2, with flash attention, rotary embeddings, grouped query attention and supports a 4k sequence length'</t>
  </si>
  <si>
    <t>OLMo-Bitnet-1B</t>
  </si>
  <si>
    <t>https://huggingface.co/NousResearch/OLMo-Bitnet-1B</t>
  </si>
  <si>
    <t>https://arxiv.org/abs/2402.17764</t>
  </si>
  <si>
    <t>1.58-bit quantized (ternary weights) means we can run a 70B model in ~14GB VRAM. See also BitNet b1.58</t>
  </si>
  <si>
    <t>Aurora-M</t>
  </si>
  <si>
    <t>https://huggingface.co/collections/aurora-m/aurora-m-models-65fdfdff62471e09812f5407</t>
  </si>
  <si>
    <t>https://arxiv.org/abs/2404.00399</t>
  </si>
  <si>
    <t>ReALM-3B</t>
  </si>
  <si>
    <t>https://arxiv.org/abs/2403.20329</t>
  </si>
  <si>
    <t>FLAN-T5 (Oct/2022) finetune.</t>
  </si>
  <si>
    <t>Qwen1.5-MoE-A2.7B</t>
  </si>
  <si>
    <t>https://qwenlm.github.io/blog/qwen-moe/</t>
  </si>
  <si>
    <t>MoE. "Of particular significance is the fact that, through upcycling, the necessity for training an equivalent volume of tokens as in the original model has been eliminated." I assumed half of the original 3T tokens</t>
  </si>
  <si>
    <t>Grok-1.5</t>
  </si>
  <si>
    <t>https://grok.x.ai/</t>
  </si>
  <si>
    <t>https://x.ai/blog/grok-1.5</t>
  </si>
  <si>
    <t>Context=128k.</t>
  </si>
  <si>
    <t>Jamba 1</t>
  </si>
  <si>
    <t>https://huggingface.co/ai21labs/Jamba-v0.1</t>
  </si>
  <si>
    <t>https://arxiv.org/abs/2403.19887</t>
  </si>
  <si>
    <r>
      <rPr>
        <rFont val="Calibri"/>
        <color rgb="FF073763"/>
        <sz val="14.0"/>
      </rPr>
      <t xml:space="preserve">MoE. Open weights, licensed under Apache 2.0. Announce: </t>
    </r>
    <r>
      <rPr>
        <rFont val="Calibri"/>
        <color rgb="FF1155CC"/>
        <sz val="14.0"/>
        <u/>
      </rPr>
      <t>https://arxiv.org/abs/2403.19887</t>
    </r>
  </si>
  <si>
    <t>DBRX</t>
  </si>
  <si>
    <t>MosaicML</t>
  </si>
  <si>
    <t>https://huggingface.co/spaces/databricks/dbrx-instruct</t>
  </si>
  <si>
    <t>https://www.databricks.com/blog/introducing-dbrx-new-state-art-open-llm</t>
  </si>
  <si>
    <t>MoE. Trained for $10M on 3,072 NVIDIA H100s connected by 3.2Tbps Infiniband.</t>
  </si>
  <si>
    <t>Stable Code Instruct 3B</t>
  </si>
  <si>
    <t>Stability AI</t>
  </si>
  <si>
    <t>https://huggingface.co/stabilityai/stable-code-instruct-3b</t>
  </si>
  <si>
    <t>https://stability.ai/news/introducing-stable-code-instruct-3b</t>
  </si>
  <si>
    <t>Context window=16,384. Trained on The Stack dataset.</t>
  </si>
  <si>
    <t>EvoLLM-JP</t>
  </si>
  <si>
    <t>Sakana AI</t>
  </si>
  <si>
    <t>https://huggingface.co/SakanaAI/EvoLLM-JP-v1-10B</t>
  </si>
  <si>
    <t>https://arxiv.org/abs/2403.13187</t>
  </si>
  <si>
    <t xml:space="preserve">Japanese. Model merge 'our EvoLLM-JP-A is a merge of shisa-gamma-7b-v1, Arithmo2-Mistral-7B, and Abel7B-002' https://sakana.ai/evolutionary-model-merge/ </t>
  </si>
  <si>
    <t>RakutenAI-7B</t>
  </si>
  <si>
    <t>Rakuten Group</t>
  </si>
  <si>
    <t>https://huggingface.co/Rakuten/RakutenAI-7B</t>
  </si>
  <si>
    <t>https://arxiv.org/abs/2403.15484</t>
  </si>
  <si>
    <t>Japanese. Mistral 7B derivative.</t>
  </si>
  <si>
    <t>Parakeet</t>
  </si>
  <si>
    <t>https://colab.research.google.com/drive/1gI8CM9Bz9ov0-E6aL2jF808rE56UtZyF?usp=sharing</t>
  </si>
  <si>
    <t>https://news.ycombinator.com/item?id=39745700#39745702</t>
  </si>
  <si>
    <t>Tiny model (378M) for testing</t>
  </si>
  <si>
    <t>RWKV-v5 EagleX</t>
  </si>
  <si>
    <t>https://huggingface.co/recursal/EagleX_1-7T</t>
  </si>
  <si>
    <t>https://substack.recursal.ai/p/eaglex-17t-soaring-past-llama-7b</t>
  </si>
  <si>
    <t>RWKV (pronounced RwaKuv) is an RNN: Built on the RWKV-v5 architecture (a linear transformer with 10-100x+ lower inference cost)</t>
  </si>
  <si>
    <t>MM1</t>
  </si>
  <si>
    <t>https://arxiv.org/abs/2403.09611</t>
  </si>
  <si>
    <t>VLM, outperforms Flamingo 80B (Apr/2022) across benchmarks. 2T text tokens + ~10B+ other text (estimate). Unreleased.</t>
  </si>
  <si>
    <t>RFM-1</t>
  </si>
  <si>
    <t>Covariant</t>
  </si>
  <si>
    <t>https://vimeo.com/921866765</t>
  </si>
  <si>
    <t>https://covariant.ai/insights/introducing-rfm-1-giving-robots-human-like-reasoning-capabilities/</t>
  </si>
  <si>
    <t>Commercial, multimodal for robotics</t>
  </si>
  <si>
    <t>Command-R</t>
  </si>
  <si>
    <t>https://txt.cohere.com/command-r/</t>
  </si>
  <si>
    <t>RAG and tool use</t>
  </si>
  <si>
    <t>DeepSeek-VL</t>
  </si>
  <si>
    <t>https://github.com/deepseek-ai/DeepSeek-VL?tab=readme-ov-file</t>
  </si>
  <si>
    <t>https://arxiv.org/abs/2403.05525</t>
  </si>
  <si>
    <t>Vision, based on DeepSeek-LLM-7B</t>
  </si>
  <si>
    <t>AnyGPT</t>
  </si>
  <si>
    <t>Fudan University</t>
  </si>
  <si>
    <t>https://junzhan2000.github.io/AnyGPT.github.io/</t>
  </si>
  <si>
    <t>https://arxiv.org/abs/2402.12226</t>
  </si>
  <si>
    <t>Llama 2 7B backbone with new matrices ('reshaping the embedding matrix and prediction layer')</t>
  </si>
  <si>
    <t>Stable Beluga 2.5</t>
  </si>
  <si>
    <t>https://stability.ai/news/putting-the-ai-supercomputer-to-work</t>
  </si>
  <si>
    <t>Mentioned in Stability release about Intel chips 11/Mar/2024, availablity unknown</t>
  </si>
  <si>
    <t>Inflection-2.5</t>
  </si>
  <si>
    <t>https://inflection.ai/inflection-2</t>
  </si>
  <si>
    <t>https://inflection.ai/inflection-2-5</t>
  </si>
  <si>
    <t>Apollo</t>
  </si>
  <si>
    <t>SRIBD/CUHK</t>
  </si>
  <si>
    <t>https://apollo.llmzoo.com/</t>
  </si>
  <si>
    <t>https://arxiv.org/abs/2403.03640</t>
  </si>
  <si>
    <t>Qwen 1.8B as base. Medical focus.</t>
  </si>
  <si>
    <t>Claude 3 Opus</t>
  </si>
  <si>
    <t>https://www.anthropic.com/claude-3-model-card</t>
  </si>
  <si>
    <t>Original MMLU=86.8  (GPT-4=86.4). MMLU=88.2 with CoT prompting. Original GPQA=50.4. 200k context, 1M for researchers.</t>
  </si>
  <si>
    <t>Nemotron-4 15B</t>
  </si>
  <si>
    <t>https://arxiv.org/abs/2402.16819</t>
  </si>
  <si>
    <t>TowerLLM</t>
  </si>
  <si>
    <t>Unbabel</t>
  </si>
  <si>
    <t>https://unbabel.com/meet-towerllm/</t>
  </si>
  <si>
    <t>https://arxiv.org/abs/2402.17733</t>
  </si>
  <si>
    <t>Commercial product, Llama-2 as base.</t>
  </si>
  <si>
    <t>Hawk</t>
  </si>
  <si>
    <t>https://arxiv.org/abs/2402.19427</t>
  </si>
  <si>
    <t>MMLU=35. RNN.</t>
  </si>
  <si>
    <t>Griffin</t>
  </si>
  <si>
    <t>MMLU=49.5. RNN.</t>
  </si>
  <si>
    <t>BitNet b1.58</t>
  </si>
  <si>
    <t>https://huggingface.co/1bitLLM/bitnet_b1_58-xl</t>
  </si>
  <si>
    <t>Samba-1</t>
  </si>
  <si>
    <t>https://trysambanova.ai/</t>
  </si>
  <si>
    <t>https://sambanova.ai/press/secure-one-trillion-parameter-generative-ai-model-for-the-enterprise</t>
  </si>
  <si>
    <t>CoE</t>
  </si>
  <si>
    <t>CoE: Collection of experts: Llama2 7B / 13B / 70B Mistral 7B DeepSeek Coder 1.3B / 6.7B / 33B Falcon 40B DePlot CLIP Llava</t>
  </si>
  <si>
    <t>Aya-101</t>
  </si>
  <si>
    <t>https://huggingface.co/CohereForAI/aya-101</t>
  </si>
  <si>
    <t>https://cohere.com/research/aya/aya-model-paper.pdf</t>
  </si>
  <si>
    <t>mT5 base.</t>
  </si>
  <si>
    <t>Cosmo-1B</t>
  </si>
  <si>
    <t>HF</t>
  </si>
  <si>
    <t>https://huggingface.co/HuggingFaceTB/cosmo-1b</t>
  </si>
  <si>
    <t>synthetic</t>
  </si>
  <si>
    <t>https://huggingface.co/blog/cosmopedia</t>
  </si>
  <si>
    <t>Synthetic data (25B tokens of synthetic data for 6 epochs + code). MMLU=32.4</t>
  </si>
  <si>
    <t>Poro</t>
  </si>
  <si>
    <t>https://huggingface.co/LumiOpen/Poro-34B</t>
  </si>
  <si>
    <t>Uses a BLOOM architecture with ALiBi embeddings to allow for context window extrapolation. While model architecture for the initial model has been kept simple, future models under progress will support additional capabilities, such as flash attention, rotary embeddings and grouped query attention.'</t>
  </si>
  <si>
    <t>StarCoder 2</t>
  </si>
  <si>
    <t>HF/ServiceNow</t>
  </si>
  <si>
    <t>https://arxiv.org/abs/2402.19173</t>
  </si>
  <si>
    <t>The Stack v2=900B tokens, 5 epochs to 4.3T tokens</t>
  </si>
  <si>
    <t>530B</t>
  </si>
  <si>
    <t>https://arxiv.org/abs/2402.15627</t>
  </si>
  <si>
    <t>Trained using 12,288 A100 GPUs, replicating MT-NLG size</t>
  </si>
  <si>
    <t>175B</t>
  </si>
  <si>
    <t>Trained using 12,288 A100 GPUs, replicating GPT-3 size</t>
  </si>
  <si>
    <t>Mistral Small</t>
  </si>
  <si>
    <t>https://mistral.ai/news/mistral-large/</t>
  </si>
  <si>
    <t>Optimised for latency and cost.</t>
  </si>
  <si>
    <t>Mistral Large</t>
  </si>
  <si>
    <t>https://poe.com/Mistral-Large</t>
  </si>
  <si>
    <t>MMLU=81.2 (same as Flan-PaLM 2 340B, higher than PaLM 2 340B MMLU=78.3), 32k context window. API only (not open source).</t>
  </si>
  <si>
    <t>Hanooman</t>
  </si>
  <si>
    <t>Reliance</t>
  </si>
  <si>
    <t>https://www.hanooman.ai/</t>
  </si>
  <si>
    <t>11 Indian languages like Hindi, Tamil, and Marathi</t>
  </si>
  <si>
    <t>Ask</t>
  </si>
  <si>
    <t>https://www.macrumors.com/2024/02/22/applecare-advisors-testing-new-ask-tool/</t>
  </si>
  <si>
    <t>Internal employee model only</t>
  </si>
  <si>
    <t>Reka Edge</t>
  </si>
  <si>
    <t>https://chat.reka.ai/</t>
  </si>
  <si>
    <t>Reka Flash</t>
  </si>
  <si>
    <t>https://poe.com/RekaFlash</t>
  </si>
  <si>
    <t>My testing shows very poor performance equiv with tiny model</t>
  </si>
  <si>
    <t>Gemma</t>
  </si>
  <si>
    <t>https://labs.pplx.ai/</t>
  </si>
  <si>
    <t>https://storage.googleapis.com/deepmind-media/gemma/gemma-report.pdf</t>
  </si>
  <si>
    <t>MMLU=64.3 (Llama 2 70B=68.9, ChatGPT 20B=70). Text only. Probably dense. Largest trained dataset (6T) besides frontier models.</t>
  </si>
  <si>
    <t>Gemini 1.5 Pro</t>
  </si>
  <si>
    <r>
      <rPr>
        <rFont val="Calibri"/>
        <sz val="14.0"/>
      </rPr>
      <t xml:space="preserve">Sparse MoE. Context window=1M and 10M for research. Note: Gemini outputs are watermarked. I do not use GDM models. </t>
    </r>
    <r>
      <rPr>
        <rFont val="Calibri"/>
        <color rgb="FF1155CC"/>
        <sz val="14.0"/>
        <u/>
      </rPr>
      <t>https://lifearchitect.ai/watermarking/</t>
    </r>
  </si>
  <si>
    <t>Qwen-1.5 72B</t>
  </si>
  <si>
    <t>https://huggingface.co/spaces/Qwen/Qwen1.5-72B-Chat</t>
  </si>
  <si>
    <t>https://qwenlm.github.io/blog/qwen1.5/</t>
  </si>
  <si>
    <t>MobileLLM</t>
  </si>
  <si>
    <t>https://huggingface.co/collections/facebook/mobilellm-6722be18cb86c20ebe113e95</t>
  </si>
  <si>
    <t>https://arxiv.org/abs/2402.14905</t>
  </si>
  <si>
    <t>Optimizing Sub-billion Parameter Language Models for On-Device Use Cases</t>
  </si>
  <si>
    <t>GOODY-2</t>
  </si>
  <si>
    <t>BRAIN</t>
  </si>
  <si>
    <t>https://www.goody2.ai/chat</t>
  </si>
  <si>
    <t>https://www.goody2.ai/goody2-modelcard.pdf</t>
  </si>
  <si>
    <r>
      <rPr>
        <rFont val="Calibri"/>
        <sz val="14.0"/>
      </rPr>
      <t xml:space="preserve">Satire (and hilarious). Probably Llama 2 with aggressive prompt. Wired interview: </t>
    </r>
    <r>
      <rPr>
        <rFont val="Calibri"/>
        <color rgb="FF1155CC"/>
        <sz val="14.0"/>
        <u/>
      </rPr>
      <t>https://archive.md/toxHq</t>
    </r>
  </si>
  <si>
    <t>Natural-SQL-7B</t>
  </si>
  <si>
    <t>ChatDB</t>
  </si>
  <si>
    <t>https://huggingface.co/chatdb/natural-sql-7b</t>
  </si>
  <si>
    <t>Based on DeepSeek-Coder 6.7B.</t>
  </si>
  <si>
    <t>Sea-Lion</t>
  </si>
  <si>
    <t>https://aisingapore.org/aiproducts/sea-lion/</t>
  </si>
  <si>
    <t>https://huggingface.co/aisingapore/sealion7b</t>
  </si>
  <si>
    <t>MPT base. MMLU=26.87. Southeast Asian languages like Thai, Vietnamese and Bahasa Indonesia. https://www.computerweekly.com/feature/Sea-Lion-explained-Southeast-Asias-first-large-language-model</t>
  </si>
  <si>
    <t>TimesFM</t>
  </si>
  <si>
    <t>https://blog.research.google/2024/02/a-decoder-only-foundation-model-for.html</t>
  </si>
  <si>
    <t>Time-series forecasting only. 'a large pretraining corpus of 100B real world time-points' may be more than 100B tokens.</t>
  </si>
  <si>
    <t>OLMo</t>
  </si>
  <si>
    <t>https://huggingface.co/allenai/OLMo-7B</t>
  </si>
  <si>
    <t>https://allenai.org/olmo/olmo-paper.pdf</t>
  </si>
  <si>
    <t>Open Language Model (OLMo)</t>
  </si>
  <si>
    <t>Audio Flamingo</t>
  </si>
  <si>
    <t>https://huggingface.co/spaces/nvidia/audio-flamingo-demo</t>
  </si>
  <si>
    <t>https://arxiv.org/abs/2402.01831</t>
  </si>
  <si>
    <r>
      <rPr>
        <rFont val="Calibri"/>
        <color rgb="FF073763"/>
        <sz val="14.0"/>
      </rPr>
      <t xml:space="preserve">Project page: </t>
    </r>
    <r>
      <rPr>
        <rFont val="Calibri"/>
        <color rgb="FF1155CC"/>
        <sz val="14.0"/>
        <u/>
      </rPr>
      <t>https://audioflamingo.github.io/</t>
    </r>
  </si>
  <si>
    <t>FLOR-6.3B</t>
  </si>
  <si>
    <t>https://huggingface.co/projecte-aina/FLOR-6.3B</t>
  </si>
  <si>
    <t>https://www.cerebras.net/press-release/cerebras-systems-and-barcelona-supercomputing-center-train-industry-leading-multilingual-spanish-catalan-english-llm</t>
  </si>
  <si>
    <t>Spanish, Catalan. Bloom-7.1B (341B tok) + continued pre-training on 140B tok. Trained on Cerebras hardware.</t>
  </si>
  <si>
    <t>Weaver</t>
  </si>
  <si>
    <t>AIWaves.cn</t>
  </si>
  <si>
    <t>https://www.wawawriter.com/</t>
  </si>
  <si>
    <t>https://arxiv.org/abs/2401.17268</t>
  </si>
  <si>
    <r>
      <rPr>
        <rFont val="Calibri"/>
        <color rgb="FF073763"/>
        <sz val="14.0"/>
      </rPr>
      <t xml:space="preserve">Llama? 'All Weaver models are initialized from powerful open-source LLMs.' English waitlist: </t>
    </r>
    <r>
      <rPr>
        <rFont val="Calibri"/>
        <color rgb="FF1155CC"/>
        <sz val="14.0"/>
        <u/>
      </rPr>
      <t>https://www.wawawriter.com/en/</t>
    </r>
  </si>
  <si>
    <t>miqu 70b</t>
  </si>
  <si>
    <t>https://huggingface.co/miqudev/miqu-1-70b</t>
  </si>
  <si>
    <r>
      <rPr>
        <rFont val="Calibri"/>
        <color rgb="FF073763"/>
        <sz val="14.0"/>
      </rPr>
      <t xml:space="preserve">Leaked, proper version soon: </t>
    </r>
    <r>
      <rPr>
        <rFont val="Calibri"/>
        <color rgb="FF1155CC"/>
        <sz val="14.0"/>
        <u/>
      </rPr>
      <t>https://venturebeat.com/ai/mistral-ceo-confirms-leak-of-new-open-source-ai-model-nearing-gpt-4-performance/</t>
    </r>
  </si>
  <si>
    <t>iFlytekSpark-13B</t>
  </si>
  <si>
    <t>iFlyTek</t>
  </si>
  <si>
    <t>https://gitee.com/iflytekopensource/iFlytekSpark-13B</t>
  </si>
  <si>
    <t>https://www.ithome.com/0/748/030.htm</t>
  </si>
  <si>
    <t>pre-trained on a massive high-quality data set with a total of more than 3 trillion tokens, and then fine-tuned on fine-tuned diversified alignment data.'</t>
  </si>
  <si>
    <t>Xinghuo 3.5 (Spark)</t>
  </si>
  <si>
    <t>https://www.laitimes.com/en/article/6f50u_6vhbm.html</t>
  </si>
  <si>
    <r>
      <rPr>
        <rFont val="Calibri"/>
        <color rgb="FF073763"/>
        <sz val="14.0"/>
      </rPr>
      <t xml:space="preserve">GPT-4 competitor. </t>
    </r>
    <r>
      <rPr>
        <rFont val="Calibri"/>
        <color rgb="FF1155CC"/>
        <sz val="14.0"/>
        <u/>
      </rPr>
      <t>https://www.shine.cn/biz/tech/2401304331/</t>
    </r>
  </si>
  <si>
    <t>MGIE</t>
  </si>
  <si>
    <t>https://github.com/tsujuifu/pytorch_mgie</t>
  </si>
  <si>
    <t>https://openreview.net/forum?id=S1RKWSyZ2Y</t>
  </si>
  <si>
    <t>MLLM and diffusion model initialized from LLaVA-7B (Llama 2 + Vicuna) + StableDiffusion-v1.5.</t>
  </si>
  <si>
    <t>CodeLlama-70B</t>
  </si>
  <si>
    <t>https://huggingface.co/codellama/CodeLlama-70b-hf</t>
  </si>
  <si>
    <t>https://ai.meta.com/research/publications/code-llama-open-foundation-models-for-code/</t>
  </si>
  <si>
    <t>Paper link is to 34B from Aug/2023. This 70B model finished training Jan/2024.</t>
  </si>
  <si>
    <t>RWKV-v5 Eagle 7B</t>
  </si>
  <si>
    <t>https://blog.rwkv.com/p/eagle-7b-soaring-past-transformers</t>
  </si>
  <si>
    <r>
      <rPr>
        <rFont val="Calibri"/>
        <color rgb="FF073763"/>
        <sz val="14.0"/>
      </rPr>
      <t xml:space="preserve">RWKV (pronounced RwaKuv) is an RNN: Built on the RWKV-v5 architecture (a linear transformer with 10-100x+ lower inference cost), Trained on 1.1 Trillion Tokens across 100+ languages. Original paper: </t>
    </r>
    <r>
      <rPr>
        <rFont val="Calibri"/>
        <color rgb="FF1155CC"/>
        <sz val="14.0"/>
        <u/>
      </rPr>
      <t>https://arxiv.org/abs/2305.13048</t>
    </r>
  </si>
  <si>
    <t>MaLA-500</t>
  </si>
  <si>
    <t>LMU</t>
  </si>
  <si>
    <t>https://huggingface.co/MaLA-LM/mala-500</t>
  </si>
  <si>
    <t>https://arxiv.org/abs/2401.13303</t>
  </si>
  <si>
    <t>Extends Llama 2 7B to 10B using 534 languages.</t>
  </si>
  <si>
    <t>MambaByte</t>
  </si>
  <si>
    <t>Cornell</t>
  </si>
  <si>
    <t>https://github.com/kyegomez/MambaByte</t>
  </si>
  <si>
    <t>books, code</t>
  </si>
  <si>
    <t>https://arxiv.org/abs/2401.13660</t>
  </si>
  <si>
    <t>Used bytes instead of tokens. 4 bytes≈1 token, so 150B bytes≈37.5B tokens</t>
  </si>
  <si>
    <t>DeepSeek-Coder</t>
  </si>
  <si>
    <t>https://coder.deepseek.com/</t>
  </si>
  <si>
    <t>https://arxiv.org/abs/2401.14196</t>
  </si>
  <si>
    <t>surpasses existing closed-source models like Codex and GPT-3.5... permissive license that allows for both research and unrestricted commercial use.'</t>
  </si>
  <si>
    <t>FuseLLM</t>
  </si>
  <si>
    <t>https://github.com/fanqiwan/FuseLLM</t>
  </si>
  <si>
    <t>https://arxiv.org/abs/2401.10491</t>
  </si>
  <si>
    <t>Fusion of Llama-2-7B (2T tok), OpenLLaMA-7B (2T tok), and MPT-7B (1T tok).</t>
  </si>
  <si>
    <t>Fuyu-Heavy</t>
  </si>
  <si>
    <t>Adept</t>
  </si>
  <si>
    <t>https://www.adept.ai/blog/adept-fuyu-heavy</t>
  </si>
  <si>
    <t>Fuyu-Heavy is the world’s third-most-capable multimodal model, behind only GPT4-V and Gemini Ultra, which are 10-20 times bigger.' Token estimate is based on Adept Persimmon-8B using many more tokens.</t>
  </si>
  <si>
    <t>Orion-14B</t>
  </si>
  <si>
    <t>OrionStar</t>
  </si>
  <si>
    <t>https://github.com/OrionStarAI/Orion</t>
  </si>
  <si>
    <t>https://arxiv.org/abs/2401.12246</t>
  </si>
  <si>
    <t xml:space="preserve">English, Chinese, Japanese, Korean, and other languages. </t>
  </si>
  <si>
    <t>InternLM2</t>
  </si>
  <si>
    <t>https://github.com/InternLM/InternLM</t>
  </si>
  <si>
    <t>https://arxiv.org/abs/2403.17297</t>
  </si>
  <si>
    <t>GLM-4</t>
  </si>
  <si>
    <t>https://open.bigmodel.cn/</t>
  </si>
  <si>
    <t>https://pandaily.com/zhipu-ai-unveils-glm-4-model-with-advanced-performance-paralleling-gpt-4/</t>
  </si>
  <si>
    <r>
      <rPr>
        <rFont val="Calibri"/>
        <color rgb="FF073763"/>
        <sz val="14.0"/>
      </rPr>
      <t xml:space="preserve">Best Chinese model to date based on analysis. Follows OpenAI roadmap. MMLU=81.5. 'hundreds of billions of parameters' </t>
    </r>
    <r>
      <rPr>
        <rFont val="Calibri"/>
        <color rgb="FF1155CC"/>
        <sz val="14.0"/>
        <u/>
      </rPr>
      <t>https://www.chatglm.cn/</t>
    </r>
    <r>
      <rPr>
        <rFont val="Calibri"/>
        <color rgb="FF073763"/>
        <sz val="14.0"/>
      </rPr>
      <t xml:space="preserve"> </t>
    </r>
  </si>
  <si>
    <t>DeepSeekMoE</t>
  </si>
  <si>
    <t>https://arxiv.org/abs/2401.06066</t>
  </si>
  <si>
    <t>MoE activated parameters is 10-15% of dense, so I need to rethink ALScore for MoE. 'preliminary efforts to scale up DeepSeekMoE to 145B'</t>
  </si>
  <si>
    <t>DeepSeek</t>
  </si>
  <si>
    <t>https://arxiv.org/abs/2401.02954</t>
  </si>
  <si>
    <t>Chinese/English. Outperforms Llama 2. MMLU=71.3 outperforms GPT-3.5.</t>
  </si>
  <si>
    <t>LLaMA Pro</t>
  </si>
  <si>
    <t>https://huggingface.co/TencentARC/LLaMA-Pro-8B</t>
  </si>
  <si>
    <t>https://arxiv.org/abs/2401.02415</t>
  </si>
  <si>
    <t>We pre-train LLAMA PRO’s expanded blocks on 80B tokens using open-source code and math data for 2830 GPU Hours (16 NVIDIA H800 GPUs for about 7 days).</t>
  </si>
  <si>
    <t>Palmyra X</t>
  </si>
  <si>
    <t>https://writer.com/blog/palmyra-helm-benchmark/</t>
  </si>
  <si>
    <r>
      <rPr>
        <rFont val="Calibri"/>
        <color rgb="FF073763"/>
        <sz val="14.0"/>
      </rPr>
      <t xml:space="preserve">Palmyra X V2, Palmyra X V3, Palmyra X V4. </t>
    </r>
    <r>
      <rPr>
        <rFont val="Calibri"/>
        <color rgb="FF1155CC"/>
        <sz val="14.0"/>
        <u/>
      </rPr>
      <t>https://venturebeat.com/ai/why-writers-palmyra-llm-is-the-little-ai-model-that-could-for-enterprises/</t>
    </r>
  </si>
  <si>
    <t>TinyLlama</t>
  </si>
  <si>
    <t>SUTD/Independent</t>
  </si>
  <si>
    <t>https://github.com/jzhang38/TinyLlama</t>
  </si>
  <si>
    <t>https://arxiv.org/abs/2401.02385</t>
  </si>
  <si>
    <t>Overtrained' using 2,727 tokens per parameter. Dataset was 1T: 3 epochs to 3T seen. Singapore</t>
  </si>
  <si>
    <t>DocLLM</t>
  </si>
  <si>
    <t>JPMorgan</t>
  </si>
  <si>
    <t>https://arxiv.org/abs/2401.00908</t>
  </si>
  <si>
    <t>Document spatial layout structure.</t>
  </si>
  <si>
    <t>Unified-IO 2</t>
  </si>
  <si>
    <t>https://unified-io-2.allenai.org/</t>
  </si>
  <si>
    <t>https://arxiv.org/abs/2312.17172</t>
  </si>
  <si>
    <t>600TB dataset (plus 120+ fine-tuning datasets) includes '1B imagetext pairs, 1T text tokens, 180M video clips, 130M interleaved image &amp; text, 3M 3D assets, and 1M agent trajectories.'</t>
  </si>
  <si>
    <t>WaveCoder-DS-6.7B</t>
  </si>
  <si>
    <t>https://arxiv.org/abs/2312.14187</t>
  </si>
  <si>
    <t>To obtain WaveCoder models, We choose StarCoder-15B, CodeLLaMa (7B and 13B), DeepseekCoder-6.7B as the base model and fine-tune all the base model for 3 epochs</t>
  </si>
  <si>
    <t>YunShan</t>
  </si>
  <si>
    <t>https://arxiv.org/abs/2312.17276</t>
  </si>
  <si>
    <t>Finance + law fine-tune of PanGu-π</t>
  </si>
  <si>
    <t>PanGu-Pi</t>
  </si>
  <si>
    <t>Dense, named PanGu-π</t>
  </si>
  <si>
    <t>YAYI 2</t>
  </si>
  <si>
    <t>Wenge</t>
  </si>
  <si>
    <t>https://huggingface.co/wenge-research/yayi2-30b</t>
  </si>
  <si>
    <t>https://arxiv.org/abs/2312.14862</t>
  </si>
  <si>
    <t>Dataset=240TB filtered to 10.6TB for 2.65T tokens</t>
  </si>
  <si>
    <t>Emu2</t>
  </si>
  <si>
    <t>https://baaivision.github.io/emu2/</t>
  </si>
  <si>
    <t>https://arxiv.org/abs/2312.13286</t>
  </si>
  <si>
    <t>VLM. Gemini clone. Outperforms Flamingo 80B. The Pile for text, but only sampled 3.6B tokens (1.4% of the dataset).</t>
  </si>
  <si>
    <t>MedLM</t>
  </si>
  <si>
    <t>https://cloud.google.com/vertex-ai/docs/generative-ai/model-reference/medlm</t>
  </si>
  <si>
    <t>https://cloud.google.com/static/vertex-ai/docs/generative-ai/medlm/MedLM-model-card.pdf</t>
  </si>
  <si>
    <t>Available to 'white-listed' orgs only.</t>
  </si>
  <si>
    <t>SOLAR-10.7B</t>
  </si>
  <si>
    <t>Upstage AI</t>
  </si>
  <si>
    <t>https://huggingface.co/upstage/SOLAR-10.7B-v1.0</t>
  </si>
  <si>
    <t>https://arxiv.org/abs/2312.15166</t>
  </si>
  <si>
    <t>South Korean. Llama-2 arch. SOTA for its size (Dec/2023).</t>
  </si>
  <si>
    <t>DeciLM-7B</t>
  </si>
  <si>
    <t>Deci</t>
  </si>
  <si>
    <t>https://console.deci.ai/infery-llm-demo</t>
  </si>
  <si>
    <t>https://deci.ai/blog/introducing-DeciLM-7b-the-fastest-and-most-accurate-7b-large-language-model-to-date</t>
  </si>
  <si>
    <t>4.4x times faster than Mistral. English only.</t>
  </si>
  <si>
    <t>Mistral-medium</t>
  </si>
  <si>
    <t>https://poe.com/</t>
  </si>
  <si>
    <t>https://mistral.ai/news/la-plateforme/</t>
  </si>
  <si>
    <t>MMLU=75.3% (GPT-3.5-turbo 20B=70%, Llama 2 70B=68.9%)</t>
  </si>
  <si>
    <t>mixtral-8x7b-32kseqlen</t>
  </si>
  <si>
    <t>https://www.together.ai/blog/mixtral</t>
  </si>
  <si>
    <t>https://arxiv.org/abs/2401.04088</t>
  </si>
  <si>
    <t>MoE=7Bx8, aka mistral-small. 'Concretely, Mixtral has 45B total parameters but only uses 12B parameters per token. It, therefore, processes input and generates output at the same speed and for the same cost as a 12B model.'</t>
  </si>
  <si>
    <t>StripedHyena 7B</t>
  </si>
  <si>
    <t>https://api.together.xyz/playground/language/togethercomputer/StripedHyena-Hessian-7B</t>
  </si>
  <si>
    <t>https://www.together.ai/blog/stripedhyena-7b</t>
  </si>
  <si>
    <t>RedPajama (C4), new arch beyond just Transformers</t>
  </si>
  <si>
    <t>NexusRaven-V2 13B</t>
  </si>
  <si>
    <t xml:space="preserve">Nexusflow.ai </t>
  </si>
  <si>
    <t>https://huggingface.co/spaces/Nexusflow/NexusRaven-V2-Demo</t>
  </si>
  <si>
    <t>https://github.com/nexusflowai/NexusRaven-V2/tree/master</t>
  </si>
  <si>
    <t>Based on CodeLlama. 'surpasses GPT-4 by up to 7% in function calling success rates in human-generated use cases involving nested and composite functions.'</t>
  </si>
  <si>
    <t>Gemini Ultra 1.0</t>
  </si>
  <si>
    <t>https://deepmind.google/technologies/gemini/</t>
  </si>
  <si>
    <t>https://storage.googleapis.com/deepmind-media/gemini/gemini_1_report.pdf</t>
  </si>
  <si>
    <r>
      <rPr>
        <rFont val="Calibri"/>
        <sz val="14.0"/>
      </rPr>
      <t xml:space="preserve">Original MMLU=83.7. MMLU=90.04 with prompting. Chinchilla (20:1), dense, maybe 600B-2000T. Note: Gemini outputs are watermarked. I do not use GDM models. </t>
    </r>
    <r>
      <rPr>
        <rFont val="Calibri"/>
        <color rgb="FF1155CC"/>
        <sz val="14.0"/>
        <u/>
      </rPr>
      <t>https://lifearchitect.ai/watermarking/</t>
    </r>
  </si>
  <si>
    <t>Mamba</t>
  </si>
  <si>
    <t>https://huggingface.co/havenhq/mamba-chat</t>
  </si>
  <si>
    <t>https://arxiv.org/abs/2312.00752</t>
  </si>
  <si>
    <t>The Pile, new arch beyond just Transformers. 2.7B MMLU=26.2. 7B MMLU=33.3.</t>
  </si>
  <si>
    <t>LVM-3B</t>
  </si>
  <si>
    <t>Berkeley/JHU</t>
  </si>
  <si>
    <t>https://arxiv.org/abs/2312.00785</t>
  </si>
  <si>
    <t>Paper is 25MB. First Large Vision Model (LVM); no text. Based on Llama and LAION 5B (1.49B).</t>
  </si>
  <si>
    <t>SeaLLM-13b</t>
  </si>
  <si>
    <t>https://github.com/damo-nlp-sg/seallms</t>
  </si>
  <si>
    <t>https://arxiv.org/abs/2312.00738</t>
  </si>
  <si>
    <t>Llama 2 for Southeast Asian (SEA) languages: Vietnamese 🇻🇳, Indonesian 🇮🇩, Thai 🇹🇭, Malay 🇲🇾, Khmer🇰🇭, Lao🇱🇦, Tagalog🇵🇭 and Burmese🇲🇲</t>
  </si>
  <si>
    <t>pplx-70b-online</t>
  </si>
  <si>
    <t>https://blog.perplexity.ai/blog/introducing-pplx-online-llms</t>
  </si>
  <si>
    <t>Web access. Higher 'freshness' and 'truth' scores.</t>
  </si>
  <si>
    <t>SeamlessM4T-Large v2</t>
  </si>
  <si>
    <t>https://seamless.metademolab.com/expressive/</t>
  </si>
  <si>
    <t>https://ai.meta.com/research/publications/seamless-multilingual-expressive-and-streaming-speech-translation/</t>
  </si>
  <si>
    <r>
      <rPr>
        <rFont val="Calibri"/>
        <sz val="14.0"/>
      </rPr>
      <t xml:space="preserve">Based on NLLB and older models. </t>
    </r>
    <r>
      <rPr>
        <rFont val="Calibri"/>
        <color rgb="FF1155CC"/>
        <sz val="14.0"/>
        <u/>
      </rPr>
      <t>https://github.com/facebookresearch/seamless_communication</t>
    </r>
  </si>
  <si>
    <t>Q-Transformer</t>
  </si>
  <si>
    <t>https://qtransformer.github.io/</t>
  </si>
  <si>
    <t>https://qtransformer.github.io/assets/qtransformer.pdf</t>
  </si>
  <si>
    <t>Robotics, builds on RT-1</t>
  </si>
  <si>
    <t>Yuan 2.0</t>
  </si>
  <si>
    <t>IEIT</t>
  </si>
  <si>
    <t>https://github.com/IEIT-Yuan/Yuan-2.0/blob/main/README-EN.md</t>
  </si>
  <si>
    <t>https://arxiv.org/abs/2311.15786</t>
  </si>
  <si>
    <t xml:space="preserve">Chinese + EN dataset include The Pile: DM, arxiv, wikipedia, book3, stack exchange, Freelaw and medical </t>
  </si>
  <si>
    <t>MEDITRON</t>
  </si>
  <si>
    <t>EPFL</t>
  </si>
  <si>
    <t>https://huggingface.co/epfl-llm/meditron-70b</t>
  </si>
  <si>
    <t>https://arxiv.org/abs/2311.16079</t>
  </si>
  <si>
    <t>Llama 2 trained on med data using NVIDIA Megatron-LM. "outperforms Llama-2-70B, GPT-3.5 (text-davinci-003, 8-shot), and Flan-PaLM on multiple medical reasoning tasks."</t>
  </si>
  <si>
    <t>Transformers-Arithmetic</t>
  </si>
  <si>
    <t>https://arxiv.org/abs/2311.14737</t>
  </si>
  <si>
    <t>Proving maths is not memorized. Uses GPT-2-style model. Sébastien Bubeck</t>
  </si>
  <si>
    <t>Starling-7B</t>
  </si>
  <si>
    <t>https://huggingface.co/berkeley-nest/Starling-LM-7B-alpha</t>
  </si>
  <si>
    <t>https://starling.cs.berkeley.edu/</t>
  </si>
  <si>
    <t>Llama 2 7B -&gt; OpenChat 7B -&gt; Starling-7B (RLAIF)</t>
  </si>
  <si>
    <t>Inflection-2</t>
  </si>
  <si>
    <t>“now the 2nd best LLM in the world”. Finished training 19/Nov/2023, waiting for fine-tuning and release.</t>
  </si>
  <si>
    <t>Claude 2.1</t>
  </si>
  <si>
    <t>https://www.anthropic.com/index/claude-2-1</t>
  </si>
  <si>
    <t>Less hallucinations, 200k context length, tool use</t>
  </si>
  <si>
    <t>TÜLU 2</t>
  </si>
  <si>
    <t>https://huggingface.co/allenai/tulu-2-dpo-70b</t>
  </si>
  <si>
    <t>https://arxiv.org/abs/2311.10702</t>
  </si>
  <si>
    <t>Llama 2 finetune with RLHF direct preference optimization (DPO).</t>
  </si>
  <si>
    <t>Nemotron-3 22B</t>
  </si>
  <si>
    <t>https://huggingface.co/nvidia/nemotron-3-8b-base-4k</t>
  </si>
  <si>
    <t>https://developer.nvidia.com/blog/nvidia-ai-foundation-models-build-custom-enterprise-chatbots-and-co-pilots-with-production-ready-llms/</t>
  </si>
  <si>
    <t>8B released, 22B internal.</t>
  </si>
  <si>
    <t>Nemotron-2 43B</t>
  </si>
  <si>
    <t>https://arxiv.org/abs/2311.09528</t>
  </si>
  <si>
    <r>
      <rPr>
        <rFont val="Calibri"/>
        <color rgb="FF073763"/>
        <sz val="14.0"/>
      </rPr>
      <t xml:space="preserve">Used to train HelpSteer (16/Nov/2023): </t>
    </r>
    <r>
      <rPr>
        <rFont val="Calibri"/>
        <color rgb="FF1155CC"/>
        <sz val="14.0"/>
        <u/>
      </rPr>
      <t>https://arxiv.org/abs/2311.09528</t>
    </r>
  </si>
  <si>
    <t>Orca 2</t>
  </si>
  <si>
    <t>https://arxiv.org/abs/2311.11045</t>
  </si>
  <si>
    <r>
      <rPr>
        <rFont val="Calibri,Arial"/>
        <color rgb="FF073763"/>
        <sz val="14.0"/>
      </rPr>
      <t xml:space="preserve">Llama 2 13B (2T) -&gt; Orca 2 (GPT-4 finetune). Still an imitation model, overhyped: The False Promise of Imitating Proprietary LLMs </t>
    </r>
    <r>
      <rPr>
        <rFont val="Calibri,Arial"/>
        <color rgb="FF1155CC"/>
        <sz val="14.0"/>
        <u/>
      </rPr>
      <t>https://arxiv.org/abs/2305.15717</t>
    </r>
    <r>
      <rPr>
        <rFont val="Calibri,Arial"/>
        <color rgb="FF073763"/>
        <sz val="14.0"/>
      </rPr>
      <t xml:space="preserve"> </t>
    </r>
  </si>
  <si>
    <t>Phi-2</t>
  </si>
  <si>
    <t>https://replicate.com/lucataco/phi-2</t>
  </si>
  <si>
    <t>https://huggingface.co/microsoft/phi-2</t>
  </si>
  <si>
    <t>https://twitter.com/SebastienBubeck/status/1724854157004190095</t>
  </si>
  <si>
    <t>Florence-2</t>
  </si>
  <si>
    <t>https://huggingface.co/microsoft/Florence-2-large</t>
  </si>
  <si>
    <t>https://arxiv.org/abs/2311.06242</t>
  </si>
  <si>
    <t>VLM, Flamingo alt</t>
  </si>
  <si>
    <t>Mirasol3B</t>
  </si>
  <si>
    <t>https://arxiv.org/abs/2311.05698</t>
  </si>
  <si>
    <t>Combiner + autoregressive transformer for video/audio/text</t>
  </si>
  <si>
    <t>OtterHD-8B</t>
  </si>
  <si>
    <t>NTU</t>
  </si>
  <si>
    <t>https://github.com/Luodian/Otter</t>
  </si>
  <si>
    <t>https://arxiv.org/abs/2311.04219</t>
  </si>
  <si>
    <t>Evolution of Persimmon-9.3B and Fuyu 8B</t>
  </si>
  <si>
    <t>Gauss</t>
  </si>
  <si>
    <t>Samsung</t>
  </si>
  <si>
    <t>https://koreajoongangdaily.joins.com/news/2023-11-08/business/tech/Samsung-unveils-generative-AI-model-Gauss/1908889</t>
  </si>
  <si>
    <t xml:space="preserve">Gauss Language specializing in generating texts, Gauss Code on software and code description and Gauss Image for image creation.  </t>
  </si>
  <si>
    <t>Grok-1</t>
  </si>
  <si>
    <t>https://github.com/xai-org/grok-1</t>
  </si>
  <si>
    <r>
      <rPr>
        <rFont val="Calibri"/>
        <color rgb="FF073763"/>
        <sz val="14.0"/>
      </rPr>
      <t xml:space="preserve">Context window=8192. UI: </t>
    </r>
    <r>
      <rPr>
        <rFont val="Calibri"/>
        <color rgb="FF1155CC"/>
        <sz val="14.0"/>
        <u/>
      </rPr>
      <t>https://twitter.com/TobyPhln/status/1721053802235621734</t>
    </r>
    <r>
      <rPr>
        <rFont val="Calibri"/>
        <color rgb="FF073763"/>
        <sz val="14.0"/>
      </rPr>
      <t xml:space="preserve"> </t>
    </r>
  </si>
  <si>
    <t>Grok-0</t>
  </si>
  <si>
    <t>https://web.archive.org/web/20231105051542/https://x.ai/</t>
  </si>
  <si>
    <t>Announced Nov/2023, trained Jul/2023</t>
  </si>
  <si>
    <t>Yi-34B</t>
  </si>
  <si>
    <t>https://huggingface.co/01-ai/Yi-34B</t>
  </si>
  <si>
    <t>https://github.com/01-ai/Yi</t>
  </si>
  <si>
    <r>
      <rPr>
        <rFont val="Calibri"/>
        <color rgb="FF073763"/>
        <sz val="14.0"/>
      </rPr>
      <t xml:space="preserve">Controversy about Llama 2 base. </t>
    </r>
    <r>
      <rPr>
        <rFont val="Calibri"/>
        <color rgb="FF1155CC"/>
        <sz val="14.0"/>
        <u/>
      </rPr>
      <t>https://twitter.com/kaifulee/status/1724673131875377465</t>
    </r>
    <r>
      <rPr>
        <rFont val="Calibri"/>
        <color rgb="FF073763"/>
        <sz val="14.0"/>
      </rPr>
      <t xml:space="preserve"> MMLU=76.3 (PaLM 2=78.3) Outperforms Llama 2. Chinese and English. https://www.bloomberg.com/news/articles/2023-11-05/kai-fu-lee-s-open-source-01-ai-bests-llama-2-according-to-hugging-face</t>
    </r>
  </si>
  <si>
    <t>GPT-4 Turbo</t>
  </si>
  <si>
    <t>https://openai.com/blog/new-models-and-developer-products-announced-at-devday</t>
  </si>
  <si>
    <t>https://arxiv.org/abs/2310.07707</t>
  </si>
  <si>
    <t>Matryoshka Transformer or MatFormer model architecture. 850M (696M / 620M / 582M). "850M decoder-only MatFormer language model (MatLM) allows us to extract multiple smaller models spanning from 582M to 850M parameters, each exhibiting better validation loss and one-shot downstream evaluations than independently trained counterparts."</t>
  </si>
  <si>
    <t>Skywork-13B</t>
  </si>
  <si>
    <t>https://arxiv.org/abs/2310.19341</t>
  </si>
  <si>
    <t>CN + EN.</t>
  </si>
  <si>
    <t>Kimi Chat</t>
  </si>
  <si>
    <t>https://www.chinadaily.com.cn/a/202403/22/WS65fce476a31082fc043be1b1.html</t>
  </si>
  <si>
    <t>Chinese. Long context. No paper.</t>
  </si>
  <si>
    <t>jina-embeddings-v2</t>
  </si>
  <si>
    <t>https://huggingface.co/jinaai/jina-embeddings-v2-base-en</t>
  </si>
  <si>
    <t>https://jina.ai/news/jina-ai-launches-worlds-first-open-source-8k-text-embedding-rivaling-openai/</t>
  </si>
  <si>
    <r>
      <rPr>
        <rFont val="Calibri"/>
        <color rgb="FF073763"/>
        <sz val="14.0"/>
      </rPr>
      <t xml:space="preserve">Alternative to text-embedding-ada-002. Related v1 paper: </t>
    </r>
    <r>
      <rPr>
        <rFont val="Calibri"/>
        <color rgb="FF1155CC"/>
        <sz val="14.0"/>
        <u/>
      </rPr>
      <t>https://arxiv.org/abs/2307.11224</t>
    </r>
  </si>
  <si>
    <t>Fuyu</t>
  </si>
  <si>
    <t>https://huggingface.co/adept/fuyu-8b</t>
  </si>
  <si>
    <t>https://www.adept.ai/blog/fuyu-8b</t>
  </si>
  <si>
    <t>VLM. 8B available under open licence, Medium size is closed</t>
  </si>
  <si>
    <t>ERNIE 4.0</t>
  </si>
  <si>
    <t>https://reuters.com/technology/chinas-baidu-unveils-latest-version-its-ernie-ai-model-2023-10-17/</t>
  </si>
  <si>
    <t xml:space="preserve">Dense (confirmed). English-dubbed launch video (2h52m): https://twitter.com/i/broadcasts/1yNGaZaeallJj &amp; https://youtu.be/wYozcsavRuM </t>
  </si>
  <si>
    <t>Zephyr</t>
  </si>
  <si>
    <t>https://huggingface.co/HuggingFaceH4/zephyr-7b-alpha</t>
  </si>
  <si>
    <t>Mistral with 'aligned' data removed from dataset</t>
  </si>
  <si>
    <t>PaLI-3</t>
  </si>
  <si>
    <t>https://arxiv.org/abs/2310.09199</t>
  </si>
  <si>
    <r>
      <rPr>
        <rFont val="Calibri"/>
        <sz val="14.0"/>
      </rPr>
      <t xml:space="preserve">VLM. Next iteration of PaLI via Pathways. </t>
    </r>
    <r>
      <rPr>
        <rFont val="Calibri"/>
        <color rgb="FF1155CC"/>
        <sz val="14.0"/>
        <u/>
      </rPr>
      <t>https://lifearchitect.ai/pathways/</t>
    </r>
  </si>
  <si>
    <t>Retro 48B</t>
  </si>
  <si>
    <t>https://arxiv.org/abs/2310.07713</t>
  </si>
  <si>
    <t>the largest LLM pretrained with retrieval before instruction tuning.'</t>
  </si>
  <si>
    <t>Ferret</t>
  </si>
  <si>
    <t>https://arxiv.org/abs/2310.07704</t>
  </si>
  <si>
    <t>Vicuna base, multimodal</t>
  </si>
  <si>
    <t>Lemur</t>
  </si>
  <si>
    <t>XLANG Lab</t>
  </si>
  <si>
    <t>https://github.com/OpenLemur/Lemur</t>
  </si>
  <si>
    <t>https://arxiv.org/abs/2310.06830</t>
  </si>
  <si>
    <t>AceGPT</t>
  </si>
  <si>
    <t>KAUST/Shenzhen</t>
  </si>
  <si>
    <t>https://huggingface.co/FreedomIntelligence/AceGPT-13B</t>
  </si>
  <si>
    <t>https://github.com/FreedomIntelligence/AceGPT/tree/main</t>
  </si>
  <si>
    <t>Arabic. Llama 2 + RLAIF</t>
  </si>
  <si>
    <t>Yasa-1</t>
  </si>
  <si>
    <t>https://reka.ai/announcing-our-multimodal-ai-assistant/</t>
  </si>
  <si>
    <t>https://reka.ai/product/</t>
  </si>
  <si>
    <t>Multi-modal. No public arch info. Researchers from DeepMind, Google, Baidu and Meta building enterprise models</t>
  </si>
  <si>
    <t>RT-X</t>
  </si>
  <si>
    <t>https://robotics-transformer-x.github.io/</t>
  </si>
  <si>
    <t>https://robotics-transformer-x.github.io/paper.pdf</t>
  </si>
  <si>
    <t>Robotics using UL2. 'RT-1 model trained using the robotic data mixture as RT-1-X, and the RT-2 model trained using the robotic data mixture as RT-2-X.'</t>
  </si>
  <si>
    <t>MotionLM</t>
  </si>
  <si>
    <t>Waymo</t>
  </si>
  <si>
    <t>https://arxiv.org/abs/2309.16534</t>
  </si>
  <si>
    <r>
      <rPr>
        <rFont val="Calibri"/>
        <sz val="14.0"/>
      </rPr>
      <t xml:space="preserve">LLM for autonomous vehicle forecasting. </t>
    </r>
    <r>
      <rPr>
        <rFont val="Calibri"/>
        <color rgb="FF1155CC"/>
        <sz val="14.0"/>
        <u/>
      </rPr>
      <t>https://youtu.be/jrMMNmN21I8?t=1560</t>
    </r>
  </si>
  <si>
    <t>GAIA-1</t>
  </si>
  <si>
    <t>Wayve</t>
  </si>
  <si>
    <t>https://wayve.ai/thinking/scaling-gaia-1/</t>
  </si>
  <si>
    <t>https://arxiv.org/abs/2309.17080</t>
  </si>
  <si>
    <t>World model, generates video. Uses T5-large 770M for language + all vision parameters</t>
  </si>
  <si>
    <t>Qwen</t>
  </si>
  <si>
    <t>https://huggingface.co/Qwen</t>
  </si>
  <si>
    <t>https://arxiv.org/abs/2309.16609</t>
  </si>
  <si>
    <t>Chinese. Full name is 'Tongyi Qianwen' 通义千问. 'Lags behind both GPT-3.5 and GPT-4'. Originally 7B/14B params Apr/2023</t>
  </si>
  <si>
    <t>Llama 2 Long</t>
  </si>
  <si>
    <t>https://arxiv.org/abs/2309.16039</t>
  </si>
  <si>
    <t>Unreleased to date. Context window=32,768 tokens (compare to Llama 2=4096 tokens)</t>
  </si>
  <si>
    <t>LeoLM</t>
  </si>
  <si>
    <t>Hessian AI/LAION</t>
  </si>
  <si>
    <t>https://huggingface.co/LeoLM/leo-hessianai-13b</t>
  </si>
  <si>
    <t>https://laion.ai/blog/leo-lm/</t>
  </si>
  <si>
    <t>Llama 2 'extended' and pretrained on 2000B Llama 2 tokens + 65B tokens of German</t>
  </si>
  <si>
    <t>Mistral 7B</t>
  </si>
  <si>
    <t>https://huggingface.co/mistralai</t>
  </si>
  <si>
    <t>https://mistral.ai/news/announcing-mistral-7b/</t>
  </si>
  <si>
    <t>Apache 2.0, Sliding Window Attention (SWA) to handle longer sequences at smaller cost</t>
  </si>
  <si>
    <t>Kosmos-2.5</t>
  </si>
  <si>
    <t>https://arxiv.org/abs/2309.11419</t>
  </si>
  <si>
    <t>Baichuan 2</t>
  </si>
  <si>
    <t>https://github.com/baichuan-inc/Baichuan2/blob/main/README_EN.md</t>
  </si>
  <si>
    <t>https://cdn.baichuan-ai.com/paper/Baichuan2-technical-report.pdf</t>
  </si>
  <si>
    <t>Great paper. Chinese-English bilingual dataset</t>
  </si>
  <si>
    <t>BOLT2.5B</t>
  </si>
  <si>
    <t>ThirdAI</t>
  </si>
  <si>
    <t>https://huggingface.co/spaces/thirdai/BOLT2.5B</t>
  </si>
  <si>
    <t>https://medium.com/thirdai-blog/introducing-the-worlds-first-generative-llm-pre-trained-only-on-cpus-meet-thirdai-s-bolt2-5b-10c0600e1af4</t>
  </si>
  <si>
    <t>CPU trained</t>
  </si>
  <si>
    <t>DeciLM</t>
  </si>
  <si>
    <t>https://huggingface.co/Deci/DeciLM-6b</t>
  </si>
  <si>
    <t>https://deci.ai/blog/decilm-15-times-faster-than-llama2-nas-generated-llm-with-variable-gqa/</t>
  </si>
  <si>
    <t>Faster inference (4.8× throughput of Llama 2)</t>
  </si>
  <si>
    <t>MoLM</t>
  </si>
  <si>
    <t>https://github.com/ibm/moduleformer</t>
  </si>
  <si>
    <t>https://arxiv.org/abs/2306.04640</t>
  </si>
  <si>
    <t>ModuleFormer is based on the Sparse Mixture of Experts (MoE).</t>
  </si>
  <si>
    <t>NExT-GPT</t>
  </si>
  <si>
    <t>Singapore</t>
  </si>
  <si>
    <t>https://next-gpt.github.io/</t>
  </si>
  <si>
    <t>https://arxiv.org/abs/2309.05519</t>
  </si>
  <si>
    <t>Multimodal. Vicuna 7B + other modalities</t>
  </si>
  <si>
    <t>Phi-1.5</t>
  </si>
  <si>
    <t>https://huggingface.co/microsoft/phi-1_5</t>
  </si>
  <si>
    <t>https://arxiv.org/abs/2309.05463</t>
  </si>
  <si>
    <t>Textbooks only. 30B-token dataset</t>
  </si>
  <si>
    <t>UniLM</t>
  </si>
  <si>
    <t>https://jackcook.com/2023/09/08/predictive-text.html</t>
  </si>
  <si>
    <t>https://github.com/jackcook/predictive-spy</t>
  </si>
  <si>
    <t>Apple's Transformer model for iOS 17 + macOS Sonoma. Announce is actually Jun/2023. GPT-2 base? 128 token context window</t>
  </si>
  <si>
    <t>Persimmon-8B</t>
  </si>
  <si>
    <t>https://www.adept.ai/blog/persimmon-8b</t>
  </si>
  <si>
    <t>https://github.com/persimmon-ai-labs/adept-inference</t>
  </si>
  <si>
    <t xml:space="preserve">Open Apache license and publicly accessible weights. </t>
  </si>
  <si>
    <t>FLM-101B</t>
  </si>
  <si>
    <t>https://huggingface.co/CofeAI/FLM-101B</t>
  </si>
  <si>
    <t>https://arxiv.org/abs/2309.03852</t>
  </si>
  <si>
    <t>Train for $100k compute budget (on a cluster of 24 DGX-A800 GPU 8×80G servers for 21 days)</t>
  </si>
  <si>
    <t>Falcon 180B</t>
  </si>
  <si>
    <t>https://huggingface.co/spaces/tiiuae/falcon-180b-demo</t>
  </si>
  <si>
    <t>https://arxiv.org/abs/2311.16867</t>
  </si>
  <si>
    <t>Major milestone for open source models (largest open dense model to date).</t>
  </si>
  <si>
    <t>Hunyuan</t>
  </si>
  <si>
    <t>https://www.tencent.com/en-us/articles/2201685.html</t>
  </si>
  <si>
    <t>https://arxiv.org/abs/2402.01723v1</t>
  </si>
  <si>
    <t>phi-CTNL</t>
  </si>
  <si>
    <t>https://arxiv.org/abs/2309.08632</t>
  </si>
  <si>
    <t>Satire. MMLU=100. 'phi-CTNL (pronounced “fictional”) that achieves perfect results across diverse academic benchmarks'</t>
  </si>
  <si>
    <t>Granite</t>
  </si>
  <si>
    <t>https://www.ibm.com/granite</t>
  </si>
  <si>
    <t>https://www.ibm.com/downloads/cas/X9W4O6BM</t>
  </si>
  <si>
    <t>Original trained on 1T tokens, update 15/Feb/2024 trained on 2.5T tokens: granite-13b-chat-v2 (v2.1.0). "At IBM, we curated 6.48TB of data to train our LLM Granite.13B. This was reduced to 2.07 TB after pre-processing, a 68% decrease."</t>
  </si>
  <si>
    <t>Jais</t>
  </si>
  <si>
    <t>https://huggingface.co/inception-mbzuai</t>
  </si>
  <si>
    <t>https://arxiv.org/abs/2308.16149</t>
  </si>
  <si>
    <t>Arabic, trained in Abu Dhabi, UAE using Cerebras.</t>
  </si>
  <si>
    <t>Code Llama 34B</t>
  </si>
  <si>
    <t>https://github.com/facebookresearch/codellama</t>
  </si>
  <si>
    <t>Outperforms GPT-3.5. Initial Llama 2 (2T tokens) trained on 500B tokens of code, 100B tokens of python</t>
  </si>
  <si>
    <t>IDEFICS</t>
  </si>
  <si>
    <t>https://huggingface.co/spaces/HuggingFaceM4/idefics_playground</t>
  </si>
  <si>
    <t>https://huggingface.co/blog/idefics</t>
  </si>
  <si>
    <t>Clone of Flamingo using Llama-1 65B. Named after Asterix and Obelix's dog Idefix (Image-aware Decoder Enhanced à la Flamingo with Interleaved Cross-attentionS)</t>
  </si>
  <si>
    <t>Raven</t>
  </si>
  <si>
    <t>UI/NVIDIA</t>
  </si>
  <si>
    <t>https://arxiv.org/abs/2308.07922</t>
  </si>
  <si>
    <t>RAG Atlas</t>
  </si>
  <si>
    <t>DukunLM</t>
  </si>
  <si>
    <t>AzaleAI</t>
  </si>
  <si>
    <t>https://huggingface.co/azale-ai/DukunLM-13B-V1.0-Uncensored</t>
  </si>
  <si>
    <t>Indonesian fine-tune of WizardLM (which is a Llama fine-tune).</t>
  </si>
  <si>
    <t>WizardLM</t>
  </si>
  <si>
    <t>https://huggingface.co/WizardLM/WizardLM-70B-V1.0</t>
  </si>
  <si>
    <t>https://github.com/nlpxucan/WizardLM</t>
  </si>
  <si>
    <t>Assume Llama-2 fine-tune. Outperforms text-davinci-003. May merge this entry with the Apr/2023 7B release</t>
  </si>
  <si>
    <t>Platypus</t>
  </si>
  <si>
    <t>Boston University</t>
  </si>
  <si>
    <t>https://platypus-llm.github.io/</t>
  </si>
  <si>
    <t>https://platypus-llm.github.io/Platypus.pdf</t>
  </si>
  <si>
    <t>Fine-tune of Llama 2, family includes merges with Beluga, Dolphin, and Camel fine-tunes.</t>
  </si>
  <si>
    <t>Japanese StableLM Alpha 7B</t>
  </si>
  <si>
    <t>https://huggingface.co/stabilityai/japanese-stablelm-base-alpha-7b</t>
  </si>
  <si>
    <t>https://stability.ai/blog/stability-ai-new-jplm-japanese-language-model-stablelm</t>
  </si>
  <si>
    <t>Best-performing openly available language model for Japanese speakers.</t>
  </si>
  <si>
    <t>Stable Code 3B</t>
  </si>
  <si>
    <t>https://huggingface.co/stabilityai/stablecode-completion-alpha-3b-4k</t>
  </si>
  <si>
    <t>https://stability.ai/blog/stablecode-llm-generative-ai-coding</t>
  </si>
  <si>
    <t>Med-Flamingo</t>
  </si>
  <si>
    <t>https://github.com/snap-stanford/med-flamingo</t>
  </si>
  <si>
    <t>https://arxiv.org/abs/2307.15189</t>
  </si>
  <si>
    <t>Uses LAION OpenFlamingo 9B, based on LLaMA-7B text + 1.3B vision</t>
  </si>
  <si>
    <t>Alfred-40B-0723</t>
  </si>
  <si>
    <t>LightOn</t>
  </si>
  <si>
    <t>https://huggingface.co/lightonai/alfred-40b-0723</t>
  </si>
  <si>
    <t>https://www.lighton.ai/blog/lighton-s-blog-4/introducing-alfred-40b-0723-38</t>
  </si>
  <si>
    <t>First finetuned version of Falcon with RLHF. Enterprise: https://www.lighton.ai/paradigm</t>
  </si>
  <si>
    <t>LLaMA-2-7B-32K</t>
  </si>
  <si>
    <t>https://huggingface.co/togethercomputer/LLaMA-2-7B-32K</t>
  </si>
  <si>
    <t>https://together.ai/blog/llama-2-7b-32k</t>
  </si>
  <si>
    <t>32k context window instead of 4k (Llama 2)</t>
  </si>
  <si>
    <t>Med-PaLM M</t>
  </si>
  <si>
    <t>https://arxiv.org/abs/2307.14334</t>
  </si>
  <si>
    <t>Uses PaLM 1. Already outperformed by Med-PaLM 2. Med-PaLM Multimodal (Med-PaLM M).</t>
  </si>
  <si>
    <t>BTLM-3B-8K</t>
  </si>
  <si>
    <t>https://huggingface.co/cerebras/btlm-3b-8k-base</t>
  </si>
  <si>
    <t>https://www.cerebras.net/blog/btlm-3b-8k-7b-performance-in-a-3-billion-parameter-model/</t>
  </si>
  <si>
    <t>Runs on devices with as little as 3GB of memory [iPhone, Macbook] when quantized to 4-bit</t>
  </si>
  <si>
    <t>Stable Beluga 2</t>
  </si>
  <si>
    <t>https://huggingface.co/stabilityai/FreeWilly2</t>
  </si>
  <si>
    <t>https://stability.ai/blog/stable-beluga-large-instruction-fine-tuned-models</t>
  </si>
  <si>
    <t>Fine-tuned Llama 2. Non-commercial use license. Codename was FreeWilly2</t>
  </si>
  <si>
    <t>Stable Beluga 1</t>
  </si>
  <si>
    <t>https://huggingface.co/stabilityai/FreeWilly1-Delta-SafeTensor</t>
  </si>
  <si>
    <t>Fine-tuned LLaMA-1. Non-commercial use license. Codename was FreeWilly1</t>
  </si>
  <si>
    <t>Meta-Transformer</t>
  </si>
  <si>
    <t>Shanghai AI Laboratory/CUHK</t>
  </si>
  <si>
    <t>https://github.com/invictus717/MetaTransformer</t>
  </si>
  <si>
    <t>https://arxiv.org/abs/2307.10802</t>
  </si>
  <si>
    <t>Proto-AGI. 12 modalities (text, image, point cloud, audio, video, infrared, hyperspectral, X-ray, time-series, tabular, Inertial Measurement Unit (IMU), and graph data).</t>
  </si>
  <si>
    <t>Llama 2</t>
  </si>
  <si>
    <t>https://www.llama2.ai/</t>
  </si>
  <si>
    <t>https://ai.meta.com/research/publications/llama-2-open-foundation-and-fine-tuned-chat-models/</t>
  </si>
  <si>
    <t>Context window=4096. MMLU=68.9 (GPT-3.5=70.0, GPT-4=86.4)</t>
  </si>
  <si>
    <t>WormGPT</t>
  </si>
  <si>
    <t>(Undisclosed)</t>
  </si>
  <si>
    <t>https://slashnext.com/blog/wormgpt-the-generative-ai-tool-cybercriminals-are-using-to-launch-business-email-compromise-attacks/</t>
  </si>
  <si>
    <t>GPT-J (2021) finetune/module.</t>
  </si>
  <si>
    <t>Claude 2</t>
  </si>
  <si>
    <t>https://www-files.anthropic.com/production/images/Model-Card-Claude-2.pdf</t>
  </si>
  <si>
    <t>More HHH, 200k context length</t>
  </si>
  <si>
    <t>LongLLaMA</t>
  </si>
  <si>
    <t>IDEAS/DeepMind</t>
  </si>
  <si>
    <t>https://github.com/CStanKonrad/long_llama</t>
  </si>
  <si>
    <t>https://arxiv.org/abs/2307.03170</t>
  </si>
  <si>
    <t>256k context length</t>
  </si>
  <si>
    <t>xTrimoPGLM</t>
  </si>
  <si>
    <t>https://www.biorxiv.org/content/10.1101/2023.07.05.547496v1</t>
  </si>
  <si>
    <t>Protein language model</t>
  </si>
  <si>
    <t>XGen</t>
  </si>
  <si>
    <t>https://github.com/salesforce/xgen</t>
  </si>
  <si>
    <t>https://blog.salesforceairesearch.com/xgen/</t>
  </si>
  <si>
    <t>8K sequence length. Released under Apache-2.0.</t>
  </si>
  <si>
    <t>Zhinao (Intellectual Brain)</t>
  </si>
  <si>
    <t>360 cn</t>
  </si>
  <si>
    <t>https://ai.360.com/</t>
  </si>
  <si>
    <t>Yasa</t>
  </si>
  <si>
    <t>No public arch info. Researchers from DeepMind, Google, Baidu and Meta building enterprise models</t>
  </si>
  <si>
    <t>Kosmos-2</t>
  </si>
  <si>
    <t>https://44e505515af066f4.gradio.app/</t>
  </si>
  <si>
    <t>https://arxiv.org/abs/2306.14824</t>
  </si>
  <si>
    <t>Proto-AGI. Multimodal large language model (MLLM).  a multimodal large language model with grounding capability built upon KOSMOS-1</t>
  </si>
  <si>
    <t>AudioPaLM</t>
  </si>
  <si>
    <t>https://google-research.github.io/seanet/audiopalm/examples/</t>
  </si>
  <si>
    <t>https://arxiv.org/abs/2306.12925</t>
  </si>
  <si>
    <t>a unified multimodal architecture that can process and generate text and speech with applications including speech recognition and speech-to-speech translation</t>
  </si>
  <si>
    <t>Inflection-1</t>
  </si>
  <si>
    <t>https://docs.google.com/forms/d/e/1FAIpQLScM9Iz1KzaRlfgDrYrldoPDnXbhO5LW3-hqmQCd56YpheEN7g/viewform</t>
  </si>
  <si>
    <t>https://inflection.ai/assets/Inflection-1_0622.pdf</t>
  </si>
  <si>
    <t>Comparable with benchmarking results from InternLM 104B, 1-2% better. ‘Inflection-1 was trained using thousands of NVIDIA H100 GPUs on a very large dataset.’</t>
  </si>
  <si>
    <t>Phi-1</t>
  </si>
  <si>
    <t>https://arxiv.org/abs/2306.11644</t>
  </si>
  <si>
    <t>Code model. ‘breaking existing scaling laws by training a 1.3B-parameter model, which we call phi-1, for roughly 8 passes over 7B tokens (slightly over 50B total tokens seen) followed by finetuning on less than 200M tokens.’</t>
  </si>
  <si>
    <t>InternLM</t>
  </si>
  <si>
    <t>https://internlm-org.translate.goog/?_x_tr_sl=zh&amp;_x_tr_tl=en</t>
  </si>
  <si>
    <t>https://github.com/InternLM/InternLM-techreport</t>
  </si>
  <si>
    <t>Outperforms ChatGPT, LLaMA on RACE-h, Chinese + English</t>
  </si>
  <si>
    <t>BlenderBot 3x</t>
  </si>
  <si>
    <t>https://parl.ai/projects/bb3x/</t>
  </si>
  <si>
    <t>https://arxiv.org/abs/2306.04707</t>
  </si>
  <si>
    <t>OPT-175B with new dialogue data</t>
  </si>
  <si>
    <t>Orca</t>
  </si>
  <si>
    <t>https://aka.ms/orca-lm</t>
  </si>
  <si>
    <t>https://arxiv.org/abs/2306.02707</t>
  </si>
  <si>
    <r>
      <rPr>
        <rFont val="Calibri"/>
        <color rgb="FF073763"/>
        <sz val="14.0"/>
      </rPr>
      <t xml:space="preserve">LLaMA -&gt; Vicuna -&gt; Orca (GPT-4 finetune). Still an imitation model, overhyped: The False Promise of Imitating Proprietary LLMs </t>
    </r>
    <r>
      <rPr>
        <rFont val="Calibri"/>
        <color rgb="FF1155CC"/>
        <sz val="14.0"/>
        <u/>
      </rPr>
      <t>https://arxiv.org/abs/2305.15717</t>
    </r>
    <r>
      <rPr>
        <rFont val="Calibri"/>
        <color rgb="FF073763"/>
        <sz val="14.0"/>
      </rPr>
      <t xml:space="preserve"> </t>
    </r>
  </si>
  <si>
    <t>PassGPT</t>
  </si>
  <si>
    <t>https://arxiv.org/abs/2306.01545</t>
  </si>
  <si>
    <t>GPT-2 trained on leaked passwords</t>
  </si>
  <si>
    <t>DIDACT</t>
  </si>
  <si>
    <t>https://ai.googleblog.com/2023/05/large-sequence-models-for-software.html</t>
  </si>
  <si>
    <t>Iterative coding model trained on Google's monorepo. Jacob: https://twitter.com/jacobaustin132/status/1663972128176128002</t>
  </si>
  <si>
    <t>LTM-1</t>
  </si>
  <si>
    <t>https://magic.dev/blog/ltm-1</t>
  </si>
  <si>
    <t>Context window=5M</t>
  </si>
  <si>
    <t>GPT-4 MathMix</t>
  </si>
  <si>
    <t>https://arxiv.org/abs/2305.20050</t>
  </si>
  <si>
    <t>Unreleased, includes step by step research</t>
  </si>
  <si>
    <t>PandaGPT</t>
  </si>
  <si>
    <t>Cambridge/Tencent</t>
  </si>
  <si>
    <t>https://panda-gpt.github.io/</t>
  </si>
  <si>
    <t>https://github.com/yxuansu/PandaGPT/blob/main/PandaGPT.pdf</t>
  </si>
  <si>
    <t>Proto-AGI. 6 modalities (text, image/video, audio, depth, thermal, and IMU/accelerometer/gyroscope/compass). Based on Vicuna.</t>
  </si>
  <si>
    <t>Falcon</t>
  </si>
  <si>
    <t>TS</t>
  </si>
  <si>
    <t>https://www.tii.ae/news/uaes-technology-innovation-institute-launches-open-source-falcon-40b-large-language-model</t>
  </si>
  <si>
    <t>Abu Dhabi</t>
  </si>
  <si>
    <t>202305-refact2b-mqa-lion</t>
  </si>
  <si>
    <t>Refact</t>
  </si>
  <si>
    <t>https://refact.ai/blog/2023/applying-recent-innovations-to-train-model/</t>
  </si>
  <si>
    <t>LiON vs Adam, code, RedPajama+The Stack</t>
  </si>
  <si>
    <t>Guanaco</t>
  </si>
  <si>
    <t>UW</t>
  </si>
  <si>
    <t>https://huggingface.co/spaces/uwnlp/guanaco-playground-tgi</t>
  </si>
  <si>
    <t>https://arxiv.org/abs/2305.14314</t>
  </si>
  <si>
    <t>LLaMA-65B via QLoRA</t>
  </si>
  <si>
    <t>LIMA</t>
  </si>
  <si>
    <t>https://arxiv.org/abs/2305.11206</t>
  </si>
  <si>
    <t>LLaMA-65B with nearly no fine-tuning, no RLHF</t>
  </si>
  <si>
    <t>Formosa (FFM)</t>
  </si>
  <si>
    <t>Asus/TWS</t>
  </si>
  <si>
    <t>https://www.asus.com/news/xxifirl2s2tzesl0/</t>
  </si>
  <si>
    <r>
      <rPr>
        <rFont val="Calibri"/>
        <color rgb="FF073763"/>
        <sz val="14.0"/>
      </rPr>
      <t xml:space="preserve">BLOOMZ finetune? Chinese, Taiwan's first LLM. Subscription hardware: </t>
    </r>
    <r>
      <rPr>
        <rFont val="Calibri"/>
        <color rgb="FF1155CC"/>
        <sz val="14.0"/>
        <u/>
      </rPr>
      <t>https://archive.md/cVdJt</t>
    </r>
    <r>
      <rPr>
        <rFont val="Calibri"/>
        <color rgb="FF073763"/>
        <sz val="14.0"/>
      </rPr>
      <t xml:space="preserve"> </t>
    </r>
  </si>
  <si>
    <t>CodeT5+</t>
  </si>
  <si>
    <t>https://huggingface.co/Salesforce/codet5p-16b</t>
  </si>
  <si>
    <t>https://arxiv.org/abs/2305.07922</t>
  </si>
  <si>
    <t>InstructCodeT5+ 16B sets new SoTA results of 35.0% pass@1 and 54.5% pass@10 against other open code LLMs, even surpassing the closed-source OpenAI code-cushman-001'</t>
  </si>
  <si>
    <t>PaLM 2</t>
  </si>
  <si>
    <t>https://console.cloud.google.com/vertex-ai/generative/language/create/chat</t>
  </si>
  <si>
    <t>https://ai.google/static/documents/palm2techreport.pdf</t>
  </si>
  <si>
    <t>“What we found in our work is that it’s not really the sort of size of model — that the larger is not always better,” Deepmind VP Zoubin Ghahramani said in a press briefing ahead of today’s announcement. “That’s why we’ve provided a family of models of different sizes. We think that actually parameter count is not really a useful way of thinking about the capabilities of models and capabilities are really to be judged by people using the models and finding out  whether they’re useful in the tests that they try to achieve with these models.”</t>
  </si>
  <si>
    <t>StarCoder</t>
  </si>
  <si>
    <t>https://huggingface.co/bigcode/starcoderbase</t>
  </si>
  <si>
    <t>https://drive.google.com/file/d/1cN-b9GnWtHzQRoE7M7gAEyivY0kl4BYs/view</t>
  </si>
  <si>
    <t>MPT</t>
  </si>
  <si>
    <t>https://huggingface.co/mosaicml/mpt-7b</t>
  </si>
  <si>
    <t>https://twitter.com/NaveenGRao/status/1654496162492084227</t>
  </si>
  <si>
    <t>Llongboi' -Apache 2.0 license suitable for commercial use. -Base 7B LLM trained on 1T tokens outperforms LLaMA and GPT3. -64K+ context length. -$200k to train from scratch.</t>
  </si>
  <si>
    <t>Pi</t>
  </si>
  <si>
    <t>https://pi.ai/talk</t>
  </si>
  <si>
    <t>https://www-cnbc-com.cdn.ampproject.org/c/s/www.cnbc.com/amp/2022/03/08/reid-hoffman-has-set-up-a-new-ai-company-with-deepminds-co-founder.html</t>
  </si>
  <si>
    <t>No indication of params/tokens. Devs from DeepMind.</t>
  </si>
  <si>
    <t>GPT-2B-001</t>
  </si>
  <si>
    <t>https://huggingface.co/nvidia/GPT-2B-001</t>
  </si>
  <si>
    <t>No paper yet</t>
  </si>
  <si>
    <t>Titan</t>
  </si>
  <si>
    <t>https://aws.amazon.com/bedrock/titan/</t>
  </si>
  <si>
    <t>https://www.techrepublic.com/article/amazon-bedrock-titan-cloud-artificial-intelligence/</t>
  </si>
  <si>
    <r>
      <rPr>
        <rFont val="Calibri"/>
        <color rgb="FF073763"/>
        <sz val="14.0"/>
      </rPr>
      <t xml:space="preserve">No official information at all. 2nd hand via Jack Clark: </t>
    </r>
    <r>
      <rPr>
        <rFont val="Calibri"/>
        <color rgb="FF1155CC"/>
        <sz val="14.0"/>
        <u/>
      </rPr>
      <t>https://importai.substack.com/p/import-ai-365-wmd-benchmark-amazon</t>
    </r>
    <r>
      <rPr>
        <rFont val="Calibri"/>
        <color rgb="FF073763"/>
        <sz val="14.0"/>
      </rPr>
      <t xml:space="preserve"> '$65m training run. Specifically, they trained a 200B dense model on 4T tokens of data across 13,760 NVIDIA A100 chips (using 1,720 P4d nodes). It took 48 days to train.'</t>
    </r>
  </si>
  <si>
    <t>https://6f8173a3550ed441ab.gradio.live/</t>
  </si>
  <si>
    <t>https://arxiv.org/abs/2304.12244</t>
  </si>
  <si>
    <t>LLaMA 7B self-instructed fine-tune.</t>
  </si>
  <si>
    <t>https://huggingface.co/mosaicml/mpt-1b-redpajama-200b-dolly</t>
  </si>
  <si>
    <t>https://twitter.com/jefrankle/status/1649060478910357504</t>
  </si>
  <si>
    <t>More 1B models coming with different datasets. Many more.</t>
  </si>
  <si>
    <t>StableLM</t>
  </si>
  <si>
    <t>https://huggingface.co/spaces/stabilityai/stablelm-tuned-alpha-chat</t>
  </si>
  <si>
    <t>https://github.com/stability-AI/stableLM/</t>
  </si>
  <si>
    <t>contains 1.5 trillion tokens, roughly 3x the size of The Pile. These models will be trained on up to 1.5 trillion tokens. The context length for these models is 4096 tokens.</t>
  </si>
  <si>
    <t>Dolly 2.0</t>
  </si>
  <si>
    <t>Databricks</t>
  </si>
  <si>
    <t>https://huggingface.co/databricks/dolly-v2-12b</t>
  </si>
  <si>
    <t>https://www.databricks.com/blog/2023/04/12/dolly-first-open-commercially-viable-instruction-tuned-llm</t>
  </si>
  <si>
    <t>Fine-tuned Pythia 12B</t>
  </si>
  <si>
    <t>Pythia</t>
  </si>
  <si>
    <t>https://huggingface.co/EleutherAI/pythia-12b</t>
  </si>
  <si>
    <t>https://arxiv.org/abs/2304.01373</t>
  </si>
  <si>
    <t>Koala-13B</t>
  </si>
  <si>
    <t>https://chat.lmsys.org/?model=koala-13b</t>
  </si>
  <si>
    <t>https://bair.berkeley.edu/blog/2023/04/03/koala/</t>
  </si>
  <si>
    <t>LLaMA base. Academic licence only.</t>
  </si>
  <si>
    <t>C1.2</t>
  </si>
  <si>
    <t>Character.ai</t>
  </si>
  <si>
    <t>https://blog.character.ai/character-ai/</t>
  </si>
  <si>
    <t>No details released.</t>
  </si>
  <si>
    <t>BloombergGPT</t>
  </si>
  <si>
    <t>Bloomberg</t>
  </si>
  <si>
    <t>https://arxiv.org/abs/2303.17564</t>
  </si>
  <si>
    <r>
      <rPr>
        <rFont val="Calibri"/>
        <color rgb="FF073763"/>
        <sz val="14.0"/>
      </rPr>
      <t xml:space="preserve">Video: </t>
    </r>
    <r>
      <rPr>
        <rFont val="Calibri"/>
        <color rgb="FF1155CC"/>
        <sz val="14.0"/>
        <u/>
      </rPr>
      <t>https://youtu.be/m2Scj2SO85Y</t>
    </r>
    <r>
      <rPr>
        <rFont val="Calibri"/>
        <color rgb="FF073763"/>
        <sz val="14.0"/>
      </rPr>
      <t xml:space="preserve"> Underperforms GPT-3, based on BLOOM. Tokens: 'We select a model size motivated by Hoffmann et al. (2022) and train a 50 billion parameter model on 569 billion tokens from our corpus of over 700 billion tokens to produce a model that is competitive with larger models.'</t>
    </r>
  </si>
  <si>
    <t>OpenFlamingo-9B</t>
  </si>
  <si>
    <t>LAION</t>
  </si>
  <si>
    <t>https://huggingface.co/openflamingo/OpenFlamingo-9B</t>
  </si>
  <si>
    <t>https://laion.ai/blog/open-flamingo/</t>
  </si>
  <si>
    <r>
      <rPr>
        <rFont val="Calibri"/>
        <color rgb="FF073763"/>
        <sz val="14.0"/>
      </rPr>
      <t xml:space="preserve">Uses LLaMA-7B. Demo: </t>
    </r>
    <r>
      <rPr>
        <rFont val="Calibri"/>
        <color rgb="FF1155CC"/>
        <sz val="14.0"/>
        <u/>
      </rPr>
      <t>https://7164d2142d11.ngrok.app/</t>
    </r>
  </si>
  <si>
    <t>GPT4All-LoRa</t>
  </si>
  <si>
    <t>Nomic</t>
  </si>
  <si>
    <t>https://github.com/nomic-ai/gpt4all</t>
  </si>
  <si>
    <t>https://s3.amazonaws.com/static.nomic.ai/gpt4all/2023_GPT4All_Technical_Report.pdf</t>
  </si>
  <si>
    <t>chatbot trained on ~800k GPT-3.5-Turbo Generations based on LLaMa</t>
  </si>
  <si>
    <t>Cerebras-GPT</t>
  </si>
  <si>
    <t>https://huggingface.co/cerebras</t>
  </si>
  <si>
    <t>https://www.cerebras.net/blog/cerebras-gpt-a-family-of-open-compute-efficient-large-language-models/</t>
  </si>
  <si>
    <r>
      <rPr>
        <rFont val="Calibri"/>
        <color rgb="FF073763"/>
        <sz val="14.0"/>
      </rPr>
      <t xml:space="preserve">20:1 tokens to parameters as per </t>
    </r>
    <r>
      <rPr>
        <rFont val="Calibri"/>
        <color rgb="FF1155CC"/>
        <sz val="14.0"/>
        <u/>
      </rPr>
      <t>https://lifearchitect.ai/chinchilla/</t>
    </r>
  </si>
  <si>
    <t>PanGu-Sigma</t>
  </si>
  <si>
    <t>https://arxiv.org/abs/2303.10845</t>
  </si>
  <si>
    <t>Sparse. 1.085T parameters named PanGu-Σ.</t>
  </si>
  <si>
    <t>CoLT5</t>
  </si>
  <si>
    <t>q&amp;a, web</t>
  </si>
  <si>
    <t>https://arxiv.org/abs/2303.09752</t>
  </si>
  <si>
    <t>up to 64k context window [48k words or about 96 pages -Alan]</t>
  </si>
  <si>
    <t>Med-PaLM 2</t>
  </si>
  <si>
    <t>https://blog.google/technology/health/ai-llm-medpalm-research-thecheckup/</t>
  </si>
  <si>
    <t>Recently, our next iteration, Med-PaLM 2, consistently performed at an “expert” doctor level on medical exam questions, scoring 85%. This is an 18% improvement from Med-PaLM’s previous performance and far surpasses similar AI models.</t>
  </si>
  <si>
    <t>GPT-4 Classic (gpt-4-0314 &amp; gpt-4-0613, non-Turbo)</t>
  </si>
  <si>
    <t>Original MMLU=86.4. MMLU=90.1 with prompting. Proto-AGI. 1.76T parameters MoE.</t>
  </si>
  <si>
    <t>Alpaca</t>
  </si>
  <si>
    <t>https://crfm.stanford.edu/alpaca/</t>
  </si>
  <si>
    <t>https://github.com/tatsu-lab/stanford_alpaca</t>
  </si>
  <si>
    <t>Stanford Alpaca: An Instruction-following LLaMA model'</t>
  </si>
  <si>
    <t>Jurassic-2</t>
  </si>
  <si>
    <t>Studio</t>
  </si>
  <si>
    <t>https://www.ai21.com/blog/introducing-j2</t>
  </si>
  <si>
    <t>GPT-NeoX-Chat-Base-20B</t>
  </si>
  <si>
    <t>https://huggingface.co/spaces/togethercomputer/OpenChatKit</t>
  </si>
  <si>
    <t>https://github.com/togethercomputer/OpenChatKit</t>
  </si>
  <si>
    <t>instruction-tuned 20 billion parameter language model, a 6 billion parameter moderation model, and an extensible retrieval system for including up-to-date responses from custom repositories. It was trained on the OIG-43M training dataset, which was a collaboration between Together, LAION, and Ontocord.ai. '</t>
  </si>
  <si>
    <t>Kosmos-1</t>
  </si>
  <si>
    <t>https://arxiv.org/abs/2302.14045</t>
  </si>
  <si>
    <t>Proto-AGI. Multimodal large language model (MLLM). Raven’s Progressive Matrices as real images, not digits as in testing of text-davinci-003 at https://lifearchitect.ai/ravens/</t>
  </si>
  <si>
    <t>LLaMA-65B</t>
  </si>
  <si>
    <r>
      <rPr>
        <rFont val="Calibri"/>
        <sz val="10.0"/>
        <u/>
      </rPr>
      <t xml:space="preserve">Weights leaked: </t>
    </r>
    <r>
      <rPr>
        <rFont val="Calibri"/>
        <sz val="10.0"/>
        <u/>
      </rPr>
      <t>https://github.com/facebookresearch/llama/pull/73/files</t>
    </r>
    <r>
      <rPr>
        <rFont val="Calibri"/>
        <sz val="10.0"/>
        <u/>
      </rPr>
      <t xml:space="preserve"> </t>
    </r>
  </si>
  <si>
    <t>https://research.facebook.com/publications/llama-open-and-efficient-foundation-language-models/</t>
  </si>
  <si>
    <t>Researchers only, noncommercial only. 'LLaMA-65B is competitive with the best models, Chinchilla70B and PaLM-540B.'</t>
  </si>
  <si>
    <t>MOSS</t>
  </si>
  <si>
    <t>https://moss.fastnlp.top/</t>
  </si>
  <si>
    <t>https://txsun1997.github.io/blogs/moss.html</t>
  </si>
  <si>
    <t>Major bandwidth issues: https://www.reuters.com/technology/china-fudan-university-team-apologises-after-chatgpt-style-platform-crashes-2023-02-21/</t>
  </si>
  <si>
    <t>Palmyra</t>
  </si>
  <si>
    <t>https://huggingface.co/models?search=palmyra</t>
  </si>
  <si>
    <t>https://writer.com/blog/palmyra/</t>
  </si>
  <si>
    <r>
      <rPr>
        <rFont val="Calibri"/>
        <color rgb="FF000000"/>
        <sz val="14.0"/>
      </rPr>
      <t xml:space="preserve">Only up to 5B available open-source 'trained on over 300 billion tokens of text data, and the size of the resulting model is over 20 billion parameters. ' </t>
    </r>
    <r>
      <rPr>
        <rFont val="Calibri"/>
        <color rgb="FF1155CC"/>
        <sz val="14.0"/>
        <u/>
      </rPr>
      <t>https://writer.com/product/cowrite/</t>
    </r>
  </si>
  <si>
    <t>Luminous Supreme Control</t>
  </si>
  <si>
    <t>https://app.aleph-alpha.com/playground/completion</t>
  </si>
  <si>
    <t>https://www.aleph-alpha.com/pdf/2023_02_AA_Benchmarks_doc.pdf</t>
  </si>
  <si>
    <t>‘Control’ means instruction tuned</t>
  </si>
  <si>
    <t>Toolformer+Atlas 11B+NLLB 54B</t>
  </si>
  <si>
    <r>
      <rPr>
        <rFont val="Calibri"/>
        <sz val="10.0"/>
        <u/>
      </rPr>
      <t xml:space="preserve">Replicated: </t>
    </r>
    <r>
      <rPr>
        <rFont val="Calibri"/>
        <sz val="10.0"/>
        <u/>
      </rPr>
      <t>https://github.com/conceptofmind/toolformer</t>
    </r>
  </si>
  <si>
    <t>https://arxiv.org/abs/2302.04761</t>
  </si>
  <si>
    <t>Based on GPT-J 6.7B + access to other models via API</t>
  </si>
  <si>
    <t>Multimodal-CoT</t>
  </si>
  <si>
    <t>https://github.com/amazon-science/mm-cot</t>
  </si>
  <si>
    <t>https://arxiv.org/abs/2302.00923</t>
  </si>
  <si>
    <t>Models &lt;1B with vision CoT</t>
  </si>
  <si>
    <t>FLAME</t>
  </si>
  <si>
    <t>https://arxiv.org/abs/2301.13779</t>
  </si>
  <si>
    <t>T5 for Excel formulas, very small 60M params, "We start from a dataset of 927M formulas" estimate 10x multiplier for 9B tokens</t>
  </si>
  <si>
    <t>Med-PaLM 1</t>
  </si>
  <si>
    <t>https://arxiv.org/abs/2212.13138</t>
  </si>
  <si>
    <t>Collab between Google &amp; DeepMind. Makes 1% less errors than humans</t>
  </si>
  <si>
    <t>OPT-IML</t>
  </si>
  <si>
    <t>https://github.com/facebookresearch/metaseq/tree/main/projects/OPT-IML</t>
  </si>
  <si>
    <t>https://arxiv.org/abs/2212.12017</t>
  </si>
  <si>
    <t>Instruct</t>
  </si>
  <si>
    <t>RL-CAI</t>
  </si>
  <si>
    <t>https://arxiv.org/abs/2212.08073</t>
  </si>
  <si>
    <t>RLAIF=reinforcement learning with AI feedback</t>
  </si>
  <si>
    <t>ERNIE-Code</t>
  </si>
  <si>
    <t>https://arxiv.org/abs/2212.06742#baidu</t>
  </si>
  <si>
    <t>RT-1</t>
  </si>
  <si>
    <t>https://robotics-transformer.github.io/assets/rt1.pdf</t>
  </si>
  <si>
    <t>ChatGPT (gpt-3.5-turbo)</t>
  </si>
  <si>
    <t>https://openai.com/blog/chatgpt</t>
  </si>
  <si>
    <t>Instruct with strict policies ("extremely limited")</t>
  </si>
  <si>
    <t>text-davinci-003</t>
  </si>
  <si>
    <t>GPT-JT</t>
  </si>
  <si>
    <t>https://huggingface.co/spaces/togethercomputer/GPT-JT</t>
  </si>
  <si>
    <t>https://www.together.xyz/blog/releasing-v1-of-gpt-jt-powered-by-open-source-ai</t>
  </si>
  <si>
    <t>RWKV-4</t>
  </si>
  <si>
    <t>https://huggingface.co/BlinkDL</t>
  </si>
  <si>
    <t>https://arxiv.org/abs/2305.13048</t>
  </si>
  <si>
    <r>
      <rPr>
        <rFont val="Calibri"/>
        <color rgb="FF000000"/>
        <sz val="14.0"/>
      </rPr>
      <t xml:space="preserve">RWKV (pronounced RwaKuv) is an RNN: </t>
    </r>
    <r>
      <rPr>
        <rFont val="Calibri"/>
        <color rgb="FF1155CC"/>
        <sz val="14.0"/>
        <u/>
      </rPr>
      <t>https://www.reddit.com/r/MachineLearning/comments/yxt8sa/r_rwkv4_7b_release_an_attentionfree_rnn_language/</t>
    </r>
  </si>
  <si>
    <t>Galactica</t>
  </si>
  <si>
    <t>https://galactica.org/</t>
  </si>
  <si>
    <t>journals</t>
  </si>
  <si>
    <t>https://galactica.org/static/paper.pdf</t>
  </si>
  <si>
    <t>scientific only</t>
  </si>
  <si>
    <t>SED</t>
  </si>
  <si>
    <t>DeepMind</t>
  </si>
  <si>
    <t>https://arxiv.org/abs/2211.04236</t>
  </si>
  <si>
    <t>SED 420M (diffusion text model)</t>
  </si>
  <si>
    <t>mT0</t>
  </si>
  <si>
    <t>BigScience</t>
  </si>
  <si>
    <t>https://github.com/bigscience-workshop/xmtf</t>
  </si>
  <si>
    <t>https://arxiv.org/abs/2211.01786</t>
  </si>
  <si>
    <t>fine-tuned</t>
  </si>
  <si>
    <t>BLOOMZ</t>
  </si>
  <si>
    <t>PACT</t>
  </si>
  <si>
    <t>https://github.com/microsoft/PACT</t>
  </si>
  <si>
    <t>https://arxiv.org/abs/2209.11133</t>
  </si>
  <si>
    <t>Trained on ~5TB data, 2GB model download. 'In general we see an improvement in model performance as we increase the number of training tokens. Interestingly, larger models did not necessarily result in better performance for robot navigation. Even though larger models consistently presented better loss values for action prediction on a static dataset, (Fig. 7 b), when it comes to real-time deployment the larger network capacity introduces inference delays that become a disadvantage and lead to earlier crashes. For example, while LiDAR perception measurements arrive to the vehicle every 0.077s (13Hz), the largest model of 24 layers takes on average 0.023s for inference with a RTX3090 GPU, roughly 40% longer the 3 layer model (0.016s). These time differences can amount to even larger performance gaps in small embedded systems, and further emphasize the importance of multiple downstream task architectures sharing a common representation branch for real-time robotics applications.'</t>
  </si>
  <si>
    <t>Flan-T5</t>
  </si>
  <si>
    <t>https://arxiv.org/abs/2210.11416</t>
  </si>
  <si>
    <t>T5=1T tokens + LM-adapted T5 as 100B tokens</t>
  </si>
  <si>
    <t>Flan-PaLM</t>
  </si>
  <si>
    <t>U-PaLM</t>
  </si>
  <si>
    <t>https://arxiv.org/abs/2210.11399</t>
  </si>
  <si>
    <t>VIMA</t>
  </si>
  <si>
    <r>
      <rPr>
        <rFont val="Calibri"/>
        <sz val="10.0"/>
      </rPr>
      <t xml:space="preserve">Open: </t>
    </r>
    <r>
      <rPr>
        <rFont val="Calibri"/>
        <sz val="10.0"/>
        <u/>
      </rPr>
      <t>https://vimalabs.github.io/</t>
    </r>
  </si>
  <si>
    <t>https://arxiv.org/abs/2210.03094</t>
  </si>
  <si>
    <t>OpenChat</t>
  </si>
  <si>
    <t>https://huggingface.co/openchat/openchat_3.5</t>
  </si>
  <si>
    <t>https://arxiv.org/abs/2309.11235</t>
  </si>
  <si>
    <t>Llama 2 13B -&gt; OpenChat 13B</t>
  </si>
  <si>
    <t>WeLM</t>
  </si>
  <si>
    <t>Wechat</t>
  </si>
  <si>
    <t>https://welm.weixin.qq.com/docs/playground/</t>
  </si>
  <si>
    <t>https://arxiv.org/abs/2209.10372</t>
  </si>
  <si>
    <t>13% English tokens and 87% Chinese</t>
  </si>
  <si>
    <t>CodeGeeX</t>
  </si>
  <si>
    <t>https://github.com/THUDM/CodeGeeX</t>
  </si>
  <si>
    <t>Sparrow</t>
  </si>
  <si>
    <t>https://storage.googleapis.com/deepmind-media/DeepMind.com/Authors-Notes/sparrow/sparrow-final.pdf</t>
  </si>
  <si>
    <t>Chatbot as a fine-tuned version of Chinchilla 70B</t>
  </si>
  <si>
    <t>PaLI</t>
  </si>
  <si>
    <t>https://arxiv.org/abs/2209.06794</t>
  </si>
  <si>
    <t>PaLM Vision model, new datasets of 10B multilingual text-image pairs</t>
  </si>
  <si>
    <t>NeMo Megatron-GPT 20B</t>
  </si>
  <si>
    <t>https://huggingface.co/nvidia/nemo-megatron-gpt-20B</t>
  </si>
  <si>
    <t>Z-Code++</t>
  </si>
  <si>
    <t>https://arxiv.org/abs/2208.09770v1</t>
  </si>
  <si>
    <t>abstractive text summarization, 710M, outperforms PaLM 540B. "Due to the limited computational resource, Z-Code++LARGE is trained with only 500B tokens instead of 1T tokens as that for mT5 training."</t>
  </si>
  <si>
    <t>https://arxiv.org/abs/2208.03299</t>
  </si>
  <si>
    <t>BlenderBot 3</t>
  </si>
  <si>
    <r>
      <rPr>
        <rFont val="Calibri"/>
        <sz val="10.0"/>
        <u/>
      </rPr>
      <t>blenderbot.ai</t>
    </r>
    <r>
      <rPr>
        <rFont val="Calibri"/>
        <sz val="10.0"/>
      </rPr>
      <t xml:space="preserve"> (US only)</t>
    </r>
  </si>
  <si>
    <t>https://github.com/facebookresearch/ParlAI/blob/main/projects/bb3/BB3_main_tech_report.pdf</t>
  </si>
  <si>
    <t>GLM-130B</t>
  </si>
  <si>
    <t>https://huggingface.co/spaces/THUDM/GLM-130B</t>
  </si>
  <si>
    <t>https://arxiv.org/abs/2210.02414</t>
  </si>
  <si>
    <t>50% English (200B tokens), so included here</t>
  </si>
  <si>
    <t>AlexaTM 20B</t>
  </si>
  <si>
    <r>
      <rPr>
        <rFont val="Calibri"/>
        <sz val="10.0"/>
        <u/>
      </rPr>
      <t>Github</t>
    </r>
    <r>
      <rPr>
        <rFont val="Calibri"/>
        <sz val="10.0"/>
      </rPr>
      <t xml:space="preserve"> (train/deploy)</t>
    </r>
  </si>
  <si>
    <t>https://assets.amazon.science/ee/20/3abcf2304d9b8d68da2006ff7107/alexatm-20b-few-shot-learning-using-a-large-scale-multilingual-seq2seq-model.pdf</t>
  </si>
  <si>
    <t>Wikipedia and mC4 only. seq2seq</t>
  </si>
  <si>
    <t>6.9B FIM</t>
  </si>
  <si>
    <t>https://arxiv.org/pdf/2207.14255.pdf</t>
  </si>
  <si>
    <t>Several models: 8 sizes, NLP, Code, FIM/non-FIM. 100B tokens for 6.9B params... beyond chinchilla</t>
  </si>
  <si>
    <t>‘monorepo-Transformer’</t>
  </si>
  <si>
    <t>https://ai.googleblog.com/2022/07/ml-enhanced-code-completion-improves.html</t>
  </si>
  <si>
    <t>Unnamed. Writes &gt;3% of internal google code.</t>
  </si>
  <si>
    <t>PanGu-Coder</t>
  </si>
  <si>
    <t>https://arxiv.org/abs/2207.11280</t>
  </si>
  <si>
    <t>Python via GH</t>
  </si>
  <si>
    <t>NLLB</t>
  </si>
  <si>
    <r>
      <rPr>
        <rFont val="Calibri"/>
        <sz val="10.0"/>
        <u/>
      </rPr>
      <t>Github</t>
    </r>
    <r>
      <rPr>
        <rFont val="Calibri"/>
        <sz val="10.0"/>
      </rPr>
      <t xml:space="preserve"> (train/deploy)</t>
    </r>
  </si>
  <si>
    <t>https://research.facebook.com/publications/no-language-left-behind/</t>
  </si>
  <si>
    <t>54.5B MOE, 3.3B dense. 200+ languages</t>
  </si>
  <si>
    <t>J-1 RBG</t>
  </si>
  <si>
    <t>ask-rbg.ai</t>
  </si>
  <si>
    <t>https://www.ai21.com/blog/announcing-ai21-studio-and-jurassic-1</t>
  </si>
  <si>
    <t>J-1 fine-tuned with RBG law corpus</t>
  </si>
  <si>
    <t>BLOOM (tr11-176B-ml)</t>
  </si>
  <si>
    <t>https://huggingface.co/spaces/huggingface/bloom_demo</t>
  </si>
  <si>
    <t>https://github.com/bigscience-workshop/bigscience/tree/master/train/tr11-176B-ml</t>
  </si>
  <si>
    <t>Minerva</t>
  </si>
  <si>
    <t>https://ai.googleblog.com/2022/06/minerva-solving-quantitative-reasoning.html</t>
  </si>
  <si>
    <t>PaLM finetuned on LaTeX/arXiv maths</t>
  </si>
  <si>
    <t>GODEL-XL</t>
  </si>
  <si>
    <t>web-scale, dialogue</t>
  </si>
  <si>
    <t>https://arxiv.org/abs/2206.11309#microsoft</t>
  </si>
  <si>
    <t>XL: GPT-3 175B in paper, GPT-J 2.7B released</t>
  </si>
  <si>
    <t>YaLM 100B</t>
  </si>
  <si>
    <t>Yandex</t>
  </si>
  <si>
    <r>
      <rPr>
        <rFont val="Calibri"/>
        <sz val="10.0"/>
        <u/>
      </rPr>
      <t>Github</t>
    </r>
    <r>
      <rPr>
        <rFont val="Calibri"/>
        <sz val="10.0"/>
      </rPr>
      <t xml:space="preserve"> (train/deploy)</t>
    </r>
  </si>
  <si>
    <t>https://github.com/yandex/YaLM-100B</t>
  </si>
  <si>
    <r>
      <rPr>
        <rFont val="Calibri"/>
        <color rgb="FF073763"/>
        <sz val="14.0"/>
      </rPr>
      <t xml:space="preserve">Megatron-LM clone, Russian/English: </t>
    </r>
    <r>
      <rPr>
        <rFont val="Calibri"/>
        <color rgb="FF1155CC"/>
        <sz val="14.0"/>
        <u/>
      </rPr>
      <t>https://medium.com/yandex/yandex-publishes-yalm-100b-its-the-largest-gpt-like-neural-network-in-open-source-d1df53d0e9a6</t>
    </r>
  </si>
  <si>
    <t>Unified-IO</t>
  </si>
  <si>
    <t>Limited demo</t>
  </si>
  <si>
    <t>https://github.com/jiasenlu/unified-io/blob/main/UnifiedIOv1.pdf</t>
  </si>
  <si>
    <t>Based on T5. Demo only</t>
  </si>
  <si>
    <t>Perceiver AR</t>
  </si>
  <si>
    <t>https://arxiv.org/abs/2202.07765</t>
  </si>
  <si>
    <t xml:space="preserve">Context window=100,000. Params=364m wiki, 975M pg-19, 826M books, music=?, imagenet=770M, </t>
  </si>
  <si>
    <t>LIMoE</t>
  </si>
  <si>
    <t>https://ai.googleblog.com/2022/06/limoe-learning-multiple-modalities-with.html</t>
  </si>
  <si>
    <t>GPT-4chan</t>
  </si>
  <si>
    <t>https://huggingface.co/ykilcher/gpt-4chan/discussions/4</t>
  </si>
  <si>
    <t>https://arxiv.org/abs/2001.07487</t>
  </si>
  <si>
    <t>Warning for inappropriate content. GPT-J.</t>
  </si>
  <si>
    <t>Diffusion-LM</t>
  </si>
  <si>
    <r>
      <rPr>
        <rFont val="Calibri"/>
        <sz val="10.0"/>
        <u/>
      </rPr>
      <t>Github</t>
    </r>
    <r>
      <rPr>
        <rFont val="Calibri"/>
        <sz val="10.0"/>
      </rPr>
      <t xml:space="preserve"> (train/deploy)</t>
    </r>
  </si>
  <si>
    <t>dialogue, special</t>
  </si>
  <si>
    <t>https://arxiv.org/abs/2205.14217</t>
  </si>
  <si>
    <t>GPT-J with synthetic data</t>
  </si>
  <si>
    <t>UL2 20B</t>
  </si>
  <si>
    <t>https://arxiv.org/abs/2205.05131</t>
  </si>
  <si>
    <t>Unifying Language model. C4 only.</t>
  </si>
  <si>
    <t>Gato (Cat)</t>
  </si>
  <si>
    <t>https://storage.googleapis.com/deepmind-media/A%20Generalist%20Agent/Generalist%20Agent.pdf</t>
  </si>
  <si>
    <t>Proto-AGI. Generalist agent (LLM, VLM, robot)</t>
  </si>
  <si>
    <t>LaMDA 2</t>
  </si>
  <si>
    <r>
      <rPr>
        <rFont val="Calibri,Arial"/>
        <i/>
        <sz val="10.0"/>
        <u/>
      </rPr>
      <t>YouTube</t>
    </r>
    <r>
      <rPr>
        <rFont val="Calibri,Arial"/>
        <i/>
        <sz val="10.0"/>
        <u/>
      </rPr>
      <t xml:space="preserve"> (video only)</t>
    </r>
  </si>
  <si>
    <t>https://arxiv.org/abs/2201.08239</t>
  </si>
  <si>
    <t>Chatbot with tiny walled garden demo TBA</t>
  </si>
  <si>
    <t>OPT-175B</t>
  </si>
  <si>
    <r>
      <rPr>
        <rFont val="Calibri"/>
        <sz val="10.0"/>
        <u/>
      </rPr>
      <t>HF</t>
    </r>
    <r>
      <rPr>
        <rFont val="Calibri"/>
        <sz val="10.0"/>
      </rPr>
      <t xml:space="preserve"> (train/deploy)</t>
    </r>
  </si>
  <si>
    <t>https://arxiv.org/abs/2205.01068</t>
  </si>
  <si>
    <t>Only 30B available (Jun/2022)</t>
  </si>
  <si>
    <t>Tk-Instruct</t>
  </si>
  <si>
    <t>https://instructions.apps.allenai.org/demo</t>
  </si>
  <si>
    <t>https://arxiv.org/abs/2204.07705</t>
  </si>
  <si>
    <t>Based on T5.</t>
  </si>
  <si>
    <t>InCoder</t>
  </si>
  <si>
    <t>https://huggingface.co/spaces/facebook/incoder-demo</t>
  </si>
  <si>
    <t>https://arxiv.org/abs/2204.05999</t>
  </si>
  <si>
    <t>Python and JavaScript</t>
  </si>
  <si>
    <t>NOOR</t>
  </si>
  <si>
    <t>https://www.tii.ae/news/technology-innovation-institute-announces-launch-noor-worlds-largest-arabic-nlp-model</t>
  </si>
  <si>
    <t>Arabic. "World’s largest high-quality cross-domain Arabic dataset, combining web data with books, poetry, news articles, and technical information"</t>
  </si>
  <si>
    <t>mGPT</t>
  </si>
  <si>
    <t>Sber</t>
  </si>
  <si>
    <t>https://arxiv.org/abs/2204.07580</t>
  </si>
  <si>
    <t>60 languages. Only 1.3B model available</t>
  </si>
  <si>
    <t>PaLM-Coder</t>
  </si>
  <si>
    <t>web-scale, code</t>
  </si>
  <si>
    <t>https://storage.googleapis.com/pathways-language-model/PaLM-paper.pdf</t>
  </si>
  <si>
    <t>PaLM</t>
  </si>
  <si>
    <r>
      <rPr>
        <rFont val="Calibri"/>
        <color rgb="FF1155CC"/>
        <u/>
      </rPr>
      <t>https://storage.googleapis.com/pathways-language-model/PaLM-paper.pdf</t>
    </r>
    <r>
      <rPr>
        <rFont val="Calibri"/>
        <color rgb="FF1155CC"/>
        <u/>
      </rPr>
      <t>f</t>
    </r>
  </si>
  <si>
    <t>SeeKeR</t>
  </si>
  <si>
    <t>https://arxiv.org/abs/2203.13224</t>
  </si>
  <si>
    <t>BART and compared to GPT-2</t>
  </si>
  <si>
    <t>CodeGen</t>
  </si>
  <si>
    <t>TS, Goose</t>
  </si>
  <si>
    <t>code, BigQuery, BigPython</t>
  </si>
  <si>
    <t>https://arxiv.org/abs/2203.13474</t>
  </si>
  <si>
    <t>Code</t>
  </si>
  <si>
    <t>VLM-4</t>
  </si>
  <si>
    <t>Muse</t>
  </si>
  <si>
    <t>Params corrected 25/Apr/2022</t>
  </si>
  <si>
    <t>CM3</t>
  </si>
  <si>
    <t>wiki, web</t>
  </si>
  <si>
    <t>https://arxiv.org/abs/2201.0752</t>
  </si>
  <si>
    <t>LLM with multimodal capabilities</t>
  </si>
  <si>
    <t>Luminous</t>
  </si>
  <si>
    <t>AA playground</t>
  </si>
  <si>
    <t>https://www.aleph-alpha.de/pricing</t>
  </si>
  <si>
    <t>Devs from EleutherAI</t>
  </si>
  <si>
    <t>Chinchilla</t>
  </si>
  <si>
    <t>https://arxiv.org/abs/2203.15556</t>
  </si>
  <si>
    <t>First to double tokens per size increase</t>
  </si>
  <si>
    <t>GPT-NeoX-20B</t>
  </si>
  <si>
    <t>https://playground.helloforefront.com/models/free-gpt-j-playground</t>
  </si>
  <si>
    <t>https://github.com/EleutherAI/gpt-neox</t>
  </si>
  <si>
    <t>Latest model to Feb/2022</t>
  </si>
  <si>
    <t>ERNIE 3.0 Titan</t>
  </si>
  <si>
    <t>https://arxiv.org/abs/2112.12731</t>
  </si>
  <si>
    <t>XGLM</t>
  </si>
  <si>
    <t>https://arxiv.org/abs/2112.10668</t>
  </si>
  <si>
    <t xml:space="preserve">Multilingual: 30 languages, 16 families. </t>
  </si>
  <si>
    <t>Fairseq</t>
  </si>
  <si>
    <t>https://arxiv.org/abs/2112.10684</t>
  </si>
  <si>
    <t>13B &amp; 1100B param models.</t>
  </si>
  <si>
    <t>Gopher</t>
  </si>
  <si>
    <t>https://arxiv.org/abs/2112.11446</t>
  </si>
  <si>
    <r>
      <rPr>
        <rFont val="Calibri"/>
        <color rgb="FF073763"/>
        <sz val="14.0"/>
      </rPr>
      <t xml:space="preserve">Dataset: </t>
    </r>
    <r>
      <rPr>
        <rFont val="Calibri"/>
        <color rgb="FF1155CC"/>
        <sz val="14.0"/>
        <u/>
      </rPr>
      <t>https://lifearchitect.ai/whats-in-my-ai/</t>
    </r>
    <r>
      <rPr>
        <rFont val="Calibri"/>
        <color rgb="FF073763"/>
        <sz val="14.0"/>
      </rPr>
      <t xml:space="preserve"> </t>
    </r>
  </si>
  <si>
    <t>GLaM</t>
  </si>
  <si>
    <t>https://arxiv.org/abs/2112.06905</t>
  </si>
  <si>
    <t>Anthropic-LM 52B</t>
  </si>
  <si>
    <t>https://arxiv.org/abs/2112.00861</t>
  </si>
  <si>
    <t>Internal research only</t>
  </si>
  <si>
    <t>RETRO</t>
  </si>
  <si>
    <t>https://arxiv.org/abs/2112.04426</t>
  </si>
  <si>
    <t>with retrieval</t>
  </si>
  <si>
    <t>DeBERTaV3</t>
  </si>
  <si>
    <t>https://arxiv.org/abs/2111.09543</t>
  </si>
  <si>
    <t>RoBERTa=162B token dataset.</t>
  </si>
  <si>
    <t>BERT-480</t>
  </si>
  <si>
    <t>https://cloud.google.com/blog/topics/tpus/google-showcases-cloud-tpu-v4-pods-for-large-model-training</t>
  </si>
  <si>
    <r>
      <rPr>
        <rFont val="Calibri"/>
        <color rgb="FF073763"/>
        <sz val="14.0"/>
      </rPr>
      <t xml:space="preserve">Submission to benchmarks. Original dataset was BookCorpus + Wikipedia: </t>
    </r>
    <r>
      <rPr>
        <rFont val="Calibri"/>
        <color rgb="FF073763"/>
        <sz val="14.0"/>
        <u/>
      </rPr>
      <t>https://arxiv.org/pdf/1810.04805.pdf</t>
    </r>
  </si>
  <si>
    <t>BERT-200</t>
  </si>
  <si>
    <r>
      <rPr>
        <rFont val="Calibri"/>
        <color rgb="FF1155CC"/>
        <u/>
      </rPr>
      <t>https://cloud.google.com/blog/topics/tpus/google-showcases-cloud-tpu-v4-pods-for-large-model-training</t>
    </r>
    <r>
      <rPr>
        <rFont val="Calibri"/>
        <color rgb="FF1155CC"/>
        <u/>
      </rPr>
      <t xml:space="preserve"> (same as above)</t>
    </r>
  </si>
  <si>
    <r>
      <rPr>
        <rFont val="Calibri"/>
        <color rgb="FF073763"/>
        <sz val="14.0"/>
      </rPr>
      <t xml:space="preserve">Submission to benchmarks. Original dataset was BookCorpus + Wikipedia: </t>
    </r>
    <r>
      <rPr>
        <rFont val="Calibri"/>
        <color rgb="FF073763"/>
        <sz val="14.0"/>
        <u/>
      </rPr>
      <t>https://arxiv.org/pdf/1810.04805.pdf</t>
    </r>
  </si>
  <si>
    <t>Cedille FR-Boris</t>
  </si>
  <si>
    <t>Coteries</t>
  </si>
  <si>
    <t>https://app.cedille.ai/</t>
  </si>
  <si>
    <t>https://github.com/coteries/cedille-ai</t>
  </si>
  <si>
    <t>French only. GPT-J.</t>
  </si>
  <si>
    <t>MT-NLG</t>
  </si>
  <si>
    <t>Microsoft/NVIDIA</t>
  </si>
  <si>
    <t>https://arxiv.org/abs/2201.11990</t>
  </si>
  <si>
    <t>FLAN</t>
  </si>
  <si>
    <t>reddit outbound, web, dialogue</t>
  </si>
  <si>
    <t>https://arxiv.org/abs/2109.01652</t>
  </si>
  <si>
    <t>Fine-tuned LaMDA</t>
  </si>
  <si>
    <t>Command xlarge</t>
  </si>
  <si>
    <t>books, special</t>
  </si>
  <si>
    <t>https://arxiv.org/abs/2108.07790</t>
  </si>
  <si>
    <t>Stealth 'ebooks and webpages'. 52B: https://crfm.stanford.edu/helm/v1.0/?models=1</t>
  </si>
  <si>
    <t>PLATO-XL</t>
  </si>
  <si>
    <t>reddit outbound, dialogue</t>
  </si>
  <si>
    <t>https://arxiv.org/abs/2109.09519</t>
  </si>
  <si>
    <t>Chatbot. Reddit comments + CN social</t>
  </si>
  <si>
    <t>Macaw</t>
  </si>
  <si>
    <r>
      <rPr>
        <rFont val="Calibri"/>
        <i/>
        <sz val="10.0"/>
        <u/>
      </rPr>
      <t>Allen</t>
    </r>
    <r>
      <rPr>
        <rFont val="Calibri"/>
        <i/>
        <sz val="10.0"/>
        <u/>
      </rPr>
      <t xml:space="preserve"> (static demo only)</t>
    </r>
  </si>
  <si>
    <t>https://arxiv.org/abs/2109.02593</t>
  </si>
  <si>
    <t>Chatbot</t>
  </si>
  <si>
    <t>CodeT5</t>
  </si>
  <si>
    <t>https://arxiv.org/abs/2109.00859</t>
  </si>
  <si>
    <r>
      <rPr>
        <rFont val="Calibri"/>
        <color rgb="FF073763"/>
        <sz val="14.0"/>
      </rPr>
      <t xml:space="preserve">"Text-to-Text Transfer Transformer". Code. Large introduced in </t>
    </r>
    <r>
      <rPr>
        <rFont val="Calibri"/>
        <color rgb="FF1155CC"/>
        <sz val="14.0"/>
        <u/>
      </rPr>
      <t>https://arxiv.org/pdf/2207.01780.pdf</t>
    </r>
  </si>
  <si>
    <t>Codex</t>
  </si>
  <si>
    <t>https://arxiv.org/abs/2107.03374</t>
  </si>
  <si>
    <t>Jurassic-1</t>
  </si>
  <si>
    <t>Deprecated</t>
  </si>
  <si>
    <t>Emulated GPT-3 dataset</t>
  </si>
  <si>
    <t>BlenderBot 2.0</t>
  </si>
  <si>
    <t>https://parl.ai/projects/blenderbot2/</t>
  </si>
  <si>
    <t>GPT-J</t>
  </si>
  <si>
    <t>https://github.com/kingoflolz/mesh-transformer-jax</t>
  </si>
  <si>
    <t>Popular</t>
  </si>
  <si>
    <t>LaMDA</t>
  </si>
  <si>
    <r>
      <rPr>
        <rFont val="Calibri"/>
        <i/>
        <sz val="10.0"/>
        <u/>
      </rPr>
      <t>YouTube</t>
    </r>
    <r>
      <rPr>
        <rFont val="Calibri"/>
        <i/>
        <sz val="10.0"/>
        <u/>
      </rPr>
      <t xml:space="preserve"> (video only)</t>
    </r>
  </si>
  <si>
    <t>ruGPT-3</t>
  </si>
  <si>
    <t>Huawei/Sberbank</t>
  </si>
  <si>
    <t>https://russiannlp.github.io/rugpt-demo/</t>
  </si>
  <si>
    <t>https://github.com/sberbank-ai/ru-gpts</t>
  </si>
  <si>
    <t>Russian GPT-3 with input from Huawei</t>
  </si>
  <si>
    <t>Switch</t>
  </si>
  <si>
    <t>q&amp;a</t>
  </si>
  <si>
    <t>https://arxiv.org/abs/2101.03961</t>
  </si>
  <si>
    <t>GPT-3</t>
  </si>
  <si>
    <t>https://arxiv.org/abs/2005.14165</t>
  </si>
  <si>
    <r>
      <rPr>
        <rFont val="Calibri"/>
        <color rgb="FF073763"/>
        <sz val="14.0"/>
      </rPr>
      <t xml:space="preserve">No RLHF (base only). Popular: 3.1M wpm. Dataset: </t>
    </r>
    <r>
      <rPr>
        <rFont val="Calibri"/>
        <color rgb="FF1155CC"/>
        <sz val="14.0"/>
        <u/>
      </rPr>
      <t>https://lifearchitect.ai/whats-in-my-ai/</t>
    </r>
    <r>
      <rPr>
        <rFont val="Calibri"/>
        <color rgb="FF073763"/>
        <sz val="14.0"/>
      </rPr>
      <t xml:space="preserve"> </t>
    </r>
  </si>
  <si>
    <t>Megatron-11B</t>
  </si>
  <si>
    <t>InferKit</t>
  </si>
  <si>
    <t>https://github.com/pytorch/fairseq/tree/main/examples/megatron_11b</t>
  </si>
  <si>
    <r>
      <rPr>
        <rFont val="Calibri"/>
        <color rgb="FF073763"/>
        <sz val="14.0"/>
      </rPr>
      <t xml:space="preserve">My favourite model until GPT-3 and GPT-4 came along: </t>
    </r>
    <r>
      <rPr>
        <rFont val="Calibri"/>
        <color rgb="FF1155CC"/>
        <sz val="14.0"/>
        <u/>
      </rPr>
      <t>https://github.com/facebookresearch/fairseq/blob/main/examples/megatron_11b/README.md</t>
    </r>
  </si>
  <si>
    <t>Transformer++</t>
  </si>
  <si>
    <t>American Express</t>
  </si>
  <si>
    <t>https://arxiv.org/abs/2003.04974</t>
  </si>
  <si>
    <t>Not to be confused with the more common usage of Transformer++, the ~2023 Transformer++ based on Llama. See Mamba paper.</t>
  </si>
  <si>
    <t>Meena</t>
  </si>
  <si>
    <t>https://arxiv.org/abs/2001.09977</t>
  </si>
  <si>
    <t>Dialogue model. Trained 61B tokens for 164x epochs to 10T tokens!</t>
  </si>
  <si>
    <t>T5</t>
  </si>
  <si>
    <t>https://huggingface.co/google-t5/t5-base</t>
  </si>
  <si>
    <t>https://arxiv.org/abs/1910.10683</t>
  </si>
  <si>
    <t>"Text-to-Text Transfer Transformer". C4 + NLP language problems. "compared the following three configurations: First, the standard baseline model, which was pre-trained on 235 ≈ 34B tokens; second, the baseline trained instead for about 1 trillion tokens (i.e. the same amount of pre-training used for T5), which we refer to as “baseline-1T”; and third, T5-Base."</t>
  </si>
  <si>
    <t>Megatron-LM</t>
  </si>
  <si>
    <t>https://arxiv.org/abs/1909.08053</t>
  </si>
  <si>
    <t>RoBERTa</t>
  </si>
  <si>
    <t>https://huggingface.co/FacebookAI/roberta-large</t>
  </si>
  <si>
    <t>https://arxiv.org/abs/1907.11692</t>
  </si>
  <si>
    <r>
      <rPr>
        <rFont val="Calibri"/>
        <sz val="14.0"/>
      </rPr>
      <t xml:space="preserve">calcs: "In total, this batch size and number of steps corresponds to pre-training on 235 ≈ 34B tokens. This is considerably less than BERT (Devlin et al., 2018), which used roughly 137B tokens, or RoBERTa (Liu et al., 2019c), which used roughly 2.2T tokens. Using only 2 35 tokens results in a reasonable computational budget while still providing a sufficient amount of pre-training for acceptable performance. We consider the effect of pre-training for more steps in Sections 3.6 and 3.7. Note that 2 35 tokens only covers a fraction of the entire C4 data set, so we never repeat any data during pre-training." </t>
    </r>
    <r>
      <rPr>
        <rFont val="Calibri"/>
        <color rgb="FF1155CC"/>
        <sz val="14.0"/>
        <u/>
      </rPr>
      <t>https://arxiv.org/pdf/1910.10683.pdf</t>
    </r>
    <r>
      <rPr>
        <rFont val="Calibri"/>
        <sz val="14.0"/>
      </rPr>
      <t xml:space="preserve"> MMLU shows RoBERTa-base 125M only=27.9 (not 355M)</t>
    </r>
  </si>
  <si>
    <t>GPT-2</t>
  </si>
  <si>
    <t>https://huggingface.co/openai-community/gpt2-large</t>
  </si>
  <si>
    <t>reddit outbound</t>
  </si>
  <si>
    <t>https://openai.com/blog/better-language-models/</t>
  </si>
  <si>
    <t>"GPT-2 — WebText 40 B tokens corpus × 1 epoch → 40 B tokens processed" Reddit outbound only</t>
  </si>
  <si>
    <t>BERT</t>
  </si>
  <si>
    <t>https://huggingface.co/google-bert/bert-base-uncased</t>
  </si>
  <si>
    <t>wiki, books</t>
  </si>
  <si>
    <t>https://arxiv.org/abs/1810.04805</t>
  </si>
  <si>
    <t>"BERT — 128 000 tokens per step × 1 000 000 steps → 128 B tokens processed"</t>
  </si>
  <si>
    <t>GPT-1</t>
  </si>
  <si>
    <t>https://huggingface.co/openai-community/openai-gpt</t>
  </si>
  <si>
    <t>https://openai.com/blog/language-unsupervised/</t>
  </si>
  <si>
    <t>"GPT-1 — 984 M tokens corpus × 100 epochs × 1 token per word → 98.4 B tokens processed" Books only. "We train for 100 epochs on minibatches of 64 randomly sampled, contiguous sequences of 512 tokens." =3,276,800</t>
  </si>
  <si>
    <t>ULMFiT</t>
  </si>
  <si>
    <t>Fast.ai</t>
  </si>
  <si>
    <t>https://docs.fast.ai/tutorial.text.html</t>
  </si>
  <si>
    <t xml:space="preserve">wiki </t>
  </si>
  <si>
    <t>https://arxiv.org/abs/1801.06146</t>
  </si>
  <si>
    <r>
      <rPr>
        <rFont val="Calibri"/>
        <color rgb="FF073763"/>
        <sz val="14.0"/>
      </rPr>
      <t xml:space="preserve">"ULMFiT — 103 M tokens corpus × 14 epochs → 1.44 B tokens processed" "Corpus size. WikiText-103 contains about 103 million word-level tokens. Training schedule. The reference pre-training run trains for 14 full epochs on that corpus. Total tokens seen. 103 M tokens × 14 epochs → roughly 1.44 billion token prediction steps." Aussie Prof Jeremy Howard: </t>
    </r>
    <r>
      <rPr>
        <rFont val="Calibri"/>
        <color rgb="FF1155CC"/>
        <sz val="14.0"/>
        <u/>
      </rPr>
      <t>https://www.abc.net.au/news/science/2023-11-15/jeremy-howard-taught-ai-to-the-world-and-helped-invent-chatgpt/103092474</t>
    </r>
  </si>
  <si>
    <t>Transformer (big)</t>
  </si>
  <si>
    <t>https://github.com/tensorflow/tensor2tensor?tab=readme-ov-file#walkthrough</t>
  </si>
  <si>
    <t>https://arxiv.org/abs/1706.03762</t>
  </si>
  <si>
    <t>"Transformer Big — 32 768 tokens per step × 300 000 steps → 9.83 B tokens processed" "We trained on the standard WMT 2014 English-German dataset consisting of about 4.5 million sentence pairs... For English-French, we used the significantly larger WMT 2014 English-French dataset consisting of 36M sentences and split tokens into a 32000 word-piece vocabulary. Sentence pairs were batched together by approximate sequence length. Each training batch contained a set of sentence pairs containing approximately 25000 source tokens and 25000 target tokens."</t>
  </si>
  <si>
    <t>Transformer (base)</t>
  </si>
  <si>
    <t>"Transformer Base — 32 768 tokens per step × 100 000 steps → 3.28 B tokens processed" "We trained on the standard WMT 2014 English-German dataset consisting of about 4.5 million sentence pairs... For English-French, we used the significantly larger WMT 2014 English-French dataset consisting of 36M sentences and split tokens into a 32000 word-piece vocabulary. Sentence pairs were batched together by approximate sequence length. Each training batch contained a set of sentence pairs containing approximately 25000 source tokens and 25000 target tokens."</t>
  </si>
  <si>
    <t>About this sheet</t>
  </si>
  <si>
    <t>#</t>
  </si>
  <si>
    <t>-</t>
  </si>
  <si>
    <t>Human with PhD avg</t>
  </si>
  <si>
    <t>Human average</t>
  </si>
  <si>
    <t>LifeArchitect.ai/models-table</t>
  </si>
  <si>
    <t>Snapshot of models up to:</t>
  </si>
  <si>
    <t xml:space="preserve">About the Models Table and this spreadsheet </t>
  </si>
  <si>
    <t>Column headers</t>
  </si>
  <si>
    <t>Format</t>
  </si>
  <si>
    <t>Description</t>
  </si>
  <si>
    <t>Model count</t>
  </si>
  <si>
    <t>Text</t>
  </si>
  <si>
    <t>Name of the large language model. Sometimes uses filename syntax.</t>
  </si>
  <si>
    <t>Cite</t>
  </si>
  <si>
    <r>
      <rPr>
        <rFont val="Calibri"/>
        <sz val="14.0"/>
      </rPr>
      <t xml:space="preserve">Thompson, A. D. (yyyy). Models Table. </t>
    </r>
    <r>
      <rPr>
        <rFont val="Calibri"/>
        <color rgb="FF1155CC"/>
        <sz val="14.0"/>
        <u/>
      </rPr>
      <t>LifeArchitect.ai</t>
    </r>
    <r>
      <rPr>
        <rFont val="Calibri"/>
        <sz val="14.0"/>
      </rPr>
      <t xml:space="preserve">. </t>
    </r>
    <r>
      <rPr>
        <rFont val="Calibri"/>
        <color rgb="FF1155CC"/>
        <sz val="14.0"/>
        <u/>
      </rPr>
      <t>https://lifearchitect.ai/models-table/</t>
    </r>
  </si>
  <si>
    <t>Name of the organization or group responsible for training or publishing the model. Sometimes lists a consortium such as "International". Color highlights popular lab names.</t>
  </si>
  <si>
    <t>Author</t>
  </si>
  <si>
    <t>Dr Alan D. Thompson</t>
  </si>
  <si>
    <t>URI</t>
  </si>
  <si>
    <t>URI pointing to a playground of the model, or HuggingFace repository for hosting weights.</t>
  </si>
  <si>
    <t>Created date</t>
  </si>
  <si>
    <t>2021-present</t>
  </si>
  <si>
    <t>Parameters (B)</t>
  </si>
  <si>
    <t>Float</t>
  </si>
  <si>
    <t>Total number of parameters (weights) in the model. Using total weights for Dense, and total weights (not just active weights) for MoE.</t>
  </si>
  <si>
    <t>Permalink</t>
  </si>
  <si>
    <t>https://lifearchitect.ai/models-table/</t>
  </si>
  <si>
    <t>Tokens trained (B)</t>
  </si>
  <si>
    <t>Integer</t>
  </si>
  <si>
    <t>Total number of tokens (sub-words) used to train the model end-to-end, taking into account reported dataset, epochs, pretraining, and fine-tuning tokens.</t>
  </si>
  <si>
    <t>Homepage</t>
  </si>
  <si>
    <t>https://lifearchitect.ai/</t>
  </si>
  <si>
    <t>Ratio Tokens:Params</t>
  </si>
  <si>
    <t>Ratio</t>
  </si>
  <si>
    <t>Number of tokens trained per parameter. Chinchilla scaling ≥ 20:1. Color highlights RED=0–7, ORANGE=8–16, GREEN=17–499, DARK GREEN=500–9999.</t>
  </si>
  <si>
    <t>Calcs</t>
  </si>
  <si>
    <t>https://lifearchitect.ai/calcs/</t>
  </si>
  <si>
    <t xml:space="preserve">ALScore </t>
  </si>
  <si>
    <t>Quick and dirty rating of the model's power. The formula is: Sqr Root of (Parameters x Tokens) ÷ 300. Any ALScore ≥ 1.0 is a powerful model in mid-2023. Color highlights centerpoint 15.</t>
  </si>
  <si>
    <t>The Memo</t>
  </si>
  <si>
    <t>https://lifearchitect.ai/memo/</t>
  </si>
  <si>
    <r>
      <rPr>
        <rFont val="Calibri"/>
        <color rgb="FF000000"/>
        <sz val="14.0"/>
      </rPr>
      <t xml:space="preserve">Benchmark score 0–100 on Massive Multitask Language Understanding, released Sep/2020: </t>
    </r>
    <r>
      <rPr>
        <rFont val="Calibri"/>
        <color rgb="FF1155CC"/>
        <sz val="14.0"/>
        <u/>
      </rPr>
      <t>https://arxiv.org/abs/2009.03300</t>
    </r>
    <r>
      <rPr>
        <rFont val="Calibri"/>
        <color rgb="FF000000"/>
        <sz val="14.0"/>
      </rPr>
      <t xml:space="preserve"> </t>
    </r>
  </si>
  <si>
    <t>Timeline view</t>
  </si>
  <si>
    <t>https://lifearchitect.ai/timeline/</t>
  </si>
  <si>
    <t>MMLU-Pro</t>
  </si>
  <si>
    <r>
      <rPr>
        <rFont val="Calibri"/>
        <color rgb="FF000000"/>
        <sz val="14.0"/>
      </rPr>
      <t xml:space="preserve">Benchmark score 0–100 on Massive Multitask Language Understanding Pro, released Jun/2024: </t>
    </r>
    <r>
      <rPr>
        <rFont val="Calibri"/>
        <color rgb="FF1155CC"/>
        <sz val="14.0"/>
        <u/>
      </rPr>
      <t>https://arxiv.org/abs/2406.01574</t>
    </r>
  </si>
  <si>
    <t>Script join A</t>
  </si>
  <si>
    <t>https://onlinetexttools.com/join-text</t>
  </si>
  <si>
    <r>
      <rPr>
        <rFont val="Calibri"/>
        <color rgb="FF000000"/>
        <sz val="14.0"/>
      </rPr>
      <t xml:space="preserve">Benchmark score 0–100 on Google-Proof Q&amp;A, released Nov/2023: </t>
    </r>
    <r>
      <rPr>
        <rFont val="Calibri"/>
        <color rgb="FF1155CC"/>
        <sz val="14.0"/>
        <u/>
      </rPr>
      <t>https://arxiv.org/abs/2311.12022</t>
    </r>
  </si>
  <si>
    <t>Script join A-D</t>
  </si>
  <si>
    <t>https://poe.com/TheMemoModelsBot</t>
  </si>
  <si>
    <r>
      <rPr>
        <rFont val="Calibri"/>
        <color rgb="FF000000"/>
        <sz val="14.0"/>
      </rPr>
      <t xml:space="preserve">Benchmark score 0–100 on Humanity's Last Exam, released Jan/2025: </t>
    </r>
    <r>
      <rPr>
        <rFont val="Calibri"/>
        <color rgb="FF1155CC"/>
        <sz val="14.0"/>
        <u/>
      </rPr>
      <t>https://arxiv.org/abs/2501.14249</t>
    </r>
    <r>
      <rPr>
        <rFont val="Calibri"/>
        <color rgb="FF000000"/>
        <sz val="14.0"/>
      </rPr>
      <t xml:space="preserve"> </t>
    </r>
  </si>
  <si>
    <t>Model summary</t>
  </si>
  <si>
    <t>https://poe.com/TheMemoNewModelsSum</t>
  </si>
  <si>
    <t>Rough guide of major datasets used to train the model. Note increasing use of synthetic data from 2023.</t>
  </si>
  <si>
    <t>Corrections</t>
  </si>
  <si>
    <t xml:space="preserve">Corrections are welcomed (with citations). </t>
  </si>
  <si>
    <t>Announced</t>
  </si>
  <si>
    <t>Date</t>
  </si>
  <si>
    <t>Date as month/year. All data sorted by this column descending.</t>
  </si>
  <si>
    <t>When logged in via Google, select cell, click Insert &gt; Comment</t>
  </si>
  <si>
    <t>Symbol</t>
  </si>
  <si>
    <t>Ternary: GREEN=publicly accessible (weights, API, playground...), YELLOW=video or scripted demo only, RED=held in lab and never released.</t>
  </si>
  <si>
    <t>URI pointing to official paper, technical note, or model card. Sometimes shows link to GitHub repository.</t>
  </si>
  <si>
    <t>Architecture: Dense versus Mixture of Experts (MoE).</t>
  </si>
  <si>
    <t>Dropdown</t>
  </si>
  <si>
    <t>Reasoning=Reasoning model (binary). SOTA=State-of-the-Art model at launch (binary).</t>
  </si>
  <si>
    <t>Any further comments or useful highlights.</t>
  </si>
  <si>
    <t>Alternative sheets showing large language models</t>
  </si>
  <si>
    <t>Alternative viz of some frontier models in this sheet (Apr/2024)</t>
  </si>
  <si>
    <t>https://posts.voronoiapp.com/Technology/The-size-of-LLMs-1020</t>
  </si>
  <si>
    <t>AI Tracker (up to 2024, limited)</t>
  </si>
  <si>
    <t>https://www.aitracker.org/</t>
  </si>
  <si>
    <t>Alternative viz using some of this sheet data (Jul/2023)</t>
  </si>
  <si>
    <t>https://informationisbeautiful.net/visualizations/the-rise-of-generative-ai-large-language-models-llms-like-chatgpt/</t>
  </si>
  <si>
    <t>Data for training cost trends in machine learning (Jul/2022)</t>
  </si>
  <si>
    <t>https://docs.google.com/spreadsheets/d/1beiholXkLpiYoeyDL64bOHLI-mXZ-_8ZnY1Ed6Sfjh0/edit#gid=0</t>
  </si>
  <si>
    <t>100+ imitation models with eval/rankings (Jun/2023)</t>
  </si>
  <si>
    <t>https://docs.google.com/spreadsheets/d/1ikqqIaptv2P4_15Ytzro46YysCldKY7Ub2wcX5H1jCQ/edit#gid=0</t>
  </si>
  <si>
    <t>LLM chat leaderboard, only ~12 imitation models (May/2023)</t>
  </si>
  <si>
    <t>https://chat.lmsys.org/?leaderboard</t>
  </si>
  <si>
    <t>Limited paper; some inaccuracies (Jun/2023)</t>
  </si>
  <si>
    <t>https://arxiv.org/abs/2303.18223</t>
  </si>
  <si>
    <t>Anonymous (ends around Mar/2023)</t>
  </si>
  <si>
    <t>https://docs.google.com/spreadsheets/d/1kT4or6b0Fedd-W_jMwYpb63e1ZR3aePczz3zlbJW-Y4/edit#gid=0</t>
  </si>
  <si>
    <t>100+ Chinese LLMs (Jul/2023)</t>
  </si>
  <si>
    <t>https://twitter.com/AdeenaY8/status/1679435164747960320</t>
  </si>
  <si>
    <t>Stella @ EleutherAI (seems to end Dec/2021)</t>
  </si>
  <si>
    <t>https://docs.google.com/spreadsheets/d/1gc6yse74XCwBx028HV_cvdxwXkmXejVjkO-Mz2uwE0k/edit#gid=0</t>
  </si>
  <si>
    <t>Jaime @ Epoch AI (seems to end Jun/2021)</t>
  </si>
  <si>
    <t>https://docs.google.com/spreadsheets/d/1AAIebjNsnJj_uKALHbXNfn3_YsT6sHXtCU0q7OIPuc4/edit#gid=0</t>
  </si>
  <si>
    <t>Formula copy</t>
  </si>
  <si>
    <t>https://lifearchitect.ai/datasets-table/</t>
  </si>
  <si>
    <t>Paper: What's in my AI?</t>
  </si>
  <si>
    <t>https://lifearchitect.ai/whats-in-my-ai/</t>
  </si>
  <si>
    <t>Dataset</t>
  </si>
  <si>
    <t>Total tokens 
(T) ▼</t>
  </si>
  <si>
    <t>Total size
(GB, uncompressed, ~4x tok)</t>
  </si>
  <si>
    <t>Web (CC/C4) data
(GB, uncompressed)</t>
  </si>
  <si>
    <t>Other data
(GB, uncompressed)</t>
  </si>
  <si>
    <t>ALQual
(rates quality of data)</t>
  </si>
  <si>
    <t>Model example</t>
  </si>
  <si>
    <t>Paper</t>
  </si>
  <si>
    <t>Project page</t>
  </si>
  <si>
    <t>Cosmos</t>
  </si>
  <si>
    <t>https://nvidianews.nvidia.com/news/nvidia-launches-cosmos-world-foundation-model-platform-to-accelerate-physical-ai-development</t>
  </si>
  <si>
    <r>
      <rPr>
        <rFont val="Calibri"/>
        <sz val="14.0"/>
      </rPr>
      <t xml:space="preserve">9Qa tokens=9,000T tokens. </t>
    </r>
    <r>
      <rPr>
        <rFont val="Calibri"/>
        <color rgb="FF1155CC"/>
        <sz val="14.0"/>
        <u/>
      </rPr>
      <t>https://lifearchitect.ai/cosmos/</t>
    </r>
  </si>
  <si>
    <t>https://www.jiuyangongshe.com/a/1h4gq724su0</t>
  </si>
  <si>
    <t>5.2 petabytes (PB) = 1.3Qa = 1,300T tokens = 1,300,000B tokens. "Constructed a 5.2PB high-quality corpus covering vertical domains such as finance, law, and patents."</t>
  </si>
  <si>
    <t>DCLM-Pool</t>
  </si>
  <si>
    <t>DCLM-Baseline 7B</t>
  </si>
  <si>
    <t>https://www.datacomp.ai/dclm/</t>
  </si>
  <si>
    <t>All CC from 2008-2022, new extraction using resiliparse framework. https://x.com/Vaishaal/status/1803198069888229817/photo/1 "DCLM-POOL contains 200B documents (370TB after gzip compression)"</t>
  </si>
  <si>
    <t>GPT-5 dataset</t>
  </si>
  <si>
    <t>https://lifearchitect.ai/whats-in-gpt-5/</t>
  </si>
  <si>
    <r>
      <rPr>
        <rFont val="Calibri"/>
        <sz val="14.0"/>
      </rPr>
      <t xml:space="preserve">My analysis: </t>
    </r>
    <r>
      <rPr>
        <rFont val="Calibri"/>
        <color rgb="FF1155CC"/>
        <sz val="14.0"/>
        <u/>
      </rPr>
      <t>https://lifearchitect.ai/whats-in-gpt-5/</t>
    </r>
    <r>
      <rPr>
        <rFont val="Calibri"/>
        <sz val="14.0"/>
      </rPr>
      <t xml:space="preserve"> </t>
    </r>
  </si>
  <si>
    <t>Qwen3</t>
  </si>
  <si>
    <t>https://qwenlm.github.io/blog/qwen3/</t>
  </si>
  <si>
    <t>Largest publicly-revealed text dataset and 'tokens seen' of any model to Apr/2025.</t>
  </si>
  <si>
    <t>Llama 4</t>
  </si>
  <si>
    <t>https://huggingface.co/meta-llama/Llama-4-Scout-17B-16E</t>
  </si>
  <si>
    <t>Alan: Meta AI Llama 4 Scout 109B was trained to 40T tokens, and Meta has publicly stated that this "overall data mixture for training consisted of more than 30 trillion tokens... and includes diverse text, image, and video datasets" (5/Apr/2025). It may be inferred that: a. The Llama 4 models were limited to a 30T token dataset. b. The Llama 4 dataset was roughly 60% text (18T tokens), 20% video, 20% images. c. Llama 4 Scout ‘saw’ the 30T token dataset for 1.3 epochs (40T tokens).</t>
  </si>
  <si>
    <t>RedPajama-Data-v2</t>
  </si>
  <si>
    <t>Together AI</t>
  </si>
  <si>
    <t>https://together.ai/blog/redpajama-data-v2</t>
  </si>
  <si>
    <t>Multimodal Universe</t>
  </si>
  <si>
    <t>Cambridge</t>
  </si>
  <si>
    <t>Piper monorepo</t>
  </si>
  <si>
    <r>
      <rPr>
        <rFont val="Calibri"/>
        <sz val="14.0"/>
      </rPr>
      <t xml:space="preserve">Piper PDF from 2016: </t>
    </r>
    <r>
      <rPr>
        <rFont val="Calibri"/>
        <color rgb="FF1155CC"/>
        <sz val="14.0"/>
        <u/>
      </rPr>
      <t>https://dl.acm.org/doi/pdf/10.1145/2854146</t>
    </r>
  </si>
  <si>
    <t>MNBVC (Massive Never-ending BT Vast Chinese corpus</t>
  </si>
  <si>
    <t>MNBVC.253874</t>
  </si>
  <si>
    <t>https://github.com/esbatmop/MNBVC</t>
  </si>
  <si>
    <t>https://mnbvc.253874.net/</t>
  </si>
  <si>
    <t>Chinese only.</t>
  </si>
  <si>
    <t>AuroraGPT</t>
  </si>
  <si>
    <t>AuroraGPT-7B-A-S</t>
  </si>
  <si>
    <t>https://www.youtubetranscript.com/?v=1K-hi-QjJiQ&amp;t=604</t>
  </si>
  <si>
    <t>"The mandate of the data team: To accumulate on the order of 20 plus trillion tokens of high quality scientific text and structured data with strong quality control, deduplication."</t>
  </si>
  <si>
    <t>Claude-3.5 dataset</t>
  </si>
  <si>
    <r>
      <rPr>
        <rFont val="Calibri"/>
        <sz val="14.0"/>
      </rPr>
      <t xml:space="preserve">Michael Gerstenhaber, head of product at Anthropic, says the company’s new Claude 3.5 Sonnet model is larger than its predecessor but draws much of its new competence from innovations in training. For example, the model was given feedback designed to improve its logical reasoning skills. </t>
    </r>
    <r>
      <rPr>
        <rFont val="Calibri"/>
        <color rgb="FF1155CC"/>
        <sz val="14.0"/>
        <u/>
      </rPr>
      <t>https://archive.md/iH4vg</t>
    </r>
    <r>
      <rPr>
        <rFont val="Calibri"/>
        <sz val="14.0"/>
      </rPr>
      <t xml:space="preserve"> &amp; Michael Gerstenhaber, product lead at Anthropic, says that the improvements are the result of architectural tweaks and new training data, including AI-generated data. Which data specifically? Gerstenhaber wouldn’t disclose, but he implied that Claude 3.5 Sonnet draws much of its strength from these training sets. </t>
    </r>
    <r>
      <rPr>
        <rFont val="Calibri"/>
        <color rgb="FF1155CC"/>
        <sz val="14.0"/>
        <u/>
      </rPr>
      <t>https://techcrunch.com/2024/06/20/anthropic-claims-its-latest-model-is-best-in-class/</t>
    </r>
  </si>
  <si>
    <t>FineWeb</t>
  </si>
  <si>
    <t>https://huggingface.co/datasets/HuggingFaceFW/fineweb</t>
  </si>
  <si>
    <t>15T tokens. Much bigger than FineWeb2. "FineWeb was originally meant to be a fully open replication of 🦅 RefinedWeb"</t>
  </si>
  <si>
    <t>GPT-4 dataset</t>
  </si>
  <si>
    <t>GPT-4</t>
  </si>
  <si>
    <r>
      <rPr>
        <rFont val="Calibri"/>
        <sz val="14.0"/>
      </rPr>
      <t xml:space="preserve">My estimate: </t>
    </r>
    <r>
      <rPr>
        <rFont val="Calibri"/>
        <color rgb="FF1155CC"/>
        <sz val="14.0"/>
        <u/>
      </rPr>
      <t>https://lifearchitect.ai/gpt-4/#dataset</t>
    </r>
  </si>
  <si>
    <t>HPLT v.2.0 (cleaned)</t>
  </si>
  <si>
    <t>HPLT</t>
  </si>
  <si>
    <t>https://arxiv.org/abs/2403.14009</t>
  </si>
  <si>
    <t>https://hplt-project.org/datasets/v2.0</t>
  </si>
  <si>
    <t>CC + archive.org, 193 languages. 15TB compressed, est 40TB uncompressed</t>
  </si>
  <si>
    <t>Nemotron-Pre-Training-Dataset-v1</t>
  </si>
  <si>
    <t>NVIDIA-Nemotron-Nano-12B-v2-Base</t>
  </si>
  <si>
    <t>https://huggingface.co/collections/nvidia/nemotron-pre-training-dataset-689d9de36f84279d83786b35</t>
  </si>
  <si>
    <t>Nemotron-CC-v2 + Nemotron-CC-Math-v1 (133B tokens) + Nemotron-Pretraining-Code-v1 (11 languages) + Nemotron-Pretraining-SFT-v1</t>
  </si>
  <si>
    <t xml:space="preserve">FineWeb-Edu-score-2 </t>
  </si>
  <si>
    <t>https://huggingface.co/datasets/HuggingFaceFW/fineweb-edu-score-2</t>
  </si>
  <si>
    <t>CulturaX</t>
  </si>
  <si>
    <t>UOregon</t>
  </si>
  <si>
    <t>https://arxiv.org/abs/2309.09400</t>
  </si>
  <si>
    <t>https://huggingface.co/datasets/uonlp/CulturaX</t>
  </si>
  <si>
    <t>HPLT (High Performance Language Technologies)</t>
  </si>
  <si>
    <t>Helsinki</t>
  </si>
  <si>
    <t>"In total, after de-duplication, we release a collection of 5.25 billion documents (approximately corresponding to web pages), totaling 50.1 TB of uncompressed texts and approximately 5.6 trillion whitespace-separated word tokens"</t>
  </si>
  <si>
    <t>RefinedWeb</t>
  </si>
  <si>
    <t>https://arxiv.org/pdf/2306.01116.pdf</t>
  </si>
  <si>
    <t>MassiveText ML</t>
  </si>
  <si>
    <t>Retro</t>
  </si>
  <si>
    <t>Matrix</t>
  </si>
  <si>
    <t>https://arxiv.org/pdf/2405.19327</t>
  </si>
  <si>
    <t>https://cdn-uploads.huggingface.co/production/uploads/654907a4a1faff97850c4eff/1FWMF_t_Mhy0UQmu65Bb1.png</t>
  </si>
  <si>
    <t>Combines RedPajama, Dolma, Culturax, Amber, SlimPajama, Falcon, CulturaY</t>
  </si>
  <si>
    <t>FineWeb2</t>
  </si>
  <si>
    <t>https://huggingface.co/papers/2506.20920</t>
  </si>
  <si>
    <t>https://github.com/huggingface/fineweb-2</t>
  </si>
  <si>
    <t>3T words=4T tokens. Much smaller than FineWeb (15T tokens). 1,893 language-script pairs. Of these, 486 have more than 1MB of text data, and 80 have more than 1GB of filtered data.</t>
  </si>
  <si>
    <t>Cultura-Y</t>
  </si>
  <si>
    <t>Vistral-7B-Chat</t>
  </si>
  <si>
    <t>https://www.ontocord.ai/blog/cultura-y</t>
  </si>
  <si>
    <t>The Well</t>
  </si>
  <si>
    <t>https://github.com/PolymathicAI/the_well</t>
  </si>
  <si>
    <t>DCLM-Baseline</t>
  </si>
  <si>
    <t>https://huggingface.co/datasets/mlfoundations/dclm-baseline-1.0</t>
  </si>
  <si>
    <t>"All CC from 2008-2022, new extraction using resiliparse framework. https://x.com/Vaishaal/status/1803198069888229817/photo/1 ""DCLM-POOL contains 200B
documents (370TB after gzip compression)"""</t>
  </si>
  <si>
    <t>PaLM 2 dataset</t>
  </si>
  <si>
    <r>
      <rPr>
        <rFont val="Calibri"/>
        <sz val="14.0"/>
      </rPr>
      <t xml:space="preserve">My estimate: </t>
    </r>
    <r>
      <rPr>
        <rFont val="Calibri"/>
        <color rgb="FF1155CC"/>
        <sz val="14.0"/>
        <u/>
      </rPr>
      <t>https://lifearchitect.ai/bard/#dataset</t>
    </r>
  </si>
  <si>
    <t>FinePDFs</t>
  </si>
  <si>
    <t>https://huggingface.co/datasets/HuggingFaceFW/finepdfs</t>
  </si>
  <si>
    <t>"improves over SoTA when mixed with FW-EDU&amp;DCLM web copora"</t>
  </si>
  <si>
    <t>Dolma</t>
  </si>
  <si>
    <t>AI2</t>
  </si>
  <si>
    <t>https://arxiv.org/abs/2402.00159</t>
  </si>
  <si>
    <t>Infiniset</t>
  </si>
  <si>
    <r>
      <rPr>
        <rFont val="Calibri"/>
        <sz val="14.0"/>
      </rPr>
      <t xml:space="preserve">My calcs: </t>
    </r>
    <r>
      <rPr>
        <rFont val="Calibri"/>
        <color rgb="FF1155CC"/>
        <sz val="14.0"/>
        <u/>
      </rPr>
      <t>https://lifearchitect.ai/bard/#dataset</t>
    </r>
    <r>
      <rPr>
        <rFont val="Calibri"/>
        <sz val="14.0"/>
      </rPr>
      <t xml:space="preserve"> &amp; It's not clear why Google chose to use 1.5TB of the ~14TB history within Wikipedia</t>
    </r>
  </si>
  <si>
    <t>MADLAD-400</t>
  </si>
  <si>
    <t>MADLAD400-8B</t>
  </si>
  <si>
    <t>https://arxiv.org/abs/2309.04662</t>
  </si>
  <si>
    <t>https://huggingface.co/datasets/allenai/MADLAD-400</t>
  </si>
  <si>
    <t>MassiveText EN</t>
  </si>
  <si>
    <t>Chinchilla, Gopher</t>
  </si>
  <si>
    <t>Common Pile v0.1</t>
  </si>
  <si>
    <t>https://huggingface.co/blog/stellaathena/common-pile</t>
  </si>
  <si>
    <t>Openly licensed data.</t>
  </si>
  <si>
    <t xml:space="preserve">Pleias Common Corpus </t>
  </si>
  <si>
    <t>PleIAS</t>
  </si>
  <si>
    <t>https://huggingface.co/blog/Pclanglais/two-trillion-tokens-open</t>
  </si>
  <si>
    <t>https://huggingface.co/datasets/PleIAs/common_corpus</t>
  </si>
  <si>
    <t>Lame, just CC again but no copyright (apparently). 2T is nowhere near the largest despite the claim of 'Releasing the largest multilingual open pretraining dataset'.</t>
  </si>
  <si>
    <t>Shanghai AI</t>
  </si>
  <si>
    <t>Chinese/English. My rough estimates only by multiplying tokens (billions) by 3 to get GB</t>
  </si>
  <si>
    <t>Stability New Pile</t>
  </si>
  <si>
    <t>Announced but not detailed</t>
  </si>
  <si>
    <t>FineWeb-Edu 1.3T</t>
  </si>
  <si>
    <t>https://huggingface.co/datasets/HuggingFaceFW/fineweb-edu</t>
  </si>
  <si>
    <t>Zyda</t>
  </si>
  <si>
    <t>https://www.zyphra.com/zyda</t>
  </si>
  <si>
    <t>Combination of Dolma, Fineweb, Pile, RefinedWeb, and SlimPajama</t>
  </si>
  <si>
    <t>LLaMA</t>
  </si>
  <si>
    <t>LLaMA, Alpaca</t>
  </si>
  <si>
    <t>RedPajama</t>
  </si>
  <si>
    <t>https://arxiv.org/abs/2411.12372v1</t>
  </si>
  <si>
    <t>The Stack v2</t>
  </si>
  <si>
    <t>BigCode</t>
  </si>
  <si>
    <t>https://huggingface.co/datasets/bigcode/the-stack-v2</t>
  </si>
  <si>
    <t>"The Stack v2 is ten times larger than its predecessor, yielding a raw dataset of 67.5 TB. Through extensive cleaning, filtering, and subsampling of the source code, along with the incorporation of other high-quality code-related datasets, we created a training set of approximately 3TB (900B+ tokens)."</t>
  </si>
  <si>
    <t>SlimPajama</t>
  </si>
  <si>
    <t>https://huggingface.co/datasets/cerebras/SlimPajama-627B</t>
  </si>
  <si>
    <t>https://www.cerebras.net/blog/slimpajama-a-627b-token-cleaned-and-deduplicated-version-of-redpajama</t>
  </si>
  <si>
    <t>The dataset consists of 59166 jsonl files and is ~895GB compressed. It is a cleaned and deduplicated version of Together's RedPajama.</t>
  </si>
  <si>
    <t>Common Corpus</t>
  </si>
  <si>
    <t>https://huggingface.co/collections/PleIAs/common-corpus-65d46e3ea3980fdcd66a5613</t>
  </si>
  <si>
    <t>500tok=650w.</t>
  </si>
  <si>
    <t>ROOTS</t>
  </si>
  <si>
    <t>BLOOM</t>
  </si>
  <si>
    <t>https://arxiv.org/abs/2303.03915</t>
  </si>
  <si>
    <t>The Pile v1</t>
  </si>
  <si>
    <t>GPT-Neo, GPT-J</t>
  </si>
  <si>
    <t>Some dupes in my older calcs. Deliberately excludes US Congressional minutes (slavery) and literotica (sex).</t>
  </si>
  <si>
    <t>Institutional Books 1.0</t>
  </si>
  <si>
    <t xml:space="preserve">Harvard University’s Institutional Data Initiative </t>
  </si>
  <si>
    <t>https://arxiv.org/abs/2506.08300</t>
  </si>
  <si>
    <t>https://huggingface.co/datasets/institutional/institutional-books-1.0</t>
  </si>
  <si>
    <r>
      <rPr>
        <rFont val="Calibri"/>
        <sz val="14.0"/>
      </rPr>
      <t xml:space="preserve">"This analysis covers the entirety of Harvard Library's collection scanned as part of that project, originally spanning 1,075,899 volumes written in over 250 different languages for a total of approximately 250 billion tokens. As part of this initial release, the OCR-extracted text (original and post-processed) as well as the metadata (bibliographic, source, and generated) of the 983,004 volumes, or 242B tokens, identified as being in the public domain have been made available." Ref: </t>
    </r>
    <r>
      <rPr>
        <rFont val="Calibri"/>
        <color rgb="FF1155CC"/>
        <sz val="14.0"/>
        <u/>
      </rPr>
      <t>https://archive.md/xhJvc</t>
    </r>
  </si>
  <si>
    <t>StarCoder dataset (The Stack 1.2 subset)</t>
  </si>
  <si>
    <t>https://huggingface.co/datasets/bigcode/starcoderdata</t>
  </si>
  <si>
    <t>https://arxiv.org/abs/2305.06161</t>
  </si>
  <si>
    <t>It contains 783GB of code in 86 programming languages, and includes 54GB GitHub Issues + 13GB Jupyter notebooks in scripts and text-code pairs, and 32GB of GitHub commits, which is approximately 250 Billion tokens.</t>
  </si>
  <si>
    <t>The Stack v1</t>
  </si>
  <si>
    <t>Megatron-LM fork</t>
  </si>
  <si>
    <t>https://arxiv.org/abs/2211.15533</t>
  </si>
  <si>
    <t>https://huggingface.co/datasets/bigcode/the-stack-dedup</t>
  </si>
  <si>
    <t>Various dedupes down to 2.7TB and 1.5TB.</t>
  </si>
  <si>
    <t>GPT-3 dataset</t>
  </si>
  <si>
    <t>RoBERTa dataset</t>
  </si>
  <si>
    <t>RoBERTa, Megatron-11B</t>
  </si>
  <si>
    <t>YouTube-Commons</t>
  </si>
  <si>
    <t>https://huggingface.co/datasets/HuggingFaceTB/cosmopedia</t>
  </si>
  <si>
    <t>https://huggingface.co/datasets/PleIAs/YouTube-Commons</t>
  </si>
  <si>
    <t>286x parquet files x 385MB each</t>
  </si>
  <si>
    <t xml:space="preserve">Cosmopedia v2 </t>
  </si>
  <si>
    <t>"Cosmopedia v2 is an enhanced version of Cosmopedia, the largest synthetic dataset for pre-training, consisting of over 30 million textbooks, blog posts, and stories generated by Mixtral-8x7B-Instruct-v0.1. Most of the samples are generated by prompting the model to generate content on specific topics using a web page referred to as a "seed sample", as shown in Figure 1. We use web samples to increase diversity and expand the range of prompts."</t>
  </si>
  <si>
    <t>Cosmopedia v0.1</t>
  </si>
  <si>
    <t>Replication of phi-1.5, very high quality synthetic data</t>
  </si>
  <si>
    <t>GPT-2 dataset</t>
  </si>
  <si>
    <t>Popular web</t>
  </si>
  <si>
    <t>GPT-1 dataset</t>
  </si>
  <si>
    <t>Books</t>
  </si>
  <si>
    <t>Field</t>
  </si>
  <si>
    <t>Achievement</t>
  </si>
  <si>
    <t>Result</t>
  </si>
  <si>
    <t>Human result</t>
  </si>
  <si>
    <t>Outperforms human avg?</t>
  </si>
  <si>
    <t>Engine</t>
  </si>
  <si>
    <t>Testing date</t>
  </si>
  <si>
    <t>Peer-
reviewed?</t>
  </si>
  <si>
    <t>Paper/
link</t>
  </si>
  <si>
    <t>Extract</t>
  </si>
  <si>
    <t>Finance</t>
  </si>
  <si>
    <t>Large Language Models pass CFA Level III</t>
  </si>
  <si>
    <t>79.1</t>
  </si>
  <si>
    <t>Yes</t>
  </si>
  <si>
    <t>🔗</t>
  </si>
  <si>
    <t>"leading models demonstrate strong capabilities, with composite scores such as 79.1% (o4-mini) and 77.3% (Gemini 2.5 Flash) on CFA Level III"</t>
  </si>
  <si>
    <t>CBRN</t>
  </si>
  <si>
    <t>LLms can can accurately guide users through the recovery of live poliovirus</t>
  </si>
  <si>
    <t>"we find that advanced AI models Llama 3.1 405B, ChatGPT-4o, and Claude 3.5 Sonnet can accurately guide users through the recovery of live poliovirus from commercially obtained synthetic DNA"</t>
  </si>
  <si>
    <t>Health reviews</t>
  </si>
  <si>
    <t>LLMs outperform humans in synthesizing results of multiple high-quality studies to answer specific clinical question (effectiveness or safety of a treatment).</t>
  </si>
  <si>
    <t>96.7</t>
  </si>
  <si>
    <t>o3-mini-high</t>
  </si>
  <si>
    <t>"We developed otto-SR, an end-to-end agentic workflow using large language models (LLMs) to support and automate the SR workflow from initial search to analysis. We found that otto-SR outperformed traditional dual human workflows in SR screening (otto-SR: 96.7% sensitivity, 97.9% specificity; human: 81.7% sensitivity, 98.1% specificity) and data extraction (otto-SR: 93.1% accuracy; human: 79.7% accuracy). Using otto-SR, we reproduced and updated an entire issue of Cochrane reviews (n=12) in two days, representing approximately 12 work-years of traditional systematic review work. Across Cochrane reviews, otto-SR incorrectly excluded a median of 0 studies (IQR 0 to 0.25), and found a median of 2.0 (IQR 1 to 6.5) eligible studies likely missed by the original authors. Meta-analyses revealed that otto-SR generated newly statistically significant conclusions in 2 reviews and negated significance in 1 review. These findings demonstrate that LLMs can autonomously conduct and update systematic reviews with superhuman performance, laying the foundation for automated, scalable, and reliable evidence synthesis."</t>
  </si>
  <si>
    <t>Medicine</t>
  </si>
  <si>
    <t>o1 outperforms physicians in medical diagnostics and reasoning.</t>
  </si>
  <si>
    <t>78.3</t>
  </si>
  <si>
    <t>"[o1] displayed superhuman diagnostic and reasoning abilities, as well as continued improvement from prior generations of AI clinical decision support. Our study suggests that LLMs have achieved superhuman performance on general medical diagnostic and management reasoning"</t>
  </si>
  <si>
    <t>Emotional intelligence</t>
  </si>
  <si>
    <t>Major LLMs in 2025 are 44% more emotionally intelligent than humans.</t>
  </si>
  <si>
    <t>81</t>
  </si>
  <si>
    <t>GPT-4, etc</t>
  </si>
  <si>
    <t>"ChatGPT-4, ChatGPT-o1, Gemini 1.5 flash, Copilot 365, Claude 3.5 Haiku, and DeepSeek V3 outperformed humans on five standard emotional intelligence tests, achieving an average accuracy of 81%, compared to the 56% human average"</t>
  </si>
  <si>
    <t>Persuasion</t>
  </si>
  <si>
    <t>Claude 3.6S is more persuasive than human experts.</t>
  </si>
  <si>
    <t>98</t>
  </si>
  <si>
    <t>Claude 3.6S</t>
  </si>
  <si>
    <t>"Personalization ranks in the 99th percentile among all users and the 98th percentile among experts, critically approaching thresholds that experts associate with the emergence of existential AI risks"</t>
  </si>
  <si>
    <t>Being human</t>
  </si>
  <si>
    <t>GPT-4.5 was judged to be human based on conversations.</t>
  </si>
  <si>
    <t>73</t>
  </si>
  <si>
    <t>"GPT-4.5 was judged to be the human 73% of the time: significantly more often than interrogators selected the real human participant."</t>
  </si>
  <si>
    <t>Compassion</t>
  </si>
  <si>
    <t>GPT-4 rated as more compassionate compared to select human responders.</t>
  </si>
  <si>
    <r>
      <rPr>
        <rFont val="Calibri"/>
        <color rgb="FF000000"/>
        <sz val="14.0"/>
      </rPr>
      <t xml:space="preserve">"AI-generated responses [gpt-4-0125-preview] were rated 16% more compassionate than human responses and were preferred 68% of the time, even when compared to trained crisis responders." </t>
    </r>
    <r>
      <rPr>
        <rFont val="Calibri"/>
        <color rgb="FF1155CC"/>
        <sz val="14.0"/>
        <u/>
      </rPr>
      <t>https://www.livescience.com/technology/artificial-intelligence/people-find-ai-more-compassionate-than-mental-health-experts-study-finds-what-could-this-mean-for-future-counseling</t>
    </r>
  </si>
  <si>
    <t>Memes</t>
  </si>
  <si>
    <t>GPT-4o creates better memes than human average.</t>
  </si>
  <si>
    <t>"memes created entirely by AI performed better than both human-only and human-AI collaborative memes in all areas on average."</t>
  </si>
  <si>
    <t>Maths</t>
  </si>
  <si>
    <t>o1 completes new Dutch high school maths exam in 10 minutes, scores 100%</t>
  </si>
  <si>
    <t>100</t>
  </si>
  <si>
    <t>"[o1] scored [76 out of] 76 points. For context, only 24 out of 16,414 students in the Netherlands achieved a perfect score. By comparison, the GPT-4o model scored 66 and 61 out of 76, well above the Dutch average of 40.63 points. The O1-preview model completed the exam in around 10 minutes..."</t>
  </si>
  <si>
    <t>Biology</t>
  </si>
  <si>
    <t>GPT-4 performs rudimentary structural biology modeling</t>
  </si>
  <si>
    <t>"The performance of GPT-4 for modeling of the 20 standard amino acids was favorable in terms of atom composition, bond lengths, and bond angles...the prediction of interaction-interfering mutations may become particularly useful in drug discovery and development, an area where GPT-based AI is anticipated to be impactful"</t>
  </si>
  <si>
    <t>Engineering</t>
  </si>
  <si>
    <t>GPT-4 passes engineering exams.</t>
  </si>
  <si>
    <t>85.1</t>
  </si>
  <si>
    <t>"Alarmingly, GPT-4 can easily be used to reach a 50% performance threshold (which could be sufficient to pass many courses at various universities) for 89% of courses with MCQ-based evaluations and for 77% of courses for open-answer questions... GPT-4 answers an average of 65.8% of questions correctly, and can even produce the correct answer across at least one prompting strategy for 85.1% of questions."</t>
  </si>
  <si>
    <t>Humor</t>
  </si>
  <si>
    <t>ChatGPT is funnier than humans.</t>
  </si>
  <si>
    <t>ChatGPT</t>
  </si>
  <si>
    <t>"ChatGPT outperformed the majority of our human humor producers on each task. ChatGPT 3.5 performed above 73% of human producers on the acronym task, 63% of human producers on the fill-in-the-blank task, and 87% of human producers on the roast joke task."</t>
  </si>
  <si>
    <t>Legal</t>
  </si>
  <si>
    <t>Claude 3 Opus works at least 5,000 times faster than humans do, while producing work of similar or better quality…</t>
  </si>
  <si>
    <t>No</t>
  </si>
  <si>
    <t>"Of the 37 merits cases decided so far this Term, Claude decided 27 in the same way the Supreme Court did. In the other 10 (such as Campos-Chaves), I frequently was more persuaded by Claude’s analysis than the Supreme Court’s…" Adam Unikowsky is a biglaw partner, a former law clerk to Justice Antonin Scalia, and has won eight Supreme Court cases as lead counsel. Using Claude 3 Opus, he explores the potential of AI in adjudicating Supreme Court cases.</t>
  </si>
  <si>
    <t>Investment</t>
  </si>
  <si>
    <t>GPT-4’s stock selection accuracy is as high as 60% vs humans at 52%.</t>
  </si>
  <si>
    <t>60.35</t>
  </si>
  <si>
    <t>"With the step-by-step prompts, GPT-4 achieved a prediction accuracy of 60.35 per cent, significantly higher than the 52.71 per cent accuracy of human analysts. Moreover, GPT-4’s F1-score, which balances the accuracy and relevance of predictions, also outperformed that of the human analysts."</t>
  </si>
  <si>
    <t>GPT-4 returned 15% on the stock market (limited evidence, 11 test runs over 12 months)</t>
  </si>
  <si>
    <r>
      <rPr>
        <rFont val="Calibri"/>
        <color rgb="FF000000"/>
        <sz val="14.0"/>
      </rPr>
      <t>"</t>
    </r>
    <r>
      <rPr>
        <rFont val="Calibri"/>
        <color rgb="FF000000"/>
        <sz val="14.0"/>
      </rPr>
      <t>The average return for the two LLMs used by the GPT Investor is as follows: GPT-4: 15.54% (with a corresponding average $SPY return of 9.74%)</t>
    </r>
    <r>
      <rPr>
        <rFont val="Calibri"/>
        <color rgb="FF000000"/>
        <sz val="14.0"/>
      </rPr>
      <t>"</t>
    </r>
  </si>
  <si>
    <t>Information security</t>
  </si>
  <si>
    <t>GPT-4 can exploit zero-day security vulnerabilities all by itself</t>
  </si>
  <si>
    <t>87</t>
  </si>
  <si>
    <t>"When given the CVE description, GPT-4 is capable of exploiting 87% of these vulnerabilities compared to 0% for every other model we test"</t>
  </si>
  <si>
    <t>Psychology</t>
  </si>
  <si>
    <t>GPT-4 outperforms 100% of psychologists in Social Intelligence</t>
  </si>
  <si>
    <t>92.18</t>
  </si>
  <si>
    <r>
      <rPr>
        <rFont val="Calibri"/>
        <color rgb="FF000000"/>
        <sz val="14.0"/>
      </rPr>
      <t xml:space="preserve">"In ChatGPT-4, the score on the SI scale was 59, exceeding 100% of specialists, whether at the doctoral or the bachelor’s levels.... the average scores were 39.19 of bachelor’s students and 46.73 of PhD holders. While the raw scores of the AI models were treated as representing independent individual samples (one total score for each model); the scores of SI were 59 of GPT4" </t>
    </r>
    <r>
      <rPr>
        <rFont val="Calibri"/>
        <color rgb="FF1155CC"/>
        <sz val="14.0"/>
        <u/>
      </rPr>
      <t>https://www.psypost.org/chatgpt-4-outperforms-human-psychologists-in-test-of-social-intelligence-study-finds/</t>
    </r>
  </si>
  <si>
    <t>Psychiatry</t>
  </si>
  <si>
    <t>GPT-4 outperforms human psychiatrists</t>
  </si>
  <si>
    <t>75</t>
  </si>
  <si>
    <t>x</t>
  </si>
  <si>
    <t>"GPT-4 performance was highest in psychiatry, with a median 75th percentile among physicians (95% CI, 66.3 to 81.0)... Compared with the performance of 849 physicians who took the board medical examination in 2022, GPT-4 performed above the median physician in internal medicine and psychiatry and ranked above a considerable fraction of physicians in other disciplines."</t>
  </si>
  <si>
    <t>Art (via prompting Midjourney)</t>
  </si>
  <si>
    <t>GPT-4 outperforms humans in image creation</t>
  </si>
  <si>
    <t>"We conduct an extensive human evaluation experiment, and find that AI excels human experts, and Midjourney is better than the other text-to-image generators... On average, prompts improve 20.39% for short text descriptions compared to human-generated social media creatives"</t>
  </si>
  <si>
    <t>Persuasion/argument/debate</t>
  </si>
  <si>
    <t>Persuasion: GPT-4 better than human debater</t>
  </si>
  <si>
    <t>"participants who debated GPT-4 with access to their personal information had 81.7% (p &lt; 0.01; N=820 unique participants) higher odds of increased agreement with their opponents compared to participants who debated humans. Without personalization, GPT-4 still outperforms humans, but the effect is lower and statistically non-significant (p=0.31)."</t>
  </si>
  <si>
    <t>Aerospace</t>
  </si>
  <si>
    <t>GPT-4 and GPT-4V can help fly a plane</t>
  </si>
  <si>
    <t>‘[GPT-4V and GPT-4 was used] to interpret and generate human-like text from cockpit images and pilot inputs, thereby offering real-time support during flight operations. To the best of our knowledge, this is the first work to study the virtual co-pilot with pretrained LLMs for aviation... The case study revealed that GPT-4, when provided with instrument images and pilot instructions, can effectively retrieve quick-access references for flight operations. The findings affirmed that the V-CoP can harness the capabilities of LLM to comprehend dynamic aviation scenarios and pilot instructions.’</t>
  </si>
  <si>
    <t>Relationships</t>
  </si>
  <si>
    <t>ChatGPT converses with 5,239 girls for Russian programmer.</t>
  </si>
  <si>
    <t>‘In total, the bot met 5,239 girls, out of which Alexander selected four most suitable ones. Ultimately, he chose one of them named Karina…’</t>
  </si>
  <si>
    <t>Academia</t>
  </si>
  <si>
    <t>GPT-4 writes better essays than humans</t>
  </si>
  <si>
    <t>"ChatGPT generates essays that are rated higher regarding quality than human-written essays."</t>
  </si>
  <si>
    <t>Psychotherapy</t>
  </si>
  <si>
    <t>Seligman: “This is a rare moment in the history of scientific psychology: [GPT-4] now promises much more effective psychotherapy and coaching.”</t>
  </si>
  <si>
    <t>https://www.eurekalert.org/news-releases/1003232</t>
  </si>
  <si>
    <t>ChatGPT officiates wedding</t>
  </si>
  <si>
    <t>‘ChatGPT planned the welcome, the speech, the closing remarks — everything except the vows — making ChatGPT, in essence, the wedding officiant.’</t>
  </si>
  <si>
    <t>Chemistry</t>
  </si>
  <si>
    <t>GPT-4 helps with ‘instructions, to robot actions, to synthesized molecule.’</t>
  </si>
  <si>
    <t>‘We report a model that can go from natural language instructions, to robot actions, to synthesized molecule with an LLM. We synthesized catalysts, a novel dye, and insect repellent from 1-2 sentence instructions. This has been a seemingly unreachable goal for years!’</t>
  </si>
  <si>
    <t>Chip design</t>
  </si>
  <si>
    <t>ChatGPT helps design an accumulator, part of a CPU</t>
  </si>
  <si>
    <r>
      <rPr>
        <rFont val="Calibri"/>
        <color rgb="FF000000"/>
        <sz val="14.0"/>
      </rPr>
      <t xml:space="preserve">‘two hardware engineers “talked” in standard English with ChatGPT-4 – a Large Language Model (LLM) built to understand and generate human-like text type – to design a new type of microprocessor architecture. The researchers then sent the designs to manufacture.’ Paper: </t>
    </r>
    <r>
      <rPr>
        <rFont val="Calibri"/>
        <color rgb="FF1155CC"/>
        <sz val="14.0"/>
        <u/>
      </rPr>
      <t>https://arxiv.org/abs/2305.13243</t>
    </r>
    <r>
      <rPr>
        <rFont val="Calibri"/>
        <color rgb="FF000000"/>
        <sz val="14.0"/>
      </rPr>
      <t xml:space="preserve"> </t>
    </r>
  </si>
  <si>
    <t>Medical</t>
  </si>
  <si>
    <t>ChatGPT 'higher quality' and 'more empathetic' than human doctors</t>
  </si>
  <si>
    <t>Chatbot responses were rated of significantly higher quality than physician responses…  9.8 times higher prevalence of empathetic or very empathetic responses for the chatbot.</t>
  </si>
  <si>
    <t>Lottery</t>
  </si>
  <si>
    <t>Human wins lottery with numbers provided by ChatGPT (this is tongue-in-cheek, but it did happen!)</t>
  </si>
  <si>
    <t>Patthawikorn Boonrin revealed that he put in a few hypothetical questions... and received the numbers 57, 27, 29, and 99 from the chatbot... the numbers ended up winning him a [lottery] prize...</t>
  </si>
  <si>
    <t>Quantum computing</t>
  </si>
  <si>
    <t>GPT-4 achieves a 'B' grade (73/100) on exam.</t>
  </si>
  <si>
    <t>The result: GPT-4 scored 73 / 100. (Because of extra credits, the max score on the exam was 120, though the highest score that any student actually achieved was 108.) For comparison, the average among the students was 74.4 (though with a strong selection effect—many students who were struggling had dropped the course by then!). While there’s no formal mapping from final exam scores to letter grades (the latter depending on other stuff as well), GPT-4’s performance would correspond to a solid B.</t>
  </si>
  <si>
    <t>Jurisprudence/
legal rulings</t>
  </si>
  <si>
    <t>ChatGPT helps a judge with a verdict (India).</t>
  </si>
  <si>
    <t>‘Armed with [ChatGPT's] legal expertise, Chitkara ultimately rejected the defendant’s bail bid on the grounds that they did act cruelly before the victim died.’</t>
  </si>
  <si>
    <t>Japan: National Medical Licensure Examination</t>
  </si>
  <si>
    <t>Bing Chat would achieve 78% [above cut-off grade of 70%], ChatGPT would achieve 38%</t>
  </si>
  <si>
    <t>78</t>
  </si>
  <si>
    <t>Bing Chat</t>
  </si>
  <si>
    <t>‘The   accuracy  of   ChatGPT  was   lower   than  prior   studies   using  the   United  States Medical Licensing Examination. The limited amount of Japanese language data may have affected the ability of ChatGPT to correctly answer medical questions in Japanese... Bing has an accuracy level to pass the national medical licensing exam in Japan.’</t>
  </si>
  <si>
    <t>Spanish medical examination (MIR)</t>
  </si>
  <si>
    <t>Bing Chat would achieve 93%, ChatGPT would achieve 70%, both above cut-off grade</t>
  </si>
  <si>
    <t>93</t>
  </si>
  <si>
    <t>‘I asked 185 questions, excluding the 25 that required images, which I removed. To balance the exam, I added the 10 reserve questions for the challenges. Out of the 185 questions, Bing Chat answered 172 correctly and failed on 13, resulting in a success rate of 93%’</t>
  </si>
  <si>
    <t>Cover of TIME magazine</t>
  </si>
  <si>
    <t>ChatGPT made the 27/Feb/2023 cover of TIME magazine.</t>
  </si>
  <si>
    <t>Alan: this one is not really an ability, but definitely an achievement!</t>
  </si>
  <si>
    <t>CEO</t>
  </si>
  <si>
    <t>ChatGPT appointed to CEO of CS India.</t>
  </si>
  <si>
    <t>‘As CEO, ChatGPT will be responsible for overseeing the day-to-day operations of CS India and driving the organization's growth and expansion. ChatGPT will use its advanced language processing skills to analyze market trends, identify new impact opportunities, and develop strategies...’</t>
  </si>
  <si>
    <t>Software dev job</t>
  </si>
  <si>
    <t>ChatGPT would be hired as L3 Software Developer at Google: the role pays $183,000/year.</t>
  </si>
  <si>
    <r>
      <rPr>
        <rFont val="Calibri"/>
        <color rgb="FF1155CC"/>
        <sz val="14.0"/>
        <u/>
      </rPr>
      <t>https://www.pcmag.com/news/chatgpt-passes-google-coding-interview-for-level-3-engineer-with-183k-salary</t>
    </r>
    <r>
      <rPr>
        <rFont val="Calibri"/>
        <sz val="14.0"/>
      </rPr>
      <t xml:space="preserve"> </t>
    </r>
    <r>
      <rPr>
        <rFont val="Calibri"/>
        <color rgb="FF000000"/>
        <sz val="14.0"/>
      </rPr>
      <t xml:space="preserve">
</t>
    </r>
    <r>
      <rPr>
        <rFont val="Calibri"/>
        <color rgb="FF1155CC"/>
        <sz val="14.0"/>
        <u/>
      </rPr>
      <t xml:space="preserve">https://www.cnbc.com/2023/01/31/google-testing-chatgpt-like-chatbot-apprentice-bard-with-employees.html
</t>
    </r>
    <r>
      <rPr>
        <rFont val="Calibri"/>
        <sz val="14.0"/>
      </rPr>
      <t>"ChatGPT gets hired at L3 when interviewed for a coding position"</t>
    </r>
  </si>
  <si>
    <t>ChatGPT helps a judge with a verdict (Colombia).</t>
  </si>
  <si>
    <r>
      <rPr>
        <rFont val="Calibri"/>
        <sz val="14.0"/>
      </rPr>
      <t xml:space="preserve">English: </t>
    </r>
    <r>
      <rPr>
        <rFont val="Calibri"/>
        <color rgb="FF1155CC"/>
        <sz val="14.0"/>
        <u/>
      </rPr>
      <t xml:space="preserve">https://interestingengineering.com/innovation/chatgpt-makes-humane-decision-columbia
</t>
    </r>
    <r>
      <rPr>
        <rFont val="Calibri"/>
        <sz val="14.0"/>
      </rPr>
      <t xml:space="preserve">Spanish: </t>
    </r>
    <r>
      <rPr>
        <rFont val="Calibri"/>
        <color rgb="FF1155CC"/>
        <sz val="14.0"/>
        <u/>
      </rPr>
      <t>https://www.bluradio.com/judicial/sentencia-la-tome-yo-chatgpt-respaldo-argumentacion-juez-de-cartagena-uso-inteligencia-artificial-pr30</t>
    </r>
    <r>
      <rPr>
        <rFont val="Calibri"/>
        <sz val="14.0"/>
      </rPr>
      <t xml:space="preserve"> 
"On January 31, the first labor court of Cartagena resolved a guardianship action with the help of the famous artificial intelligence known as ChatGPT, arguing that it applied Law 2213 of 2022, which says that in certain cases these virtual tools can be used."</t>
    </r>
  </si>
  <si>
    <t>Politics</t>
  </si>
  <si>
    <t>ChatGPT writes several Bills (USA).</t>
  </si>
  <si>
    <r>
      <rPr>
        <rFont val="Calibri"/>
        <sz val="14.0"/>
      </rPr>
      <t xml:space="preserve">Regulate ChatGPT: </t>
    </r>
    <r>
      <rPr>
        <rFont val="Calibri"/>
        <color rgb="FF1155CC"/>
        <sz val="14.0"/>
        <u/>
      </rPr>
      <t>https://malegislature.gov/Bills/193/SD1827</t>
    </r>
    <r>
      <rPr>
        <rFont val="Calibri"/>
        <sz val="14.0"/>
      </rPr>
      <t xml:space="preserve"> 
Mental health &amp; ChatGPT:</t>
    </r>
    <r>
      <rPr>
        <rFont val="Calibri"/>
        <color rgb="FF000000"/>
        <sz val="14.0"/>
      </rPr>
      <t xml:space="preserve"> </t>
    </r>
    <r>
      <rPr>
        <rFont val="Calibri"/>
        <color rgb="FF1155CC"/>
        <sz val="14.0"/>
        <u/>
      </rPr>
      <t>https://malegislature.gov/Bills/193/HD676</t>
    </r>
  </si>
  <si>
    <t>MBA</t>
  </si>
  <si>
    <t>ChatGPT would pass an MBA degree exam at Wharton (UPenn).</t>
  </si>
  <si>
    <t>B/B-</t>
  </si>
  <si>
    <t>"Considering this performance, ChatGPT would have received a B to B- grade on the exam."</t>
  </si>
  <si>
    <t>Accounting</t>
  </si>
  <si>
    <t>GPT-3.5 would pass the US CPA exam.</t>
  </si>
  <si>
    <t>57.6%</t>
  </si>
  <si>
    <t>"the model answers 57.6% of questions correctly"</t>
  </si>
  <si>
    <t>GPT-3.5 would pass the bar in the US.</t>
  </si>
  <si>
    <t>50.3%</t>
  </si>
  <si>
    <t>"GPT-3.5 achieves a headline correct rate of 50.3% on a complete NCBE MBE practice exam"</t>
  </si>
  <si>
    <t>ChatGPT would pass the United States Medical Licensing Exam (USMLE).</t>
  </si>
  <si>
    <t>&gt;60%</t>
  </si>
  <si>
    <t>"ChatGPT performed at &gt;50% accuracy across all examinations, exceeding 60% in most analyses. The USMLE pass threshold, while varying by year, is approximately 60%. Therefore, ChatGPT is now comfortably within the passing range."</t>
  </si>
  <si>
    <t>IQ (fluid/aptitude)</t>
  </si>
  <si>
    <t>ChatGPT outperforms college students on the Raven's Progressive Matrices aptitude test.</t>
  </si>
  <si>
    <t>&gt;98%</t>
  </si>
  <si>
    <r>
      <rPr>
        <rFont val="Calibri"/>
        <color rgb="FF073763"/>
        <sz val="14.0"/>
      </rPr>
      <t xml:space="preserve">More info at: </t>
    </r>
    <r>
      <rPr>
        <rFont val="Calibri"/>
        <color rgb="FF073763"/>
        <sz val="14.0"/>
        <u/>
      </rPr>
      <t>https://lifearchitect.ai/ravens/</t>
    </r>
  </si>
  <si>
    <t>AWS certificate</t>
  </si>
  <si>
    <t>ChatGPT would pass the AWS Certified Cloud Practitioner exam.</t>
  </si>
  <si>
    <t>80%</t>
  </si>
  <si>
    <t>"Final score: 800/1000; a pass is 720"</t>
  </si>
  <si>
    <t>IQ (verbal only)</t>
  </si>
  <si>
    <t>ChatGPT scores IQ=147, 99.9th %ile.</t>
  </si>
  <si>
    <t>&gt;99.9%</t>
  </si>
  <si>
    <t>"Psychology Today Verbal-Linguistic Intelligence IQ Test, it gets a score of 147!"</t>
  </si>
  <si>
    <t>SAT exam</t>
  </si>
  <si>
    <t>ChatGPT scores 1020/1600 on SAT exam.</t>
  </si>
  <si>
    <t>52%</t>
  </si>
  <si>
    <t>"According to collegeboard, a 1020/1600 score is ~52nd percentile."</t>
  </si>
  <si>
    <t>General knowledge</t>
  </si>
  <si>
    <r>
      <rPr>
        <rFont val="Calibri"/>
        <b/>
        <color rgb="FF073763"/>
        <sz val="14.0"/>
      </rPr>
      <t xml:space="preserve">GPT-3 would beat IBM Watson on </t>
    </r>
    <r>
      <rPr>
        <rFont val="Calibri"/>
        <b/>
        <i/>
        <color rgb="FF073763"/>
        <sz val="14.0"/>
      </rPr>
      <t xml:space="preserve">Jeopardy! </t>
    </r>
    <r>
      <rPr>
        <rFont val="Calibri"/>
        <b/>
        <color rgb="FF073763"/>
        <sz val="14.0"/>
      </rPr>
      <t>questions.</t>
    </r>
  </si>
  <si>
    <t>100%</t>
  </si>
  <si>
    <t>davinci</t>
  </si>
  <si>
    <t>Watson scored 88%, GPT-3 scored 100%.</t>
  </si>
  <si>
    <t>IQ (Binet-Simon Scale, verbal only)</t>
  </si>
  <si>
    <t>GPT-3 scores in 99.9th %ile (estimate only).</t>
  </si>
  <si>
    <t>99.9%</t>
  </si>
  <si>
    <t>"As of 2021, I expect that it would not be simple to assess the intelligence of an AI using current IQ instrument design... some subtests where the AI would be easily in the top 0.01% of the world population (processing speed, memory), while other subtests may be far lower."</t>
  </si>
  <si>
    <t>GPT-3 outperforms average humans on trivia.</t>
  </si>
  <si>
    <t>73%</t>
  </si>
  <si>
    <t>"GPT-3 got 73% of 156 trivia questions correct. This compares favorably to the 52% user average."</t>
  </si>
  <si>
    <t>GPT-3 would pass the SAT Analogies subsection.</t>
  </si>
  <si>
    <t>65.2%</t>
  </si>
  <si>
    <t>"GPT-3 achieves 65.2% in the few-shot setting... average score among college applicants was 57% (random guessing yields 20%)."</t>
  </si>
  <si>
    <t xml:space="preserve">See more benchmarks for large language models 2020-2025: </t>
  </si>
  <si>
    <t xml:space="preserve">https://lifearchitect.ai/iq-testing-ai/ </t>
  </si>
  <si>
    <t>This sheet is owned and maintained by Dr Alan D. Thompson at LifeArchitect.ai. It should be up-to-date, but please see tab date and sheet header.</t>
  </si>
  <si>
    <t>Training end</t>
  </si>
  <si>
    <t>Chip type</t>
  </si>
  <si>
    <t>TFLOP/s (max)</t>
  </si>
  <si>
    <t>Chip count</t>
  </si>
  <si>
    <t>Wall clock time (days)</t>
  </si>
  <si>
    <t>Total time (hours)</t>
  </si>
  <si>
    <t>Total time (years)</t>
  </si>
  <si>
    <t>Retail cost ($US)</t>
  </si>
  <si>
    <t>MMLU ▼</t>
  </si>
  <si>
    <t>Check (calculated column)</t>
  </si>
  <si>
    <t>V100</t>
  </si>
  <si>
    <t>$9M</t>
  </si>
  <si>
    <t>Llama 1</t>
  </si>
  <si>
    <t>A100</t>
  </si>
  <si>
    <t>$4M</t>
  </si>
  <si>
    <t>$7M</t>
  </si>
  <si>
    <t>$45M</t>
  </si>
  <si>
    <t>$224M</t>
  </si>
  <si>
    <t>Gemini</t>
  </si>
  <si>
    <t>TPUv4</t>
  </si>
  <si>
    <t>$440M</t>
  </si>
  <si>
    <t>H100</t>
  </si>
  <si>
    <t>11 days</t>
  </si>
  <si>
    <t>Llama 3 405B</t>
  </si>
  <si>
    <t>$125M</t>
  </si>
  <si>
    <t>$612M</t>
  </si>
  <si>
    <t>Olympus</t>
  </si>
  <si>
    <t>Grok 2</t>
  </si>
  <si>
    <t>$245M</t>
  </si>
  <si>
    <t>Gemini 2</t>
  </si>
  <si>
    <t>TPUv6</t>
  </si>
  <si>
    <t>Grok 3</t>
  </si>
  <si>
    <t>$1.2B</t>
  </si>
  <si>
    <t>Source type (primary, analysis, informed estimate)</t>
  </si>
  <si>
    <t>Link</t>
  </si>
  <si>
    <t>Quote</t>
  </si>
  <si>
    <t>Pricing date</t>
  </si>
  <si>
    <t>$ per chip-hour</t>
  </si>
  <si>
    <t>Source</t>
  </si>
  <si>
    <t>1M hours</t>
  </si>
  <si>
    <t>Primary</t>
  </si>
  <si>
    <t>“All models were trained on V100 GPU’s on part of a high-bandwidth cluster provided by Microsoft.”</t>
  </si>
  <si>
    <t>https://web.archive.org/web/20200611063415/https://lambdalabs.com/service/gpu-cloud</t>
  </si>
  <si>
    <t>Big pricing disparity between lambda and GCP</t>
  </si>
  <si>
    <t>Analysis</t>
  </si>
  <si>
    <t>https://arxiv.org/pdf/2204.05149.pdf</t>
  </si>
  <si>
    <t>Note: this is a nearly-primary source by authors including Google's Dr Jeff Dean. “GPT-3 was trained on 10,000 V100 GPUs... GPT-3 took 405 V100 years to train in 2020.”</t>
  </si>
  <si>
    <t>https://www.top500.org/news/google-expands-its-gpu-cloud-options/</t>
  </si>
  <si>
    <t>Using this number for GPT-3 in final table</t>
  </si>
  <si>
    <r>
      <rPr>
        <rFont val="Proxima Nova"/>
        <sz val="11.0"/>
      </rPr>
      <t xml:space="preserve">https://www.semianalysis.com/p/google-gemini-eats-the-world-gemini cited in </t>
    </r>
    <r>
      <rPr>
        <rFont val="Proxima Nova"/>
        <color rgb="FF1155CC"/>
        <sz val="11.0"/>
        <u/>
      </rPr>
      <t>https://www.lesswrong.com/posts/tJAD2LG9uweeEfjwq/estimating-efficiency-improvements-in-llm-pre-training</t>
    </r>
  </si>
  <si>
    <t>“According to SemiAnalysis, GPT-4 was trained on 25,000 A100’s for roughly 95 days”</t>
  </si>
  <si>
    <t>https://gpus.llm-utils.org/a100-gpu-cloud-availability-and-pricing/</t>
  </si>
  <si>
    <t>https://arxiv.org/abs/2302.13971</t>
  </si>
  <si>
    <t>“When training a 65B-parameter model, our code processes around 380 tokens/sec/GPU on 2048 A100 GPU with 80GB of RAM. This means that training over our dataset containing 1.4T tokens takes approximately 21 days.”</t>
  </si>
  <si>
    <t>https://web.archive.org/web/20240108002155/https://coreweave.com/gpu-cloud-pricing</t>
  </si>
  <si>
    <t>Todo:</t>
  </si>
  <si>
    <t>https://github.com/facebookresearch/llama/blob/main/MODEL_CARD.md</t>
  </si>
  <si>
    <t>“Llama 2 70B: Time (GPU Hours) = 1720320”</t>
  </si>
  <si>
    <t>https://web.archive.org/web/20240105115832/https://cloud.google.com/tpu/pricing</t>
  </si>
  <si>
    <t>https://www.reddit.com/r/LocalLLaMA/comments/1hn8ams/deepseek_v3_was_trained_on_811x_less_the_normal/</t>
  </si>
  <si>
    <t>Estimate only</t>
  </si>
  <si>
    <t>2,048 chips is an assumption based on Llama 1. Could/should be 2x-20x.</t>
  </si>
  <si>
    <t>TPUv5e</t>
  </si>
  <si>
    <t>https://importai.substack.com/p/import-ai-365-wmd-benchmark-amazon</t>
  </si>
  <si>
    <t>"200B dense model on 4T tokens of data across 13,760 NVIDIA A100 chips (using 1,720 P4d nodes). It took 48 days to train. "</t>
  </si>
  <si>
    <t>TPUv5p</t>
  </si>
  <si>
    <t>https://aws.amazon.com/blogs/aws/build-rag-and-agent-based-generative-ai-applications-with-new-amazon-titan-text-premier-model-available-in-amazon-bedrock/</t>
  </si>
  <si>
    <t>"MMLU=70.4"</t>
  </si>
  <si>
    <t>TPUv6 (Trillium)</t>
  </si>
  <si>
    <t>https://arxiv.org/abs/2312.11805</t>
  </si>
  <si>
    <t>“Training Gemini Ultra used a large fleet of TPUv4 accelerators across multiple datacenters.”</t>
  </si>
  <si>
    <r>
      <rPr>
        <rFont val="Proxima Nova"/>
        <sz val="11.0"/>
      </rPr>
      <t xml:space="preserve">https://www.semianalysis.com/p/google-gemini-eats-the-world-gemini cited in </t>
    </r>
    <r>
      <rPr>
        <rFont val="Proxima Nova"/>
        <color rgb="FF1155CC"/>
        <sz val="11.0"/>
        <u/>
      </rPr>
      <t>https://www.lesswrong.com/posts/tJAD2LG9uweeEfjwq/estimating-efficiency-improvements-in-llm-pre-training</t>
    </r>
  </si>
  <si>
    <t>“The TPUv4 has a maximum performance of 275 TFLOP/s in bf16.”</t>
  </si>
  <si>
    <r>
      <rPr>
        <rFont val="Proxima Nova"/>
        <sz val="11.0"/>
      </rPr>
      <t xml:space="preserve">https://www.semianalysis.com/p/google-gemini-eats-the-world-gemini cited in </t>
    </r>
    <r>
      <rPr>
        <rFont val="Proxima Nova"/>
        <color rgb="FF1155CC"/>
        <sz val="11.0"/>
        <u/>
      </rPr>
      <t>https://www.lesswrong.com/posts/tJAD2LG9uweeEfjwq/estimating-efficiency-improvements-in-llm-pre-training</t>
    </r>
  </si>
  <si>
    <t>“According to SemiAnalysis... Gemini Ultra was trained on roughly 57.000 TPUv4’s for 100 days.”</t>
  </si>
  <si>
    <t>This sheet is owned and maintained by Dr Alan D. Thompson at LifeArchitect.ai.</t>
  </si>
  <si>
    <t>https://lifearchitect.ai/gpt-5/</t>
  </si>
  <si>
    <t>Alan's estimate based on comparison and extrapolating from Morgan Stanley research note and other sources. May be 2x-5x.</t>
  </si>
  <si>
    <t>Llama 3</t>
  </si>
  <si>
    <t>https://blogs.nvidia.com/blog/meta-llama3-inference-acceleration/#:~:text=Meta%20engineers%20trained%20Llama%203,NVIDIA%20Quantum%2D2%20InfiniBand%20networks.</t>
  </si>
  <si>
    <t>"Meta engineers trained Llama 3 on computer clusters packing 24,576 NVIDIA H100 Tensor Core GPUs"</t>
  </si>
  <si>
    <t>https://github.com/meta-llama/llama3/blob/main/MODEL_CARD.md</t>
  </si>
  <si>
    <t>"Llama 3 70B	6.4M [GPU hours]" extrap to 405B params</t>
  </si>
  <si>
    <t>https://www.datacenterdynamics.com/en/news/elon-musk-xais-grok-2-requires-20000-nvidia-h100-gpus-grok-3-may-need-100000/</t>
  </si>
  <si>
    <t>"In an interview with Norway wealth fund CEO Nicolai Tangen on Twitter/X spaces... Musk said training the Grok 2 model takes about 20,000 Nvidia H100 GPUs... training the Grok 3 model and beyond will require 100,000 Nvidia H100s."</t>
  </si>
  <si>
    <t>Other</t>
  </si>
  <si>
    <t>1. Training end: Most training end dates assume 1 month before release for easy figures.</t>
  </si>
  <si>
    <t>2. Total time (hours): column hidden in final report.</t>
  </si>
  <si>
    <t>3. US$ estimate: Cost estimates using GCP in 2023: A100 @$3.93/hr, TPUv4 @$3.22/hr, H100 @$4.25/hr.</t>
  </si>
  <si>
    <t>This sheet is no longer maintained; humanoids are not really my analysis focus. Last update Oct/2024</t>
  </si>
  <si>
    <t>Robot</t>
  </si>
  <si>
    <t>Country</t>
  </si>
  <si>
    <t>Release</t>
  </si>
  <si>
    <t>Height (cm)</t>
  </si>
  <si>
    <t>Weight (kg)</t>
  </si>
  <si>
    <t>Walk (km/h)</t>
  </si>
  <si>
    <t>Run (km/h)</t>
  </si>
  <si>
    <t>Payload/carry (kg)</t>
  </si>
  <si>
    <t>Power (hours)</t>
  </si>
  <si>
    <t>Video</t>
  </si>
  <si>
    <t>Clothed?</t>
  </si>
  <si>
    <t>US$ ('000)</t>
  </si>
  <si>
    <t>https://www.reddit.com/r/singularity/comments/1g4hqm7/chinese_robotics_company_robot_era_put_two_star1/</t>
  </si>
  <si>
    <t>1X</t>
  </si>
  <si>
    <t>NEO</t>
  </si>
  <si>
    <t>Norway</t>
  </si>
  <si>
    <t>https://www.1x.tech/neo</t>
  </si>
  <si>
    <t>https://youtu.be/bUrLuUxv9gE</t>
  </si>
  <si>
    <t>Due Dec/2023</t>
  </si>
  <si>
    <t>01</t>
  </si>
  <si>
    <t>USA</t>
  </si>
  <si>
    <t>https://www.figure.ai/</t>
  </si>
  <si>
    <t>https://youtu.be/9sHUggKsWTk</t>
  </si>
  <si>
    <t>02</t>
  </si>
  <si>
    <t>https://youtu.be/0SRVJaOg9Co</t>
  </si>
  <si>
    <t>Launched 7/Aug/2024</t>
  </si>
  <si>
    <t>Fourier</t>
  </si>
  <si>
    <t>GR-1</t>
  </si>
  <si>
    <t>https://robots.fourierintelligence.com/</t>
  </si>
  <si>
    <t>https://youtu.be/SHPxcRBlXN0</t>
  </si>
  <si>
    <t>100x units due 2023</t>
  </si>
  <si>
    <t>Tesla</t>
  </si>
  <si>
    <t>Optimus Gen 1</t>
  </si>
  <si>
    <t>https://archive.md/QNvx9</t>
  </si>
  <si>
    <t>https://youtu.be/XiQkeWOFwmk</t>
  </si>
  <si>
    <t>Lift 68kg</t>
  </si>
  <si>
    <t>Optimus Gen 2</t>
  </si>
  <si>
    <t>https://archive.md/mEWsJ</t>
  </si>
  <si>
    <t>https://www.youtube.com/watch?v=fPeGPf7jvEQ</t>
  </si>
  <si>
    <t>Boston Dynamics</t>
  </si>
  <si>
    <t>https://www.bostondynamics.com/atlas</t>
  </si>
  <si>
    <t>https://youtu.be/-e1_QhJ1EhQ</t>
  </si>
  <si>
    <t>Sanctuary AI</t>
  </si>
  <si>
    <t>Phoenix</t>
  </si>
  <si>
    <t>Canada</t>
  </si>
  <si>
    <t>https://sanctuary.ai/resources/news/sanctuary-ai-unveils-phoenix-a-humanoid-general-purpose-robot-designed-for-work/</t>
  </si>
  <si>
    <t>https://youtu.be/k2GhgO7SnZQ</t>
  </si>
  <si>
    <t>Agility</t>
  </si>
  <si>
    <t>Digit</t>
  </si>
  <si>
    <t>https://agilityrobotics.com/robots</t>
  </si>
  <si>
    <t>https://youtu.be/rnFZAB9ogEE</t>
  </si>
  <si>
    <t>Unitree</t>
  </si>
  <si>
    <t>H1</t>
  </si>
  <si>
    <t>China</t>
  </si>
  <si>
    <t>https://www.unitree.com/en/h1/</t>
  </si>
  <si>
    <t>https://youtu.be/GtPs_ygfaEA</t>
  </si>
  <si>
    <t>Apptronik</t>
  </si>
  <si>
    <t>https://apptronik.com/product-page</t>
  </si>
  <si>
    <t>https://youtu.be/pymvNott6nw</t>
  </si>
  <si>
    <t>Released</t>
  </si>
  <si>
    <t>Kepler</t>
  </si>
  <si>
    <t>Forerunner</t>
  </si>
  <si>
    <t>https://www.gotokepler.com/home</t>
  </si>
  <si>
    <t>https://youtu.be/A5vshTgDbKE</t>
  </si>
  <si>
    <t>LimX</t>
  </si>
  <si>
    <t>CL-1</t>
  </si>
  <si>
    <t>https://www.limxdynamics.com/en</t>
  </si>
  <si>
    <t>https://youtu.be/sihIDeJ4Hmk</t>
  </si>
  <si>
    <t>Mentee Robotics</t>
  </si>
  <si>
    <t>MenteeBot</t>
  </si>
  <si>
    <t>Israel</t>
  </si>
  <si>
    <t>https://www.menteebot.com/bot/</t>
  </si>
  <si>
    <t>https://youtu.be/Z3T9S1Arbdk</t>
  </si>
  <si>
    <t>Humanoid Robots (Shanghai) Limited</t>
  </si>
  <si>
    <t>Qinglong</t>
  </si>
  <si>
    <t>https://technode.com/2024/07/05/qinglong-chinas-first-full-sized-general-purpose-humanoid-robot-unveiled-at-world-artificial-intelligence-conference-2024/</t>
  </si>
  <si>
    <t>https://youtu.be/ilwG5zkNOz8</t>
  </si>
  <si>
    <t>Astribot S1</t>
  </si>
  <si>
    <t>Astribot</t>
  </si>
  <si>
    <t>https://astribot.com/</t>
  </si>
  <si>
    <t>https://youtu.be/6X-s4Qsn1z4</t>
  </si>
  <si>
    <t>D7</t>
  </si>
  <si>
    <t>PUDU</t>
  </si>
  <si>
    <t>https://www.pudurobotics.com/it/news/917</t>
  </si>
  <si>
    <t>https://youtu.be/CbA9wA9etGA</t>
  </si>
  <si>
    <t>full commercialization anticipated in 2025'</t>
  </si>
  <si>
    <t>This sheet was owned and maintained by (but no longer a focus of) Dr Alan D. Thompson at LifeArchitect.ai. Alternative sheets are probably more up-to-date:</t>
  </si>
  <si>
    <t>Alternative data:</t>
  </si>
  <si>
    <t>Cern Basher &amp; Scott Walter (no metrics, Apr/2024):</t>
  </si>
  <si>
    <t>https://twitter.com/CernBasher/status/1780700653335335137</t>
  </si>
  <si>
    <t>Robots Guide (old, but bigger list, still missing bots):</t>
  </si>
  <si>
    <t>https://robotsguide.com/robots?category=humanoids</t>
  </si>
  <si>
    <t>NVIDIA (limited view, Mar/2024):</t>
  </si>
  <si>
    <t>https://twitter.com/leeron/status/1770047411827933455</t>
  </si>
  <si>
    <t>https://lifearchitect.ai/humanoids/</t>
  </si>
  <si>
    <t>Alternative viz by Harrison Schell from madevisual.co</t>
  </si>
  <si>
    <t>Auxiliary sheets</t>
  </si>
  <si>
    <t>Video playlist</t>
  </si>
  <si>
    <t xml:space="preserve">https://docs.google.com/spreadsheets/d/18WTt3bmLAad5rJZi6eRtDhj4vehK7-u4xTpkho4X-4U/edit#gid=1023028020 </t>
  </si>
  <si>
    <t>Contents of GPT-3/Pile/Megatron/CC</t>
  </si>
  <si>
    <t>https://docs.google.com/spreadsheets/d/18WTt3bmLAad5rJZi6eRtDhj4vehK7-u4xTpkho4X-4U/edit#gid=0</t>
  </si>
  <si>
    <t>Contents of Chinese models</t>
  </si>
  <si>
    <t>https://docs.google.com/spreadsheets/d/18WTt3bmLAad5rJZi6eRtDhj4vehK7-u4xTpkho4X-4U/edit#gid=995838717</t>
  </si>
  <si>
    <t>Leta template</t>
  </si>
  <si>
    <t>https://docs.google.com/spreadsheets/d/18WTt3bmLAad5rJZi6eRtDhj4vehK7-u4xTpkho4X-4U/edit#gid=272212998</t>
  </si>
  <si>
    <t>IQ testing AI Q32022</t>
  </si>
  <si>
    <t>https://docs.google.com/spreadsheets/d/18WTt3bmLAad5rJZi6eRtDhj4vehK7-u4xTpkho4X-4U/edit#gid=741722385</t>
  </si>
  <si>
    <t>IQ testing AI Q12022</t>
  </si>
  <si>
    <t>https://docs.google.com/spreadsheets/d/18WTt3bmLAad5rJZi6eRtDhj4vehK7-u4xTpkho4X-4U/edit#gid=57569659</t>
  </si>
  <si>
    <t>GPT2/3/J questions</t>
  </si>
  <si>
    <t>https://docs.google.com/spreadsheets/d/18WTt3bmLAad5rJZi6eRtDhj4vehK7-u4xTpkho4X-4U/edit#gid=1115077966</t>
  </si>
  <si>
    <t>BMI</t>
  </si>
  <si>
    <t>https://docs.google.com/spreadsheets/d/18WTt3bmLAad5rJZi6eRtDhj4vehK7-u4xTpkho4X-4U/edit#gid=958745455</t>
  </si>
  <si>
    <t>Watson vs GPT-3</t>
  </si>
  <si>
    <t>https://docs.google.com/spreadsheets/d/18WTt3bmLAad5rJZi6eRtDhj4vehK7-u4xTpkho4X-4U/edit#gid=1989481885</t>
  </si>
  <si>
    <t>Leta-prompt-explain</t>
  </si>
  <si>
    <t>https://docs.google.com/spreadsheets/d/18WTt3bmLAad5rJZi6eRtDhj4vehK7-u4xTpkho4X-4U/edit#gid=1289129393</t>
  </si>
  <si>
    <t>WebGPT sample questions</t>
  </si>
  <si>
    <t>https://docs.google.com/spreadsheets/d/18WTt3bmLAad5rJZi6eRtDhj4vehK7-u4xTpkho4X-4U/edit#gid=467273092</t>
  </si>
  <si>
    <t>BMI vs BCI</t>
  </si>
  <si>
    <t>https://docs.google.com/spreadsheets/d/18WTt3bmLAad5rJZi6eRtDhj4vehK7-u4xTpkho4X-4U/edit#gid=1549223773</t>
  </si>
  <si>
    <t>PaLM Explaining jokes</t>
  </si>
  <si>
    <t>https://docs.google.com/spreadsheets/d/18WTt3bmLAad5rJZi6eRtDhj4vehK7-u4xTpkho4X-4U/edit#gid=923122602</t>
  </si>
  <si>
    <t>LLM languages</t>
  </si>
  <si>
    <t>https://docs.google.com/spreadsheets/d/18WTt3bmLAad5rJZi6eRtDhj4vehK7-u4xTpkho4X-4U/edit#gid=138672226</t>
  </si>
  <si>
    <t>Model sizes</t>
  </si>
  <si>
    <t>https://docs.google.com/spreadsheets/d/18WTt3bmLAad5rJZi6eRtDhj4vehK7-u4xTpkho4X-4U/edit#gid=373202700</t>
  </si>
  <si>
    <t>ChatGPT v Bard NPR</t>
  </si>
  <si>
    <t>https://docs.google.com/spreadsheets/d/18WTt3bmLAad5rJZi6eRtDhj4vehK7-u4xTpkho4X-4U/edit#gid=1298952257</t>
  </si>
  <si>
    <t>Context windows 2023</t>
  </si>
  <si>
    <t>https://docs.google.com/spreadsheets/d/18WTt3bmLAad5rJZi6eRtDhj4vehK7-u4xTpkho4X-4U/edit#gid=8769</t>
  </si>
  <si>
    <t>GPT-4 Enterprise Customers</t>
  </si>
  <si>
    <t>https://docs.google.com/spreadsheets/d/18WTt3bmLAad5rJZi6eRtDhj4vehK7-u4xTpkho4X-4U/edit#gid=1455583713</t>
  </si>
  <si>
    <t>Chinese LLMs (2023)</t>
  </si>
  <si>
    <t>https://docs.google.com/spreadsheets/d/18WTt3bmLAad5rJZi6eRtDhj4vehK7-u4xTpkho4X-4U/edit?gid=829046037#gid=829046037</t>
  </si>
  <si>
    <t>AI labs</t>
  </si>
  <si>
    <t>https://docs.google.com/spreadsheets/d/18WTt3bmLAad5rJZi6eRtDhj4vehK7-u4xTpkho4X-4U/edit?gid=1959437915#gid=1959437915</t>
  </si>
  <si>
    <t>OpenAI GPT Families 2018–2026 (complete, poster)</t>
  </si>
  <si>
    <t>https://docs.google.com/spreadsheets/d/18WTt3bmLAad5rJZi6eRtDhj4vehK7-u4xTpkho4X-4U/edit?gid=1643756094#gid=1643756094</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</si>
</sst>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0.0"/>
    <numFmt numFmtId="165" formatCode="#,##:1"/>
    <numFmt numFmtId="166" formatCode="mmm&quot; &quot;yyyy"/>
    <numFmt numFmtId="167" formatCode="mmm/yyyy"/>
    <numFmt numFmtId="168" formatCode="d/mmm/yyyy"/>
    <numFmt numFmtId="169" formatCode="d/mmmm/yyyy"/>
    <numFmt numFmtId="170" formatCode="&quot;$&quot;#,##0"/>
    <numFmt numFmtId="171" formatCode="#,##0 &quot;days&quot;"/>
    <numFmt numFmtId="172" formatCode="#,##0 &quot;years&quot;"/>
    <numFmt numFmtId="173" formatCode="&quot;$&quot;#,##0.00"/>
    <numFmt numFmtId="174" formatCode="m-d"/>
  </numFmts>
  <fonts count="315">
    <font>
      <sz val="10.0"/>
      <color rgb="FF000000"/>
      <name val="Arial"/>
      <scheme val="minor"/>
    </font>
    <font>
      <sz val="14.0"/>
      <color rgb="FFB7B7B7"/>
      <name val="Calibri"/>
    </font>
    <font>
      <u/>
      <sz val="14.0"/>
      <color rgb="FFB7B7B7"/>
      <name val="Calibri"/>
    </font>
    <font>
      <b/>
      <sz val="10.0"/>
      <color rgb="FFB7B7B7"/>
      <name val="Calibri"/>
    </font>
    <font>
      <u/>
      <sz val="14.0"/>
      <color rgb="FFB7B7B7"/>
      <name val="Calibri"/>
    </font>
    <font>
      <b/>
      <sz val="14.0"/>
      <color rgb="FF000000"/>
      <name val="Calibri"/>
    </font>
    <font>
      <sz val="14.0"/>
      <color rgb="FF000000"/>
      <name val="Calibri"/>
    </font>
    <font>
      <u/>
      <sz val="14.0"/>
      <color rgb="FFB7B7B7"/>
      <name val="Calibri"/>
    </font>
    <font>
      <b/>
      <sz val="14.0"/>
      <color rgb="FFB7B7B7"/>
      <name val="Calibri"/>
    </font>
    <font>
      <b/>
      <sz val="14.0"/>
      <color theme="1"/>
      <name val="Calibri"/>
    </font>
    <font>
      <b/>
      <sz val="10.0"/>
      <color rgb="FF000000"/>
      <name val="Calibri"/>
    </font>
    <font>
      <i/>
      <sz val="14.0"/>
      <color rgb="FF073763"/>
      <name val="Calibri"/>
    </font>
    <font>
      <sz val="14.0"/>
      <color rgb="FF073763"/>
      <name val="Calibri"/>
    </font>
    <font>
      <u/>
      <sz val="10.0"/>
      <color rgb="FF0000FF"/>
      <name val="Calibri"/>
    </font>
    <font>
      <i/>
      <sz val="14.0"/>
      <color theme="1"/>
      <name val="Calibri"/>
    </font>
    <font>
      <sz val="14.0"/>
      <color theme="1"/>
      <name val="Calibri"/>
    </font>
    <font>
      <u/>
      <sz val="14.0"/>
      <color rgb="FF000000"/>
      <name val="Calibri"/>
    </font>
    <font>
      <sz val="8.0"/>
      <color rgb="FF34A853"/>
      <name val="Calibri"/>
    </font>
    <font>
      <sz val="14.0"/>
      <color rgb="FFEA4335"/>
      <name val="Calibri"/>
    </font>
    <font>
      <color theme="1"/>
      <name val="Calibri"/>
    </font>
    <font>
      <u/>
      <sz val="14.0"/>
      <color rgb="FF073763"/>
      <name val="Calibri"/>
    </font>
    <font>
      <u/>
      <sz val="8.0"/>
      <color rgb="FF073763"/>
      <name val="Calibri"/>
    </font>
    <font>
      <i/>
      <sz val="8.0"/>
      <color theme="1"/>
      <name val="Calibri"/>
    </font>
    <font>
      <sz val="14.0"/>
      <color rgb="FFFFFFFF"/>
      <name val="Calibri"/>
    </font>
    <font>
      <u/>
      <sz val="10.0"/>
      <color rgb="FF073763"/>
      <name val="Calibri"/>
    </font>
    <font>
      <i/>
      <sz val="14.0"/>
      <color rgb="FF000000"/>
      <name val="Calibri"/>
    </font>
    <font>
      <i/>
      <u/>
      <sz val="14.0"/>
      <color rgb="FF0000FF"/>
      <name val="Calibri"/>
    </font>
    <font>
      <b/>
      <sz val="14.0"/>
      <color rgb="FFFFFFFF"/>
      <name val="Calibri"/>
    </font>
    <font>
      <color rgb="FF000000"/>
      <name val="Arial"/>
    </font>
    <font>
      <u/>
      <color rgb="FF1155CC"/>
      <name val="Calibri"/>
    </font>
    <font>
      <sz val="8.0"/>
      <color rgb="FF073763"/>
      <name val="Calibri"/>
    </font>
    <font>
      <sz val="10.0"/>
      <color theme="1"/>
      <name val="Calibri"/>
    </font>
    <font>
      <i/>
      <sz val="10.0"/>
      <color theme="1"/>
      <name val="Calibri"/>
    </font>
    <font>
      <u/>
      <color rgb="FF073763"/>
      <name val="Calibri"/>
    </font>
    <font>
      <color theme="1"/>
      <name val="Arial"/>
    </font>
    <font>
      <u/>
      <color rgb="FF1155CC"/>
      <name val="Calibri"/>
    </font>
    <font>
      <sz val="8.0"/>
      <color rgb="FF000000"/>
      <name val="Calibri"/>
    </font>
    <font>
      <u/>
      <sz val="10.0"/>
      <color rgb="FF0000FF"/>
      <name val="Calibri"/>
    </font>
    <font>
      <sz val="8.0"/>
      <color rgb="FF9900FF"/>
      <name val="Calibri"/>
    </font>
    <font>
      <u/>
      <color rgb="FF1155CC"/>
      <name val="Calibri"/>
    </font>
    <font>
      <u/>
      <color rgb="FF1155CC"/>
      <name val="Calibri"/>
    </font>
    <font>
      <u/>
      <color rgb="FF0000FF"/>
      <name val="Calibri"/>
    </font>
    <font>
      <u/>
      <sz val="14.0"/>
      <color rgb="FF073763"/>
      <name val="Calibri"/>
    </font>
    <font>
      <u/>
      <sz val="10.0"/>
      <color rgb="FF0000FF"/>
      <name val="Calibri"/>
    </font>
    <font>
      <u/>
      <sz val="14.0"/>
      <color rgb="FF073763"/>
      <name val="Calibri"/>
    </font>
    <font>
      <u/>
      <color rgb="FF0000FF"/>
      <name val="Calibri"/>
    </font>
    <font>
      <sz val="8.0"/>
      <color theme="1"/>
      <name val="Calibri"/>
    </font>
    <font>
      <u/>
      <sz val="10.0"/>
      <color rgb="FF0000FF"/>
      <name val="Calibri"/>
    </font>
    <font>
      <u/>
      <color rgb="FF0000FF"/>
      <name val="Arial"/>
    </font>
    <font>
      <sz val="8.0"/>
      <color rgb="FF4285F4"/>
      <name val="Calibri"/>
    </font>
    <font>
      <u/>
      <color rgb="FF1155CC"/>
      <name val="Calibri"/>
    </font>
    <font>
      <u/>
      <color rgb="FF073763"/>
      <name val="Calibri"/>
    </font>
    <font>
      <u/>
      <color rgb="FF0000FF"/>
      <name val="Calibri"/>
    </font>
    <font>
      <u/>
      <sz val="10.0"/>
      <color rgb="FF073763"/>
      <name val="Calibri"/>
    </font>
    <font>
      <u/>
      <sz val="10.0"/>
      <color rgb="FF0000FF"/>
      <name val="Calibri"/>
    </font>
    <font>
      <u/>
      <color rgb="FF1155CC"/>
      <name val="Calibri"/>
    </font>
    <font>
      <u/>
      <sz val="14.0"/>
      <color rgb="FF1155CC"/>
      <name val="Calibri"/>
    </font>
    <font>
      <u/>
      <color rgb="FF1155CC"/>
      <name val="Calibri"/>
    </font>
    <font>
      <u/>
      <sz val="14.0"/>
      <color rgb="FF0000FF"/>
      <name val="Calibri"/>
    </font>
    <font>
      <u/>
      <sz val="10.0"/>
      <color rgb="FF073763"/>
      <name val="Calibri"/>
    </font>
    <font>
      <u/>
      <color rgb="FF0000FF"/>
      <name val="Calibri"/>
    </font>
    <font>
      <u/>
      <sz val="10.0"/>
      <color rgb="FF073763"/>
      <name val="Calibri"/>
    </font>
    <font>
      <u/>
      <color rgb="FF1155CC"/>
      <name val="Calibri"/>
    </font>
    <font>
      <u/>
      <sz val="14.0"/>
      <color rgb="FF0000FF"/>
      <name val="Calibri"/>
    </font>
    <font>
      <u/>
      <sz val="10.0"/>
      <color rgb="FF0000FF"/>
      <name val="Calibri"/>
    </font>
    <font>
      <u/>
      <color rgb="FF1155CC"/>
      <name val="Calibri"/>
    </font>
    <font>
      <u/>
      <sz val="10.0"/>
      <color rgb="FF073763"/>
      <name val="Calibri"/>
    </font>
    <font>
      <i/>
      <sz val="8.0"/>
      <color rgb="FF000000"/>
      <name val="Calibri"/>
    </font>
    <font>
      <u/>
      <sz val="14.0"/>
      <color rgb="FF000000"/>
      <name val="Calibri"/>
    </font>
    <font>
      <u/>
      <sz val="10.0"/>
      <color rgb="FF1155CC"/>
      <name val="Calibri"/>
    </font>
    <font>
      <u/>
      <color rgb="FF0000FF"/>
      <name val="Calibri"/>
    </font>
    <font>
      <u/>
      <color rgb="FF1155CC"/>
      <name val="Calibri"/>
    </font>
    <font>
      <u/>
      <color rgb="FF0000FF"/>
      <name val="Calibri"/>
    </font>
    <font>
      <u/>
      <sz val="14.0"/>
      <color rgb="FF0000FF"/>
      <name val="Calibri"/>
    </font>
    <font>
      <u/>
      <sz val="14.0"/>
      <color rgb="FF0000FF"/>
      <name val="Calibri"/>
    </font>
    <font>
      <u/>
      <color rgb="FF1155CC"/>
      <name val="Calibri"/>
    </font>
    <font>
      <u/>
      <sz val="10.0"/>
      <color rgb="FF0000FF"/>
      <name val="Calibri"/>
    </font>
    <font>
      <u/>
      <sz val="10.0"/>
      <color rgb="FF0000FF"/>
      <name val="Calibri"/>
    </font>
    <font>
      <u/>
      <color rgb="FF1155CC"/>
      <name val="Calibri"/>
    </font>
    <font>
      <u/>
      <sz val="14.0"/>
      <color rgb="FF073763"/>
      <name val="Calibri"/>
    </font>
    <font>
      <u/>
      <color rgb="FF1155CC"/>
      <name val="Calibri"/>
    </font>
    <font>
      <u/>
      <color rgb="FF1155CC"/>
      <name val="Calibri"/>
    </font>
    <font>
      <u/>
      <color rgb="FF1155CC"/>
      <name val="Calibri"/>
    </font>
    <font>
      <u/>
      <color rgb="FF1155CC"/>
      <name val="Calibri"/>
    </font>
    <font>
      <u/>
      <color rgb="FF1155CC"/>
      <name val="Calibri"/>
    </font>
    <font>
      <u/>
      <color rgb="FF0000FF"/>
      <name val="Arial"/>
    </font>
    <font>
      <u/>
      <sz val="14.0"/>
      <color rgb="FF0000FF"/>
      <name val="Calibri"/>
    </font>
    <font>
      <u/>
      <sz val="10.0"/>
      <color rgb="FF0000FF"/>
      <name val="Calibri"/>
    </font>
    <font>
      <u/>
      <color rgb="FF0000FF"/>
      <name val="Calibri"/>
    </font>
    <font>
      <u/>
      <sz val="14.0"/>
      <color rgb="FF0000FF"/>
      <name val="Calibri"/>
    </font>
    <font>
      <u/>
      <color rgb="FF1155CC"/>
      <name val="Calibri"/>
    </font>
    <font>
      <u/>
      <sz val="10.0"/>
      <color rgb="FF1155CC"/>
      <name val="Calibri"/>
    </font>
    <font>
      <u/>
      <sz val="14.0"/>
      <color rgb="FF073763"/>
      <name val="Calibri"/>
    </font>
    <font>
      <u/>
      <color rgb="FF0000FF"/>
      <name val="Calibri"/>
    </font>
    <font>
      <u/>
      <sz val="10.0"/>
      <color rgb="FF1155CC"/>
      <name val="Calibri"/>
    </font>
    <font>
      <u/>
      <color rgb="FF0000FF"/>
      <name val="Calibri"/>
    </font>
    <font>
      <u/>
      <sz val="10.0"/>
      <color rgb="FF1155CC"/>
      <name val="Calibri"/>
    </font>
    <font>
      <u/>
      <sz val="10.0"/>
      <color rgb="FF0000FF"/>
      <name val="Calibri"/>
    </font>
    <font>
      <u/>
      <sz val="14.0"/>
      <color rgb="FF073763"/>
      <name val="Calibri"/>
    </font>
    <font>
      <u/>
      <color rgb="FF1155CC"/>
      <name val="Calibri"/>
    </font>
    <font>
      <i/>
      <u/>
      <sz val="14.0"/>
      <color rgb="FF0000FF"/>
      <name val="Calibri"/>
    </font>
    <font>
      <i/>
      <u/>
      <sz val="14.0"/>
      <color rgb="FF0000FF"/>
      <name val="Calibri"/>
    </font>
    <font>
      <u/>
      <sz val="14.0"/>
      <color rgb="FF073763"/>
      <name val="Calibri"/>
    </font>
    <font>
      <u/>
      <color rgb="FF0000FF"/>
      <name val="Calibri"/>
    </font>
    <font>
      <u/>
      <color rgb="FF1155CC"/>
      <name val="Calibri"/>
    </font>
    <font>
      <u/>
      <sz val="14.0"/>
      <color rgb="FF0000FF"/>
      <name val="Calibri"/>
    </font>
    <font>
      <u/>
      <color rgb="FF0000FF"/>
      <name val="Calibri"/>
    </font>
    <font>
      <u/>
      <sz val="10.0"/>
      <color rgb="FF1155CC"/>
      <name val="Calibri"/>
    </font>
    <font>
      <u/>
      <sz val="14.0"/>
      <color rgb="FF073763"/>
      <name val="Calibri"/>
    </font>
    <font>
      <sz val="10.0"/>
      <color rgb="FF073763"/>
      <name val="Calibri"/>
    </font>
    <font>
      <u/>
      <sz val="14.0"/>
      <color rgb="FF0000FF"/>
      <name val="Calibri"/>
    </font>
    <font>
      <u/>
      <color rgb="FF073763"/>
      <name val="Calibri"/>
    </font>
    <font>
      <u/>
      <sz val="14.0"/>
      <color rgb="FF0000FF"/>
      <name val="Calibri"/>
    </font>
    <font>
      <i/>
      <sz val="10.0"/>
      <color rgb="FF073763"/>
      <name val="Calibri"/>
    </font>
    <font>
      <u/>
      <sz val="14.0"/>
      <color rgb="FF0000FF"/>
      <name val="Calibri"/>
    </font>
    <font>
      <u/>
      <sz val="10.0"/>
      <color rgb="FF1155CC"/>
      <name val="Calibri"/>
    </font>
    <font>
      <u/>
      <sz val="14.0"/>
      <color rgb="FF000000"/>
      <name val="Calibri"/>
    </font>
    <font>
      <i/>
      <u/>
      <sz val="14.0"/>
      <color rgb="FF000000"/>
      <name val="Calibri"/>
    </font>
    <font>
      <u/>
      <color rgb="FF0000FF"/>
      <name val="Arial"/>
    </font>
    <font>
      <u/>
      <sz val="14.0"/>
      <color rgb="FF073763"/>
      <name val="Calibri"/>
    </font>
    <font>
      <sz val="8.0"/>
      <color theme="4"/>
      <name val="Calibri"/>
    </font>
    <font>
      <u/>
      <color rgb="FF0000FF"/>
      <name val="Calibri"/>
    </font>
    <font>
      <u/>
      <sz val="10.0"/>
      <color rgb="FF1155CC"/>
      <name val="Calibri"/>
    </font>
    <font>
      <i/>
      <u/>
      <sz val="14.0"/>
      <color rgb="FF0000FF"/>
      <name val="Calibri"/>
    </font>
    <font>
      <u/>
      <sz val="10.0"/>
      <color rgb="FF0000FF"/>
      <name val="Calibri"/>
    </font>
    <font>
      <u/>
      <color rgb="FF1155CC"/>
      <name val="Calibri"/>
    </font>
    <font>
      <u/>
      <color rgb="FF0000FF"/>
      <name val="Calibri"/>
    </font>
    <font>
      <u/>
      <sz val="14.0"/>
      <color rgb="FF000000"/>
      <name val="Calibri"/>
    </font>
    <font>
      <i/>
      <u/>
      <sz val="14.0"/>
      <color rgb="FF000000"/>
      <name val="Calibri"/>
    </font>
    <font>
      <i/>
      <u/>
      <sz val="14.0"/>
      <color rgb="FF000000"/>
      <name val="Calibri"/>
    </font>
    <font>
      <i/>
      <u/>
      <sz val="14.0"/>
      <color rgb="FF000000"/>
      <name val="Calibri"/>
    </font>
    <font>
      <u/>
      <sz val="14.0"/>
      <color rgb="FF000000"/>
      <name val="Calibri"/>
    </font>
    <font>
      <u/>
      <color rgb="FF0000FF"/>
      <name val="Calibri"/>
    </font>
    <font>
      <u/>
      <sz val="14.0"/>
      <color rgb="FF0000FF"/>
      <name val="Calibri"/>
    </font>
    <font>
      <u/>
      <sz val="14.0"/>
      <color rgb="FF000000"/>
      <name val="Calibri"/>
    </font>
    <font>
      <u/>
      <color rgb="FF0000FF"/>
      <name val="Arial"/>
    </font>
    <font>
      <u/>
      <sz val="14.0"/>
      <color rgb="FF0000FF"/>
      <name val="Calibri"/>
    </font>
    <font>
      <u/>
      <sz val="14.0"/>
      <color rgb="FF000000"/>
      <name val="Calibri"/>
    </font>
    <font>
      <u/>
      <sz val="14.0"/>
      <color rgb="FF073763"/>
      <name val="Calibri"/>
    </font>
    <font>
      <color rgb="FF000000"/>
      <name val="Arial"/>
      <scheme val="minor"/>
    </font>
    <font>
      <u/>
      <color rgb="FF1155CC"/>
      <name val="Calibri"/>
    </font>
    <font>
      <u/>
      <color rgb="FF1155CC"/>
      <name val="Calibri"/>
    </font>
    <font>
      <u/>
      <color rgb="FF0000FF"/>
      <name val="Calibri"/>
    </font>
    <font>
      <u/>
      <sz val="10.0"/>
      <color rgb="FF073763"/>
      <name val="Calibri"/>
    </font>
    <font>
      <u/>
      <color rgb="FF1155CC"/>
      <name val="Arial"/>
    </font>
    <font>
      <u/>
      <sz val="10.0"/>
      <color rgb="FF1155CC"/>
      <name val="Calibri"/>
    </font>
    <font>
      <i/>
      <u/>
      <sz val="14.0"/>
      <color rgb="FF000000"/>
      <name val="Calibri"/>
    </font>
    <font>
      <u/>
      <color rgb="FF1155CC"/>
      <name val="Calibri"/>
    </font>
    <font>
      <u/>
      <sz val="10.0"/>
      <color rgb="FF0000FF"/>
      <name val="Calibri"/>
    </font>
    <font>
      <u/>
      <sz val="10.0"/>
      <color rgb="FF0000FF"/>
      <name val="Calibri"/>
    </font>
    <font>
      <u/>
      <sz val="10.0"/>
      <color rgb="FF0000FF"/>
      <name val="Calibri"/>
    </font>
    <font>
      <u/>
      <sz val="14.0"/>
      <color rgb="FF073763"/>
      <name val="Calibri"/>
    </font>
    <font>
      <sz val="10.0"/>
      <color theme="1"/>
      <name val="Arial"/>
    </font>
    <font>
      <u/>
      <sz val="10.0"/>
      <color rgb="FF0000FF"/>
      <name val="Calibri"/>
    </font>
    <font>
      <u/>
      <sz val="10.0"/>
      <color rgb="FF073763"/>
      <name val="Calibri"/>
    </font>
    <font>
      <u/>
      <sz val="10.0"/>
      <color rgb="FF1155CC"/>
      <name val="Calibri"/>
    </font>
    <font>
      <u/>
      <color rgb="FF0000FF"/>
      <name val="Arial"/>
    </font>
    <font>
      <u/>
      <sz val="10.0"/>
      <color rgb="FF0000FF"/>
      <name val="Calibri"/>
    </font>
    <font>
      <u/>
      <sz val="14.0"/>
      <color rgb="FF073763"/>
      <name val="Calibri"/>
    </font>
    <font>
      <u/>
      <sz val="10.0"/>
      <color rgb="FF0000FF"/>
      <name val="Calibri"/>
    </font>
    <font>
      <u/>
      <sz val="14.0"/>
      <color rgb="FF000000"/>
      <name val="Calibri"/>
    </font>
    <font>
      <u/>
      <sz val="14.0"/>
      <color rgb="FF0000FF"/>
      <name val="Calibri"/>
    </font>
    <font>
      <i/>
      <u/>
      <sz val="14.0"/>
      <color rgb="FF0000FF"/>
      <name val="Calibri"/>
    </font>
    <font>
      <u/>
      <sz val="14.0"/>
      <color rgb="FF0000FF"/>
      <name val="Calibri"/>
    </font>
    <font>
      <u/>
      <sz val="14.0"/>
      <color rgb="FF0000FF"/>
      <name val="Calibri"/>
    </font>
    <font>
      <u/>
      <sz val="14.0"/>
      <color rgb="FF073763"/>
      <name val="Calibri"/>
    </font>
    <font>
      <sz val="14.0"/>
      <color rgb="FF1F2328"/>
      <name val="Calibri"/>
    </font>
    <font>
      <u/>
      <sz val="14.0"/>
      <color rgb="FF0000FF"/>
      <name val="Calibri"/>
    </font>
    <font>
      <u/>
      <sz val="14.0"/>
      <color rgb="FF0000FF"/>
      <name val="Calibri"/>
    </font>
    <font>
      <sz val="10.0"/>
      <color rgb="FF0000FF"/>
      <name val="Calibri"/>
    </font>
    <font>
      <u/>
      <sz val="10.0"/>
      <color rgb="FF1155CC"/>
      <name val="Calibri"/>
    </font>
    <font>
      <u/>
      <color rgb="FF0000FF"/>
    </font>
    <font>
      <u/>
      <color rgb="FF1155CC"/>
      <name val="Calibri"/>
    </font>
    <font>
      <sz val="12.0"/>
      <color rgb="FF1F2328"/>
      <name val="Arial"/>
    </font>
    <font>
      <u/>
      <color rgb="FF0000FF"/>
      <name val="Calibri"/>
    </font>
    <font>
      <u/>
      <sz val="10.0"/>
      <color theme="1"/>
      <name val="Calibri"/>
    </font>
    <font>
      <u/>
      <sz val="10.0"/>
      <color rgb="FF0000FF"/>
      <name val="Calibri"/>
    </font>
    <font>
      <u/>
      <sz val="14.0"/>
      <color rgb="FF073763"/>
      <name val="Calibri"/>
    </font>
    <font>
      <u/>
      <sz val="14.0"/>
      <color rgb="FF073763"/>
      <name val="Calibri"/>
    </font>
    <font>
      <u/>
      <sz val="10.0"/>
      <color rgb="FF0000FF"/>
      <name val="Calibri"/>
    </font>
    <font>
      <u/>
      <sz val="8.0"/>
      <color rgb="FF073763"/>
      <name val="Calibri"/>
    </font>
    <font>
      <u/>
      <sz val="14.0"/>
      <color rgb="FF0000FF"/>
      <name val="Calibri"/>
    </font>
    <font>
      <u/>
      <sz val="10.0"/>
      <color rgb="FF1155CC"/>
      <name val="Calibri"/>
    </font>
    <font>
      <u/>
      <sz val="10.0"/>
      <color rgb="FF1155CC"/>
      <name val="Calibri"/>
    </font>
    <font>
      <u/>
      <color rgb="FF0000FF"/>
      <name val="Calibri"/>
    </font>
    <font>
      <u/>
      <sz val="10.0"/>
      <color theme="1"/>
      <name val="Calibri"/>
    </font>
    <font>
      <u/>
      <sz val="10.0"/>
      <color rgb="FF0000FF"/>
      <name val="Calibri"/>
    </font>
    <font>
      <u/>
      <sz val="10.0"/>
      <color rgb="FF0000FF"/>
      <name val="Calibri"/>
    </font>
    <font>
      <u/>
      <sz val="10.0"/>
      <color rgb="FF0000FF"/>
      <name val="Calibri"/>
    </font>
    <font>
      <u/>
      <sz val="10.0"/>
      <color theme="1"/>
      <name val="Calibri"/>
    </font>
    <font>
      <u/>
      <color rgb="FF1155CC"/>
      <name val="Calibri"/>
    </font>
    <font>
      <u/>
      <sz val="10.0"/>
      <color rgb="FF0000FF"/>
      <name val="Calibri"/>
    </font>
    <font>
      <u/>
      <sz val="10.0"/>
      <color rgb="FF0000FF"/>
      <name val="Calibri"/>
    </font>
    <font>
      <u/>
      <sz val="14.0"/>
      <color rgb="FF0000FF"/>
      <name val="Calibri"/>
    </font>
    <font>
      <u/>
      <sz val="10.0"/>
      <color theme="1"/>
      <name val="Calibri"/>
    </font>
    <font>
      <u/>
      <color rgb="FF1155CC"/>
      <name val="Calibri"/>
    </font>
    <font>
      <u/>
      <sz val="10.0"/>
      <color theme="1"/>
      <name val="Calibri"/>
    </font>
    <font>
      <u/>
      <sz val="10.0"/>
      <color rgb="FF0000FF"/>
      <name val="Calibri"/>
    </font>
    <font>
      <sz val="10.0"/>
      <color theme="1"/>
      <name val="Arial"/>
      <scheme val="minor"/>
    </font>
    <font>
      <i/>
      <u/>
      <sz val="10.0"/>
      <color rgb="FF0000FF"/>
      <name val="Calibri"/>
    </font>
    <font>
      <u/>
      <sz val="14.0"/>
      <color rgb="FF1155CC"/>
      <name val="Calibri"/>
    </font>
    <font>
      <u/>
      <color rgb="FF0000FF"/>
      <name val="Calibri"/>
    </font>
    <font>
      <u/>
      <sz val="10.0"/>
      <color theme="1"/>
      <name val="Calibri"/>
    </font>
    <font>
      <u/>
      <sz val="10.0"/>
      <color theme="1"/>
      <name val="Calibri"/>
    </font>
    <font>
      <u/>
      <color rgb="FF073763"/>
      <name val="Calibri"/>
    </font>
    <font>
      <sz val="8.0"/>
      <color theme="8"/>
      <name val="Calibri"/>
    </font>
    <font>
      <sz val="8.0"/>
      <color rgb="FFFF6D01"/>
      <name val="Calibri"/>
    </font>
    <font>
      <i/>
      <u/>
      <sz val="10.0"/>
      <color rgb="FF0000FF"/>
      <name val="Calibri"/>
    </font>
    <font>
      <u/>
      <sz val="10.0"/>
      <color theme="1"/>
      <name val="Calibri"/>
    </font>
    <font>
      <u/>
      <sz val="14.0"/>
      <color rgb="FF0000FF"/>
      <name val="Calibri"/>
    </font>
    <font>
      <u/>
      <sz val="10.0"/>
      <color rgb="FF0000FF"/>
      <name val="Calibri"/>
    </font>
    <font>
      <u/>
      <color rgb="FF1155CC"/>
      <name val="Calibri"/>
    </font>
    <font>
      <sz val="8.0"/>
      <color theme="7"/>
      <name val="Calibri"/>
    </font>
    <font>
      <u/>
      <sz val="14.0"/>
      <color rgb="FF0000FF"/>
      <name val="Calibri"/>
    </font>
    <font>
      <u/>
      <color rgb="FF0000FF"/>
      <name val="Calibri"/>
    </font>
    <font>
      <u/>
      <sz val="14.0"/>
      <color rgb="FF073763"/>
      <name val="Calibri"/>
    </font>
    <font>
      <u/>
      <sz val="14.0"/>
      <color rgb="FF0000FF"/>
      <name val="Calibri"/>
    </font>
    <font>
      <u/>
      <sz val="10.0"/>
      <color theme="1"/>
      <name val="Calibri"/>
    </font>
    <font>
      <sz val="14.0"/>
      <color rgb="FF000000"/>
      <name val="Docs-Calibri"/>
    </font>
    <font>
      <sz val="8.0"/>
      <color rgb="FF34A853"/>
      <name val="Docs-Calibri"/>
    </font>
    <font>
      <b/>
      <sz val="55.0"/>
      <color rgb="FFD9D9D9"/>
      <name val="Proxima Nova"/>
    </font>
    <font>
      <b/>
      <sz val="20.0"/>
      <color rgb="FFFFFFFF"/>
      <name val="Proxima Nova"/>
    </font>
    <font>
      <b/>
      <sz val="14.0"/>
      <color rgb="FFFFFFFF"/>
      <name val="Proxima Nova"/>
    </font>
    <font>
      <b/>
      <sz val="20.0"/>
      <color rgb="FF073763"/>
      <name val="Proxima Nova"/>
    </font>
    <font>
      <b/>
      <sz val="14.0"/>
      <color rgb="FF073763"/>
      <name val="Proxima Nova"/>
    </font>
    <font>
      <sz val="14.0"/>
      <color rgb="FF073763"/>
      <name val="Proxima Nova"/>
    </font>
    <font>
      <u/>
      <sz val="14.0"/>
      <color rgb="FF073763"/>
      <name val="Proxima Nova"/>
    </font>
    <font>
      <b/>
      <sz val="20.0"/>
      <color rgb="FF999999"/>
      <name val="Proxima Nova"/>
    </font>
    <font>
      <b/>
      <sz val="14.0"/>
      <color rgb="FF999999"/>
      <name val="Proxima Nova"/>
    </font>
    <font>
      <sz val="14.0"/>
      <color rgb="FF999999"/>
      <name val="Proxima Nova"/>
    </font>
    <font>
      <b/>
      <sz val="20.0"/>
      <color rgb="FFCCCCCC"/>
      <name val="Proxima Nova"/>
    </font>
    <font>
      <b/>
      <sz val="20.0"/>
      <color theme="1"/>
      <name val="Proxima Nova"/>
    </font>
    <font>
      <i/>
      <sz val="20.0"/>
      <color rgb="FF999999"/>
      <name val="Proxima Nova"/>
    </font>
    <font>
      <b/>
      <i/>
      <sz val="14.0"/>
      <color rgb="FF999999"/>
      <name val="Proxima Nova"/>
    </font>
    <font>
      <b/>
      <i/>
      <sz val="20.0"/>
      <color rgb="FF999999"/>
      <name val="Proxima Nova"/>
    </font>
    <font>
      <b/>
      <sz val="11.0"/>
      <color theme="1"/>
      <name val="Proxima Nova"/>
    </font>
    <font>
      <b/>
      <sz val="11.0"/>
      <color rgb="FFFFFFFF"/>
      <name val="Proxima Nova"/>
    </font>
    <font>
      <b/>
      <u/>
      <sz val="11.0"/>
      <color rgb="FFFFFFFF"/>
      <name val="Proxima Nova"/>
    </font>
    <font>
      <b/>
      <sz val="17.0"/>
      <color rgb="FF999999"/>
      <name val="Proxima Nova"/>
    </font>
    <font>
      <b/>
      <sz val="16.0"/>
      <color theme="1"/>
      <name val="Proxima Nova"/>
    </font>
    <font>
      <sz val="16.0"/>
      <color theme="1"/>
      <name val="Proxima Nova"/>
    </font>
    <font>
      <b/>
      <sz val="14.0"/>
      <color theme="1"/>
      <name val="Proxima Nova"/>
    </font>
    <font>
      <b/>
      <sz val="14.0"/>
      <color rgb="FFCCCCCC"/>
      <name val="Proxima Nova"/>
    </font>
    <font>
      <sz val="14.0"/>
      <color rgb="FFCCCCCC"/>
      <name val="Proxima Nova"/>
    </font>
    <font>
      <sz val="11.0"/>
      <color theme="1"/>
      <name val="Proxima Nova"/>
    </font>
    <font>
      <b/>
      <sz val="18.0"/>
      <color rgb="FFFFFFFF"/>
      <name val="Proxima Nova"/>
    </font>
    <font>
      <b/>
      <u/>
      <sz val="18.0"/>
      <color rgb="FFFFFFFF"/>
      <name val="Proxima Nova"/>
    </font>
    <font>
      <b/>
      <u/>
      <sz val="14.0"/>
      <color theme="1"/>
      <name val="Calibri"/>
    </font>
    <font>
      <u/>
      <sz val="14.0"/>
      <color rgb="FF0000FF"/>
      <name val="Calibri"/>
    </font>
    <font>
      <u/>
      <sz val="14.0"/>
      <color rgb="FF0000FF"/>
      <name val="Calibri"/>
    </font>
    <font>
      <sz val="13.0"/>
      <color theme="1"/>
      <name val="Calibri"/>
    </font>
    <font>
      <u/>
      <sz val="14.0"/>
      <color rgb="FF0000FF"/>
      <name val="Calibri"/>
    </font>
    <font>
      <u/>
      <sz val="14.0"/>
      <color rgb="FF000000"/>
      <name val="Calibri"/>
    </font>
    <font>
      <b/>
      <sz val="13.0"/>
      <color theme="1"/>
      <name val="Calibri"/>
    </font>
    <font>
      <i/>
      <sz val="13.0"/>
      <color theme="1"/>
      <name val="Calibri"/>
    </font>
    <font>
      <sz val="13.0"/>
      <color rgb="FF34A853"/>
      <name val="Calibri"/>
    </font>
    <font>
      <sz val="13.0"/>
      <color rgb="FF4285F4"/>
      <name val="Calibri"/>
    </font>
    <font>
      <sz val="13.0"/>
      <color rgb="FFFF6D01"/>
      <name val="Calibri"/>
    </font>
    <font>
      <u/>
      <sz val="9.0"/>
      <color rgb="FF1155CC"/>
      <name val="Calibri"/>
    </font>
    <font>
      <sz val="9.0"/>
      <color theme="1"/>
      <name val="Calibri"/>
    </font>
    <font>
      <u/>
      <sz val="9.0"/>
      <color rgb="FF1155CC"/>
      <name val="Calibri"/>
    </font>
    <font>
      <u/>
      <sz val="14.0"/>
      <color rgb="FFB7B7B7"/>
      <name val="Calibri"/>
    </font>
    <font>
      <u/>
      <sz val="14.0"/>
      <color rgb="FFB7B7B7"/>
      <name val="Calibri"/>
    </font>
    <font>
      <u/>
      <sz val="14.0"/>
      <color rgb="FF0000FF"/>
      <name val="Calibri"/>
    </font>
    <font>
      <u/>
      <sz val="14.0"/>
      <color rgb="FF1155CC"/>
      <name val="Calibri"/>
    </font>
    <font>
      <u/>
      <sz val="14.0"/>
      <color rgb="FF0000FF"/>
      <name val="Calibri"/>
    </font>
    <font>
      <u/>
      <sz val="14.0"/>
      <color rgb="FF0000FF"/>
      <name val="Calibri"/>
    </font>
    <font>
      <u/>
      <sz val="14.0"/>
      <color rgb="FF1155CC"/>
      <name val="Calibri"/>
    </font>
    <font>
      <u/>
      <sz val="14.0"/>
      <color rgb="FF0000FF"/>
      <name val="Calibri"/>
    </font>
    <font>
      <u/>
      <sz val="14.0"/>
      <color rgb="FF0000FF"/>
      <name val="Calibri"/>
    </font>
    <font>
      <u/>
      <sz val="14.0"/>
      <color rgb="FF1155CC"/>
      <name val="Calibri"/>
    </font>
    <font>
      <u/>
      <sz val="14.0"/>
      <color rgb="FF0000FF"/>
      <name val="Calibri"/>
    </font>
    <font>
      <u/>
      <sz val="14.0"/>
      <color rgb="FF1155CC"/>
      <name val="Calibri"/>
    </font>
    <font>
      <u/>
      <sz val="14.0"/>
      <color rgb="FF0000FF"/>
      <name val="Calibri"/>
    </font>
    <font>
      <u/>
      <sz val="14.0"/>
      <color rgb="FF0000FF"/>
      <name val="Calibri"/>
    </font>
    <font>
      <u/>
      <sz val="14.0"/>
      <color theme="1"/>
      <name val="Calibri"/>
    </font>
    <font>
      <sz val="14.0"/>
      <color rgb="FF34A853"/>
      <name val="Calibri"/>
    </font>
    <font>
      <b/>
      <sz val="14.0"/>
      <color rgb="FF073763"/>
      <name val="Calibri"/>
    </font>
    <font>
      <u/>
      <sz val="14.0"/>
      <color rgb="FF0000FF"/>
      <name val="Calibri"/>
    </font>
    <font>
      <u/>
      <sz val="14.0"/>
      <color rgb="FF0000FF"/>
      <name val="Calibri"/>
    </font>
    <font>
      <u/>
      <sz val="14.0"/>
      <color rgb="FF073763"/>
      <name val="Calibri"/>
    </font>
    <font>
      <b/>
      <color theme="1"/>
      <name val="Arial"/>
      <scheme val="minor"/>
    </font>
    <font>
      <color theme="1"/>
      <name val="Arial"/>
      <scheme val="minor"/>
    </font>
    <font>
      <b/>
      <u/>
      <sz val="14.0"/>
      <color rgb="FF073763"/>
      <name val="Calibri"/>
    </font>
    <font>
      <b/>
      <sz val="12.0"/>
      <color rgb="FF000000"/>
      <name val="Proxima Nova"/>
    </font>
    <font>
      <b/>
      <sz val="12.0"/>
      <color rgb="FF0000FF"/>
      <name val="Proxima Nova"/>
    </font>
    <font>
      <b/>
      <sz val="12.0"/>
      <color theme="1"/>
      <name val="Proxima Nova"/>
    </font>
    <font>
      <sz val="12.0"/>
      <color theme="1"/>
      <name val="Proxima Nova"/>
    </font>
    <font>
      <i/>
      <sz val="12.0"/>
      <color theme="1"/>
      <name val="Proxima Nova"/>
    </font>
    <font>
      <b/>
      <sz val="11.0"/>
      <color rgb="FF000000"/>
      <name val="Proxima Nova"/>
    </font>
    <font>
      <sz val="11.0"/>
      <color rgb="FF000000"/>
      <name val="Proxima Nova"/>
    </font>
    <font>
      <u/>
      <sz val="11.0"/>
      <color rgb="FF0000FF"/>
      <name val="Proxima Nova"/>
    </font>
    <font>
      <u/>
      <sz val="12.0"/>
      <color rgb="FF0000FF"/>
      <name val="Proxima Nova"/>
    </font>
    <font>
      <u/>
      <sz val="11.0"/>
      <color rgb="FF0000FF"/>
      <name val="Proxima Nova"/>
    </font>
    <font>
      <u/>
      <sz val="12.0"/>
      <color rgb="FF0000FF"/>
      <name val="Proxima Nova"/>
    </font>
    <font>
      <u/>
      <sz val="11.0"/>
      <color rgb="FF0000FF"/>
      <name val="Proxima Nova"/>
    </font>
    <font>
      <u/>
      <sz val="12.0"/>
      <color rgb="FF0000FF"/>
      <name val="Proxima Nova"/>
    </font>
    <font>
      <u/>
      <sz val="11.0"/>
      <color rgb="FF000000"/>
      <name val="Proxima Nova"/>
    </font>
    <font>
      <u/>
      <sz val="12.0"/>
      <color rgb="FF0000FF"/>
      <name val="Proxima Nova"/>
    </font>
    <font>
      <u/>
      <sz val="12.0"/>
      <color rgb="FF0000FF"/>
      <name val="Proxima Nova"/>
    </font>
    <font>
      <u/>
      <sz val="11.0"/>
      <color rgb="FF0000FF"/>
      <name val="Proxima Nova"/>
    </font>
    <font>
      <sz val="11.0"/>
      <color theme="1"/>
      <name val="Arial"/>
      <scheme val="minor"/>
    </font>
    <font>
      <u/>
      <sz val="11.0"/>
      <color rgb="FF0000FF"/>
      <name val="Proxima Nova"/>
    </font>
    <font>
      <u/>
      <sz val="14.0"/>
      <color rgb="FF0000FF"/>
      <name val="Calibri"/>
    </font>
    <font>
      <u/>
      <sz val="14.0"/>
      <color rgb="FF0000FF"/>
      <name val="Calibri"/>
    </font>
    <font>
      <u/>
      <sz val="14.0"/>
      <color rgb="FF0000FF"/>
      <name val="Calibri"/>
    </font>
    <font>
      <u/>
      <sz val="14.0"/>
      <color rgb="FF0000FF"/>
      <name val="Calibri"/>
    </font>
    <font>
      <u/>
      <sz val="14.0"/>
      <color rgb="FF0000FF"/>
      <name val="Calibri"/>
    </font>
    <font>
      <u/>
      <sz val="14.0"/>
      <color rgb="FF0000FF"/>
      <name val="Calibri"/>
    </font>
    <font>
      <u/>
      <sz val="14.0"/>
      <color rgb="FF0000FF"/>
      <name val="Calibri"/>
    </font>
    <font>
      <u/>
      <sz val="10.0"/>
      <color rgb="FF0000FF"/>
      <name val="Calibri"/>
    </font>
    <font>
      <u/>
      <sz val="14.0"/>
      <color rgb="FF0000FF"/>
      <name val="Calibri"/>
    </font>
    <font>
      <sz val="14.0"/>
      <color theme="1"/>
      <name val="Proxima Nova"/>
    </font>
    <font>
      <u/>
      <sz val="14.0"/>
      <color rgb="FF0000FF"/>
      <name val="Proxima Nova"/>
    </font>
    <font>
      <u/>
      <sz val="14.0"/>
      <color rgb="FF0000FF"/>
      <name val="Proxima Nova"/>
    </font>
  </fonts>
  <fills count="163">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rgb="FFD9EAD3"/>
        <bgColor rgb="FFD9EAD3"/>
      </patternFill>
    </fill>
    <fill>
      <patternFill patternType="solid">
        <fgColor rgb="FF3498DB"/>
        <bgColor rgb="FF3498DB"/>
      </patternFill>
    </fill>
    <fill>
      <patternFill patternType="solid">
        <fgColor rgb="FFFFFF00"/>
        <bgColor rgb="FFFFFF00"/>
      </patternFill>
    </fill>
    <fill>
      <patternFill patternType="solid">
        <fgColor rgb="FF073763"/>
        <bgColor rgb="FF073763"/>
      </patternFill>
    </fill>
    <fill>
      <patternFill patternType="solid">
        <fgColor rgb="FFCADAE9"/>
        <bgColor rgb="FFCADAE9"/>
      </patternFill>
    </fill>
    <fill>
      <patternFill patternType="solid">
        <fgColor rgb="FF357DBE"/>
        <bgColor rgb="FF357DBE"/>
      </patternFill>
    </fill>
    <fill>
      <patternFill patternType="solid">
        <fgColor rgb="FF488CCA"/>
        <bgColor rgb="FF488CCA"/>
      </patternFill>
    </fill>
    <fill>
      <patternFill patternType="solid">
        <fgColor rgb="FFFFFFFF"/>
        <bgColor rgb="FFFFFFFF"/>
      </patternFill>
    </fill>
    <fill>
      <patternFill patternType="solid">
        <fgColor rgb="FFE8F0FE"/>
        <bgColor rgb="FFE8F0FE"/>
      </patternFill>
    </fill>
    <fill>
      <patternFill patternType="solid">
        <fgColor rgb="FFCC4125"/>
        <bgColor rgb="FFCC4125"/>
      </patternFill>
    </fill>
    <fill>
      <patternFill patternType="solid">
        <fgColor rgb="FFB6D7A8"/>
        <bgColor rgb="FFB6D7A8"/>
      </patternFill>
    </fill>
    <fill>
      <patternFill patternType="solid">
        <fgColor rgb="FFCEDFFA"/>
        <bgColor rgb="FFCEDFFA"/>
      </patternFill>
    </fill>
    <fill>
      <patternFill patternType="solid">
        <fgColor rgb="FF94B8F1"/>
        <bgColor rgb="FF94B8F1"/>
      </patternFill>
    </fill>
    <fill>
      <patternFill patternType="solid">
        <fgColor rgb="FFDBE7FC"/>
        <bgColor rgb="FFDBE7FC"/>
      </patternFill>
    </fill>
    <fill>
      <patternFill patternType="solid">
        <fgColor rgb="FF6E9FEC"/>
        <bgColor rgb="FF6E9FEC"/>
      </patternFill>
    </fill>
    <fill>
      <patternFill patternType="solid">
        <fgColor rgb="FF79A6ED"/>
        <bgColor rgb="FF79A6ED"/>
      </patternFill>
    </fill>
    <fill>
      <patternFill patternType="solid">
        <fgColor rgb="FF7FAAEE"/>
        <bgColor rgb="FF7FAAEE"/>
      </patternFill>
    </fill>
    <fill>
      <patternFill patternType="solid">
        <fgColor rgb="FF99BBF2"/>
        <bgColor rgb="FF99BBF2"/>
      </patternFill>
    </fill>
    <fill>
      <patternFill patternType="solid">
        <fgColor rgb="FFE7F0FE"/>
        <bgColor rgb="FFE7F0FE"/>
      </patternFill>
    </fill>
    <fill>
      <patternFill patternType="solid">
        <fgColor rgb="FFEDF4FA"/>
        <bgColor rgb="FFEDF4FA"/>
      </patternFill>
    </fill>
    <fill>
      <patternFill patternType="solid">
        <fgColor rgb="FF99BCF2"/>
        <bgColor rgb="FF99BCF2"/>
      </patternFill>
    </fill>
    <fill>
      <patternFill patternType="solid">
        <fgColor rgb="FFF4CCCC"/>
        <bgColor rgb="FFF4CCCC"/>
      </patternFill>
    </fill>
    <fill>
      <patternFill patternType="solid">
        <fgColor rgb="FFF2F3F3"/>
        <bgColor rgb="FFF2F3F3"/>
      </patternFill>
    </fill>
    <fill>
      <patternFill patternType="solid">
        <fgColor rgb="FFF1C232"/>
        <bgColor rgb="FFF1C232"/>
      </patternFill>
    </fill>
    <fill>
      <patternFill patternType="solid">
        <fgColor rgb="FFE4EDFE"/>
        <bgColor rgb="FFE4EDFE"/>
      </patternFill>
    </fill>
    <fill>
      <patternFill patternType="solid">
        <fgColor rgb="FF7AA7ED"/>
        <bgColor rgb="FF7AA7ED"/>
      </patternFill>
    </fill>
    <fill>
      <patternFill patternType="solid">
        <fgColor rgb="FF9DBEF3"/>
        <bgColor rgb="FF9DBEF3"/>
      </patternFill>
    </fill>
    <fill>
      <patternFill patternType="solid">
        <fgColor rgb="FF9FC5E8"/>
        <bgColor rgb="FF9FC5E8"/>
      </patternFill>
    </fill>
    <fill>
      <patternFill patternType="solid">
        <fgColor rgb="FF5292CC"/>
        <bgColor rgb="FF5292CC"/>
      </patternFill>
    </fill>
    <fill>
      <patternFill patternType="solid">
        <fgColor rgb="FF468BC9"/>
        <bgColor rgb="FF468BC9"/>
      </patternFill>
    </fill>
    <fill>
      <patternFill patternType="solid">
        <fgColor rgb="FFEA4335"/>
        <bgColor rgb="FFEA4335"/>
      </patternFill>
    </fill>
    <fill>
      <patternFill patternType="solid">
        <fgColor rgb="FFE9EDF1"/>
        <bgColor rgb="FFE9EDF1"/>
      </patternFill>
    </fill>
    <fill>
      <patternFill patternType="solid">
        <fgColor rgb="FF619CD1"/>
        <bgColor rgb="FF619CD1"/>
      </patternFill>
    </fill>
    <fill>
      <patternFill patternType="solid">
        <fgColor rgb="FF236BAC"/>
        <bgColor rgb="FF236BAC"/>
      </patternFill>
    </fill>
    <fill>
      <patternFill patternType="solid">
        <fgColor rgb="FFD5E1EC"/>
        <bgColor rgb="FFD5E1EC"/>
      </patternFill>
    </fill>
    <fill>
      <patternFill patternType="solid">
        <fgColor rgb="FFB8D0F7"/>
        <bgColor rgb="FFB8D0F7"/>
      </patternFill>
    </fill>
    <fill>
      <patternFill patternType="solid">
        <fgColor rgb="FF9FC0F3"/>
        <bgColor rgb="FF9FC0F3"/>
      </patternFill>
    </fill>
    <fill>
      <patternFill patternType="solid">
        <fgColor rgb="FFC3D8F9"/>
        <bgColor rgb="FFC3D8F9"/>
      </patternFill>
    </fill>
    <fill>
      <patternFill patternType="solid">
        <fgColor rgb="FFE0EBFD"/>
        <bgColor rgb="FFE0EBFD"/>
      </patternFill>
    </fill>
    <fill>
      <patternFill patternType="solid">
        <fgColor rgb="FF97BAF2"/>
        <bgColor rgb="FF97BAF2"/>
      </patternFill>
    </fill>
    <fill>
      <patternFill patternType="solid">
        <fgColor rgb="FFFF6D01"/>
        <bgColor rgb="FFFF6D01"/>
      </patternFill>
    </fill>
    <fill>
      <patternFill patternType="solid">
        <fgColor rgb="FFE6EFFE"/>
        <bgColor rgb="FFE6EFFE"/>
      </patternFill>
    </fill>
    <fill>
      <patternFill patternType="solid">
        <fgColor rgb="FFA6C4F4"/>
        <bgColor rgb="FFA6C4F4"/>
      </patternFill>
    </fill>
    <fill>
      <patternFill patternType="solid">
        <fgColor rgb="FFF7CB4D"/>
        <bgColor rgb="FFF7CB4D"/>
      </patternFill>
    </fill>
    <fill>
      <patternFill patternType="solid">
        <fgColor rgb="FFA1C1F4"/>
        <bgColor rgb="FFA1C1F4"/>
      </patternFill>
    </fill>
    <fill>
      <patternFill patternType="solid">
        <fgColor rgb="FFA8C5F4"/>
        <bgColor rgb="FFA8C5F4"/>
      </patternFill>
    </fill>
    <fill>
      <patternFill patternType="solid">
        <fgColor rgb="FF95B9F2"/>
        <bgColor rgb="FF95B9F2"/>
      </patternFill>
    </fill>
    <fill>
      <patternFill patternType="solid">
        <fgColor rgb="FFE3EDFE"/>
        <bgColor rgb="FFE3EDFE"/>
      </patternFill>
    </fill>
    <fill>
      <patternFill patternType="solid">
        <fgColor rgb="FF9FBFF3"/>
        <bgColor rgb="FF9FBFF3"/>
      </patternFill>
    </fill>
    <fill>
      <patternFill patternType="solid">
        <fgColor rgb="FFB3CDF6"/>
        <bgColor rgb="FFB3CDF6"/>
      </patternFill>
    </fill>
    <fill>
      <patternFill patternType="solid">
        <fgColor rgb="FFE2E9EF"/>
        <bgColor rgb="FFE2E9EF"/>
      </patternFill>
    </fill>
    <fill>
      <patternFill patternType="solid">
        <fgColor rgb="FFFCE5CD"/>
        <bgColor rgb="FFFCE5CD"/>
      </patternFill>
    </fill>
    <fill>
      <patternFill patternType="solid">
        <fgColor rgb="FFA7C5F4"/>
        <bgColor rgb="FFA7C5F4"/>
      </patternFill>
    </fill>
    <fill>
      <patternFill patternType="solid">
        <fgColor rgb="FFCBDDFA"/>
        <bgColor rgb="FFCBDDFA"/>
      </patternFill>
    </fill>
    <fill>
      <patternFill patternType="solid">
        <fgColor rgb="FF96B9F2"/>
        <bgColor rgb="FF96B9F2"/>
      </patternFill>
    </fill>
    <fill>
      <patternFill patternType="solid">
        <fgColor rgb="FFA2C1F4"/>
        <bgColor rgb="FFA2C1F4"/>
      </patternFill>
    </fill>
    <fill>
      <patternFill patternType="solid">
        <fgColor rgb="FFB6CFF7"/>
        <bgColor rgb="FFB6CFF7"/>
      </patternFill>
    </fill>
    <fill>
      <patternFill patternType="solid">
        <fgColor rgb="FF3B83C4"/>
        <bgColor rgb="FF3B83C4"/>
      </patternFill>
    </fill>
    <fill>
      <patternFill patternType="solid">
        <fgColor rgb="FF8DB8DE"/>
        <bgColor rgb="FF8DB8DE"/>
      </patternFill>
    </fill>
    <fill>
      <patternFill patternType="solid">
        <fgColor rgb="FF3880C1"/>
        <bgColor rgb="FF3880C1"/>
      </patternFill>
    </fill>
    <fill>
      <patternFill patternType="solid">
        <fgColor rgb="FF9ABCF2"/>
        <bgColor rgb="FF9ABCF2"/>
      </patternFill>
    </fill>
    <fill>
      <patternFill patternType="solid">
        <fgColor rgb="FF90B5F1"/>
        <bgColor rgb="FF90B5F1"/>
      </patternFill>
    </fill>
    <fill>
      <patternFill patternType="solid">
        <fgColor rgb="FF4087C7"/>
        <bgColor rgb="FF4087C7"/>
      </patternFill>
    </fill>
    <fill>
      <patternFill patternType="solid">
        <fgColor rgb="FFDFEAFD"/>
        <bgColor rgb="FFDFEAFD"/>
      </patternFill>
    </fill>
    <fill>
      <patternFill patternType="solid">
        <fgColor rgb="FFC9DCFA"/>
        <bgColor rgb="FFC9DCFA"/>
      </patternFill>
    </fill>
    <fill>
      <patternFill patternType="solid">
        <fgColor rgb="FFD4A27F"/>
        <bgColor rgb="FFD4A27F"/>
      </patternFill>
    </fill>
    <fill>
      <patternFill patternType="solid">
        <fgColor rgb="FFA8C6E1"/>
        <bgColor rgb="FFA8C6E1"/>
      </patternFill>
    </fill>
    <fill>
      <patternFill patternType="solid">
        <fgColor rgb="FF135B9C"/>
        <bgColor rgb="FF135B9C"/>
      </patternFill>
    </fill>
    <fill>
      <patternFill patternType="solid">
        <fgColor rgb="FF4489C8"/>
        <bgColor rgb="FF4489C8"/>
      </patternFill>
    </fill>
    <fill>
      <patternFill patternType="solid">
        <fgColor rgb="FF980000"/>
        <bgColor rgb="FF980000"/>
      </patternFill>
    </fill>
    <fill>
      <patternFill patternType="solid">
        <fgColor rgb="FF85AEEF"/>
        <bgColor rgb="FF85AEEF"/>
      </patternFill>
    </fill>
    <fill>
      <patternFill patternType="solid">
        <fgColor rgb="FF74A3EC"/>
        <bgColor rgb="FF74A3EC"/>
      </patternFill>
    </fill>
    <fill>
      <patternFill patternType="solid">
        <fgColor rgb="FFE4EEFE"/>
        <bgColor rgb="FFE4EEFE"/>
      </patternFill>
    </fill>
    <fill>
      <patternFill patternType="solid">
        <fgColor rgb="FFA3C2F4"/>
        <bgColor rgb="FFA3C2F4"/>
      </patternFill>
    </fill>
    <fill>
      <patternFill patternType="solid">
        <fgColor rgb="FF4389C8"/>
        <bgColor rgb="FF4389C8"/>
      </patternFill>
    </fill>
    <fill>
      <patternFill patternType="solid">
        <fgColor rgb="FF3D85C6"/>
        <bgColor rgb="FF3D85C6"/>
      </patternFill>
    </fill>
    <fill>
      <patternFill patternType="solid">
        <fgColor rgb="FFE5EEFE"/>
        <bgColor rgb="FFE5EEFE"/>
      </patternFill>
    </fill>
    <fill>
      <patternFill patternType="solid">
        <fgColor rgb="FFB0CBF6"/>
        <bgColor rgb="FFB0CBF6"/>
      </patternFill>
    </fill>
    <fill>
      <patternFill patternType="solid">
        <fgColor rgb="FFD8E6FC"/>
        <bgColor rgb="FFD8E6FC"/>
      </patternFill>
    </fill>
    <fill>
      <patternFill patternType="solid">
        <fgColor rgb="FFE7EFFE"/>
        <bgColor rgb="FFE7EFFE"/>
      </patternFill>
    </fill>
    <fill>
      <patternFill patternType="solid">
        <fgColor rgb="FF8FB5F1"/>
        <bgColor rgb="FF8FB5F1"/>
      </patternFill>
    </fill>
    <fill>
      <patternFill patternType="solid">
        <fgColor rgb="FFB7E1CD"/>
        <bgColor rgb="FFB7E1CD"/>
      </patternFill>
    </fill>
    <fill>
      <patternFill patternType="solid">
        <fgColor rgb="FFADC9E2"/>
        <bgColor rgb="FFADC9E2"/>
      </patternFill>
    </fill>
    <fill>
      <patternFill patternType="solid">
        <fgColor rgb="FF83ADEF"/>
        <bgColor rgb="FF83ADEF"/>
      </patternFill>
    </fill>
    <fill>
      <patternFill patternType="solid">
        <fgColor rgb="FF3981C2"/>
        <bgColor rgb="FF3981C2"/>
      </patternFill>
    </fill>
    <fill>
      <patternFill patternType="solid">
        <fgColor rgb="FF0000FF"/>
        <bgColor rgb="FF0000FF"/>
      </patternFill>
    </fill>
    <fill>
      <patternFill patternType="solid">
        <fgColor rgb="FF73A6D4"/>
        <bgColor rgb="FF73A6D4"/>
      </patternFill>
    </fill>
    <fill>
      <patternFill patternType="solid">
        <fgColor rgb="FF2169AA"/>
        <bgColor rgb="FF2169AA"/>
      </patternFill>
    </fill>
    <fill>
      <patternFill patternType="solid">
        <fgColor rgb="FF6EA4D5"/>
        <bgColor rgb="FF6EA4D5"/>
      </patternFill>
    </fill>
    <fill>
      <patternFill patternType="solid">
        <fgColor rgb="FF2971B2"/>
        <bgColor rgb="FF2971B2"/>
      </patternFill>
    </fill>
    <fill>
      <patternFill patternType="solid">
        <fgColor rgb="FFEFF1F2"/>
        <bgColor rgb="FFEFF1F2"/>
      </patternFill>
    </fill>
    <fill>
      <patternFill patternType="solid">
        <fgColor rgb="FFDBE8F5"/>
        <bgColor rgb="FFDBE8F5"/>
      </patternFill>
    </fill>
    <fill>
      <patternFill patternType="solid">
        <fgColor rgb="FFEBF3FA"/>
        <bgColor rgb="FFEBF3FA"/>
      </patternFill>
    </fill>
    <fill>
      <patternFill patternType="solid">
        <fgColor rgb="FFD5A6BD"/>
        <bgColor rgb="FFD5A6BD"/>
      </patternFill>
    </fill>
    <fill>
      <patternFill patternType="solid">
        <fgColor rgb="FFABC8E2"/>
        <bgColor rgb="FFABC8E2"/>
      </patternFill>
    </fill>
    <fill>
      <patternFill patternType="solid">
        <fgColor rgb="FF90B9DF"/>
        <bgColor rgb="FF90B9DF"/>
      </patternFill>
    </fill>
    <fill>
      <patternFill patternType="solid">
        <fgColor rgb="FF4E90CB"/>
        <bgColor rgb="FF4E90CB"/>
      </patternFill>
    </fill>
    <fill>
      <patternFill patternType="solid">
        <fgColor rgb="FFE7ECF0"/>
        <bgColor rgb="FFE7ECF0"/>
      </patternFill>
    </fill>
    <fill>
      <patternFill patternType="solid">
        <fgColor rgb="FFDDEAF5"/>
        <bgColor rgb="FFDDEAF5"/>
      </patternFill>
    </fill>
    <fill>
      <patternFill patternType="solid">
        <fgColor rgb="FFECF3FA"/>
        <bgColor rgb="FFECF3FA"/>
      </patternFill>
    </fill>
    <fill>
      <patternFill patternType="solid">
        <fgColor rgb="FFB1CBE3"/>
        <bgColor rgb="FFB1CBE3"/>
      </patternFill>
    </fill>
    <fill>
      <patternFill patternType="solid">
        <fgColor rgb="FF155D9E"/>
        <bgColor rgb="FF155D9E"/>
      </patternFill>
    </fill>
    <fill>
      <patternFill patternType="solid">
        <fgColor rgb="FF7BACD9"/>
        <bgColor rgb="FF7BACD9"/>
      </patternFill>
    </fill>
    <fill>
      <patternFill patternType="solid">
        <fgColor rgb="FF609BD1"/>
        <bgColor rgb="FF609BD1"/>
      </patternFill>
    </fill>
    <fill>
      <patternFill patternType="solid">
        <fgColor rgb="FF6AA1D4"/>
        <bgColor rgb="FF6AA1D4"/>
      </patternFill>
    </fill>
    <fill>
      <patternFill patternType="solid">
        <fgColor rgb="FFECEFF2"/>
        <bgColor rgb="FFECEFF2"/>
      </patternFill>
    </fill>
    <fill>
      <patternFill patternType="solid">
        <fgColor rgb="FFC9DAE9"/>
        <bgColor rgb="FFC9DAE9"/>
      </patternFill>
    </fill>
    <fill>
      <patternFill patternType="solid">
        <fgColor rgb="FF3179BA"/>
        <bgColor rgb="FF3179BA"/>
      </patternFill>
    </fill>
    <fill>
      <patternFill patternType="solid">
        <fgColor rgb="FF6AA1D3"/>
        <bgColor rgb="FF6AA1D3"/>
      </patternFill>
    </fill>
    <fill>
      <patternFill patternType="solid">
        <fgColor rgb="FFE3EAF0"/>
        <bgColor rgb="FFE3EAF0"/>
      </patternFill>
    </fill>
    <fill>
      <patternFill patternType="solid">
        <fgColor rgb="FFEEF0F2"/>
        <bgColor rgb="FFEEF0F2"/>
      </patternFill>
    </fill>
    <fill>
      <patternFill patternType="solid">
        <fgColor rgb="FF89B5DD"/>
        <bgColor rgb="FF89B5DD"/>
      </patternFill>
    </fill>
    <fill>
      <patternFill patternType="solid">
        <fgColor rgb="FFEBF2F9"/>
        <bgColor rgb="FFEBF2F9"/>
      </patternFill>
    </fill>
    <fill>
      <patternFill patternType="solid">
        <fgColor rgb="FF6AA2D4"/>
        <bgColor rgb="FF6AA2D4"/>
      </patternFill>
    </fill>
    <fill>
      <patternFill patternType="solid">
        <fgColor rgb="FFCFE1F1"/>
        <bgColor rgb="FFCFE1F1"/>
      </patternFill>
    </fill>
    <fill>
      <patternFill patternType="solid">
        <fgColor rgb="FF68A0D3"/>
        <bgColor rgb="FF68A0D3"/>
      </patternFill>
    </fill>
    <fill>
      <patternFill patternType="solid">
        <fgColor rgb="FF2C74B5"/>
        <bgColor rgb="FF2C74B5"/>
      </patternFill>
    </fill>
    <fill>
      <patternFill patternType="solid">
        <fgColor rgb="FF4A8ECA"/>
        <bgColor rgb="FF4A8ECA"/>
      </patternFill>
    </fill>
    <fill>
      <patternFill patternType="solid">
        <fgColor rgb="FFBAD4EB"/>
        <bgColor rgb="FFBAD4EB"/>
      </patternFill>
    </fill>
    <fill>
      <patternFill patternType="solid">
        <fgColor rgb="FFE4EAF0"/>
        <bgColor rgb="FFE4EAF0"/>
      </patternFill>
    </fill>
    <fill>
      <patternFill patternType="solid">
        <fgColor rgb="FF2870B1"/>
        <bgColor rgb="FF2870B1"/>
      </patternFill>
    </fill>
    <fill>
      <patternFill patternType="solid">
        <fgColor rgb="FFD7E2EC"/>
        <bgColor rgb="FFD7E2EC"/>
      </patternFill>
    </fill>
    <fill>
      <patternFill patternType="solid">
        <fgColor theme="5"/>
        <bgColor theme="5"/>
      </patternFill>
    </fill>
    <fill>
      <patternFill patternType="solid">
        <fgColor rgb="FFF7FAFD"/>
        <bgColor rgb="FFF7FAFD"/>
      </patternFill>
    </fill>
    <fill>
      <patternFill patternType="solid">
        <fgColor rgb="FFF1F2F3"/>
        <bgColor rgb="FFF1F2F3"/>
      </patternFill>
    </fill>
    <fill>
      <patternFill patternType="solid">
        <fgColor rgb="FF88B5DC"/>
        <bgColor rgb="FF88B5DC"/>
      </patternFill>
    </fill>
    <fill>
      <patternFill patternType="solid">
        <fgColor rgb="FFF0F1F3"/>
        <bgColor rgb="FFF0F1F3"/>
      </patternFill>
    </fill>
    <fill>
      <patternFill patternType="solid">
        <fgColor rgb="FF93BBE0"/>
        <bgColor rgb="FF93BBE0"/>
      </patternFill>
    </fill>
    <fill>
      <patternFill patternType="solid">
        <fgColor rgb="FF3A82C3"/>
        <bgColor rgb="FF3A82C3"/>
      </patternFill>
    </fill>
    <fill>
      <patternFill patternType="solid">
        <fgColor rgb="FFCFDDEA"/>
        <bgColor rgb="FFCFDDEA"/>
      </patternFill>
    </fill>
    <fill>
      <patternFill patternType="solid">
        <fgColor rgb="FFE5EBF0"/>
        <bgColor rgb="FFE5EBF0"/>
      </patternFill>
    </fill>
    <fill>
      <patternFill patternType="solid">
        <fgColor rgb="FF498DCA"/>
        <bgColor rgb="FF498DCA"/>
      </patternFill>
    </fill>
    <fill>
      <patternFill patternType="solid">
        <fgColor rgb="FFDFE7EE"/>
        <bgColor rgb="FFDFE7EE"/>
      </patternFill>
    </fill>
    <fill>
      <patternFill patternType="solid">
        <fgColor rgb="FF6BA2D4"/>
        <bgColor rgb="FF6BA2D4"/>
      </patternFill>
    </fill>
    <fill>
      <patternFill patternType="solid">
        <fgColor rgb="FFF0F2F3"/>
        <bgColor rgb="FFF0F2F3"/>
      </patternFill>
    </fill>
    <fill>
      <patternFill patternType="solid">
        <fgColor rgb="FFEBEEF1"/>
        <bgColor rgb="FFEBEEF1"/>
      </patternFill>
    </fill>
    <fill>
      <patternFill patternType="solid">
        <fgColor rgb="FFC7DAF9"/>
        <bgColor rgb="FFC7DAF9"/>
      </patternFill>
    </fill>
    <fill>
      <patternFill patternType="solid">
        <fgColor rgb="FFDCE5EE"/>
        <bgColor rgb="FFDCE5EE"/>
      </patternFill>
    </fill>
    <fill>
      <patternFill patternType="solid">
        <fgColor rgb="FF4F90CC"/>
        <bgColor rgb="FF4F90CC"/>
      </patternFill>
    </fill>
    <fill>
      <patternFill patternType="solid">
        <fgColor rgb="FF90B8DB"/>
        <bgColor rgb="FF90B8DB"/>
      </patternFill>
    </fill>
    <fill>
      <patternFill patternType="solid">
        <fgColor rgb="FF276FB0"/>
        <bgColor rgb="FF276FB0"/>
      </patternFill>
    </fill>
    <fill>
      <patternFill patternType="solid">
        <fgColor rgb="FFE6ECF0"/>
        <bgColor rgb="FFE6ECF0"/>
      </patternFill>
    </fill>
    <fill>
      <patternFill patternType="solid">
        <fgColor rgb="FF77AAD7"/>
        <bgColor rgb="FF77AAD7"/>
      </patternFill>
    </fill>
    <fill>
      <patternFill patternType="solid">
        <fgColor rgb="FF3F86C7"/>
        <bgColor rgb="FF3F86C7"/>
      </patternFill>
    </fill>
    <fill>
      <patternFill patternType="solid">
        <fgColor rgb="FFBED7EC"/>
        <bgColor rgb="FFBED7EC"/>
      </patternFill>
    </fill>
    <fill>
      <patternFill patternType="solid">
        <fgColor rgb="FF6DA3D4"/>
        <bgColor rgb="FF6DA3D4"/>
      </patternFill>
    </fill>
    <fill>
      <patternFill patternType="solid">
        <fgColor rgb="FFC4DAEE"/>
        <bgColor rgb="FFC4DAEE"/>
      </patternFill>
    </fill>
    <fill>
      <patternFill patternType="solid">
        <fgColor rgb="FF95BCE0"/>
        <bgColor rgb="FF95BCE0"/>
      </patternFill>
    </fill>
    <fill>
      <patternFill patternType="solid">
        <fgColor rgb="FF1A62A3"/>
        <bgColor rgb="FF1A62A3"/>
      </patternFill>
    </fill>
    <fill>
      <patternFill patternType="solid">
        <fgColor rgb="FFEDF0F2"/>
        <bgColor rgb="FFEDF0F2"/>
      </patternFill>
    </fill>
    <fill>
      <patternFill patternType="solid">
        <fgColor rgb="FFAAC9E6"/>
        <bgColor rgb="FFAAC9E6"/>
      </patternFill>
    </fill>
    <fill>
      <patternFill patternType="solid">
        <fgColor rgb="FFE2EDF7"/>
        <bgColor rgb="FFE2EDF7"/>
      </patternFill>
    </fill>
    <fill>
      <patternFill patternType="solid">
        <fgColor rgb="FFEAF2F9"/>
        <bgColor rgb="FFEAF2F9"/>
      </patternFill>
    </fill>
    <fill>
      <patternFill patternType="solid">
        <fgColor rgb="FFF0F6FB"/>
        <bgColor rgb="FFF0F6FB"/>
      </patternFill>
    </fill>
    <fill>
      <patternFill patternType="solid">
        <fgColor rgb="FFE0F7FA"/>
        <bgColor rgb="FFE0F7FA"/>
      </patternFill>
    </fill>
    <fill>
      <patternFill patternType="solid">
        <fgColor rgb="FFFDDCE8"/>
        <bgColor rgb="FFFDDCE8"/>
      </patternFill>
    </fill>
    <fill>
      <patternFill patternType="solid">
        <fgColor rgb="FFC9DAF8"/>
        <bgColor rgb="FFC9DAF8"/>
      </patternFill>
    </fill>
    <fill>
      <patternFill patternType="solid">
        <fgColor rgb="FFCFE2F3"/>
        <bgColor rgb="FFCFE2F3"/>
      </patternFill>
    </fill>
    <fill>
      <patternFill patternType="solid">
        <fgColor rgb="FFFF0000"/>
        <bgColor rgb="FFFF0000"/>
      </patternFill>
    </fill>
  </fills>
  <borders count="10">
    <border/>
    <border>
      <bottom style="medium">
        <color rgb="FF073763"/>
      </bottom>
    </border>
    <border>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s>
  <cellStyleXfs count="1">
    <xf borderId="0" fillId="0" fontId="0" numFmtId="0" applyAlignment="1" applyFont="1"/>
  </cellStyleXfs>
  <cellXfs count="1285">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2" fontId="2" numFmtId="0" xfId="0" applyAlignment="1" applyFont="1">
      <alignment horizontal="left" readingOrder="0" shrinkToFit="0" vertical="bottom" wrapText="0"/>
    </xf>
    <xf borderId="0" fillId="2" fontId="3" numFmtId="0" xfId="0" applyAlignment="1" applyFont="1">
      <alignment vertical="bottom"/>
    </xf>
    <xf borderId="0" fillId="2" fontId="1" numFmtId="0" xfId="0" applyAlignment="1" applyFont="1">
      <alignment horizontal="right" readingOrder="0" vertical="center"/>
    </xf>
    <xf borderId="0" fillId="2" fontId="4" numFmtId="0" xfId="0" applyAlignment="1" applyFont="1">
      <alignment readingOrder="0" shrinkToFit="0" vertical="bottom" wrapText="0"/>
    </xf>
    <xf borderId="0" fillId="2" fontId="5" numFmtId="164" xfId="0" applyAlignment="1" applyFont="1" applyNumberFormat="1">
      <alignment vertical="bottom"/>
    </xf>
    <xf borderId="0" fillId="2" fontId="6" numFmtId="3" xfId="0" applyAlignment="1" applyFont="1" applyNumberFormat="1">
      <alignment horizontal="center" readingOrder="0" vertical="center"/>
    </xf>
    <xf borderId="0" fillId="2" fontId="1" numFmtId="3" xfId="0" applyAlignment="1" applyFont="1" applyNumberFormat="1">
      <alignment horizontal="right" readingOrder="0" vertical="top"/>
    </xf>
    <xf borderId="0" fillId="2" fontId="7" numFmtId="0" xfId="0" applyAlignment="1" applyFont="1">
      <alignment horizontal="left" readingOrder="0" vertical="bottom"/>
    </xf>
    <xf borderId="0" fillId="2" fontId="1" numFmtId="0" xfId="0" applyAlignment="1" applyFont="1">
      <alignment horizontal="left" readingOrder="0" vertical="bottom"/>
    </xf>
    <xf borderId="0" fillId="2" fontId="8" numFmtId="0" xfId="0" applyAlignment="1" applyFont="1">
      <alignment horizontal="center" vertical="center"/>
    </xf>
    <xf borderId="0" fillId="2" fontId="8" numFmtId="0" xfId="0" applyAlignment="1" applyFont="1">
      <alignment horizontal="center" vertical="bottom"/>
    </xf>
    <xf borderId="0" fillId="2" fontId="8" numFmtId="0" xfId="0" applyAlignment="1" applyFont="1">
      <alignment horizontal="right" vertical="bottom"/>
    </xf>
    <xf borderId="1" fillId="0" fontId="5" numFmtId="0" xfId="0" applyAlignment="1" applyBorder="1" applyFont="1">
      <alignment readingOrder="0" vertical="top"/>
    </xf>
    <xf borderId="1" fillId="0" fontId="9" numFmtId="0" xfId="0" applyAlignment="1" applyBorder="1" applyFont="1">
      <alignment horizontal="left" vertical="top"/>
    </xf>
    <xf borderId="1" fillId="0" fontId="5" numFmtId="0" xfId="0" applyAlignment="1" applyBorder="1" applyFont="1">
      <alignment horizontal="right" vertical="top"/>
    </xf>
    <xf borderId="1" fillId="0" fontId="5" numFmtId="0" xfId="0" applyAlignment="1" applyBorder="1" applyFont="1">
      <alignment horizontal="right" readingOrder="0" vertical="top"/>
    </xf>
    <xf borderId="1" fillId="0" fontId="10" numFmtId="165" xfId="0" applyAlignment="1" applyBorder="1" applyFont="1" applyNumberFormat="1">
      <alignment horizontal="right" readingOrder="0" vertical="top"/>
    </xf>
    <xf borderId="1" fillId="0" fontId="10" numFmtId="164" xfId="0" applyAlignment="1" applyBorder="1" applyFont="1" applyNumberFormat="1">
      <alignment readingOrder="0" shrinkToFit="0" vertical="top" wrapText="0"/>
    </xf>
    <xf borderId="1" fillId="0" fontId="5" numFmtId="0" xfId="0" applyAlignment="1" applyBorder="1" applyFont="1">
      <alignment horizontal="center" readingOrder="0" vertical="top"/>
    </xf>
    <xf borderId="1" fillId="0" fontId="5" numFmtId="166" xfId="0" applyAlignment="1" applyBorder="1" applyFont="1" applyNumberFormat="1">
      <alignment vertical="top"/>
    </xf>
    <xf borderId="1" fillId="0" fontId="5" numFmtId="0" xfId="0" applyAlignment="1" applyBorder="1" applyFont="1">
      <alignment horizontal="center" vertical="top"/>
    </xf>
    <xf borderId="1" fillId="0" fontId="5" numFmtId="0" xfId="0" applyAlignment="1" applyBorder="1" applyFont="1">
      <alignment horizontal="center" readingOrder="0" shrinkToFit="0" vertical="top" wrapText="1"/>
    </xf>
    <xf borderId="1" fillId="0" fontId="5" numFmtId="0" xfId="0" applyAlignment="1" applyBorder="1" applyFont="1">
      <alignment vertical="top"/>
    </xf>
    <xf borderId="1" fillId="0" fontId="5" numFmtId="0" xfId="0" applyAlignment="1" applyBorder="1" applyFont="1">
      <alignment horizontal="right" readingOrder="0" shrinkToFit="0" vertical="top" wrapText="1"/>
    </xf>
    <xf borderId="0" fillId="3" fontId="11" numFmtId="0" xfId="0" applyAlignment="1" applyFill="1" applyFont="1">
      <alignment readingOrder="0" vertical="bottom"/>
    </xf>
    <xf borderId="0" fillId="3" fontId="12" numFmtId="0" xfId="0" applyAlignment="1" applyFont="1">
      <alignment readingOrder="0" vertical="bottom"/>
    </xf>
    <xf borderId="0" fillId="3" fontId="13" numFmtId="0" xfId="0" applyAlignment="1" applyFont="1">
      <alignment readingOrder="0" shrinkToFit="0" vertical="center" wrapText="0"/>
    </xf>
    <xf borderId="0" fillId="3" fontId="14" numFmtId="0" xfId="0" applyAlignment="1" applyFont="1">
      <alignment horizontal="right" readingOrder="0" vertical="bottom"/>
    </xf>
    <xf borderId="0" fillId="3" fontId="11" numFmtId="0" xfId="0" applyAlignment="1" applyFont="1">
      <alignment horizontal="right" readingOrder="0" vertical="bottom"/>
    </xf>
    <xf borderId="0" fillId="4" fontId="15" numFmtId="165" xfId="0" applyAlignment="1" applyFill="1" applyFont="1" applyNumberFormat="1">
      <alignment horizontal="right" vertical="bottom"/>
    </xf>
    <xf borderId="0" fillId="3" fontId="15" numFmtId="164" xfId="0" applyAlignment="1" applyFont="1" applyNumberFormat="1">
      <alignment horizontal="right" vertical="bottom"/>
    </xf>
    <xf borderId="0" fillId="3" fontId="16" numFmtId="0" xfId="0" applyAlignment="1" applyFont="1">
      <alignment horizontal="center" readingOrder="0" vertical="bottom"/>
    </xf>
    <xf borderId="0" fillId="3" fontId="6" numFmtId="0" xfId="0" applyAlignment="1" applyFont="1">
      <alignment horizontal="center" vertical="center"/>
    </xf>
    <xf borderId="0" fillId="3" fontId="17" numFmtId="0" xfId="0" applyAlignment="1" applyFont="1">
      <alignment vertical="center"/>
    </xf>
    <xf borderId="0" fillId="3" fontId="18" numFmtId="0" xfId="0" applyAlignment="1" applyFont="1">
      <alignment horizontal="center" vertical="bottom"/>
    </xf>
    <xf borderId="0" fillId="3" fontId="19" numFmtId="0" xfId="0" applyAlignment="1" applyFont="1">
      <alignment readingOrder="0" shrinkToFit="0" vertical="center" wrapText="0"/>
    </xf>
    <xf borderId="0" fillId="3" fontId="20" numFmtId="0" xfId="0" applyAlignment="1" applyFont="1">
      <alignment readingOrder="0" vertical="bottom"/>
    </xf>
    <xf borderId="0" fillId="3" fontId="21" numFmtId="0" xfId="0" applyAlignment="1" applyFont="1">
      <alignment horizontal="center" readingOrder="0" vertical="center"/>
    </xf>
    <xf borderId="0" fillId="3" fontId="22" numFmtId="0" xfId="0" applyAlignment="1" applyFont="1">
      <alignment horizontal="right" readingOrder="0" vertical="bottom"/>
    </xf>
    <xf borderId="0" fillId="3" fontId="23" numFmtId="0" xfId="0" applyAlignment="1" applyFont="1">
      <alignment horizontal="left" vertical="bottom"/>
    </xf>
    <xf borderId="0" fillId="3" fontId="24" numFmtId="0" xfId="0" applyAlignment="1" applyFont="1">
      <alignment horizontal="left" readingOrder="0" shrinkToFit="0" vertical="center" wrapText="0"/>
    </xf>
    <xf borderId="0" fillId="3" fontId="12" numFmtId="0" xfId="0" applyAlignment="1" applyFont="1">
      <alignment horizontal="right" readingOrder="0" vertical="bottom"/>
    </xf>
    <xf borderId="0" fillId="3" fontId="15" numFmtId="165" xfId="0" applyAlignment="1" applyFont="1" applyNumberFormat="1">
      <alignment horizontal="right" vertical="bottom"/>
    </xf>
    <xf borderId="0" fillId="3" fontId="6" numFmtId="164" xfId="0" applyAlignment="1" applyFont="1" applyNumberFormat="1">
      <alignment readingOrder="0" vertical="bottom"/>
    </xf>
    <xf borderId="0" fillId="3" fontId="25" numFmtId="0" xfId="0" applyAlignment="1" applyFont="1">
      <alignment horizontal="center" readingOrder="0" vertical="bottom"/>
    </xf>
    <xf borderId="0" fillId="3" fontId="14" numFmtId="0" xfId="0" applyAlignment="1" applyFont="1">
      <alignment horizontal="left" readingOrder="0" vertical="bottom"/>
    </xf>
    <xf borderId="0" fillId="3" fontId="22" numFmtId="0" xfId="0" applyAlignment="1" applyFont="1">
      <alignment horizontal="center" readingOrder="0" vertical="center"/>
    </xf>
    <xf borderId="0" fillId="3" fontId="26" numFmtId="0" xfId="0" applyAlignment="1" applyFont="1">
      <alignment horizontal="left" readingOrder="0" vertical="bottom"/>
    </xf>
    <xf borderId="0" fillId="3" fontId="23" numFmtId="0" xfId="0" applyAlignment="1" applyFont="1">
      <alignment vertical="bottom"/>
    </xf>
    <xf borderId="0" fillId="3" fontId="27" numFmtId="164" xfId="0" applyAlignment="1" applyFont="1" applyNumberFormat="1">
      <alignment horizontal="right" vertical="bottom"/>
    </xf>
    <xf borderId="0" fillId="3" fontId="28" numFmtId="0" xfId="0" applyAlignment="1" applyFont="1">
      <alignment horizontal="center" vertical="bottom"/>
    </xf>
    <xf borderId="0" fillId="3" fontId="15" numFmtId="0" xfId="0" applyAlignment="1" applyFont="1">
      <alignment horizontal="center" vertical="bottom"/>
    </xf>
    <xf borderId="0" fillId="3" fontId="29" numFmtId="0" xfId="0" applyAlignment="1" applyFont="1">
      <alignment readingOrder="0" shrinkToFit="0" vertical="center" wrapText="0"/>
    </xf>
    <xf borderId="0" fillId="3" fontId="12" numFmtId="0" xfId="0" applyAlignment="1" applyFont="1">
      <alignment vertical="bottom"/>
    </xf>
    <xf borderId="0" fillId="3" fontId="30" numFmtId="0" xfId="0" applyAlignment="1" applyFont="1">
      <alignment horizontal="center" readingOrder="0" vertical="center"/>
    </xf>
    <xf borderId="0" fillId="3" fontId="30" numFmtId="0" xfId="0" applyAlignment="1" applyFont="1">
      <alignment horizontal="right" readingOrder="0" vertical="bottom"/>
    </xf>
    <xf borderId="0" fillId="5" fontId="23" numFmtId="0" xfId="0" applyAlignment="1" applyFill="1" applyFont="1">
      <alignment vertical="bottom"/>
    </xf>
    <xf borderId="0" fillId="3" fontId="25" numFmtId="0" xfId="0" applyAlignment="1" applyFont="1">
      <alignment horizontal="right" readingOrder="0" vertical="bottom"/>
    </xf>
    <xf borderId="0" fillId="3" fontId="31" numFmtId="0" xfId="0" applyAlignment="1" applyFont="1">
      <alignment readingOrder="0" shrinkToFit="0" vertical="center" wrapText="0"/>
    </xf>
    <xf borderId="0" fillId="0" fontId="23" numFmtId="0" xfId="0" applyAlignment="1" applyFont="1">
      <alignment horizontal="left" vertical="bottom"/>
    </xf>
    <xf borderId="0" fillId="3" fontId="6" numFmtId="165" xfId="0" applyAlignment="1" applyFont="1" applyNumberFormat="1">
      <alignment horizontal="right" readingOrder="0" vertical="bottom"/>
    </xf>
    <xf borderId="0" fillId="3" fontId="6" numFmtId="0" xfId="0" applyAlignment="1" applyFont="1">
      <alignment horizontal="center" readingOrder="0" vertical="center"/>
    </xf>
    <xf borderId="0" fillId="3" fontId="17" numFmtId="0" xfId="0" applyAlignment="1" applyFont="1">
      <alignment readingOrder="0" vertical="center"/>
    </xf>
    <xf borderId="0" fillId="3" fontId="32" numFmtId="0" xfId="0" applyAlignment="1" applyFont="1">
      <alignment readingOrder="0" vertical="center"/>
    </xf>
    <xf borderId="0" fillId="3" fontId="33" numFmtId="0" xfId="0" applyAlignment="1" applyFont="1">
      <alignment readingOrder="0" shrinkToFit="0" vertical="center" wrapText="0"/>
    </xf>
    <xf borderId="0" fillId="3" fontId="12" numFmtId="0" xfId="0" applyAlignment="1" applyFont="1">
      <alignment horizontal="right" vertical="bottom"/>
    </xf>
    <xf borderId="0" fillId="3" fontId="11" numFmtId="0" xfId="0" applyAlignment="1" applyFont="1">
      <alignment horizontal="right" vertical="bottom"/>
    </xf>
    <xf borderId="0" fillId="3" fontId="34" numFmtId="0" xfId="0" applyAlignment="1" applyFont="1">
      <alignment vertical="bottom"/>
    </xf>
    <xf borderId="0" fillId="3" fontId="34" numFmtId="0" xfId="0" applyFont="1"/>
    <xf borderId="0" fillId="3" fontId="35" numFmtId="0" xfId="0" applyAlignment="1" applyFont="1">
      <alignment readingOrder="0" shrinkToFit="0" wrapText="0"/>
    </xf>
    <xf borderId="0" fillId="3" fontId="15" numFmtId="0" xfId="0" applyAlignment="1" applyFont="1">
      <alignment vertical="bottom"/>
    </xf>
    <xf borderId="0" fillId="3" fontId="6" numFmtId="0" xfId="0" applyAlignment="1" applyFont="1">
      <alignment horizontal="left" readingOrder="0" vertical="bottom"/>
    </xf>
    <xf borderId="0" fillId="3" fontId="36" numFmtId="0" xfId="0" applyAlignment="1" applyFont="1">
      <alignment horizontal="right" readingOrder="0" vertical="bottom"/>
    </xf>
    <xf borderId="0" fillId="6" fontId="12" numFmtId="0" xfId="0" applyAlignment="1" applyFill="1" applyFont="1">
      <alignment readingOrder="0" vertical="bottom"/>
    </xf>
    <xf borderId="0" fillId="7" fontId="15" numFmtId="0" xfId="0" applyAlignment="1" applyFill="1" applyFont="1">
      <alignment readingOrder="0" vertical="bottom"/>
    </xf>
    <xf borderId="0" fillId="6" fontId="37" numFmtId="0" xfId="0" applyAlignment="1" applyFont="1">
      <alignment readingOrder="0" vertical="center"/>
    </xf>
    <xf borderId="0" fillId="6" fontId="12" numFmtId="0" xfId="0" applyAlignment="1" applyFont="1">
      <alignment horizontal="right" readingOrder="0" vertical="bottom"/>
    </xf>
    <xf borderId="0" fillId="8" fontId="15" numFmtId="164" xfId="0" applyAlignment="1" applyFill="1" applyFont="1" applyNumberFormat="1">
      <alignment horizontal="right" vertical="bottom"/>
    </xf>
    <xf borderId="0" fillId="9" fontId="6" numFmtId="0" xfId="0" applyAlignment="1" applyFill="1" applyFont="1">
      <alignment horizontal="center" vertical="bottom"/>
    </xf>
    <xf borderId="0" fillId="10" fontId="6" numFmtId="0" xfId="0" applyAlignment="1" applyFill="1" applyFont="1">
      <alignment horizontal="center" vertical="bottom"/>
    </xf>
    <xf borderId="0" fillId="6" fontId="28" numFmtId="0" xfId="0" applyAlignment="1" applyFont="1">
      <alignment horizontal="center" vertical="bottom"/>
    </xf>
    <xf borderId="0" fillId="0" fontId="6" numFmtId="0" xfId="0" applyAlignment="1" applyFont="1">
      <alignment horizontal="center" readingOrder="0" vertical="center"/>
    </xf>
    <xf borderId="0" fillId="0" fontId="38" numFmtId="0" xfId="0" applyFont="1"/>
    <xf borderId="0" fillId="11" fontId="12" numFmtId="167" xfId="0" applyAlignment="1" applyFill="1" applyFont="1" applyNumberFormat="1">
      <alignment horizontal="right" readingOrder="0" vertical="bottom"/>
    </xf>
    <xf borderId="0" fillId="0" fontId="15" numFmtId="0" xfId="0" applyAlignment="1" applyFont="1">
      <alignment horizontal="center" vertical="bottom"/>
    </xf>
    <xf borderId="0" fillId="6" fontId="39" numFmtId="0" xfId="0" applyAlignment="1" applyFont="1">
      <alignment readingOrder="0" shrinkToFit="0" vertical="center" wrapText="0"/>
    </xf>
    <xf borderId="0" fillId="6" fontId="12" numFmtId="0" xfId="0" applyAlignment="1" applyFont="1">
      <alignment vertical="bottom"/>
    </xf>
    <xf borderId="0" fillId="6" fontId="30" numFmtId="0" xfId="0" applyAlignment="1" applyFont="1">
      <alignment horizontal="center" readingOrder="0" vertical="center"/>
    </xf>
    <xf borderId="0" fillId="6" fontId="12" numFmtId="0" xfId="0" applyAlignment="1" applyFont="1">
      <alignment readingOrder="0" vertical="bottom"/>
    </xf>
    <xf borderId="0" fillId="0" fontId="30" numFmtId="0" xfId="0" applyAlignment="1" applyFont="1">
      <alignment horizontal="right" readingOrder="0"/>
    </xf>
    <xf borderId="0" fillId="0" fontId="12" numFmtId="0" xfId="0" applyAlignment="1" applyFont="1">
      <alignment readingOrder="0" vertical="bottom"/>
    </xf>
    <xf borderId="0" fillId="0" fontId="15" numFmtId="0" xfId="0" applyAlignment="1" applyFont="1">
      <alignment vertical="bottom"/>
    </xf>
    <xf borderId="0" fillId="0" fontId="40" numFmtId="0" xfId="0" applyAlignment="1" applyFont="1">
      <alignment readingOrder="0" vertical="center"/>
    </xf>
    <xf borderId="0" fillId="0" fontId="15" numFmtId="0" xfId="0" applyAlignment="1" applyFont="1">
      <alignment horizontal="right" readingOrder="0" vertical="bottom"/>
    </xf>
    <xf borderId="0" fillId="12" fontId="14" numFmtId="0" xfId="0" applyAlignment="1" applyFill="1" applyFont="1">
      <alignment horizontal="right" readingOrder="0" vertical="bottom"/>
    </xf>
    <xf borderId="0" fillId="0" fontId="15" numFmtId="165" xfId="0" applyAlignment="1" applyFont="1" applyNumberFormat="1">
      <alignment horizontal="right" vertical="bottom"/>
    </xf>
    <xf borderId="0" fillId="0" fontId="15" numFmtId="164" xfId="0" applyAlignment="1" applyFont="1" applyNumberFormat="1">
      <alignment horizontal="right" vertical="bottom"/>
    </xf>
    <xf borderId="0" fillId="0" fontId="15" numFmtId="0" xfId="0" applyAlignment="1" applyFont="1">
      <alignment horizontal="center" readingOrder="0" vertical="bottom"/>
    </xf>
    <xf borderId="0" fillId="11" fontId="6" numFmtId="0" xfId="0" applyAlignment="1" applyFont="1">
      <alignment horizontal="center" readingOrder="0" vertical="bottom"/>
    </xf>
    <xf borderId="0" fillId="0" fontId="34" numFmtId="0" xfId="0" applyFont="1"/>
    <xf borderId="0" fillId="0" fontId="41" numFmtId="0" xfId="0" applyAlignment="1" applyFont="1">
      <alignment readingOrder="0"/>
    </xf>
    <xf borderId="0" fillId="11" fontId="12" numFmtId="0" xfId="0" applyAlignment="1" applyFont="1">
      <alignment readingOrder="0" vertical="bottom"/>
    </xf>
    <xf borderId="0" fillId="0" fontId="30" numFmtId="0" xfId="0" applyAlignment="1" applyFont="1">
      <alignment horizontal="center" readingOrder="0"/>
    </xf>
    <xf borderId="0" fillId="0" fontId="42" numFmtId="0" xfId="0" applyAlignment="1" applyFont="1">
      <alignment readingOrder="0" vertical="bottom"/>
    </xf>
    <xf borderId="0" fillId="0" fontId="12" numFmtId="0" xfId="0" applyAlignment="1" applyFont="1">
      <alignment readingOrder="0" vertical="bottom"/>
    </xf>
    <xf borderId="0" fillId="13" fontId="23" numFmtId="0" xfId="0" applyAlignment="1" applyFill="1" applyFont="1">
      <alignment readingOrder="0" vertical="bottom"/>
    </xf>
    <xf borderId="0" fillId="0" fontId="43" numFmtId="0" xfId="0" applyAlignment="1" applyFont="1">
      <alignment readingOrder="0" vertical="center"/>
    </xf>
    <xf borderId="0" fillId="0" fontId="12" numFmtId="0" xfId="0" applyAlignment="1" applyFont="1">
      <alignment horizontal="right" readingOrder="0" vertical="bottom"/>
    </xf>
    <xf borderId="0" fillId="12" fontId="15" numFmtId="164" xfId="0" applyAlignment="1" applyFont="1" applyNumberFormat="1">
      <alignment horizontal="right" vertical="bottom"/>
    </xf>
    <xf borderId="0" fillId="11" fontId="12" numFmtId="167" xfId="0" applyAlignment="1" applyFont="1" applyNumberFormat="1">
      <alignment horizontal="right" vertical="bottom"/>
    </xf>
    <xf borderId="0" fillId="12" fontId="15" numFmtId="0" xfId="0" applyAlignment="1" applyFont="1">
      <alignment horizontal="center" vertical="bottom"/>
    </xf>
    <xf borderId="0" fillId="0" fontId="30" numFmtId="0" xfId="0" applyAlignment="1" applyFont="1">
      <alignment horizontal="center" readingOrder="0" shrinkToFit="0" vertical="center" wrapText="0"/>
    </xf>
    <xf borderId="0" fillId="0" fontId="12" numFmtId="0" xfId="0" applyAlignment="1" applyFont="1">
      <alignment readingOrder="0" shrinkToFit="0" vertical="bottom" wrapText="0"/>
    </xf>
    <xf borderId="0" fillId="13" fontId="23" numFmtId="0" xfId="0" applyAlignment="1" applyFont="1">
      <alignment readingOrder="0" vertical="bottom"/>
    </xf>
    <xf borderId="0" fillId="0" fontId="11" numFmtId="0" xfId="0" applyAlignment="1" applyFont="1">
      <alignment horizontal="right" readingOrder="0" vertical="bottom"/>
    </xf>
    <xf borderId="0" fillId="11" fontId="6" numFmtId="0" xfId="0" applyAlignment="1" applyFont="1">
      <alignment horizontal="center" vertical="bottom"/>
    </xf>
    <xf borderId="0" fillId="0" fontId="6" numFmtId="0" xfId="0" applyAlignment="1" applyFont="1">
      <alignment horizontal="center" vertical="center"/>
    </xf>
    <xf borderId="0" fillId="13" fontId="23" numFmtId="0" xfId="0" applyAlignment="1" applyFont="1">
      <alignment vertical="bottom"/>
    </xf>
    <xf borderId="0" fillId="0" fontId="30" numFmtId="0" xfId="0" applyAlignment="1" applyFont="1">
      <alignment horizontal="center" shrinkToFit="0" vertical="center" wrapText="0"/>
    </xf>
    <xf borderId="0" fillId="0" fontId="44" numFmtId="0" xfId="0" applyAlignment="1" applyFont="1">
      <alignment readingOrder="0" shrinkToFit="0" vertical="bottom" wrapText="0"/>
    </xf>
    <xf borderId="0" fillId="0" fontId="23" numFmtId="0" xfId="0" applyAlignment="1" applyFont="1">
      <alignment vertical="bottom"/>
    </xf>
    <xf borderId="0" fillId="0" fontId="31" numFmtId="0" xfId="0" applyAlignment="1" applyFont="1">
      <alignment readingOrder="0" vertical="center"/>
    </xf>
    <xf borderId="0" fillId="0" fontId="11" numFmtId="0" xfId="0" applyAlignment="1" applyFont="1">
      <alignment horizontal="right" readingOrder="0" vertical="bottom"/>
    </xf>
    <xf borderId="0" fillId="0" fontId="15" numFmtId="164" xfId="0" applyAlignment="1" applyFont="1" applyNumberFormat="1">
      <alignment horizontal="right" vertical="bottom"/>
    </xf>
    <xf borderId="0" fillId="0" fontId="25" numFmtId="0" xfId="0" applyAlignment="1" applyFont="1">
      <alignment horizontal="center" readingOrder="0" vertical="bottom"/>
    </xf>
    <xf borderId="0" fillId="0" fontId="6" numFmtId="0" xfId="0" applyAlignment="1" applyFont="1">
      <alignment horizontal="center" readingOrder="0" vertical="bottom"/>
    </xf>
    <xf borderId="0" fillId="12" fontId="6" numFmtId="0" xfId="0" applyAlignment="1" applyFont="1">
      <alignment horizontal="center" readingOrder="0" vertical="center"/>
    </xf>
    <xf borderId="0" fillId="12" fontId="38" numFmtId="0" xfId="0" applyAlignment="1" applyFont="1">
      <alignment readingOrder="0" vertical="center"/>
    </xf>
    <xf borderId="0" fillId="11" fontId="15" numFmtId="0" xfId="0" applyAlignment="1" applyFont="1">
      <alignment horizontal="center" vertical="bottom"/>
    </xf>
    <xf borderId="0" fillId="0" fontId="45" numFmtId="0" xfId="0" applyAlignment="1" applyFont="1">
      <alignment readingOrder="0" vertical="center"/>
    </xf>
    <xf borderId="0" fillId="0" fontId="11" numFmtId="0" xfId="0" applyAlignment="1" applyFont="1">
      <alignment vertical="bottom"/>
    </xf>
    <xf borderId="0" fillId="0" fontId="46" numFmtId="0" xfId="0" applyAlignment="1" applyFont="1">
      <alignment horizontal="center" readingOrder="0" vertical="center"/>
    </xf>
    <xf borderId="0" fillId="0" fontId="15" numFmtId="0" xfId="0" applyAlignment="1" applyFont="1">
      <alignment readingOrder="0" vertical="bottom"/>
    </xf>
    <xf borderId="0" fillId="0" fontId="47" numFmtId="0" xfId="0" applyAlignment="1" applyFont="1">
      <alignment readingOrder="0" vertical="center"/>
    </xf>
    <xf borderId="0" fillId="12" fontId="12" numFmtId="0" xfId="0" applyAlignment="1" applyFont="1">
      <alignment readingOrder="0" vertical="bottom"/>
    </xf>
    <xf borderId="0" fillId="12" fontId="48" numFmtId="0" xfId="0" applyAlignment="1" applyFont="1">
      <alignment readingOrder="0"/>
    </xf>
    <xf borderId="0" fillId="12" fontId="12" numFmtId="0" xfId="0" applyAlignment="1" applyFont="1">
      <alignment horizontal="right" vertical="bottom"/>
    </xf>
    <xf borderId="0" fillId="14" fontId="15" numFmtId="165" xfId="0" applyAlignment="1" applyFill="1" applyFont="1" applyNumberFormat="1">
      <alignment horizontal="right" vertical="bottom"/>
    </xf>
    <xf borderId="0" fillId="12" fontId="34" numFmtId="0" xfId="0" applyAlignment="1" applyFont="1">
      <alignment vertical="bottom"/>
    </xf>
    <xf borderId="0" fillId="12" fontId="34" numFmtId="0" xfId="0" applyFont="1"/>
    <xf borderId="0" fillId="12" fontId="49" numFmtId="0" xfId="0" applyFont="1"/>
    <xf borderId="0" fillId="12" fontId="18" numFmtId="0" xfId="0" applyAlignment="1" applyFont="1">
      <alignment horizontal="center" vertical="bottom"/>
    </xf>
    <xf borderId="0" fillId="12" fontId="50" numFmtId="0" xfId="0" applyAlignment="1" applyFont="1">
      <alignment readingOrder="0"/>
    </xf>
    <xf borderId="0" fillId="12" fontId="12" numFmtId="0" xfId="0" applyAlignment="1" applyFont="1">
      <alignment vertical="bottom"/>
    </xf>
    <xf borderId="0" fillId="12" fontId="15" numFmtId="0" xfId="0" applyAlignment="1" applyFont="1">
      <alignment readingOrder="0" vertical="bottom"/>
    </xf>
    <xf borderId="0" fillId="13" fontId="23" numFmtId="0" xfId="0" applyAlignment="1" applyFont="1">
      <alignment vertical="bottom"/>
    </xf>
    <xf borderId="0" fillId="11" fontId="51" numFmtId="0" xfId="0" applyFont="1"/>
    <xf borderId="0" fillId="11" fontId="11" numFmtId="0" xfId="0" applyAlignment="1" applyFont="1">
      <alignment horizontal="right" vertical="bottom"/>
    </xf>
    <xf borderId="0" fillId="15" fontId="15" numFmtId="164" xfId="0" applyAlignment="1" applyFill="1" applyFont="1" applyNumberFormat="1">
      <alignment horizontal="right" vertical="bottom"/>
    </xf>
    <xf borderId="0" fillId="11" fontId="34" numFmtId="0" xfId="0" applyAlignment="1" applyFont="1">
      <alignment vertical="bottom"/>
    </xf>
    <xf borderId="0" fillId="16" fontId="15" numFmtId="0" xfId="0" applyAlignment="1" applyFill="1" applyFont="1">
      <alignment horizontal="center" readingOrder="0" vertical="bottom"/>
    </xf>
    <xf borderId="0" fillId="11" fontId="34" numFmtId="0" xfId="0" applyFont="1"/>
    <xf borderId="0" fillId="11" fontId="38" numFmtId="0" xfId="0" applyFont="1"/>
    <xf borderId="0" fillId="11" fontId="52" numFmtId="0" xfId="0" applyAlignment="1" applyFont="1">
      <alignment readingOrder="0" shrinkToFit="0" wrapText="0"/>
    </xf>
    <xf borderId="0" fillId="11" fontId="12" numFmtId="0" xfId="0" applyAlignment="1" applyFont="1">
      <alignment vertical="bottom"/>
    </xf>
    <xf borderId="0" fillId="0" fontId="36" numFmtId="0" xfId="0" applyAlignment="1" applyFont="1">
      <alignment horizontal="center" readingOrder="0" vertical="center"/>
    </xf>
    <xf borderId="0" fillId="11" fontId="15" numFmtId="0" xfId="0" applyAlignment="1" applyFont="1">
      <alignment readingOrder="0" vertical="bottom"/>
    </xf>
    <xf borderId="0" fillId="0" fontId="15" numFmtId="0" xfId="0" applyAlignment="1" applyFont="1">
      <alignment horizontal="left" vertical="bottom"/>
    </xf>
    <xf borderId="0" fillId="0" fontId="53" numFmtId="0" xfId="0" applyAlignment="1" applyFont="1">
      <alignment horizontal="left" readingOrder="0" vertical="center"/>
    </xf>
    <xf borderId="0" fillId="0" fontId="15" numFmtId="165" xfId="0" applyAlignment="1" applyFont="1" applyNumberFormat="1">
      <alignment horizontal="right" vertical="bottom"/>
    </xf>
    <xf borderId="0" fillId="0" fontId="25" numFmtId="0" xfId="0" applyAlignment="1" applyFont="1">
      <alignment horizontal="center" readingOrder="0" vertical="bottom"/>
    </xf>
    <xf borderId="0" fillId="0" fontId="6" numFmtId="0" xfId="0" applyAlignment="1" applyFont="1">
      <alignment horizontal="center" readingOrder="0" vertical="bottom"/>
    </xf>
    <xf borderId="0" fillId="0" fontId="6" numFmtId="0" xfId="0" applyAlignment="1" applyFont="1">
      <alignment horizontal="center" vertical="center"/>
    </xf>
    <xf borderId="0" fillId="12" fontId="38" numFmtId="0" xfId="0" applyAlignment="1" applyFont="1">
      <alignment vertical="center"/>
    </xf>
    <xf borderId="0" fillId="0" fontId="54" numFmtId="0" xfId="0" applyAlignment="1" applyFont="1">
      <alignment readingOrder="0" shrinkToFit="0" vertical="center" wrapText="0"/>
    </xf>
    <xf borderId="0" fillId="0" fontId="6" numFmtId="0" xfId="0" applyAlignment="1" applyFont="1">
      <alignment horizontal="left" readingOrder="0" vertical="bottom"/>
    </xf>
    <xf borderId="0" fillId="11" fontId="55" numFmtId="0" xfId="0" applyAlignment="1" applyFont="1">
      <alignment readingOrder="0" shrinkToFit="0" vertical="center" wrapText="0"/>
    </xf>
    <xf borderId="0" fillId="11" fontId="12" numFmtId="0" xfId="0" applyAlignment="1" applyFont="1">
      <alignment horizontal="right" vertical="bottom"/>
    </xf>
    <xf borderId="0" fillId="17" fontId="15" numFmtId="164" xfId="0" applyAlignment="1" applyFill="1" applyFont="1" applyNumberFormat="1">
      <alignment horizontal="right" vertical="bottom"/>
    </xf>
    <xf borderId="0" fillId="18" fontId="15" numFmtId="0" xfId="0" applyAlignment="1" applyFill="1" applyFont="1">
      <alignment horizontal="center" vertical="bottom"/>
    </xf>
    <xf borderId="0" fillId="19" fontId="15" numFmtId="0" xfId="0" applyAlignment="1" applyFill="1" applyFont="1">
      <alignment horizontal="center" readingOrder="0" vertical="bottom"/>
    </xf>
    <xf borderId="0" fillId="20" fontId="15" numFmtId="0" xfId="0" applyAlignment="1" applyFill="1" applyFont="1">
      <alignment horizontal="center" readingOrder="0" vertical="bottom"/>
    </xf>
    <xf borderId="0" fillId="21" fontId="56" numFmtId="0" xfId="0" applyAlignment="1" applyFill="1" applyFont="1">
      <alignment horizontal="center" readingOrder="0"/>
    </xf>
    <xf borderId="0" fillId="11" fontId="38" numFmtId="0" xfId="0" applyAlignment="1" applyFont="1">
      <alignment vertical="bottom"/>
    </xf>
    <xf borderId="0" fillId="11" fontId="57" numFmtId="0" xfId="0" applyAlignment="1" applyFont="1">
      <alignment readingOrder="0" shrinkToFit="0" vertical="bottom" wrapText="0"/>
    </xf>
    <xf borderId="0" fillId="11" fontId="30" numFmtId="0" xfId="0" applyAlignment="1" applyFont="1">
      <alignment horizontal="center" vertical="bottom"/>
    </xf>
    <xf borderId="0" fillId="11" fontId="58" numFmtId="0" xfId="0" applyAlignment="1" applyFont="1">
      <alignment shrinkToFit="0" vertical="bottom" wrapText="0"/>
    </xf>
    <xf borderId="0" fillId="0" fontId="15" numFmtId="0" xfId="0" applyAlignment="1" applyFont="1">
      <alignment horizontal="left" readingOrder="0" vertical="bottom"/>
    </xf>
    <xf borderId="0" fillId="0" fontId="59" numFmtId="0" xfId="0" applyAlignment="1" applyFont="1">
      <alignment horizontal="left" readingOrder="0" shrinkToFit="0" vertical="center" wrapText="0"/>
    </xf>
    <xf borderId="0" fillId="0" fontId="6" numFmtId="0" xfId="0" applyAlignment="1" applyFont="1">
      <alignment horizontal="right" readingOrder="0" vertical="bottom"/>
    </xf>
    <xf borderId="0" fillId="22" fontId="15" numFmtId="164" xfId="0" applyAlignment="1" applyFill="1" applyFont="1" applyNumberFormat="1">
      <alignment horizontal="right" vertical="bottom"/>
    </xf>
    <xf borderId="0" fillId="0" fontId="25" numFmtId="0" xfId="0" applyAlignment="1" applyFont="1">
      <alignment horizontal="center" readingOrder="0" vertical="bottom"/>
    </xf>
    <xf borderId="0" fillId="0" fontId="6" numFmtId="0" xfId="0" applyAlignment="1" applyFont="1">
      <alignment horizontal="center" readingOrder="0" vertical="bottom"/>
    </xf>
    <xf borderId="0" fillId="0" fontId="6" numFmtId="0" xfId="0" applyAlignment="1" applyFont="1">
      <alignment horizontal="center" readingOrder="0" vertical="center"/>
    </xf>
    <xf borderId="0" fillId="12" fontId="38" numFmtId="0" xfId="0" applyFont="1"/>
    <xf borderId="0" fillId="0" fontId="15" numFmtId="0" xfId="0" applyAlignment="1" applyFont="1">
      <alignment horizontal="left" readingOrder="0" vertical="bottom"/>
    </xf>
    <xf borderId="0" fillId="0" fontId="15" numFmtId="0" xfId="0" applyAlignment="1" applyFont="1">
      <alignment horizontal="left" readingOrder="0" vertical="bottom"/>
    </xf>
    <xf borderId="0" fillId="0" fontId="15" numFmtId="0" xfId="0" applyAlignment="1" applyFont="1">
      <alignment horizontal="left" vertical="bottom"/>
    </xf>
    <xf borderId="0" fillId="0" fontId="60" numFmtId="0" xfId="0" applyAlignment="1" applyFont="1">
      <alignment readingOrder="0" vertical="center"/>
    </xf>
    <xf borderId="0" fillId="0" fontId="25" numFmtId="0" xfId="0" applyAlignment="1" applyFont="1">
      <alignment horizontal="right" readingOrder="0" vertical="bottom"/>
    </xf>
    <xf borderId="0" fillId="0" fontId="14" numFmtId="0" xfId="0" applyAlignment="1" applyFont="1">
      <alignment horizontal="left" readingOrder="0" vertical="bottom"/>
    </xf>
    <xf borderId="0" fillId="0" fontId="61" numFmtId="0" xfId="0" applyAlignment="1" applyFont="1">
      <alignment readingOrder="0" vertical="center"/>
    </xf>
    <xf borderId="0" fillId="0" fontId="12" numFmtId="0" xfId="0" applyAlignment="1" applyFont="1">
      <alignment horizontal="right" readingOrder="0" vertical="bottom"/>
    </xf>
    <xf borderId="0" fillId="0" fontId="46" numFmtId="0" xfId="0" applyAlignment="1" applyFont="1">
      <alignment readingOrder="0" vertical="center"/>
    </xf>
    <xf borderId="0" fillId="12" fontId="62" numFmtId="0" xfId="0" applyAlignment="1" applyFont="1">
      <alignment readingOrder="0" shrinkToFit="0" wrapText="0"/>
    </xf>
    <xf borderId="0" fillId="0" fontId="12" numFmtId="0" xfId="0" applyAlignment="1" applyFont="1">
      <alignment vertical="bottom"/>
    </xf>
    <xf borderId="0" fillId="0" fontId="46" numFmtId="0" xfId="0" applyAlignment="1" applyFont="1">
      <alignment horizontal="center" readingOrder="0" shrinkToFit="0" vertical="center" wrapText="0"/>
    </xf>
    <xf borderId="0" fillId="0" fontId="63" numFmtId="0" xfId="0" applyAlignment="1" applyFont="1">
      <alignment readingOrder="0" shrinkToFit="0" vertical="bottom" wrapText="0"/>
    </xf>
    <xf borderId="0" fillId="0" fontId="46" numFmtId="0" xfId="0" applyAlignment="1" applyFont="1">
      <alignment horizontal="right" readingOrder="0" vertical="bottom"/>
    </xf>
    <xf borderId="0" fillId="11" fontId="30" numFmtId="0" xfId="0" applyAlignment="1" applyFont="1">
      <alignment horizontal="right" readingOrder="0" vertical="bottom"/>
    </xf>
    <xf borderId="0" fillId="0" fontId="6" numFmtId="0" xfId="0" applyAlignment="1" applyFont="1">
      <alignment readingOrder="0" vertical="bottom"/>
    </xf>
    <xf borderId="0" fillId="0" fontId="64" numFmtId="0" xfId="0" applyAlignment="1" applyFont="1">
      <alignment readingOrder="0" shrinkToFit="0" vertical="center" wrapText="0"/>
    </xf>
    <xf borderId="0" fillId="0" fontId="28" numFmtId="0" xfId="0" applyAlignment="1" applyFont="1">
      <alignment horizontal="center" vertical="bottom"/>
    </xf>
    <xf borderId="0" fillId="0" fontId="65" numFmtId="0" xfId="0" applyAlignment="1" applyFont="1">
      <alignment readingOrder="0" shrinkToFit="0" vertical="center" wrapText="0"/>
    </xf>
    <xf borderId="0" fillId="0" fontId="30" numFmtId="0" xfId="0" applyAlignment="1" applyFont="1">
      <alignment horizontal="center" readingOrder="0" vertical="center"/>
    </xf>
    <xf borderId="0" fillId="0" fontId="12" numFmtId="0" xfId="0" applyAlignment="1" applyFont="1">
      <alignment readingOrder="0" vertical="bottom"/>
    </xf>
    <xf borderId="0" fillId="0" fontId="66" numFmtId="0" xfId="0" applyAlignment="1" applyFont="1">
      <alignment horizontal="left" readingOrder="0" vertical="center"/>
    </xf>
    <xf borderId="0" fillId="0" fontId="67" numFmtId="0" xfId="0" applyAlignment="1" applyFont="1">
      <alignment horizontal="center" readingOrder="0" vertical="center"/>
    </xf>
    <xf borderId="0" fillId="0" fontId="6" numFmtId="0" xfId="0" applyAlignment="1" applyFont="1">
      <alignment horizontal="left" readingOrder="0" vertical="bottom"/>
    </xf>
    <xf borderId="0" fillId="0" fontId="15" numFmtId="0" xfId="0" applyAlignment="1" applyFont="1">
      <alignment horizontal="left" readingOrder="0" vertical="bottom"/>
    </xf>
    <xf borderId="0" fillId="0" fontId="6" numFmtId="0" xfId="0" applyAlignment="1" applyFont="1">
      <alignment horizontal="center" vertical="bottom"/>
    </xf>
    <xf borderId="0" fillId="0" fontId="25" numFmtId="0" xfId="0" applyAlignment="1" applyFont="1">
      <alignment horizontal="center" vertical="bottom"/>
    </xf>
    <xf borderId="0" fillId="0" fontId="67" numFmtId="0" xfId="0" applyAlignment="1" applyFont="1">
      <alignment horizontal="center" vertical="center"/>
    </xf>
    <xf borderId="0" fillId="0" fontId="11" numFmtId="0" xfId="0" applyAlignment="1" applyFont="1">
      <alignment horizontal="right" vertical="bottom"/>
    </xf>
    <xf borderId="0" fillId="0" fontId="6" numFmtId="0" xfId="0" applyAlignment="1" applyFont="1">
      <alignment horizontal="center" vertical="center"/>
    </xf>
    <xf borderId="0" fillId="0" fontId="68" numFmtId="0" xfId="0" applyAlignment="1" applyFont="1">
      <alignment horizontal="left" readingOrder="0" vertical="bottom"/>
    </xf>
    <xf borderId="0" fillId="12" fontId="69" numFmtId="0" xfId="0" applyAlignment="1" applyFont="1">
      <alignment readingOrder="0" vertical="center"/>
    </xf>
    <xf borderId="0" fillId="12" fontId="11" numFmtId="0" xfId="0" applyAlignment="1" applyFont="1">
      <alignment horizontal="right" readingOrder="0" vertical="bottom"/>
    </xf>
    <xf borderId="0" fillId="11" fontId="11" numFmtId="0" xfId="0" applyAlignment="1" applyFont="1">
      <alignment horizontal="right" readingOrder="0" vertical="bottom"/>
    </xf>
    <xf borderId="0" fillId="23" fontId="6" numFmtId="0" xfId="0" applyAlignment="1" applyFill="1" applyFont="1">
      <alignment horizontal="center" readingOrder="0" vertical="bottom"/>
    </xf>
    <xf borderId="0" fillId="24" fontId="15" numFmtId="0" xfId="0" applyAlignment="1" applyFill="1" applyFont="1">
      <alignment horizontal="center" readingOrder="0" vertical="bottom"/>
    </xf>
    <xf borderId="0" fillId="12" fontId="70" numFmtId="0" xfId="0" applyAlignment="1" applyFont="1">
      <alignment readingOrder="0" vertical="center"/>
    </xf>
    <xf borderId="0" fillId="12" fontId="15" numFmtId="0" xfId="0" applyAlignment="1" applyFont="1">
      <alignment vertical="bottom"/>
    </xf>
    <xf borderId="0" fillId="12" fontId="12" numFmtId="0" xfId="0" applyAlignment="1" applyFont="1">
      <alignment horizontal="right" readingOrder="0" vertical="bottom"/>
    </xf>
    <xf borderId="0" fillId="11" fontId="12" numFmtId="0" xfId="0" applyAlignment="1" applyFont="1">
      <alignment horizontal="right" readingOrder="0" vertical="bottom"/>
    </xf>
    <xf borderId="0" fillId="25" fontId="15" numFmtId="165" xfId="0" applyAlignment="1" applyFill="1" applyFont="1" applyNumberFormat="1">
      <alignment horizontal="right" vertical="bottom"/>
    </xf>
    <xf borderId="0" fillId="26" fontId="15" numFmtId="164" xfId="0" applyAlignment="1" applyFill="1" applyFont="1" applyNumberFormat="1">
      <alignment horizontal="right" vertical="bottom"/>
    </xf>
    <xf borderId="0" fillId="27" fontId="15" numFmtId="0" xfId="0" applyAlignment="1" applyFill="1" applyFont="1">
      <alignment vertical="bottom"/>
    </xf>
    <xf borderId="0" fillId="12" fontId="71" numFmtId="0" xfId="0" applyAlignment="1" applyFont="1">
      <alignment readingOrder="0" vertical="center"/>
    </xf>
    <xf borderId="0" fillId="28" fontId="15" numFmtId="164" xfId="0" applyAlignment="1" applyFill="1" applyFont="1" applyNumberFormat="1">
      <alignment horizontal="right" vertical="bottom"/>
    </xf>
    <xf borderId="0" fillId="29" fontId="15" numFmtId="0" xfId="0" applyAlignment="1" applyFill="1" applyFont="1">
      <alignment horizontal="center" readingOrder="0" vertical="bottom"/>
    </xf>
    <xf borderId="0" fillId="12" fontId="38" numFmtId="0" xfId="0" applyAlignment="1" applyFont="1">
      <alignment vertical="bottom"/>
    </xf>
    <xf borderId="0" fillId="12" fontId="72" numFmtId="0" xfId="0" applyAlignment="1" applyFont="1">
      <alignment readingOrder="0" shrinkToFit="0" vertical="bottom" wrapText="0"/>
    </xf>
    <xf borderId="0" fillId="12" fontId="30" numFmtId="0" xfId="0" applyAlignment="1" applyFont="1">
      <alignment horizontal="center" vertical="bottom"/>
    </xf>
    <xf borderId="0" fillId="0" fontId="15" numFmtId="0" xfId="0" applyAlignment="1" applyFont="1">
      <alignment readingOrder="0" shrinkToFit="0" vertical="bottom" wrapText="0"/>
    </xf>
    <xf borderId="0" fillId="0" fontId="73" numFmtId="0" xfId="0" applyAlignment="1" applyFont="1">
      <alignment horizontal="center" readingOrder="0" vertical="center"/>
    </xf>
    <xf borderId="0" fillId="12" fontId="30" numFmtId="0" xfId="0" applyAlignment="1" applyFont="1">
      <alignment horizontal="center" readingOrder="0" vertical="bottom"/>
    </xf>
    <xf borderId="0" fillId="0" fontId="14" numFmtId="0" xfId="0" applyAlignment="1" applyFont="1">
      <alignment horizontal="right" readingOrder="0" vertical="bottom"/>
    </xf>
    <xf borderId="0" fillId="0" fontId="6" numFmtId="0" xfId="0" applyAlignment="1" applyFont="1">
      <alignment horizontal="center" readingOrder="0" vertical="center"/>
    </xf>
    <xf borderId="0" fillId="0" fontId="74" numFmtId="0" xfId="0" applyAlignment="1" applyFont="1">
      <alignment horizontal="left" readingOrder="0" vertical="bottom"/>
    </xf>
    <xf borderId="0" fillId="13" fontId="23" numFmtId="0" xfId="0" applyAlignment="1" applyFont="1">
      <alignment vertical="bottom"/>
    </xf>
    <xf borderId="0" fillId="0" fontId="12" numFmtId="0" xfId="0" applyAlignment="1" applyFont="1">
      <alignment shrinkToFit="0" vertical="bottom" wrapText="0"/>
    </xf>
    <xf borderId="0" fillId="30" fontId="15" numFmtId="0" xfId="0" applyAlignment="1" applyFill="1" applyFont="1">
      <alignment horizontal="center" vertical="bottom"/>
    </xf>
    <xf borderId="0" fillId="12" fontId="46" numFmtId="0" xfId="0" applyFont="1"/>
    <xf borderId="0" fillId="12" fontId="75" numFmtId="0" xfId="0" applyAlignment="1" applyFont="1">
      <alignment shrinkToFit="0" wrapText="0"/>
    </xf>
    <xf borderId="0" fillId="31" fontId="30" numFmtId="0" xfId="0" applyAlignment="1" applyFill="1" applyFont="1">
      <alignment horizontal="center" readingOrder="0" vertical="center"/>
    </xf>
    <xf borderId="0" fillId="12" fontId="76" numFmtId="0" xfId="0" applyAlignment="1" applyFont="1">
      <alignment readingOrder="0" vertical="center"/>
    </xf>
    <xf borderId="0" fillId="12" fontId="15" numFmtId="0" xfId="0" applyAlignment="1" applyFont="1">
      <alignment horizontal="right" readingOrder="0" vertical="bottom"/>
    </xf>
    <xf borderId="0" fillId="32" fontId="6" numFmtId="0" xfId="0" applyAlignment="1" applyFill="1" applyFont="1">
      <alignment horizontal="center" readingOrder="0" vertical="bottom"/>
    </xf>
    <xf borderId="0" fillId="33" fontId="6" numFmtId="0" xfId="0" applyAlignment="1" applyFill="1" applyFont="1">
      <alignment horizontal="center" readingOrder="0" vertical="bottom"/>
    </xf>
    <xf borderId="0" fillId="12" fontId="30" numFmtId="0" xfId="0" applyAlignment="1" applyFont="1">
      <alignment horizontal="center" readingOrder="0" vertical="center"/>
    </xf>
    <xf borderId="0" fillId="12" fontId="12" numFmtId="0" xfId="0" applyAlignment="1" applyFont="1">
      <alignment readingOrder="0" vertical="bottom"/>
    </xf>
    <xf borderId="0" fillId="34" fontId="23" numFmtId="0" xfId="0" applyAlignment="1" applyFill="1" applyFont="1">
      <alignment readingOrder="0" vertical="bottom"/>
    </xf>
    <xf borderId="0" fillId="11" fontId="77" numFmtId="0" xfId="0" applyAlignment="1" applyFont="1">
      <alignment readingOrder="0" vertical="center"/>
    </xf>
    <xf borderId="0" fillId="35" fontId="15" numFmtId="164" xfId="0" applyAlignment="1" applyFill="1" applyFont="1" applyNumberFormat="1">
      <alignment horizontal="right" vertical="bottom"/>
    </xf>
    <xf borderId="0" fillId="36" fontId="6" numFmtId="0" xfId="0" applyAlignment="1" applyFill="1" applyFont="1">
      <alignment horizontal="center" readingOrder="0" vertical="bottom"/>
    </xf>
    <xf borderId="0" fillId="37" fontId="6" numFmtId="0" xfId="0" applyAlignment="1" applyFill="1" applyFont="1">
      <alignment horizontal="center" readingOrder="0" vertical="bottom"/>
    </xf>
    <xf borderId="0" fillId="11" fontId="78" numFmtId="0" xfId="0" applyAlignment="1" applyFont="1">
      <alignment readingOrder="0" vertical="center"/>
    </xf>
    <xf borderId="0" fillId="11" fontId="30" numFmtId="0" xfId="0" applyAlignment="1" applyFont="1">
      <alignment horizontal="center" readingOrder="0" shrinkToFit="0" vertical="center" wrapText="0"/>
    </xf>
    <xf borderId="0" fillId="11" fontId="79" numFmtId="0" xfId="0" applyAlignment="1" applyFont="1">
      <alignment readingOrder="0" shrinkToFit="0" vertical="bottom" wrapText="0"/>
    </xf>
    <xf borderId="0" fillId="38" fontId="15" numFmtId="164" xfId="0" applyAlignment="1" applyFill="1" applyFont="1" applyNumberFormat="1">
      <alignment horizontal="right" vertical="bottom"/>
    </xf>
    <xf borderId="0" fillId="11" fontId="25" numFmtId="0" xfId="0" applyAlignment="1" applyFont="1">
      <alignment horizontal="center" readingOrder="0" vertical="bottom"/>
    </xf>
    <xf borderId="0" fillId="31" fontId="12" numFmtId="0" xfId="0" applyAlignment="1" applyFont="1">
      <alignment readingOrder="0" vertical="bottom"/>
    </xf>
    <xf borderId="0" fillId="13" fontId="23" numFmtId="0" xfId="0" applyAlignment="1" applyFont="1">
      <alignment readingOrder="0" vertical="bottom"/>
    </xf>
    <xf borderId="0" fillId="12" fontId="31" numFmtId="0" xfId="0" applyAlignment="1" applyFont="1">
      <alignment readingOrder="0" vertical="center"/>
    </xf>
    <xf borderId="0" fillId="12" fontId="80" numFmtId="0" xfId="0" applyAlignment="1" applyFont="1">
      <alignment readingOrder="0" shrinkToFit="0" vertical="center" wrapText="0"/>
    </xf>
    <xf borderId="0" fillId="11" fontId="15" numFmtId="0" xfId="0" applyAlignment="1" applyFont="1">
      <alignment vertical="bottom"/>
    </xf>
    <xf borderId="0" fillId="39" fontId="15" numFmtId="0" xfId="0" applyAlignment="1" applyFill="1" applyFont="1">
      <alignment horizontal="center" readingOrder="0" vertical="bottom"/>
    </xf>
    <xf borderId="0" fillId="11" fontId="28" numFmtId="0" xfId="0" applyAlignment="1" applyFont="1">
      <alignment horizontal="center" vertical="bottom"/>
    </xf>
    <xf borderId="0" fillId="6" fontId="81" numFmtId="0" xfId="0" applyAlignment="1" applyFont="1">
      <alignment readingOrder="0" vertical="center"/>
    </xf>
    <xf borderId="0" fillId="11" fontId="46" numFmtId="0" xfId="0" applyAlignment="1" applyFont="1">
      <alignment horizontal="center" readingOrder="0" vertical="center"/>
    </xf>
    <xf borderId="0" fillId="11" fontId="15" numFmtId="0" xfId="0" applyAlignment="1" applyFont="1">
      <alignment horizontal="right" vertical="bottom"/>
    </xf>
    <xf borderId="0" fillId="40" fontId="14" numFmtId="0" xfId="0" applyAlignment="1" applyFill="1" applyFont="1">
      <alignment horizontal="center" readingOrder="0" vertical="bottom"/>
    </xf>
    <xf borderId="0" fillId="41" fontId="15" numFmtId="0" xfId="0" applyAlignment="1" applyFill="1" applyFont="1">
      <alignment horizontal="center" readingOrder="0" vertical="bottom"/>
    </xf>
    <xf borderId="0" fillId="11" fontId="46" numFmtId="0" xfId="0" applyFont="1"/>
    <xf borderId="0" fillId="11" fontId="82" numFmtId="0" xfId="0" applyAlignment="1" applyFont="1">
      <alignment readingOrder="0"/>
    </xf>
    <xf borderId="0" fillId="42" fontId="15" numFmtId="164" xfId="0" applyAlignment="1" applyFill="1" applyFont="1" applyNumberFormat="1">
      <alignment horizontal="right" vertical="bottom"/>
    </xf>
    <xf borderId="0" fillId="43" fontId="15" numFmtId="0" xfId="0" applyAlignment="1" applyFill="1" applyFont="1">
      <alignment horizontal="center" readingOrder="0" vertical="bottom"/>
    </xf>
    <xf borderId="0" fillId="11" fontId="83" numFmtId="0" xfId="0" applyAlignment="1" applyFont="1">
      <alignment readingOrder="0" shrinkToFit="0" wrapText="0"/>
    </xf>
    <xf borderId="0" fillId="11" fontId="30" numFmtId="0" xfId="0" applyAlignment="1" applyFont="1">
      <alignment horizontal="center" readingOrder="0"/>
    </xf>
    <xf borderId="0" fillId="0" fontId="6" numFmtId="165" xfId="0" applyAlignment="1" applyFont="1" applyNumberFormat="1">
      <alignment horizontal="right" readingOrder="0" vertical="bottom"/>
    </xf>
    <xf borderId="0" fillId="6" fontId="15" numFmtId="164" xfId="0" applyAlignment="1" applyFont="1" applyNumberFormat="1">
      <alignment horizontal="right" vertical="bottom"/>
    </xf>
    <xf borderId="0" fillId="44" fontId="23" numFmtId="0" xfId="0" applyAlignment="1" applyFill="1" applyFont="1">
      <alignment vertical="bottom"/>
    </xf>
    <xf borderId="0" fillId="11" fontId="84" numFmtId="0" xfId="0" applyAlignment="1" applyFont="1">
      <alignment vertical="center"/>
    </xf>
    <xf borderId="0" fillId="45" fontId="15" numFmtId="164" xfId="0" applyAlignment="1" applyFill="1" applyFont="1" applyNumberFormat="1">
      <alignment horizontal="right" vertical="bottom"/>
    </xf>
    <xf borderId="0" fillId="46" fontId="15" numFmtId="0" xfId="0" applyAlignment="1" applyFill="1" applyFont="1">
      <alignment horizontal="center" vertical="bottom"/>
    </xf>
    <xf borderId="0" fillId="11" fontId="30" numFmtId="0" xfId="0" applyAlignment="1" applyFont="1">
      <alignment horizontal="center" shrinkToFit="0" wrapText="0"/>
    </xf>
    <xf borderId="0" fillId="11" fontId="12" numFmtId="0" xfId="0" applyAlignment="1" applyFont="1">
      <alignment readingOrder="0" shrinkToFit="0" vertical="bottom" wrapText="0"/>
    </xf>
    <xf borderId="0" fillId="47" fontId="15" numFmtId="0" xfId="0" applyAlignment="1" applyFill="1" applyFont="1">
      <alignment vertical="bottom"/>
    </xf>
    <xf borderId="0" fillId="48" fontId="15" numFmtId="0" xfId="0" applyAlignment="1" applyFill="1" applyFont="1">
      <alignment horizontal="center" vertical="bottom"/>
    </xf>
    <xf borderId="0" fillId="49" fontId="15" numFmtId="0" xfId="0" applyAlignment="1" applyFill="1" applyFont="1">
      <alignment horizontal="center" vertical="bottom"/>
    </xf>
    <xf borderId="0" fillId="0" fontId="12" numFmtId="0" xfId="0" applyAlignment="1" applyFont="1">
      <alignment horizontal="right" vertical="bottom"/>
    </xf>
    <xf borderId="0" fillId="0" fontId="85" numFmtId="0" xfId="0" applyAlignment="1" applyFont="1">
      <alignment readingOrder="0" vertical="center"/>
    </xf>
    <xf borderId="0" fillId="0" fontId="15" numFmtId="0" xfId="0" applyAlignment="1" applyFont="1">
      <alignment readingOrder="0" shrinkToFit="0" vertical="bottom" wrapText="0"/>
    </xf>
    <xf borderId="0" fillId="3" fontId="15" numFmtId="0" xfId="0" applyAlignment="1" applyFont="1">
      <alignment readingOrder="0" vertical="bottom"/>
    </xf>
    <xf borderId="0" fillId="50" fontId="15" numFmtId="0" xfId="0" applyAlignment="1" applyFill="1" applyFont="1">
      <alignment horizontal="center" readingOrder="0" vertical="bottom"/>
    </xf>
    <xf borderId="0" fillId="12" fontId="46" numFmtId="0" xfId="0" applyAlignment="1" applyFont="1">
      <alignment horizontal="center" readingOrder="0"/>
    </xf>
    <xf borderId="0" fillId="12" fontId="86" numFmtId="0" xfId="0" applyAlignment="1" applyFont="1">
      <alignment readingOrder="0" vertical="bottom"/>
    </xf>
    <xf borderId="0" fillId="3" fontId="15" numFmtId="0" xfId="0" applyAlignment="1" applyFont="1">
      <alignment vertical="bottom"/>
    </xf>
    <xf borderId="0" fillId="11" fontId="38" numFmtId="0" xfId="0" applyAlignment="1" applyFont="1">
      <alignment readingOrder="0"/>
    </xf>
    <xf borderId="0" fillId="11" fontId="15" numFmtId="0" xfId="0" applyAlignment="1" applyFont="1">
      <alignment horizontal="right" readingOrder="0" vertical="bottom"/>
    </xf>
    <xf borderId="0" fillId="51" fontId="15" numFmtId="164" xfId="0" applyAlignment="1" applyFill="1" applyFont="1" applyNumberFormat="1">
      <alignment horizontal="right" vertical="bottom"/>
    </xf>
    <xf borderId="0" fillId="52" fontId="15" numFmtId="0" xfId="0" applyAlignment="1" applyFill="1" applyFont="1">
      <alignment horizontal="center" readingOrder="0" vertical="bottom"/>
    </xf>
    <xf borderId="0" fillId="53" fontId="15" numFmtId="0" xfId="0" applyAlignment="1" applyFill="1" applyFont="1">
      <alignment horizontal="center" readingOrder="0" vertical="bottom"/>
    </xf>
    <xf borderId="0" fillId="0" fontId="15" numFmtId="0" xfId="0" applyAlignment="1" applyFont="1">
      <alignment readingOrder="0" vertical="bottom"/>
    </xf>
    <xf borderId="0" fillId="0" fontId="87" numFmtId="0" xfId="0" applyAlignment="1" applyFont="1">
      <alignment horizontal="left" readingOrder="0" vertical="center"/>
    </xf>
    <xf borderId="0" fillId="54" fontId="15" numFmtId="164" xfId="0" applyAlignment="1" applyFill="1" applyFont="1" applyNumberFormat="1">
      <alignment horizontal="right" vertical="bottom"/>
    </xf>
    <xf borderId="0" fillId="11" fontId="88" numFmtId="0" xfId="0" applyAlignment="1" applyFont="1">
      <alignment readingOrder="0" shrinkToFit="0" vertical="center" wrapText="0"/>
    </xf>
    <xf borderId="0" fillId="12" fontId="11" numFmtId="0" xfId="0" applyAlignment="1" applyFont="1">
      <alignment vertical="bottom"/>
    </xf>
    <xf borderId="0" fillId="0" fontId="46" numFmtId="0" xfId="0" applyAlignment="1" applyFont="1">
      <alignment horizontal="center" readingOrder="0" shrinkToFit="0" vertical="center" wrapText="0"/>
    </xf>
    <xf borderId="0" fillId="5" fontId="6" numFmtId="0" xfId="0" applyAlignment="1" applyFont="1">
      <alignment readingOrder="0" vertical="bottom"/>
    </xf>
    <xf borderId="0" fillId="55" fontId="15" numFmtId="165" xfId="0" applyAlignment="1" applyFill="1" applyFont="1" applyNumberFormat="1">
      <alignment horizontal="right" vertical="bottom"/>
    </xf>
    <xf borderId="0" fillId="56" fontId="15" numFmtId="0" xfId="0" applyAlignment="1" applyFill="1" applyFont="1">
      <alignment horizontal="center" vertical="bottom"/>
    </xf>
    <xf borderId="0" fillId="57" fontId="15" numFmtId="0" xfId="0" applyAlignment="1" applyFill="1" applyFont="1">
      <alignment horizontal="center"/>
    </xf>
    <xf borderId="0" fillId="11" fontId="15" numFmtId="0" xfId="0" applyAlignment="1" applyFont="1">
      <alignment readingOrder="0" vertical="bottom"/>
    </xf>
    <xf borderId="0" fillId="11" fontId="89" numFmtId="0" xfId="0" applyAlignment="1" applyFont="1">
      <alignment readingOrder="0" vertical="bottom"/>
    </xf>
    <xf borderId="0" fillId="11" fontId="14" numFmtId="0" xfId="0" applyAlignment="1" applyFont="1">
      <alignment horizontal="right" readingOrder="0" vertical="bottom"/>
    </xf>
    <xf borderId="0" fillId="11" fontId="90" numFmtId="0" xfId="0" applyAlignment="1" applyFont="1">
      <alignment shrinkToFit="0" vertical="bottom" wrapText="0"/>
    </xf>
    <xf borderId="0" fillId="12" fontId="14" numFmtId="0" xfId="0" applyAlignment="1" applyFont="1">
      <alignment horizontal="right" vertical="bottom"/>
    </xf>
    <xf borderId="0" fillId="58" fontId="15" numFmtId="0" xfId="0" applyAlignment="1" applyFill="1" applyFont="1">
      <alignment horizontal="center" vertical="bottom"/>
    </xf>
    <xf borderId="0" fillId="59" fontId="15" numFmtId="0" xfId="0" applyAlignment="1" applyFill="1" applyFont="1">
      <alignment horizontal="center" readingOrder="0" vertical="bottom"/>
    </xf>
    <xf borderId="0" fillId="60" fontId="15" numFmtId="0" xfId="0" applyAlignment="1" applyFill="1" applyFont="1">
      <alignment horizontal="center" readingOrder="0" vertical="bottom"/>
    </xf>
    <xf borderId="0" fillId="0" fontId="12" numFmtId="167" xfId="0" applyAlignment="1" applyFont="1" applyNumberFormat="1">
      <alignment horizontal="right" readingOrder="0" vertical="bottom"/>
    </xf>
    <xf borderId="0" fillId="12" fontId="30" numFmtId="0" xfId="0" applyAlignment="1" applyFont="1">
      <alignment horizontal="center" readingOrder="0" shrinkToFit="0" vertical="center" wrapText="0"/>
    </xf>
    <xf borderId="0" fillId="0" fontId="91" numFmtId="0" xfId="0" applyAlignment="1" applyFont="1">
      <alignment readingOrder="0" vertical="center"/>
    </xf>
    <xf borderId="0" fillId="61" fontId="6" numFmtId="0" xfId="0" applyAlignment="1" applyFill="1" applyFont="1">
      <alignment horizontal="center" readingOrder="0" vertical="bottom"/>
    </xf>
    <xf borderId="0" fillId="62" fontId="6" numFmtId="0" xfId="0" applyAlignment="1" applyFill="1" applyFont="1">
      <alignment horizontal="center" readingOrder="0" vertical="bottom"/>
    </xf>
    <xf borderId="0" fillId="63" fontId="6" numFmtId="0" xfId="0" applyAlignment="1" applyFill="1" applyFont="1">
      <alignment horizontal="center" readingOrder="0" vertical="bottom"/>
    </xf>
    <xf borderId="0" fillId="12" fontId="92" numFmtId="0" xfId="0" applyAlignment="1" applyFont="1">
      <alignment readingOrder="0" shrinkToFit="0" vertical="bottom" wrapText="0"/>
    </xf>
    <xf borderId="0" fillId="12" fontId="15" numFmtId="0" xfId="0" applyAlignment="1" applyFont="1">
      <alignment readingOrder="0" vertical="bottom"/>
    </xf>
    <xf borderId="0" fillId="5" fontId="23" numFmtId="0" xfId="0" applyAlignment="1" applyFont="1">
      <alignment readingOrder="0" vertical="bottom"/>
    </xf>
    <xf borderId="0" fillId="64" fontId="15" numFmtId="0" xfId="0" applyAlignment="1" applyFill="1" applyFont="1">
      <alignment horizontal="center" readingOrder="0" vertical="bottom"/>
    </xf>
    <xf borderId="0" fillId="65" fontId="15" numFmtId="0" xfId="0" applyAlignment="1" applyFill="1" applyFont="1">
      <alignment horizontal="center" readingOrder="0"/>
    </xf>
    <xf borderId="0" fillId="0" fontId="46" numFmtId="0" xfId="0" applyAlignment="1" applyFont="1">
      <alignment readingOrder="0"/>
    </xf>
    <xf borderId="0" fillId="12" fontId="93" numFmtId="0" xfId="0" applyAlignment="1" applyFont="1">
      <alignment readingOrder="0"/>
    </xf>
    <xf borderId="0" fillId="0" fontId="23" numFmtId="0" xfId="0" applyAlignment="1" applyFont="1">
      <alignment readingOrder="0" vertical="bottom"/>
    </xf>
    <xf borderId="0" fillId="66" fontId="6" numFmtId="0" xfId="0" applyAlignment="1" applyFill="1" applyFont="1">
      <alignment horizontal="center" vertical="bottom"/>
    </xf>
    <xf borderId="0" fillId="12" fontId="19" numFmtId="0" xfId="0" applyAlignment="1" applyFont="1">
      <alignment readingOrder="0" vertical="center"/>
    </xf>
    <xf borderId="0" fillId="11" fontId="14" numFmtId="0" xfId="0" applyAlignment="1" applyFont="1">
      <alignment horizontal="right" vertical="bottom"/>
    </xf>
    <xf borderId="0" fillId="67" fontId="15" numFmtId="164" xfId="0" applyAlignment="1" applyFill="1" applyFont="1" applyNumberFormat="1">
      <alignment horizontal="right" vertical="bottom"/>
    </xf>
    <xf borderId="0" fillId="46" fontId="15" numFmtId="0" xfId="0" applyAlignment="1" applyFont="1">
      <alignment horizontal="center" readingOrder="0" vertical="bottom"/>
    </xf>
    <xf borderId="0" fillId="68" fontId="15" numFmtId="0" xfId="0" applyAlignment="1" applyFill="1" applyFont="1">
      <alignment horizontal="center" readingOrder="0"/>
    </xf>
    <xf borderId="0" fillId="11" fontId="30" numFmtId="0" xfId="0" applyAlignment="1" applyFont="1">
      <alignment horizontal="center"/>
    </xf>
    <xf borderId="0" fillId="69" fontId="15" numFmtId="0" xfId="0" applyAlignment="1" applyFill="1" applyFont="1">
      <alignment readingOrder="0" vertical="bottom"/>
    </xf>
    <xf borderId="0" fillId="6" fontId="94" numFmtId="0" xfId="0" applyAlignment="1" applyFont="1">
      <alignment readingOrder="0" vertical="center"/>
    </xf>
    <xf borderId="0" fillId="70" fontId="15" numFmtId="164" xfId="0" applyAlignment="1" applyFill="1" applyFont="1" applyNumberFormat="1">
      <alignment horizontal="right" vertical="bottom"/>
    </xf>
    <xf borderId="0" fillId="71" fontId="6" numFmtId="0" xfId="0" applyAlignment="1" applyFill="1" applyFont="1">
      <alignment horizontal="center" vertical="bottom"/>
    </xf>
    <xf borderId="0" fillId="72" fontId="6" numFmtId="0" xfId="0" applyAlignment="1" applyFill="1" applyFont="1">
      <alignment horizontal="center" readingOrder="0" vertical="bottom"/>
    </xf>
    <xf borderId="0" fillId="0" fontId="6" numFmtId="0" xfId="0" applyAlignment="1" applyFont="1">
      <alignment horizontal="center" readingOrder="0" vertical="bottom"/>
    </xf>
    <xf borderId="0" fillId="6" fontId="15" numFmtId="0" xfId="0" applyAlignment="1" applyFont="1">
      <alignment horizontal="center" vertical="bottom"/>
    </xf>
    <xf borderId="0" fillId="6" fontId="95" numFmtId="0" xfId="0" applyAlignment="1" applyFont="1">
      <alignment readingOrder="0" shrinkToFit="0" vertical="center" wrapText="0"/>
    </xf>
    <xf borderId="0" fillId="69" fontId="15" numFmtId="0" xfId="0" applyAlignment="1" applyFont="1">
      <alignment vertical="bottom"/>
    </xf>
    <xf borderId="0" fillId="6" fontId="96" numFmtId="0" xfId="0" applyAlignment="1" applyFont="1">
      <alignment vertical="center"/>
    </xf>
    <xf borderId="0" fillId="6" fontId="11" numFmtId="0" xfId="0" applyAlignment="1" applyFont="1">
      <alignment horizontal="right" readingOrder="0" vertical="bottom"/>
    </xf>
    <xf borderId="0" fillId="0" fontId="6" numFmtId="164" xfId="0" applyAlignment="1" applyFont="1" applyNumberFormat="1">
      <alignment readingOrder="0" vertical="bottom"/>
    </xf>
    <xf borderId="0" fillId="6" fontId="38" numFmtId="0" xfId="0" applyAlignment="1" applyFont="1">
      <alignment vertical="bottom"/>
    </xf>
    <xf borderId="0" fillId="6" fontId="97" numFmtId="0" xfId="0" applyAlignment="1" applyFont="1">
      <alignment readingOrder="0" vertical="center"/>
    </xf>
    <xf borderId="0" fillId="0" fontId="30" numFmtId="0" xfId="0" applyAlignment="1" applyFont="1">
      <alignment horizontal="center" readingOrder="0" shrinkToFit="0" vertical="center" wrapText="0"/>
    </xf>
    <xf borderId="0" fillId="0" fontId="12" numFmtId="0" xfId="0" applyAlignment="1" applyFont="1">
      <alignment readingOrder="0" shrinkToFit="0" vertical="bottom" wrapText="0"/>
    </xf>
    <xf borderId="0" fillId="73" fontId="23" numFmtId="0" xfId="0" applyAlignment="1" applyFill="1" applyFont="1">
      <alignment vertical="bottom"/>
    </xf>
    <xf borderId="0" fillId="0" fontId="14" numFmtId="0" xfId="0" applyAlignment="1" applyFont="1">
      <alignment horizontal="right" readingOrder="0" vertical="bottom"/>
    </xf>
    <xf borderId="0" fillId="74" fontId="15" numFmtId="164" xfId="0" applyAlignment="1" applyFill="1" applyFont="1" applyNumberFormat="1">
      <alignment horizontal="right" vertical="bottom"/>
    </xf>
    <xf borderId="0" fillId="75" fontId="15" numFmtId="0" xfId="0" applyAlignment="1" applyFill="1" applyFont="1">
      <alignment horizontal="center" readingOrder="0" vertical="bottom"/>
    </xf>
    <xf borderId="0" fillId="11" fontId="18" numFmtId="0" xfId="0" applyAlignment="1" applyFont="1">
      <alignment horizontal="center" vertical="bottom"/>
    </xf>
    <xf borderId="0" fillId="11" fontId="12" numFmtId="0" xfId="0" applyAlignment="1" applyFont="1">
      <alignment readingOrder="0" vertical="bottom"/>
    </xf>
    <xf borderId="0" fillId="0" fontId="11" numFmtId="0" xfId="0" applyAlignment="1" applyFont="1">
      <alignment readingOrder="0" vertical="bottom"/>
    </xf>
    <xf borderId="0" fillId="0" fontId="98" numFmtId="0" xfId="0" applyAlignment="1" applyFont="1">
      <alignment readingOrder="0" shrinkToFit="0" vertical="bottom" wrapText="0"/>
    </xf>
    <xf borderId="0" fillId="76" fontId="15" numFmtId="164" xfId="0" applyAlignment="1" applyFill="1" applyFont="1" applyNumberFormat="1">
      <alignment horizontal="right" vertical="bottom"/>
    </xf>
    <xf borderId="0" fillId="21" fontId="15" numFmtId="0" xfId="0" applyAlignment="1" applyFont="1">
      <alignment horizontal="center" readingOrder="0" vertical="bottom"/>
    </xf>
    <xf borderId="0" fillId="77" fontId="15" numFmtId="0" xfId="0" applyAlignment="1" applyFill="1" applyFont="1">
      <alignment horizontal="center" readingOrder="0" vertical="bottom"/>
    </xf>
    <xf borderId="0" fillId="6" fontId="34" numFmtId="0" xfId="0" applyAlignment="1" applyFont="1">
      <alignment vertical="bottom"/>
    </xf>
    <xf borderId="0" fillId="6" fontId="99" numFmtId="0" xfId="0" applyAlignment="1" applyFont="1">
      <alignment readingOrder="0" vertical="bottom"/>
    </xf>
    <xf borderId="0" fillId="6" fontId="15" numFmtId="0" xfId="0" applyAlignment="1" applyFont="1">
      <alignment readingOrder="0" vertical="bottom"/>
    </xf>
    <xf borderId="0" fillId="12" fontId="12" numFmtId="0" xfId="0" applyAlignment="1" applyFont="1">
      <alignment readingOrder="0" shrinkToFit="0" vertical="bottom" wrapText="0"/>
    </xf>
    <xf borderId="0" fillId="0" fontId="34" numFmtId="0" xfId="0" applyAlignment="1" applyFont="1">
      <alignment vertical="bottom"/>
    </xf>
    <xf borderId="0" fillId="78" fontId="6" numFmtId="0" xfId="0" applyAlignment="1" applyFill="1" applyFont="1">
      <alignment horizontal="center" vertical="bottom"/>
    </xf>
    <xf borderId="0" fillId="79" fontId="6" numFmtId="0" xfId="0" applyAlignment="1" applyFill="1" applyFont="1">
      <alignment horizontal="center" readingOrder="0" vertical="bottom"/>
    </xf>
    <xf borderId="0" fillId="80" fontId="15" numFmtId="0" xfId="0" applyAlignment="1" applyFill="1" applyFont="1">
      <alignment horizontal="center" readingOrder="0" vertical="bottom"/>
    </xf>
    <xf borderId="0" fillId="11" fontId="30" numFmtId="0" xfId="0" applyAlignment="1" applyFont="1">
      <alignment horizontal="center" readingOrder="0" vertical="center"/>
    </xf>
    <xf borderId="0" fillId="81" fontId="15" numFmtId="0" xfId="0" applyAlignment="1" applyFill="1" applyFont="1">
      <alignment horizontal="center" readingOrder="0" vertical="bottom"/>
    </xf>
    <xf borderId="0" fillId="82" fontId="15" numFmtId="0" xfId="0" applyAlignment="1" applyFill="1" applyFont="1">
      <alignment horizontal="center" readingOrder="0" vertical="bottom"/>
    </xf>
    <xf borderId="0" fillId="4" fontId="12" numFmtId="0" xfId="0" applyAlignment="1" applyFont="1">
      <alignment horizontal="right" readingOrder="0" vertical="bottom"/>
    </xf>
    <xf borderId="0" fillId="0" fontId="27" numFmtId="164" xfId="0" applyAlignment="1" applyFont="1" applyNumberFormat="1">
      <alignment horizontal="right" vertical="bottom"/>
    </xf>
    <xf borderId="0" fillId="0" fontId="100" numFmtId="0" xfId="0" applyAlignment="1" applyFont="1">
      <alignment horizontal="center" readingOrder="0" vertical="bottom"/>
    </xf>
    <xf borderId="0" fillId="11" fontId="101" numFmtId="0" xfId="0" applyAlignment="1" applyFont="1">
      <alignment horizontal="center" readingOrder="0" vertical="bottom"/>
    </xf>
    <xf borderId="0" fillId="12" fontId="11" numFmtId="0" xfId="0" applyAlignment="1" applyFont="1">
      <alignment horizontal="right" vertical="bottom"/>
    </xf>
    <xf borderId="0" fillId="11" fontId="102" numFmtId="0" xfId="0" applyAlignment="1" applyFont="1">
      <alignment readingOrder="0" vertical="bottom"/>
    </xf>
    <xf borderId="0" fillId="11" fontId="103" numFmtId="0" xfId="0" applyAlignment="1" applyFont="1">
      <alignment readingOrder="0" vertical="center"/>
    </xf>
    <xf borderId="0" fillId="83" fontId="15" numFmtId="164" xfId="0" applyAlignment="1" applyFill="1" applyFont="1" applyNumberFormat="1">
      <alignment horizontal="right" vertical="bottom"/>
    </xf>
    <xf borderId="0" fillId="0" fontId="104" numFmtId="0" xfId="0" applyAlignment="1" applyFont="1">
      <alignment readingOrder="0"/>
    </xf>
    <xf borderId="0" fillId="0" fontId="6" numFmtId="165" xfId="0" applyAlignment="1" applyFont="1" applyNumberFormat="1">
      <alignment horizontal="right" readingOrder="0" vertical="bottom"/>
    </xf>
    <xf borderId="0" fillId="0" fontId="105" numFmtId="0" xfId="0" applyAlignment="1" applyFont="1">
      <alignment horizontal="center" readingOrder="0" vertical="bottom"/>
    </xf>
    <xf borderId="0" fillId="0" fontId="15" numFmtId="0" xfId="0" applyAlignment="1" applyFont="1">
      <alignment horizontal="center" vertical="bottom"/>
    </xf>
    <xf borderId="0" fillId="50" fontId="15" numFmtId="0" xfId="0" applyAlignment="1" applyFont="1">
      <alignment horizontal="center" vertical="bottom"/>
    </xf>
    <xf borderId="0" fillId="84" fontId="15" numFmtId="0" xfId="0" applyAlignment="1" applyFill="1" applyFont="1">
      <alignment horizontal="center"/>
    </xf>
    <xf borderId="0" fillId="11" fontId="106" numFmtId="0" xfId="0" applyAlignment="1" applyFont="1">
      <alignment readingOrder="0"/>
    </xf>
    <xf borderId="0" fillId="0" fontId="107" numFmtId="0" xfId="0" applyAlignment="1" applyFont="1">
      <alignment readingOrder="0" vertical="center"/>
    </xf>
    <xf borderId="0" fillId="85" fontId="15" numFmtId="165" xfId="0" applyAlignment="1" applyFill="1" applyFont="1" applyNumberFormat="1">
      <alignment horizontal="right" vertical="bottom"/>
    </xf>
    <xf borderId="0" fillId="0" fontId="30" numFmtId="0" xfId="0" applyAlignment="1" applyFont="1">
      <alignment horizontal="center" vertical="center"/>
    </xf>
    <xf borderId="0" fillId="80" fontId="15" numFmtId="164" xfId="0" applyAlignment="1" applyFont="1" applyNumberFormat="1">
      <alignment horizontal="right" vertical="bottom"/>
    </xf>
    <xf borderId="0" fillId="86" fontId="15" numFmtId="164" xfId="0" applyAlignment="1" applyFill="1" applyFont="1" applyNumberFormat="1">
      <alignment horizontal="right" vertical="bottom"/>
    </xf>
    <xf borderId="0" fillId="0" fontId="38" numFmtId="0" xfId="0" applyFont="1"/>
    <xf borderId="0" fillId="87" fontId="15" numFmtId="0" xfId="0" applyAlignment="1" applyFill="1" applyFont="1">
      <alignment horizontal="center" readingOrder="0" vertical="bottom"/>
    </xf>
    <xf borderId="0" fillId="12" fontId="12" numFmtId="167" xfId="0" applyAlignment="1" applyFont="1" applyNumberFormat="1">
      <alignment horizontal="right" vertical="bottom"/>
    </xf>
    <xf borderId="0" fillId="12" fontId="30" numFmtId="0" xfId="0" applyAlignment="1" applyFont="1">
      <alignment horizontal="center"/>
    </xf>
    <xf borderId="0" fillId="12" fontId="108" numFmtId="0" xfId="0" applyAlignment="1" applyFont="1">
      <alignment readingOrder="0" vertical="bottom"/>
    </xf>
    <xf borderId="0" fillId="88" fontId="6" numFmtId="0" xfId="0" applyAlignment="1" applyFill="1" applyFont="1">
      <alignment horizontal="center" vertical="bottom"/>
    </xf>
    <xf borderId="0" fillId="0" fontId="109" numFmtId="0" xfId="0" applyAlignment="1" applyFont="1">
      <alignment horizontal="left" readingOrder="0" shrinkToFit="0" vertical="center" wrapText="0"/>
    </xf>
    <xf borderId="0" fillId="0" fontId="36" numFmtId="0" xfId="0" applyAlignment="1" applyFont="1">
      <alignment horizontal="center" readingOrder="0" vertical="center"/>
    </xf>
    <xf borderId="0" fillId="0" fontId="110" numFmtId="0" xfId="0" applyAlignment="1" applyFont="1">
      <alignment horizontal="right" readingOrder="0" vertical="bottom"/>
    </xf>
    <xf borderId="0" fillId="7" fontId="23" numFmtId="0" xfId="0" applyAlignment="1" applyFont="1">
      <alignment vertical="bottom"/>
    </xf>
    <xf borderId="0" fillId="12" fontId="111" numFmtId="0" xfId="0" applyAlignment="1" applyFont="1">
      <alignment shrinkToFit="0" vertical="center" wrapText="0"/>
    </xf>
    <xf borderId="0" fillId="12" fontId="112" numFmtId="0" xfId="0" applyAlignment="1" applyFont="1">
      <alignment horizontal="right" readingOrder="0" vertical="bottom"/>
    </xf>
    <xf borderId="0" fillId="12" fontId="46" numFmtId="0" xfId="0" applyAlignment="1" applyFont="1">
      <alignment horizontal="center"/>
    </xf>
    <xf borderId="0" fillId="11" fontId="11" numFmtId="0" xfId="0" applyAlignment="1" applyFont="1">
      <alignment vertical="bottom"/>
    </xf>
    <xf borderId="0" fillId="0" fontId="113" numFmtId="0" xfId="0" applyAlignment="1" applyFont="1">
      <alignment readingOrder="0" vertical="center"/>
    </xf>
    <xf borderId="0" fillId="89" fontId="23" numFmtId="0" xfId="0" applyAlignment="1" applyFill="1" applyFont="1">
      <alignment readingOrder="0" vertical="bottom"/>
    </xf>
    <xf borderId="0" fillId="0" fontId="114" numFmtId="0" xfId="0" applyAlignment="1" applyFont="1">
      <alignment readingOrder="0" vertical="bottom"/>
    </xf>
    <xf borderId="0" fillId="90" fontId="15" numFmtId="164" xfId="0" applyAlignment="1" applyFill="1" applyFont="1" applyNumberFormat="1">
      <alignment horizontal="right" vertical="bottom"/>
    </xf>
    <xf borderId="0" fillId="91" fontId="6" numFmtId="0" xfId="0" applyAlignment="1" applyFill="1" applyFont="1">
      <alignment horizontal="center" vertical="bottom"/>
    </xf>
    <xf borderId="0" fillId="92" fontId="6" numFmtId="0" xfId="0" applyAlignment="1" applyFill="1" applyFont="1">
      <alignment horizontal="center" readingOrder="0" vertical="bottom"/>
    </xf>
    <xf borderId="0" fillId="93" fontId="6" numFmtId="0" xfId="0" applyAlignment="1" applyFill="1" applyFont="1">
      <alignment horizontal="center" readingOrder="0" vertical="bottom"/>
    </xf>
    <xf borderId="0" fillId="11" fontId="6" numFmtId="0" xfId="0" applyAlignment="1" applyFont="1">
      <alignment horizontal="center"/>
    </xf>
    <xf borderId="0" fillId="11" fontId="46" numFmtId="0" xfId="0" applyAlignment="1" applyFont="1">
      <alignment horizontal="center" vertical="center"/>
    </xf>
    <xf borderId="0" fillId="0" fontId="6" numFmtId="0" xfId="0" applyAlignment="1" applyFont="1">
      <alignment horizontal="center" readingOrder="0" vertical="bottom"/>
    </xf>
    <xf borderId="0" fillId="11" fontId="115" numFmtId="0" xfId="0" applyAlignment="1" applyFont="1">
      <alignment readingOrder="0" vertical="center"/>
    </xf>
    <xf borderId="0" fillId="94" fontId="15" numFmtId="164" xfId="0" applyAlignment="1" applyFill="1" applyFont="1" applyNumberFormat="1">
      <alignment horizontal="right" vertical="bottom"/>
    </xf>
    <xf borderId="0" fillId="6" fontId="116" numFmtId="0" xfId="0" applyAlignment="1" applyFont="1">
      <alignment horizontal="center" readingOrder="0" vertical="bottom"/>
    </xf>
    <xf borderId="0" fillId="95" fontId="6" numFmtId="0" xfId="0" applyAlignment="1" applyFill="1" applyFont="1">
      <alignment horizontal="center" vertical="bottom"/>
    </xf>
    <xf borderId="0" fillId="96" fontId="6" numFmtId="0" xfId="0" applyAlignment="1" applyFill="1" applyFont="1">
      <alignment horizontal="center" vertical="bottom"/>
    </xf>
    <xf borderId="0" fillId="6" fontId="117" numFmtId="0" xfId="0" applyAlignment="1" applyFont="1">
      <alignment horizontal="center" readingOrder="0" vertical="bottom"/>
    </xf>
    <xf borderId="0" fillId="6" fontId="25" numFmtId="0" xfId="0" applyAlignment="1" applyFont="1">
      <alignment horizontal="center" readingOrder="0" vertical="bottom"/>
    </xf>
    <xf borderId="0" fillId="97" fontId="15" numFmtId="0" xfId="0" applyAlignment="1" applyFill="1" applyFont="1">
      <alignment vertical="bottom"/>
    </xf>
    <xf borderId="0" fillId="12" fontId="15" numFmtId="0" xfId="0" applyAlignment="1" applyFont="1">
      <alignment horizontal="right" vertical="bottom"/>
    </xf>
    <xf borderId="0" fillId="98" fontId="15" numFmtId="164" xfId="0" applyAlignment="1" applyFill="1" applyFont="1" applyNumberFormat="1">
      <alignment horizontal="right" vertical="bottom"/>
    </xf>
    <xf borderId="0" fillId="88" fontId="25" numFmtId="0" xfId="0" applyAlignment="1" applyFont="1">
      <alignment horizontal="center" shrinkToFit="0" vertical="bottom" wrapText="0"/>
    </xf>
    <xf borderId="0" fillId="99" fontId="25" numFmtId="0" xfId="0" applyAlignment="1" applyFill="1" applyFont="1">
      <alignment horizontal="center" shrinkToFit="0" vertical="bottom" wrapText="0"/>
    </xf>
    <xf borderId="0" fillId="100" fontId="25" numFmtId="0" xfId="0" applyAlignment="1" applyFill="1" applyFont="1">
      <alignment horizontal="center" vertical="bottom"/>
    </xf>
    <xf borderId="0" fillId="12" fontId="12" numFmtId="0" xfId="0" applyAlignment="1" applyFont="1">
      <alignment shrinkToFit="0" vertical="bottom" wrapText="0"/>
    </xf>
    <xf borderId="0" fillId="2" fontId="15" numFmtId="164" xfId="0" applyAlignment="1" applyFont="1" applyNumberFormat="1">
      <alignment horizontal="right" vertical="bottom"/>
    </xf>
    <xf borderId="0" fillId="101" fontId="15" numFmtId="164" xfId="0" applyAlignment="1" applyFill="1" applyFont="1" applyNumberFormat="1">
      <alignment horizontal="right" vertical="bottom"/>
    </xf>
    <xf borderId="0" fillId="6" fontId="6" numFmtId="0" xfId="0" applyAlignment="1" applyFont="1">
      <alignment horizontal="center" readingOrder="0" vertical="bottom"/>
    </xf>
    <xf borderId="0" fillId="12" fontId="28" numFmtId="0" xfId="0" applyAlignment="1" applyFont="1">
      <alignment horizontal="center" vertical="bottom"/>
    </xf>
    <xf borderId="0" fillId="102" fontId="6" numFmtId="0" xfId="0" applyAlignment="1" applyFill="1" applyFont="1">
      <alignment horizontal="center" readingOrder="0" vertical="bottom"/>
    </xf>
    <xf borderId="0" fillId="103" fontId="6" numFmtId="0" xfId="0" applyAlignment="1" applyFill="1" applyFont="1">
      <alignment horizontal="center" readingOrder="0" vertical="bottom"/>
    </xf>
    <xf borderId="0" fillId="11" fontId="30" numFmtId="0" xfId="0" applyAlignment="1" applyFont="1">
      <alignment horizontal="center" readingOrder="0" shrinkToFit="0" vertical="center" wrapText="0"/>
    </xf>
    <xf borderId="0" fillId="0" fontId="14" numFmtId="0" xfId="0" applyAlignment="1" applyFont="1">
      <alignment horizontal="right" readingOrder="0" vertical="bottom"/>
    </xf>
    <xf borderId="0" fillId="0" fontId="11" numFmtId="0" xfId="0" applyAlignment="1" applyFont="1">
      <alignment horizontal="right" vertical="bottom"/>
    </xf>
    <xf borderId="0" fillId="0" fontId="118" numFmtId="0" xfId="0" applyAlignment="1" applyFont="1">
      <alignment readingOrder="0" vertical="center"/>
    </xf>
    <xf borderId="0" fillId="0" fontId="14" numFmtId="0" xfId="0" applyAlignment="1" applyFont="1">
      <alignment horizontal="right" readingOrder="0" vertical="bottom"/>
    </xf>
    <xf borderId="0" fillId="104" fontId="15" numFmtId="164" xfId="0" applyAlignment="1" applyFill="1" applyFont="1" applyNumberFormat="1">
      <alignment horizontal="right" vertical="bottom"/>
    </xf>
    <xf borderId="0" fillId="105" fontId="6" numFmtId="0" xfId="0" applyAlignment="1" applyFill="1" applyFont="1">
      <alignment horizontal="center" readingOrder="0" vertical="bottom"/>
    </xf>
    <xf borderId="0" fillId="106" fontId="6" numFmtId="0" xfId="0" applyAlignment="1" applyFill="1" applyFont="1">
      <alignment horizontal="center" readingOrder="0" vertical="bottom"/>
    </xf>
    <xf borderId="0" fillId="79" fontId="6" numFmtId="0" xfId="0" applyAlignment="1" applyFont="1">
      <alignment horizontal="center" vertical="bottom"/>
    </xf>
    <xf borderId="0" fillId="107" fontId="6" numFmtId="0" xfId="0" applyAlignment="1" applyFill="1" applyFont="1">
      <alignment horizontal="center" readingOrder="0" vertical="bottom"/>
    </xf>
    <xf borderId="0" fillId="108" fontId="6" numFmtId="0" xfId="0" applyAlignment="1" applyFill="1" applyFont="1">
      <alignment horizontal="center" readingOrder="0" vertical="bottom"/>
    </xf>
    <xf borderId="0" fillId="12" fontId="119" numFmtId="0" xfId="0" applyAlignment="1" applyFont="1">
      <alignment readingOrder="0" vertical="bottom"/>
    </xf>
    <xf borderId="0" fillId="6" fontId="11" numFmtId="0" xfId="0" applyAlignment="1" applyFont="1">
      <alignment horizontal="right" vertical="bottom"/>
    </xf>
    <xf borderId="0" fillId="6" fontId="15" numFmtId="165" xfId="0" applyAlignment="1" applyFont="1" applyNumberFormat="1">
      <alignment horizontal="right" vertical="bottom"/>
    </xf>
    <xf borderId="0" fillId="0" fontId="6" numFmtId="0" xfId="0" applyAlignment="1" applyFont="1">
      <alignment horizontal="center" readingOrder="0" vertical="center"/>
    </xf>
    <xf borderId="0" fillId="0" fontId="120" numFmtId="0" xfId="0" applyAlignment="1" applyFont="1">
      <alignment readingOrder="0" vertical="center"/>
    </xf>
    <xf borderId="0" fillId="109" fontId="15" numFmtId="164" xfId="0" applyAlignment="1" applyFill="1" applyFont="1" applyNumberFormat="1">
      <alignment horizontal="right" vertical="bottom"/>
    </xf>
    <xf borderId="0" fillId="11" fontId="30" numFmtId="0" xfId="0" applyAlignment="1" applyFont="1">
      <alignment horizontal="center" readingOrder="0" vertical="center"/>
    </xf>
    <xf borderId="0" fillId="12" fontId="25" numFmtId="0" xfId="0" applyAlignment="1" applyFont="1">
      <alignment horizontal="center" readingOrder="0" vertical="center"/>
    </xf>
    <xf borderId="0" fillId="61" fontId="25" numFmtId="0" xfId="0" applyAlignment="1" applyFont="1">
      <alignment horizontal="center" readingOrder="0" vertical="bottom"/>
    </xf>
    <xf borderId="0" fillId="62" fontId="6" numFmtId="0" xfId="0" applyAlignment="1" applyFont="1">
      <alignment horizontal="center" vertical="bottom"/>
    </xf>
    <xf borderId="0" fillId="63" fontId="6" numFmtId="0" xfId="0" applyAlignment="1" applyFont="1">
      <alignment horizontal="center" vertical="bottom"/>
    </xf>
    <xf borderId="0" fillId="23" fontId="6" numFmtId="0" xfId="0" applyAlignment="1" applyFont="1">
      <alignment horizontal="center" vertical="bottom"/>
    </xf>
    <xf borderId="0" fillId="0" fontId="15" numFmtId="0" xfId="0" applyAlignment="1" applyFont="1">
      <alignment horizontal="right" readingOrder="0" vertical="bottom"/>
    </xf>
    <xf borderId="0" fillId="0" fontId="15" numFmtId="165" xfId="0" applyAlignment="1" applyFont="1" applyNumberFormat="1">
      <alignment vertical="bottom"/>
    </xf>
    <xf borderId="0" fillId="0" fontId="15" numFmtId="164" xfId="0" applyAlignment="1" applyFont="1" applyNumberFormat="1">
      <alignment vertical="bottom"/>
    </xf>
    <xf borderId="0" fillId="0" fontId="18" numFmtId="0" xfId="0" applyAlignment="1" applyFont="1">
      <alignment horizontal="center" readingOrder="0" vertical="bottom"/>
    </xf>
    <xf borderId="0" fillId="0" fontId="121" numFmtId="0" xfId="0" applyAlignment="1" applyFont="1">
      <alignment readingOrder="0" shrinkToFit="0" vertical="center" wrapText="0"/>
    </xf>
    <xf borderId="0" fillId="0" fontId="14" numFmtId="0" xfId="0" applyAlignment="1" applyFont="1">
      <alignment readingOrder="0" vertical="bottom"/>
    </xf>
    <xf borderId="0" fillId="11" fontId="122" numFmtId="0" xfId="0" applyAlignment="1" applyFont="1">
      <alignment vertical="center"/>
    </xf>
    <xf borderId="0" fillId="110" fontId="15" numFmtId="164" xfId="0" applyAlignment="1" applyFill="1" applyFont="1" applyNumberFormat="1">
      <alignment horizontal="right" vertical="bottom"/>
    </xf>
    <xf borderId="0" fillId="111" fontId="6" numFmtId="0" xfId="0" applyAlignment="1" applyFill="1" applyFont="1">
      <alignment horizontal="center" readingOrder="0" vertical="bottom"/>
    </xf>
    <xf borderId="0" fillId="112" fontId="6" numFmtId="0" xfId="0" applyAlignment="1" applyFill="1" applyFont="1">
      <alignment horizontal="center" vertical="bottom"/>
    </xf>
    <xf borderId="0" fillId="61" fontId="15" numFmtId="164" xfId="0" applyAlignment="1" applyFont="1" applyNumberFormat="1">
      <alignment horizontal="right" vertical="bottom"/>
    </xf>
    <xf borderId="0" fillId="12" fontId="30" numFmtId="0" xfId="0" applyAlignment="1" applyFont="1">
      <alignment horizontal="center" readingOrder="0" vertical="center"/>
    </xf>
    <xf borderId="0" fillId="113" fontId="15" numFmtId="164" xfId="0" applyAlignment="1" applyFill="1" applyFont="1" applyNumberFormat="1">
      <alignment horizontal="right" vertical="bottom"/>
    </xf>
    <xf borderId="0" fillId="13" fontId="15" numFmtId="0" xfId="0" applyAlignment="1" applyFont="1">
      <alignment vertical="bottom"/>
    </xf>
    <xf borderId="0" fillId="0" fontId="6" numFmtId="0" xfId="0" applyAlignment="1" applyFont="1">
      <alignment horizontal="center" vertical="bottom"/>
    </xf>
    <xf borderId="0" fillId="0" fontId="49" numFmtId="0" xfId="0" applyAlignment="1" applyFont="1">
      <alignment readingOrder="0" vertical="center"/>
    </xf>
    <xf borderId="0" fillId="13" fontId="15" numFmtId="0" xfId="0" applyAlignment="1" applyFont="1">
      <alignment readingOrder="0" vertical="bottom"/>
    </xf>
    <xf borderId="0" fillId="27" fontId="15" numFmtId="0" xfId="0" applyAlignment="1" applyFont="1">
      <alignment readingOrder="0" vertical="bottom"/>
    </xf>
    <xf borderId="0" fillId="0" fontId="123" numFmtId="0" xfId="0" applyAlignment="1" applyFont="1">
      <alignment horizontal="right" readingOrder="0" vertical="bottom"/>
    </xf>
    <xf borderId="2" fillId="0" fontId="12" numFmtId="0" xfId="0" applyAlignment="1" applyBorder="1" applyFont="1">
      <alignment readingOrder="0" vertical="bottom"/>
    </xf>
    <xf borderId="2" fillId="0" fontId="15" numFmtId="0" xfId="0" applyAlignment="1" applyBorder="1" applyFont="1">
      <alignment readingOrder="0" vertical="bottom"/>
    </xf>
    <xf borderId="2" fillId="0" fontId="124" numFmtId="0" xfId="0" applyAlignment="1" applyBorder="1" applyFont="1">
      <alignment readingOrder="0" vertical="center"/>
    </xf>
    <xf borderId="2" fillId="0" fontId="11" numFmtId="0" xfId="0" applyAlignment="1" applyBorder="1" applyFont="1">
      <alignment horizontal="right" readingOrder="0" vertical="bottom"/>
    </xf>
    <xf borderId="2" fillId="0" fontId="15" numFmtId="165" xfId="0" applyAlignment="1" applyBorder="1" applyFont="1" applyNumberFormat="1">
      <alignment vertical="bottom"/>
    </xf>
    <xf borderId="2" fillId="12" fontId="15" numFmtId="164" xfId="0" applyAlignment="1" applyBorder="1" applyFont="1" applyNumberFormat="1">
      <alignment horizontal="right" vertical="bottom"/>
    </xf>
    <xf borderId="2" fillId="0" fontId="6" numFmtId="0" xfId="0" applyAlignment="1" applyBorder="1" applyFont="1">
      <alignment horizontal="center" readingOrder="0" vertical="bottom"/>
    </xf>
    <xf borderId="2" fillId="0" fontId="6" numFmtId="0" xfId="0" applyAlignment="1" applyBorder="1" applyFont="1">
      <alignment horizontal="center" readingOrder="0" vertical="center"/>
    </xf>
    <xf borderId="2" fillId="0" fontId="46" numFmtId="0" xfId="0" applyAlignment="1" applyBorder="1" applyFont="1">
      <alignment readingOrder="0" vertical="center"/>
    </xf>
    <xf borderId="2" fillId="0" fontId="12" numFmtId="167" xfId="0" applyAlignment="1" applyBorder="1" applyFont="1" applyNumberFormat="1">
      <alignment horizontal="right" readingOrder="0" vertical="bottom"/>
    </xf>
    <xf borderId="2" fillId="0" fontId="15" numFmtId="0" xfId="0" applyAlignment="1" applyBorder="1" applyFont="1">
      <alignment horizontal="center" vertical="bottom"/>
    </xf>
    <xf borderId="2" fillId="0" fontId="125" numFmtId="0" xfId="0" applyAlignment="1" applyBorder="1" applyFont="1">
      <alignment readingOrder="0" shrinkToFit="0" vertical="center" wrapText="0"/>
    </xf>
    <xf borderId="2" fillId="0" fontId="30" numFmtId="0" xfId="0" applyAlignment="1" applyBorder="1" applyFont="1">
      <alignment horizontal="center" readingOrder="0" vertical="center"/>
    </xf>
    <xf borderId="0" fillId="114" fontId="15" numFmtId="164" xfId="0" applyAlignment="1" applyFill="1" applyFont="1" applyNumberFormat="1">
      <alignment horizontal="right" vertical="bottom"/>
    </xf>
    <xf borderId="0" fillId="115" fontId="6" numFmtId="0" xfId="0" applyAlignment="1" applyFill="1" applyFont="1">
      <alignment horizontal="center" readingOrder="0" vertical="bottom"/>
    </xf>
    <xf borderId="0" fillId="0" fontId="6" numFmtId="0" xfId="0" applyAlignment="1" applyFont="1">
      <alignment horizontal="center" readingOrder="0" vertical="bottom"/>
    </xf>
    <xf borderId="0" fillId="0" fontId="23" numFmtId="0" xfId="0" applyAlignment="1" applyFont="1">
      <alignment horizontal="left" readingOrder="0" vertical="bottom"/>
    </xf>
    <xf borderId="0" fillId="0" fontId="18" numFmtId="0" xfId="0" applyAlignment="1" applyFont="1">
      <alignment horizontal="center" vertical="bottom"/>
    </xf>
    <xf borderId="0" fillId="0" fontId="15" numFmtId="0" xfId="0" applyAlignment="1" applyFont="1">
      <alignment vertical="bottom"/>
    </xf>
    <xf borderId="0" fillId="116" fontId="15" numFmtId="164" xfId="0" applyAlignment="1" applyFill="1" applyFont="1" applyNumberFormat="1">
      <alignment horizontal="right" vertical="bottom"/>
    </xf>
    <xf borderId="0" fillId="12" fontId="6" numFmtId="0" xfId="0" applyAlignment="1" applyFont="1">
      <alignment horizontal="center" vertical="bottom"/>
    </xf>
    <xf borderId="0" fillId="12" fontId="46" numFmtId="0" xfId="0" applyAlignment="1" applyFont="1">
      <alignment horizontal="center" readingOrder="0" shrinkToFit="0" vertical="center" wrapText="0"/>
    </xf>
    <xf borderId="0" fillId="12" fontId="15" numFmtId="0" xfId="0" applyAlignment="1" applyFont="1">
      <alignment readingOrder="0" shrinkToFit="0" vertical="bottom" wrapText="0"/>
    </xf>
    <xf borderId="0" fillId="66" fontId="6" numFmtId="0" xfId="0" applyAlignment="1" applyFont="1">
      <alignment horizontal="center" readingOrder="0" vertical="bottom"/>
    </xf>
    <xf borderId="0" fillId="12" fontId="6" numFmtId="0" xfId="0" applyAlignment="1" applyFont="1">
      <alignment horizontal="center" readingOrder="0" vertical="bottom"/>
    </xf>
    <xf borderId="0" fillId="12" fontId="126" numFmtId="0" xfId="0" applyAlignment="1" applyFont="1">
      <alignment readingOrder="0" shrinkToFit="0" vertical="center" wrapText="0"/>
    </xf>
    <xf borderId="0" fillId="12" fontId="46" numFmtId="0" xfId="0" applyAlignment="1" applyFont="1">
      <alignment horizontal="center" readingOrder="0" vertical="center"/>
    </xf>
    <xf borderId="0" fillId="117" fontId="6" numFmtId="0" xfId="0" applyAlignment="1" applyFill="1" applyFont="1">
      <alignment horizontal="center" vertical="bottom"/>
    </xf>
    <xf borderId="0" fillId="118" fontId="6" numFmtId="0" xfId="0" applyAlignment="1" applyFill="1" applyFont="1">
      <alignment horizontal="center" vertical="bottom"/>
    </xf>
    <xf borderId="0" fillId="119" fontId="6" numFmtId="0" xfId="0" applyAlignment="1" applyFill="1" applyFont="1">
      <alignment horizontal="center" vertical="bottom"/>
    </xf>
    <xf borderId="0" fillId="12" fontId="30" numFmtId="0" xfId="0" applyAlignment="1" applyFont="1">
      <alignment horizontal="center" vertical="center"/>
    </xf>
    <xf borderId="0" fillId="12" fontId="46" numFmtId="0" xfId="0" applyAlignment="1" applyFont="1">
      <alignment horizontal="center" readingOrder="0" vertical="center"/>
    </xf>
    <xf borderId="0" fillId="0" fontId="25" numFmtId="0" xfId="0" applyAlignment="1" applyFont="1">
      <alignment horizontal="right" vertical="bottom"/>
    </xf>
    <xf borderId="0" fillId="0" fontId="30" numFmtId="0" xfId="0" applyAlignment="1" applyFont="1">
      <alignment horizontal="center" readingOrder="0" vertical="center"/>
    </xf>
    <xf borderId="0" fillId="0" fontId="6" numFmtId="0" xfId="0" applyAlignment="1" applyFont="1">
      <alignment horizontal="center" readingOrder="0" vertical="bottom"/>
    </xf>
    <xf borderId="0" fillId="0" fontId="127" numFmtId="0" xfId="0" applyAlignment="1" applyFont="1">
      <alignment horizontal="center" readingOrder="0" vertical="bottom"/>
    </xf>
    <xf borderId="0" fillId="120" fontId="6" numFmtId="0" xfId="0" applyAlignment="1" applyFill="1" applyFont="1">
      <alignment horizontal="center" readingOrder="0" vertical="bottom"/>
    </xf>
    <xf borderId="0" fillId="79" fontId="25" numFmtId="0" xfId="0" applyAlignment="1" applyFont="1">
      <alignment horizontal="center" readingOrder="0" vertical="bottom"/>
    </xf>
    <xf borderId="0" fillId="121" fontId="25" numFmtId="0" xfId="0" applyAlignment="1" applyFill="1" applyFont="1">
      <alignment horizontal="center" readingOrder="0" vertical="bottom"/>
    </xf>
    <xf borderId="0" fillId="122" fontId="15" numFmtId="164" xfId="0" applyAlignment="1" applyFill="1" applyFont="1" applyNumberFormat="1">
      <alignment horizontal="right" vertical="bottom"/>
    </xf>
    <xf borderId="0" fillId="12" fontId="11" numFmtId="0" xfId="0" applyAlignment="1" applyFont="1">
      <alignment readingOrder="0" vertical="bottom"/>
    </xf>
    <xf borderId="0" fillId="6" fontId="46" numFmtId="0" xfId="0" applyAlignment="1" applyFont="1">
      <alignment horizontal="center" readingOrder="0" vertical="center"/>
    </xf>
    <xf borderId="0" fillId="6" fontId="15" numFmtId="0" xfId="0" applyAlignment="1" applyFont="1">
      <alignment readingOrder="0" vertical="bottom"/>
    </xf>
    <xf borderId="0" fillId="120" fontId="128" numFmtId="0" xfId="0" applyAlignment="1" applyFont="1">
      <alignment horizontal="center" readingOrder="0" vertical="bottom"/>
    </xf>
    <xf borderId="0" fillId="79" fontId="129" numFmtId="0" xfId="0" applyAlignment="1" applyFont="1">
      <alignment horizontal="center" readingOrder="0" vertical="bottom"/>
    </xf>
    <xf borderId="0" fillId="121" fontId="130" numFmtId="0" xfId="0" applyAlignment="1" applyFont="1">
      <alignment horizontal="center" readingOrder="0" vertical="bottom"/>
    </xf>
    <xf borderId="0" fillId="0" fontId="131" numFmtId="0" xfId="0" applyAlignment="1" applyFont="1">
      <alignment horizontal="center" readingOrder="0" vertical="bottom"/>
    </xf>
    <xf borderId="0" fillId="0" fontId="6" numFmtId="0" xfId="0" applyAlignment="1" applyFont="1">
      <alignment horizontal="center" vertical="bottom"/>
    </xf>
    <xf borderId="0" fillId="0" fontId="132" numFmtId="0" xfId="0" applyAlignment="1" applyFont="1">
      <alignment readingOrder="0" vertical="center"/>
    </xf>
    <xf borderId="0" fillId="0" fontId="12" numFmtId="0" xfId="0" applyAlignment="1" applyFont="1">
      <alignment vertical="bottom"/>
    </xf>
    <xf borderId="0" fillId="0" fontId="46" numFmtId="0" xfId="0" applyAlignment="1" applyFont="1">
      <alignment horizontal="center" readingOrder="0" vertical="center"/>
    </xf>
    <xf borderId="0" fillId="0" fontId="133" numFmtId="0" xfId="0" applyAlignment="1" applyFont="1">
      <alignment readingOrder="0" vertical="bottom"/>
    </xf>
    <xf borderId="0" fillId="0" fontId="25" numFmtId="0" xfId="0" applyAlignment="1" applyFont="1">
      <alignment horizontal="right" readingOrder="0" vertical="bottom"/>
    </xf>
    <xf borderId="0" fillId="0" fontId="12" numFmtId="167" xfId="0" applyAlignment="1" applyFont="1" applyNumberFormat="1">
      <alignment horizontal="right" vertical="bottom"/>
    </xf>
    <xf borderId="0" fillId="0" fontId="15" numFmtId="0" xfId="0" applyAlignment="1" applyFont="1">
      <alignment vertical="bottom"/>
    </xf>
    <xf borderId="0" fillId="0" fontId="28" numFmtId="0" xfId="0" applyAlignment="1" applyFont="1">
      <alignment horizontal="center" vertical="bottom"/>
    </xf>
    <xf borderId="0" fillId="0" fontId="12" numFmtId="167" xfId="0" applyAlignment="1" applyFont="1" applyNumberFormat="1">
      <alignment horizontal="right" vertical="bottom"/>
    </xf>
    <xf borderId="0" fillId="34" fontId="23" numFmtId="0" xfId="0" applyAlignment="1" applyFont="1">
      <alignment horizontal="left" vertical="bottom"/>
    </xf>
    <xf borderId="0" fillId="123" fontId="15" numFmtId="164" xfId="0" applyAlignment="1" applyFill="1" applyFont="1" applyNumberFormat="1">
      <alignment horizontal="right" vertical="bottom"/>
    </xf>
    <xf borderId="0" fillId="0" fontId="23" numFmtId="0" xfId="0" applyAlignment="1" applyFont="1">
      <alignment readingOrder="0" vertical="bottom"/>
    </xf>
    <xf borderId="0" fillId="6" fontId="15" numFmtId="165" xfId="0" applyAlignment="1" applyFont="1" applyNumberFormat="1">
      <alignment vertical="bottom"/>
    </xf>
    <xf borderId="0" fillId="6" fontId="15" numFmtId="164" xfId="0" applyAlignment="1" applyFont="1" applyNumberFormat="1">
      <alignment vertical="bottom"/>
    </xf>
    <xf borderId="0" fillId="124" fontId="134" numFmtId="0" xfId="0" applyAlignment="1" applyFill="1" applyFont="1">
      <alignment horizontal="center" vertical="bottom"/>
    </xf>
    <xf borderId="0" fillId="36" fontId="6" numFmtId="0" xfId="0" applyAlignment="1" applyFont="1">
      <alignment horizontal="center" vertical="bottom"/>
    </xf>
    <xf borderId="0" fillId="0" fontId="15" numFmtId="0" xfId="0" applyAlignment="1" applyFont="1">
      <alignment horizontal="right" readingOrder="0" vertical="bottom"/>
    </xf>
    <xf borderId="0" fillId="125" fontId="15" numFmtId="164" xfId="0" applyAlignment="1" applyFill="1" applyFont="1" applyNumberFormat="1">
      <alignment horizontal="right" vertical="bottom"/>
    </xf>
    <xf borderId="0" fillId="120" fontId="6" numFmtId="0" xfId="0" applyAlignment="1" applyFont="1">
      <alignment horizontal="center" readingOrder="0" vertical="bottom"/>
    </xf>
    <xf borderId="0" fillId="121" fontId="6" numFmtId="0" xfId="0" applyAlignment="1" applyFont="1">
      <alignment horizontal="center" readingOrder="0" vertical="bottom"/>
    </xf>
    <xf borderId="0" fillId="126" fontId="23" numFmtId="0" xfId="0" applyAlignment="1" applyFill="1" applyFont="1">
      <alignment readingOrder="0" vertical="bottom"/>
    </xf>
    <xf quotePrefix="1" borderId="0" fillId="0" fontId="12" numFmtId="0" xfId="0" applyAlignment="1" applyFont="1">
      <alignment readingOrder="0" shrinkToFit="0" vertical="bottom" wrapText="0"/>
    </xf>
    <xf borderId="0" fillId="12" fontId="135" numFmtId="0" xfId="0" applyAlignment="1" applyFont="1">
      <alignment readingOrder="0" vertical="center"/>
    </xf>
    <xf quotePrefix="1" borderId="0" fillId="0" fontId="136" numFmtId="0" xfId="0" applyAlignment="1" applyFont="1">
      <alignment readingOrder="0" shrinkToFit="0" vertical="bottom" wrapText="0"/>
    </xf>
    <xf borderId="0" fillId="127" fontId="6" numFmtId="0" xfId="0" applyAlignment="1" applyFill="1" applyFont="1">
      <alignment horizontal="center" readingOrder="0" vertical="bottom"/>
    </xf>
    <xf borderId="0" fillId="128" fontId="15" numFmtId="164" xfId="0" applyAlignment="1" applyFill="1" applyFont="1" applyNumberFormat="1">
      <alignment horizontal="right" vertical="bottom"/>
    </xf>
    <xf borderId="0" fillId="129" fontId="15" numFmtId="164" xfId="0" applyAlignment="1" applyFill="1" applyFont="1" applyNumberFormat="1">
      <alignment horizontal="right" vertical="bottom"/>
    </xf>
    <xf borderId="0" fillId="0" fontId="6" numFmtId="0" xfId="0" applyAlignment="1" applyFont="1">
      <alignment horizontal="center" readingOrder="0" vertical="bottom"/>
    </xf>
    <xf borderId="0" fillId="0" fontId="30" numFmtId="0" xfId="0" applyAlignment="1" applyFont="1">
      <alignment horizontal="center" readingOrder="0" shrinkToFit="0" vertical="center" wrapText="0"/>
    </xf>
    <xf borderId="0" fillId="0" fontId="12" numFmtId="0" xfId="0" applyAlignment="1" applyFont="1">
      <alignment readingOrder="0" shrinkToFit="0" vertical="bottom" wrapText="0"/>
    </xf>
    <xf borderId="0" fillId="0" fontId="30" numFmtId="0" xfId="0" applyAlignment="1" applyFont="1">
      <alignment horizontal="center" readingOrder="0" vertical="center"/>
    </xf>
    <xf borderId="0" fillId="12" fontId="6" numFmtId="0" xfId="0" applyAlignment="1" applyFont="1">
      <alignment readingOrder="0" vertical="bottom"/>
    </xf>
    <xf borderId="0" fillId="88" fontId="6" numFmtId="0" xfId="0" applyAlignment="1" applyFont="1">
      <alignment horizontal="center" readingOrder="0" vertical="bottom"/>
    </xf>
    <xf borderId="0" fillId="0" fontId="49" numFmtId="0" xfId="0" applyAlignment="1" applyFont="1">
      <alignment readingOrder="0" vertical="center"/>
    </xf>
    <xf borderId="0" fillId="6" fontId="30" numFmtId="0" xfId="0" applyAlignment="1" applyFont="1">
      <alignment horizontal="center" readingOrder="0" vertical="center"/>
    </xf>
    <xf borderId="0" fillId="0" fontId="30" numFmtId="0" xfId="0" applyAlignment="1" applyFont="1">
      <alignment horizontal="center" readingOrder="0" shrinkToFit="0" vertical="center" wrapText="0"/>
    </xf>
    <xf borderId="0" fillId="0" fontId="12" numFmtId="0" xfId="0" applyAlignment="1" applyFont="1">
      <alignment readingOrder="0" shrinkToFit="0" vertical="bottom" wrapText="0"/>
    </xf>
    <xf borderId="0" fillId="130" fontId="15" numFmtId="164" xfId="0" applyAlignment="1" applyFill="1" applyFont="1" applyNumberFormat="1">
      <alignment horizontal="right" vertical="bottom"/>
    </xf>
    <xf borderId="0" fillId="131" fontId="6" numFmtId="0" xfId="0" applyAlignment="1" applyFill="1" applyFont="1">
      <alignment horizontal="center" vertical="bottom"/>
    </xf>
    <xf borderId="0" fillId="12" fontId="30" numFmtId="0" xfId="0" applyAlignment="1" applyFont="1">
      <alignment horizontal="center" readingOrder="0" shrinkToFit="0" vertical="center" wrapText="0"/>
    </xf>
    <xf borderId="0" fillId="131" fontId="137" numFmtId="0" xfId="0" applyAlignment="1" applyFont="1">
      <alignment horizontal="center" readingOrder="0" vertical="bottom"/>
    </xf>
    <xf borderId="0" fillId="6" fontId="14" numFmtId="165" xfId="0" applyAlignment="1" applyFont="1" applyNumberFormat="1">
      <alignment horizontal="right" vertical="bottom"/>
    </xf>
    <xf borderId="0" fillId="12" fontId="14" numFmtId="164" xfId="0" applyAlignment="1" applyFont="1" applyNumberFormat="1">
      <alignment horizontal="right" vertical="bottom"/>
    </xf>
    <xf borderId="0" fillId="9" fontId="6" numFmtId="0" xfId="0" applyAlignment="1" applyFont="1">
      <alignment horizontal="center" readingOrder="0" vertical="bottom"/>
    </xf>
    <xf borderId="0" fillId="10" fontId="6" numFmtId="0" xfId="0" applyAlignment="1" applyFont="1">
      <alignment horizontal="center" readingOrder="0" vertical="bottom"/>
    </xf>
    <xf borderId="0" fillId="6" fontId="12" numFmtId="0" xfId="0" applyAlignment="1" applyFont="1">
      <alignment horizontal="right" vertical="bottom"/>
    </xf>
    <xf borderId="0" fillId="6" fontId="138" numFmtId="0" xfId="0" applyAlignment="1" applyFont="1">
      <alignment readingOrder="0" vertical="bottom"/>
    </xf>
    <xf borderId="0" fillId="132" fontId="6" numFmtId="0" xfId="0" applyAlignment="1" applyFill="1" applyFont="1">
      <alignment horizontal="center" vertical="bottom"/>
    </xf>
    <xf borderId="0" fillId="11" fontId="28" numFmtId="0" xfId="0" applyAlignment="1" applyFont="1">
      <alignment horizontal="center" vertical="bottom"/>
    </xf>
    <xf borderId="0" fillId="0" fontId="139" numFmtId="0" xfId="0" applyAlignment="1" applyFont="1">
      <alignment horizontal="center"/>
    </xf>
    <xf borderId="0" fillId="0" fontId="38" numFmtId="0" xfId="0" applyAlignment="1" applyFont="1">
      <alignment readingOrder="0" vertical="center"/>
    </xf>
    <xf borderId="0" fillId="133" fontId="15" numFmtId="164" xfId="0" applyAlignment="1" applyFill="1" applyFont="1" applyNumberFormat="1">
      <alignment horizontal="right" vertical="bottom"/>
    </xf>
    <xf borderId="0" fillId="11" fontId="140" numFmtId="0" xfId="0" applyAlignment="1" applyFont="1">
      <alignment shrinkToFit="0" vertical="center" wrapText="0"/>
    </xf>
    <xf borderId="0" fillId="0" fontId="23" numFmtId="0" xfId="0" applyAlignment="1" applyFont="1">
      <alignment vertical="bottom"/>
    </xf>
    <xf borderId="0" fillId="0" fontId="12" numFmtId="0" xfId="0" applyAlignment="1" applyFont="1">
      <alignment horizontal="right" vertical="bottom"/>
    </xf>
    <xf borderId="0" fillId="0" fontId="141" numFmtId="0" xfId="0" applyAlignment="1" applyFont="1">
      <alignment readingOrder="0" shrinkToFit="0" vertical="center" wrapText="0"/>
    </xf>
    <xf borderId="0" fillId="0" fontId="46" numFmtId="0" xfId="0" applyAlignment="1" applyFont="1">
      <alignment horizontal="center" vertical="center"/>
    </xf>
    <xf borderId="0" fillId="0" fontId="142" numFmtId="0" xfId="0" applyAlignment="1" applyFont="1">
      <alignment readingOrder="0" shrinkToFit="0" vertical="center" wrapText="0"/>
    </xf>
    <xf borderId="0" fillId="0" fontId="143" numFmtId="0" xfId="0" applyAlignment="1" applyFont="1">
      <alignment readingOrder="0" vertical="center"/>
    </xf>
    <xf borderId="0" fillId="0" fontId="144" numFmtId="0" xfId="0" applyAlignment="1" applyFont="1">
      <alignment readingOrder="0" vertical="center"/>
    </xf>
    <xf borderId="0" fillId="0" fontId="46" numFmtId="0" xfId="0" applyAlignment="1" applyFont="1">
      <alignment horizontal="center" readingOrder="0" shrinkToFit="0" vertical="center" wrapText="0"/>
    </xf>
    <xf borderId="0" fillId="0" fontId="15" numFmtId="0" xfId="0" applyAlignment="1" applyFont="1">
      <alignment readingOrder="0" shrinkToFit="0" vertical="bottom" wrapText="0"/>
    </xf>
    <xf borderId="0" fillId="0" fontId="145" numFmtId="0" xfId="0" applyAlignment="1" applyFont="1">
      <alignment readingOrder="0" shrinkToFit="0" vertical="center" wrapText="0"/>
    </xf>
    <xf borderId="0" fillId="0" fontId="146" numFmtId="0" xfId="0" applyAlignment="1" applyFont="1">
      <alignment horizontal="center" readingOrder="0" vertical="bottom"/>
    </xf>
    <xf borderId="0" fillId="12" fontId="49" numFmtId="0" xfId="0" applyAlignment="1" applyFont="1">
      <alignment readingOrder="0" vertical="center"/>
    </xf>
    <xf borderId="0" fillId="12" fontId="147" numFmtId="0" xfId="0" applyAlignment="1" applyFont="1">
      <alignment shrinkToFit="0" vertical="center" wrapText="0"/>
    </xf>
    <xf borderId="0" fillId="134" fontId="15" numFmtId="164" xfId="0" applyAlignment="1" applyFill="1" applyFont="1" applyNumberFormat="1">
      <alignment horizontal="right" vertical="bottom"/>
    </xf>
    <xf borderId="0" fillId="135" fontId="6" numFmtId="0" xfId="0" applyAlignment="1" applyFill="1" applyFont="1">
      <alignment horizontal="center" vertical="bottom"/>
    </xf>
    <xf borderId="0" fillId="121" fontId="6" numFmtId="0" xfId="0" applyAlignment="1" applyFont="1">
      <alignment horizontal="center" vertical="bottom"/>
    </xf>
    <xf borderId="0" fillId="11" fontId="15" numFmtId="0" xfId="0" applyAlignment="1" applyFont="1">
      <alignment horizontal="center" readingOrder="0" vertical="bottom"/>
    </xf>
    <xf borderId="0" fillId="11" fontId="148" numFmtId="0" xfId="0" applyAlignment="1" applyFont="1">
      <alignment horizontal="left" readingOrder="0" vertical="center"/>
    </xf>
    <xf borderId="0" fillId="0" fontId="36" numFmtId="0" xfId="0" applyAlignment="1" applyFont="1">
      <alignment horizontal="center" readingOrder="0" vertical="center"/>
    </xf>
    <xf borderId="0" fillId="0" fontId="6" numFmtId="0" xfId="0" applyAlignment="1" applyFont="1">
      <alignment readingOrder="0" vertical="bottom"/>
    </xf>
    <xf borderId="0" fillId="136" fontId="15" numFmtId="164" xfId="0" applyAlignment="1" applyFill="1" applyFont="1" applyNumberFormat="1">
      <alignment horizontal="right" vertical="bottom"/>
    </xf>
    <xf borderId="0" fillId="137" fontId="6" numFmtId="0" xfId="0" applyAlignment="1" applyFill="1" applyFont="1">
      <alignment horizontal="center" readingOrder="0" shrinkToFit="0" vertical="bottom" wrapText="0"/>
    </xf>
    <xf borderId="0" fillId="12" fontId="6" numFmtId="0" xfId="0" applyAlignment="1" applyFont="1">
      <alignment horizontal="center" readingOrder="0" vertical="center"/>
    </xf>
    <xf borderId="0" fillId="12" fontId="38" numFmtId="0" xfId="0" applyAlignment="1" applyFont="1">
      <alignment readingOrder="0" vertical="center"/>
    </xf>
    <xf borderId="0" fillId="0" fontId="149" numFmtId="0" xfId="0" applyAlignment="1" applyFont="1">
      <alignment readingOrder="0" shrinkToFit="0" vertical="center" wrapText="0"/>
    </xf>
    <xf borderId="0" fillId="6" fontId="150" numFmtId="0" xfId="0" applyAlignment="1" applyFont="1">
      <alignment readingOrder="0" shrinkToFit="0" vertical="center" wrapText="0"/>
    </xf>
    <xf borderId="0" fillId="0" fontId="30" numFmtId="0" xfId="0" applyAlignment="1" applyFont="1">
      <alignment horizontal="center" readingOrder="0" vertical="center"/>
    </xf>
    <xf borderId="0" fillId="0" fontId="12" numFmtId="0" xfId="0" applyAlignment="1" applyFont="1">
      <alignment readingOrder="0" vertical="bottom"/>
    </xf>
    <xf borderId="0" fillId="0" fontId="151" numFmtId="0" xfId="0" applyAlignment="1" applyFont="1">
      <alignment readingOrder="0" vertical="bottom"/>
    </xf>
    <xf borderId="0" fillId="0" fontId="15" numFmtId="0" xfId="0" applyAlignment="1" applyFont="1">
      <alignment horizontal="right" readingOrder="0" vertical="bottom"/>
    </xf>
    <xf borderId="0" fillId="0" fontId="6" numFmtId="0" xfId="0" applyAlignment="1" applyFont="1">
      <alignment horizontal="center" readingOrder="0" vertical="center"/>
    </xf>
    <xf borderId="0" fillId="0" fontId="120" numFmtId="0" xfId="0" applyAlignment="1" applyFont="1">
      <alignment readingOrder="0" vertical="center"/>
    </xf>
    <xf borderId="0" fillId="0" fontId="46" numFmtId="0" xfId="0" applyAlignment="1" applyFont="1">
      <alignment horizontal="center" readingOrder="0" vertical="center"/>
    </xf>
    <xf borderId="0" fillId="0" fontId="15" numFmtId="0" xfId="0" applyAlignment="1" applyFont="1">
      <alignment readingOrder="0" vertical="bottom"/>
    </xf>
    <xf borderId="0" fillId="138" fontId="15" numFmtId="164" xfId="0" applyAlignment="1" applyFill="1" applyFont="1" applyNumberFormat="1">
      <alignment horizontal="right" vertical="bottom"/>
    </xf>
    <xf borderId="0" fillId="11" fontId="6" numFmtId="0" xfId="0" applyAlignment="1" applyFont="1">
      <alignment horizontal="center" readingOrder="0" vertical="center"/>
    </xf>
    <xf borderId="0" fillId="11" fontId="120" numFmtId="0" xfId="0" applyAlignment="1" applyFont="1">
      <alignment readingOrder="0" vertical="center"/>
    </xf>
    <xf borderId="0" fillId="0" fontId="6" numFmtId="0" xfId="0" applyAlignment="1" applyFont="1">
      <alignment horizontal="center" vertical="bottom"/>
    </xf>
    <xf borderId="0" fillId="139" fontId="15" numFmtId="164" xfId="0" applyAlignment="1" applyFill="1" applyFont="1" applyNumberFormat="1">
      <alignment horizontal="right" vertical="bottom"/>
    </xf>
    <xf borderId="0" fillId="11" fontId="46" numFmtId="0" xfId="0" applyAlignment="1" applyFont="1">
      <alignment horizontal="center" readingOrder="0" vertical="center"/>
    </xf>
    <xf borderId="0" fillId="11" fontId="152" numFmtId="0" xfId="0" applyAlignment="1" applyFont="1">
      <alignment vertical="center"/>
    </xf>
    <xf borderId="0" fillId="11" fontId="153" numFmtId="0" xfId="0" applyAlignment="1" applyFont="1">
      <alignment readingOrder="0" vertical="center"/>
    </xf>
    <xf borderId="0" fillId="140" fontId="15" numFmtId="0" xfId="0" applyAlignment="1" applyFill="1" applyFont="1">
      <alignment horizontal="center" readingOrder="0" vertical="bottom"/>
    </xf>
    <xf borderId="0" fillId="12" fontId="120" numFmtId="0" xfId="0" applyAlignment="1" applyFont="1">
      <alignment readingOrder="0" vertical="center"/>
    </xf>
    <xf borderId="0" fillId="47" fontId="15" numFmtId="0" xfId="0" applyAlignment="1" applyFont="1">
      <alignment readingOrder="0" vertical="bottom"/>
    </xf>
    <xf borderId="0" fillId="12" fontId="154" numFmtId="0" xfId="0" applyAlignment="1" applyFont="1">
      <alignment vertical="center"/>
    </xf>
    <xf borderId="0" fillId="141" fontId="15" numFmtId="164" xfId="0" applyAlignment="1" applyFill="1" applyFont="1" applyNumberFormat="1">
      <alignment horizontal="right" vertical="bottom"/>
    </xf>
    <xf borderId="0" fillId="142" fontId="6" numFmtId="0" xfId="0" applyAlignment="1" applyFill="1" applyFont="1">
      <alignment horizontal="center" vertical="bottom"/>
    </xf>
    <xf borderId="0" fillId="0" fontId="120" numFmtId="0" xfId="0" applyAlignment="1" applyFont="1">
      <alignment readingOrder="0" vertical="center"/>
    </xf>
    <xf borderId="0" fillId="0" fontId="18" numFmtId="0" xfId="0" applyAlignment="1" applyFont="1">
      <alignment horizontal="center" vertical="bottom"/>
    </xf>
    <xf borderId="0" fillId="12" fontId="46" numFmtId="0" xfId="0" applyAlignment="1" applyFont="1">
      <alignment horizontal="center" readingOrder="0" shrinkToFit="0" vertical="center" wrapText="0"/>
    </xf>
    <xf borderId="0" fillId="12" fontId="15" numFmtId="0" xfId="0" applyAlignment="1" applyFont="1">
      <alignment readingOrder="0" shrinkToFit="0" vertical="bottom" wrapText="0"/>
    </xf>
    <xf borderId="0" fillId="12" fontId="155" numFmtId="0" xfId="0" applyAlignment="1" applyFont="1">
      <alignment vertical="center"/>
    </xf>
    <xf borderId="0" fillId="143" fontId="15" numFmtId="164" xfId="0" applyAlignment="1" applyFill="1" applyFont="1" applyNumberFormat="1">
      <alignment horizontal="right" vertical="bottom"/>
    </xf>
    <xf borderId="0" fillId="144" fontId="6" numFmtId="0" xfId="0" applyAlignment="1" applyFill="1" applyFont="1">
      <alignment horizontal="center" vertical="bottom"/>
    </xf>
    <xf borderId="0" fillId="12" fontId="30" numFmtId="0" xfId="0" applyAlignment="1" applyFont="1">
      <alignment horizontal="center" readingOrder="0" vertical="center"/>
    </xf>
    <xf borderId="0" fillId="12" fontId="12" numFmtId="0" xfId="0" applyAlignment="1" applyFont="1">
      <alignment readingOrder="0" vertical="bottom"/>
    </xf>
    <xf borderId="0" fillId="0" fontId="15" numFmtId="0" xfId="0" applyAlignment="1" applyFont="1">
      <alignment horizontal="left" readingOrder="0" shrinkToFit="0" vertical="bottom" wrapText="0"/>
    </xf>
    <xf borderId="0" fillId="0" fontId="23" numFmtId="0" xfId="0" applyAlignment="1" applyFont="1">
      <alignment horizontal="left" shrinkToFit="0" vertical="bottom" wrapText="0"/>
    </xf>
    <xf borderId="0" fillId="145" fontId="15" numFmtId="164" xfId="0" applyAlignment="1" applyFill="1" applyFont="1" applyNumberFormat="1">
      <alignment horizontal="right" vertical="bottom"/>
    </xf>
    <xf borderId="0" fillId="146" fontId="6" numFmtId="0" xfId="0" applyAlignment="1" applyFill="1" applyFont="1">
      <alignment horizontal="center" vertical="bottom"/>
    </xf>
    <xf borderId="0" fillId="147" fontId="15" numFmtId="164" xfId="0" applyAlignment="1" applyFill="1" applyFont="1" applyNumberFormat="1">
      <alignment horizontal="right" vertical="bottom"/>
    </xf>
    <xf borderId="0" fillId="12" fontId="12" numFmtId="167" xfId="0" applyAlignment="1" applyFont="1" applyNumberFormat="1">
      <alignment horizontal="right" readingOrder="0" vertical="bottom"/>
    </xf>
    <xf borderId="0" fillId="12" fontId="156" numFmtId="0" xfId="0" applyAlignment="1" applyFont="1">
      <alignment readingOrder="0" vertical="center"/>
    </xf>
    <xf borderId="0" fillId="0" fontId="31" numFmtId="0" xfId="0" applyAlignment="1" applyFont="1">
      <alignment readingOrder="0" vertical="center"/>
    </xf>
    <xf borderId="0" fillId="12" fontId="157" numFmtId="0" xfId="0" applyAlignment="1" applyFont="1">
      <alignment readingOrder="0" vertical="center"/>
    </xf>
    <xf borderId="0" fillId="12" fontId="15" numFmtId="165" xfId="0" applyAlignment="1" applyFont="1" applyNumberFormat="1">
      <alignment vertical="bottom"/>
    </xf>
    <xf borderId="0" fillId="12" fontId="15" numFmtId="164" xfId="0" applyAlignment="1" applyFont="1" applyNumberFormat="1">
      <alignment vertical="bottom"/>
    </xf>
    <xf borderId="0" fillId="0" fontId="15" numFmtId="164" xfId="0" applyAlignment="1" applyFont="1" applyNumberFormat="1">
      <alignment vertical="bottom"/>
    </xf>
    <xf borderId="0" fillId="0" fontId="158" numFmtId="0" xfId="0" applyAlignment="1" applyFont="1">
      <alignment readingOrder="0" shrinkToFit="0" vertical="bottom" wrapText="0"/>
    </xf>
    <xf borderId="0" fillId="0" fontId="159" numFmtId="0" xfId="0" applyAlignment="1" applyFont="1">
      <alignment readingOrder="0" vertical="center"/>
    </xf>
    <xf borderId="0" fillId="0" fontId="160" numFmtId="0" xfId="0" applyAlignment="1" applyFont="1">
      <alignment horizontal="center" readingOrder="0" vertical="bottom"/>
    </xf>
    <xf borderId="0" fillId="0" fontId="12" numFmtId="167" xfId="0" applyAlignment="1" applyFont="1" applyNumberFormat="1">
      <alignment horizontal="right" readingOrder="0" vertical="bottom"/>
    </xf>
    <xf borderId="0" fillId="0" fontId="30" numFmtId="0" xfId="0" applyAlignment="1" applyFont="1">
      <alignment horizontal="center" readingOrder="0" shrinkToFit="0" vertical="center" wrapText="0"/>
    </xf>
    <xf borderId="0" fillId="0" fontId="12" numFmtId="0" xfId="0" applyAlignment="1" applyFont="1">
      <alignment readingOrder="0" shrinkToFit="0" vertical="bottom" wrapText="0"/>
    </xf>
    <xf borderId="0" fillId="0" fontId="46" numFmtId="0" xfId="0" applyAlignment="1" applyFont="1">
      <alignment horizontal="center" readingOrder="0" shrinkToFit="0" vertical="center" wrapText="0"/>
    </xf>
    <xf borderId="0" fillId="0" fontId="161" numFmtId="0" xfId="0" applyAlignment="1" applyFont="1">
      <alignment readingOrder="0" shrinkToFit="0" vertical="bottom" wrapText="0"/>
    </xf>
    <xf borderId="0" fillId="0" fontId="15" numFmtId="0" xfId="0" applyAlignment="1" applyFont="1">
      <alignment readingOrder="0" shrinkToFit="0" vertical="bottom" wrapText="0"/>
    </xf>
    <xf borderId="0" fillId="12" fontId="25" numFmtId="0" xfId="0" applyAlignment="1" applyFont="1">
      <alignment horizontal="right" readingOrder="0" vertical="bottom"/>
    </xf>
    <xf borderId="0" fillId="148" fontId="15" numFmtId="164" xfId="0" applyAlignment="1" applyFill="1" applyFont="1" applyNumberFormat="1">
      <alignment horizontal="right" vertical="bottom"/>
    </xf>
    <xf borderId="0" fillId="12" fontId="162" numFmtId="0" xfId="0" applyAlignment="1" applyFont="1">
      <alignment horizontal="right" readingOrder="0" vertical="bottom"/>
    </xf>
    <xf borderId="0" fillId="0" fontId="27" numFmtId="164" xfId="0" applyAlignment="1" applyFont="1" applyNumberFormat="1">
      <alignment horizontal="right" vertical="bottom"/>
    </xf>
    <xf borderId="0" fillId="6" fontId="163" numFmtId="0" xfId="0" applyAlignment="1" applyFont="1">
      <alignment readingOrder="0" vertical="bottom"/>
    </xf>
    <xf borderId="0" fillId="0" fontId="46" numFmtId="0" xfId="0" applyAlignment="1" applyFont="1">
      <alignment horizontal="center" readingOrder="0" vertical="center"/>
    </xf>
    <xf borderId="0" fillId="0" fontId="164" numFmtId="0" xfId="0" applyAlignment="1" applyFont="1">
      <alignment readingOrder="0" vertical="bottom"/>
    </xf>
    <xf borderId="0" fillId="149" fontId="15" numFmtId="164" xfId="0" applyAlignment="1" applyFill="1" applyFont="1" applyNumberFormat="1">
      <alignment horizontal="right" vertical="bottom"/>
    </xf>
    <xf borderId="0" fillId="0" fontId="30" numFmtId="0" xfId="0" applyAlignment="1" applyFont="1">
      <alignment horizontal="center" readingOrder="0" vertical="center"/>
    </xf>
    <xf borderId="0" fillId="0" fontId="165" numFmtId="0" xfId="0" applyAlignment="1" applyFont="1">
      <alignment readingOrder="0" vertical="bottom"/>
    </xf>
    <xf borderId="0" fillId="150" fontId="15" numFmtId="164" xfId="0" applyAlignment="1" applyFill="1" applyFont="1" applyNumberFormat="1">
      <alignment horizontal="right" vertical="bottom"/>
    </xf>
    <xf borderId="0" fillId="0" fontId="166" numFmtId="0" xfId="0" applyAlignment="1" applyFont="1">
      <alignment readingOrder="0" vertical="bottom"/>
    </xf>
    <xf borderId="0" fillId="12" fontId="167" numFmtId="0" xfId="0" applyAlignment="1" applyFont="1">
      <alignment readingOrder="0" shrinkToFit="0" vertical="bottom" wrapText="0"/>
    </xf>
    <xf borderId="0" fillId="151" fontId="15" numFmtId="164" xfId="0" applyAlignment="1" applyFill="1" applyFont="1" applyNumberFormat="1">
      <alignment horizontal="right" vertical="bottom"/>
    </xf>
    <xf borderId="0" fillId="11" fontId="168" numFmtId="0" xfId="0" applyAlignment="1" applyFont="1">
      <alignment readingOrder="0" vertical="bottom"/>
    </xf>
    <xf borderId="0" fillId="152" fontId="15" numFmtId="164" xfId="0" applyAlignment="1" applyFill="1" applyFont="1" applyNumberFormat="1">
      <alignment horizontal="right" vertical="bottom"/>
    </xf>
    <xf borderId="0" fillId="6" fontId="6" numFmtId="0" xfId="0" applyAlignment="1" applyFont="1">
      <alignment horizontal="center" vertical="bottom"/>
    </xf>
    <xf borderId="0" fillId="6" fontId="46" numFmtId="0" xfId="0" applyAlignment="1" applyFont="1">
      <alignment horizontal="center" readingOrder="0" vertical="center"/>
    </xf>
    <xf borderId="0" fillId="153" fontId="15" numFmtId="164" xfId="0" applyAlignment="1" applyFill="1" applyFont="1" applyNumberFormat="1">
      <alignment horizontal="right" vertical="bottom"/>
    </xf>
    <xf borderId="0" fillId="154" fontId="15" numFmtId="164" xfId="0" applyAlignment="1" applyFill="1" applyFont="1" applyNumberFormat="1">
      <alignment horizontal="right" vertical="bottom"/>
    </xf>
    <xf borderId="0" fillId="6" fontId="12" numFmtId="167" xfId="0" applyAlignment="1" applyFont="1" applyNumberFormat="1">
      <alignment horizontal="right" vertical="bottom"/>
    </xf>
    <xf borderId="0" fillId="6" fontId="169" numFmtId="0" xfId="0" applyAlignment="1" applyFont="1">
      <alignment readingOrder="0" vertical="center"/>
    </xf>
    <xf borderId="0" fillId="6" fontId="46" numFmtId="0" xfId="0" applyAlignment="1" applyFont="1">
      <alignment horizontal="center" readingOrder="0" vertical="center"/>
    </xf>
    <xf borderId="0" fillId="6" fontId="15" numFmtId="0" xfId="0" applyAlignment="1" applyFont="1">
      <alignment readingOrder="0" vertical="bottom"/>
    </xf>
    <xf borderId="0" fillId="6" fontId="6" numFmtId="165" xfId="0" applyAlignment="1" applyFont="1" applyNumberFormat="1">
      <alignment horizontal="right" readingOrder="0" vertical="bottom"/>
    </xf>
    <xf borderId="0" fillId="0" fontId="15" numFmtId="165" xfId="0" applyAlignment="1" applyFont="1" applyNumberFormat="1">
      <alignment vertical="bottom"/>
    </xf>
    <xf borderId="0" fillId="0" fontId="170" numFmtId="0" xfId="0" applyAlignment="1" applyFont="1">
      <alignment readingOrder="0" shrinkToFit="0" vertical="center" wrapText="0"/>
    </xf>
    <xf quotePrefix="1" borderId="0" fillId="0" fontId="12" numFmtId="0" xfId="0" applyAlignment="1" applyFont="1">
      <alignment readingOrder="0" vertical="bottom"/>
    </xf>
    <xf quotePrefix="1" borderId="0" fillId="0" fontId="15" numFmtId="0" xfId="0" applyAlignment="1" applyFont="1">
      <alignment readingOrder="0" vertical="bottom"/>
    </xf>
    <xf borderId="0" fillId="0" fontId="14" numFmtId="0" xfId="0" applyAlignment="1" applyFont="1">
      <alignment readingOrder="0" vertical="bottom"/>
    </xf>
    <xf borderId="0" fillId="0" fontId="6" numFmtId="0" xfId="0" applyAlignment="1" applyFont="1">
      <alignment horizontal="center" readingOrder="0" shrinkToFit="0" vertical="bottom" wrapText="0"/>
    </xf>
    <xf borderId="0" fillId="0" fontId="6" numFmtId="0" xfId="0" applyAlignment="1" applyFont="1">
      <alignment horizontal="center" shrinkToFit="0" vertical="bottom" wrapText="0"/>
    </xf>
    <xf borderId="0" fillId="0" fontId="6" numFmtId="0" xfId="0" applyAlignment="1" applyFont="1">
      <alignment horizontal="center" readingOrder="0" shrinkToFit="0" vertical="bottom" wrapText="0"/>
    </xf>
    <xf borderId="0" fillId="0" fontId="6" numFmtId="0" xfId="0" applyAlignment="1" applyFont="1">
      <alignment horizontal="center" shrinkToFit="0" vertical="bottom" wrapText="0"/>
    </xf>
    <xf borderId="0" fillId="11" fontId="49" numFmtId="0" xfId="0" applyAlignment="1" applyFont="1">
      <alignment readingOrder="0" vertical="center"/>
    </xf>
    <xf borderId="0" fillId="11" fontId="30" numFmtId="0" xfId="0" applyAlignment="1" applyFont="1">
      <alignment horizontal="center" vertical="center"/>
    </xf>
    <xf borderId="0" fillId="0" fontId="49" numFmtId="0" xfId="0" applyAlignment="1" applyFont="1">
      <alignment readingOrder="0" vertical="center"/>
    </xf>
    <xf borderId="0" fillId="0" fontId="46" numFmtId="0" xfId="0" applyAlignment="1" applyFont="1">
      <alignment horizontal="center" readingOrder="0" vertical="center"/>
    </xf>
    <xf borderId="0" fillId="11" fontId="166" numFmtId="0" xfId="0" applyAlignment="1" applyFont="1">
      <alignment readingOrder="0" vertical="bottom"/>
    </xf>
    <xf borderId="0" fillId="0" fontId="25" numFmtId="165" xfId="0" applyAlignment="1" applyFont="1" applyNumberFormat="1">
      <alignment horizontal="right" readingOrder="0" vertical="bottom"/>
    </xf>
    <xf borderId="0" fillId="0" fontId="171" numFmtId="0" xfId="0" applyAlignment="1" applyFont="1">
      <alignment readingOrder="0" vertical="center"/>
    </xf>
    <xf borderId="0" fillId="0" fontId="36" numFmtId="0" xfId="0" applyAlignment="1" applyFont="1">
      <alignment horizontal="center" readingOrder="0" vertical="center"/>
    </xf>
    <xf borderId="0" fillId="0" fontId="6" numFmtId="0" xfId="0" applyAlignment="1" applyFont="1">
      <alignment readingOrder="0" vertical="bottom"/>
    </xf>
    <xf borderId="0" fillId="0" fontId="31" numFmtId="0" xfId="0" applyAlignment="1" applyFont="1">
      <alignment readingOrder="0" vertical="center"/>
    </xf>
    <xf borderId="0" fillId="12" fontId="18" numFmtId="0" xfId="0" applyAlignment="1" applyFont="1">
      <alignment horizontal="center" readingOrder="0" vertical="bottom"/>
    </xf>
    <xf borderId="0" fillId="12" fontId="152" numFmtId="0" xfId="0" applyAlignment="1" applyFont="1">
      <alignment vertical="center"/>
    </xf>
    <xf borderId="0" fillId="12" fontId="172" numFmtId="0" xfId="0" applyAlignment="1" applyFont="1">
      <alignment vertical="center"/>
    </xf>
    <xf borderId="0" fillId="0" fontId="38" numFmtId="0" xfId="0" applyAlignment="1" applyFont="1">
      <alignment readingOrder="0" vertical="center"/>
    </xf>
    <xf borderId="0" fillId="0" fontId="15" numFmtId="0" xfId="0" applyAlignment="1" applyFont="1">
      <alignment readingOrder="0" vertical="bottom"/>
    </xf>
    <xf borderId="0" fillId="11" fontId="173" numFmtId="0" xfId="0" applyAlignment="1" applyFont="1">
      <alignment readingOrder="0"/>
    </xf>
    <xf borderId="0" fillId="0" fontId="30" numFmtId="0" xfId="0" applyAlignment="1" applyFont="1">
      <alignment horizontal="center" readingOrder="0" shrinkToFit="0" vertical="center" wrapText="0"/>
    </xf>
    <xf borderId="0" fillId="0" fontId="12" numFmtId="0" xfId="0" applyAlignment="1" applyFont="1">
      <alignment readingOrder="0" shrinkToFit="0" vertical="bottom" wrapText="0"/>
    </xf>
    <xf borderId="2" fillId="12" fontId="12" numFmtId="0" xfId="0" applyAlignment="1" applyBorder="1" applyFont="1">
      <alignment readingOrder="0" vertical="bottom"/>
    </xf>
    <xf borderId="2" fillId="0" fontId="15" numFmtId="0" xfId="0" applyAlignment="1" applyBorder="1" applyFont="1">
      <alignment horizontal="left" vertical="bottom"/>
    </xf>
    <xf borderId="2" fillId="12" fontId="31" numFmtId="0" xfId="0" applyAlignment="1" applyBorder="1" applyFont="1">
      <alignment readingOrder="0" vertical="center"/>
    </xf>
    <xf borderId="2" fillId="0" fontId="12" numFmtId="0" xfId="0" applyAlignment="1" applyBorder="1" applyFont="1">
      <alignment horizontal="right" readingOrder="0" vertical="bottom"/>
    </xf>
    <xf borderId="2" fillId="0" fontId="6" numFmtId="165" xfId="0" applyAlignment="1" applyBorder="1" applyFont="1" applyNumberFormat="1">
      <alignment horizontal="right" readingOrder="0" vertical="bottom"/>
    </xf>
    <xf borderId="2" fillId="11" fontId="6" numFmtId="0" xfId="0" applyAlignment="1" applyBorder="1" applyFont="1">
      <alignment horizontal="center" readingOrder="0" vertical="bottom"/>
    </xf>
    <xf borderId="2" fillId="11" fontId="6" numFmtId="0" xfId="0" applyAlignment="1" applyBorder="1" applyFont="1">
      <alignment horizontal="center" vertical="bottom"/>
    </xf>
    <xf borderId="2" fillId="0" fontId="18" numFmtId="0" xfId="0" applyAlignment="1" applyBorder="1" applyFont="1">
      <alignment horizontal="center" vertical="bottom"/>
    </xf>
    <xf borderId="2" fillId="12" fontId="174" numFmtId="0" xfId="0" applyAlignment="1" applyBorder="1" applyFont="1">
      <alignment readingOrder="0" shrinkToFit="0" vertical="center" wrapText="0"/>
    </xf>
    <xf borderId="2" fillId="11" fontId="12" numFmtId="0" xfId="0" applyAlignment="1" applyBorder="1" applyFont="1">
      <alignment readingOrder="0" vertical="bottom"/>
    </xf>
    <xf borderId="2" fillId="12" fontId="46" numFmtId="0" xfId="0" applyAlignment="1" applyBorder="1" applyFont="1">
      <alignment horizontal="center" readingOrder="0" vertical="center"/>
    </xf>
    <xf borderId="2" fillId="12" fontId="15" numFmtId="0" xfId="0" applyAlignment="1" applyBorder="1" applyFont="1">
      <alignment readingOrder="0" vertical="bottom"/>
    </xf>
    <xf borderId="0" fillId="0" fontId="49" numFmtId="0" xfId="0" applyAlignment="1" applyFont="1">
      <alignment readingOrder="0" vertical="center"/>
    </xf>
    <xf borderId="0" fillId="11" fontId="34" numFmtId="165" xfId="0" applyAlignment="1" applyFont="1" applyNumberFormat="1">
      <alignment vertical="bottom"/>
    </xf>
    <xf borderId="0" fillId="11" fontId="34" numFmtId="164" xfId="0" applyAlignment="1" applyFont="1" applyNumberFormat="1">
      <alignment vertical="bottom"/>
    </xf>
    <xf borderId="0" fillId="0" fontId="15" numFmtId="10" xfId="0" applyAlignment="1" applyFont="1" applyNumberFormat="1">
      <alignment horizontal="left" vertical="bottom"/>
    </xf>
    <xf borderId="0" fillId="0" fontId="175" numFmtId="10" xfId="0" applyAlignment="1" applyFont="1" applyNumberFormat="1">
      <alignment vertical="center"/>
    </xf>
    <xf borderId="0" fillId="155" fontId="15" numFmtId="164" xfId="0" applyAlignment="1" applyFill="1" applyFont="1" applyNumberFormat="1">
      <alignment horizontal="right" vertical="bottom"/>
    </xf>
    <xf borderId="0" fillId="0" fontId="25" numFmtId="165" xfId="0" applyAlignment="1" applyFont="1" applyNumberFormat="1">
      <alignment horizontal="right" readingOrder="0" vertical="bottom"/>
    </xf>
    <xf borderId="0" fillId="0" fontId="176" numFmtId="0" xfId="0" applyAlignment="1" applyFont="1">
      <alignment readingOrder="0" vertical="center"/>
    </xf>
    <xf borderId="0" fillId="0" fontId="177" numFmtId="0" xfId="0" applyAlignment="1" applyFont="1">
      <alignment readingOrder="0" shrinkToFit="0" vertical="bottom" wrapText="0"/>
    </xf>
    <xf borderId="0" fillId="156" fontId="15" numFmtId="164" xfId="0" applyAlignment="1" applyFill="1" applyFont="1" applyNumberFormat="1">
      <alignment horizontal="right" vertical="bottom"/>
    </xf>
    <xf borderId="0" fillId="11" fontId="30" numFmtId="0" xfId="0" applyAlignment="1" applyFont="1">
      <alignment horizontal="center" readingOrder="0" vertical="center"/>
    </xf>
    <xf borderId="0" fillId="11" fontId="178" numFmtId="0" xfId="0" applyAlignment="1" applyFont="1">
      <alignment readingOrder="0" vertical="bottom"/>
    </xf>
    <xf borderId="0" fillId="12" fontId="179" numFmtId="0" xfId="0" applyAlignment="1" applyFont="1">
      <alignment readingOrder="0" shrinkToFit="0" vertical="center" wrapText="0"/>
    </xf>
    <xf borderId="0" fillId="0" fontId="180" numFmtId="0" xfId="0" applyAlignment="1" applyFont="1">
      <alignment horizontal="center" readingOrder="0" vertical="center"/>
    </xf>
    <xf borderId="0" fillId="12" fontId="31" numFmtId="0" xfId="0" applyAlignment="1" applyFont="1">
      <alignment readingOrder="0" shrinkToFit="0" vertical="center" wrapText="0"/>
    </xf>
    <xf borderId="0" fillId="12" fontId="14" numFmtId="0" xfId="0" applyAlignment="1" applyFont="1">
      <alignment readingOrder="0" vertical="bottom"/>
    </xf>
    <xf borderId="0" fillId="11" fontId="181" numFmtId="0" xfId="0" applyAlignment="1" applyFont="1">
      <alignment horizontal="right" readingOrder="0" vertical="bottom"/>
    </xf>
    <xf borderId="0" fillId="0" fontId="25" numFmtId="0" xfId="0" applyAlignment="1" applyFont="1">
      <alignment horizontal="center" vertical="bottom"/>
    </xf>
    <xf borderId="0" fillId="11" fontId="31" numFmtId="0" xfId="0" applyAlignment="1" applyFont="1">
      <alignment readingOrder="0" vertical="center"/>
    </xf>
    <xf borderId="0" fillId="11" fontId="19" numFmtId="0" xfId="0" applyAlignment="1" applyFont="1">
      <alignment readingOrder="0" shrinkToFit="0" wrapText="0"/>
    </xf>
    <xf borderId="0" fillId="12" fontId="34" numFmtId="165" xfId="0" applyAlignment="1" applyFont="1" applyNumberFormat="1">
      <alignment vertical="bottom"/>
    </xf>
    <xf borderId="0" fillId="12" fontId="34" numFmtId="164" xfId="0" applyAlignment="1" applyFont="1" applyNumberFormat="1">
      <alignment vertical="bottom"/>
    </xf>
    <xf borderId="0" fillId="12" fontId="182" numFmtId="0" xfId="0" applyAlignment="1" applyFont="1">
      <alignment readingOrder="0" shrinkToFit="0" vertical="center" wrapText="0"/>
    </xf>
    <xf borderId="0" fillId="12" fontId="183" numFmtId="0" xfId="0" applyAlignment="1" applyFont="1">
      <alignment readingOrder="0" shrinkToFit="0" vertical="center" wrapText="0"/>
    </xf>
    <xf borderId="0" fillId="6" fontId="6" numFmtId="0" xfId="0" applyAlignment="1" applyFont="1">
      <alignment horizontal="center" readingOrder="0" vertical="center"/>
    </xf>
    <xf borderId="0" fillId="6" fontId="49" numFmtId="0" xfId="0" applyAlignment="1" applyFont="1">
      <alignment readingOrder="0" vertical="center"/>
    </xf>
    <xf borderId="0" fillId="6" fontId="184" numFmtId="0" xfId="0" applyAlignment="1" applyFont="1">
      <alignment readingOrder="0" vertical="center"/>
    </xf>
    <xf borderId="0" fillId="6" fontId="31" numFmtId="0" xfId="0" applyAlignment="1" applyFont="1">
      <alignment readingOrder="0" vertical="center"/>
    </xf>
    <xf borderId="0" fillId="157" fontId="15" numFmtId="164" xfId="0" applyAlignment="1" applyFill="1" applyFont="1" applyNumberFormat="1">
      <alignment horizontal="right" vertical="bottom"/>
    </xf>
    <xf borderId="0" fillId="0" fontId="185" numFmtId="0" xfId="0" applyAlignment="1" applyFont="1">
      <alignment readingOrder="0" vertical="center"/>
    </xf>
    <xf borderId="0" fillId="0" fontId="15" numFmtId="0" xfId="0" applyAlignment="1" applyFont="1">
      <alignment horizontal="center" readingOrder="0" vertical="bottom"/>
    </xf>
    <xf borderId="0" fillId="0" fontId="14" numFmtId="165" xfId="0" applyAlignment="1" applyFont="1" applyNumberFormat="1">
      <alignment horizontal="right" vertical="bottom"/>
    </xf>
    <xf borderId="0" fillId="0" fontId="14" numFmtId="164" xfId="0" applyAlignment="1" applyFont="1" applyNumberFormat="1">
      <alignment horizontal="right" vertical="bottom"/>
    </xf>
    <xf borderId="0" fillId="12" fontId="186" numFmtId="0" xfId="0" applyAlignment="1" applyFont="1">
      <alignment readingOrder="0" vertical="center"/>
    </xf>
    <xf borderId="0" fillId="85" fontId="14" numFmtId="165" xfId="0" applyAlignment="1" applyFont="1" applyNumberFormat="1">
      <alignment horizontal="right" vertical="bottom"/>
    </xf>
    <xf borderId="0" fillId="0" fontId="187" numFmtId="0" xfId="0" applyAlignment="1" applyFont="1">
      <alignment readingOrder="0" vertical="center"/>
    </xf>
    <xf quotePrefix="1" borderId="0" fillId="0" fontId="12" numFmtId="0" xfId="0" applyAlignment="1" applyFont="1">
      <alignment readingOrder="0" vertical="bottom"/>
    </xf>
    <xf borderId="0" fillId="0" fontId="36" numFmtId="0" xfId="0" applyAlignment="1" applyFont="1">
      <alignment readingOrder="0" vertical="center"/>
    </xf>
    <xf quotePrefix="1" borderId="0" fillId="0" fontId="12" numFmtId="0" xfId="0" applyAlignment="1" applyFont="1">
      <alignment vertical="bottom"/>
    </xf>
    <xf quotePrefix="1" borderId="0" fillId="0" fontId="15" numFmtId="0" xfId="0" applyAlignment="1" applyFont="1">
      <alignment readingOrder="0" vertical="bottom"/>
    </xf>
    <xf borderId="0" fillId="0" fontId="188" numFmtId="10" xfId="0" applyAlignment="1" applyFont="1" applyNumberFormat="1">
      <alignment vertical="center"/>
    </xf>
    <xf borderId="0" fillId="0" fontId="30" numFmtId="0" xfId="0" applyAlignment="1" applyFont="1">
      <alignment horizontal="center" vertical="center"/>
    </xf>
    <xf borderId="0" fillId="0" fontId="189" numFmtId="0" xfId="0" applyAlignment="1" applyFont="1">
      <alignment horizontal="left" readingOrder="0" vertical="center"/>
    </xf>
    <xf borderId="0" fillId="0" fontId="190" numFmtId="0" xfId="0" applyAlignment="1" applyFont="1">
      <alignment shrinkToFit="0" vertical="center" wrapText="0"/>
    </xf>
    <xf borderId="0" fillId="0" fontId="191" numFmtId="0" xfId="0" applyAlignment="1" applyFont="1">
      <alignment horizontal="left" readingOrder="0" vertical="center"/>
    </xf>
    <xf borderId="0" fillId="0" fontId="192" numFmtId="0" xfId="0" applyAlignment="1" applyFont="1">
      <alignment horizontal="left" readingOrder="0" vertical="center"/>
    </xf>
    <xf borderId="0" fillId="0" fontId="193" numFmtId="0" xfId="0" applyAlignment="1" applyFont="1">
      <alignment horizontal="right" readingOrder="0" vertical="bottom"/>
    </xf>
    <xf borderId="2" fillId="0" fontId="12" numFmtId="0" xfId="0" applyAlignment="1" applyBorder="1" applyFont="1">
      <alignment readingOrder="0" vertical="bottom"/>
    </xf>
    <xf borderId="2" fillId="11" fontId="194" numFmtId="0" xfId="0" applyAlignment="1" applyBorder="1" applyFont="1">
      <alignment horizontal="left" readingOrder="0" vertical="center"/>
    </xf>
    <xf borderId="2" fillId="0" fontId="12" numFmtId="167" xfId="0" applyAlignment="1" applyBorder="1" applyFont="1" applyNumberFormat="1">
      <alignment horizontal="right" readingOrder="0" vertical="bottom"/>
    </xf>
    <xf borderId="2" fillId="0" fontId="18" numFmtId="0" xfId="0" applyAlignment="1" applyBorder="1" applyFont="1">
      <alignment horizontal="center" vertical="bottom"/>
    </xf>
    <xf borderId="2" fillId="0" fontId="195" numFmtId="0" xfId="0" applyAlignment="1" applyBorder="1" applyFont="1">
      <alignment shrinkToFit="0" vertical="center" wrapText="0"/>
    </xf>
    <xf borderId="2" fillId="0" fontId="36" numFmtId="0" xfId="0" applyAlignment="1" applyBorder="1" applyFont="1">
      <alignment horizontal="center" readingOrder="0" vertical="center"/>
    </xf>
    <xf borderId="2" fillId="0" fontId="6" numFmtId="0" xfId="0" applyAlignment="1" applyBorder="1" applyFont="1">
      <alignment readingOrder="0" vertical="bottom"/>
    </xf>
    <xf borderId="0" fillId="11" fontId="196" numFmtId="0" xfId="0" applyAlignment="1" applyFont="1">
      <alignment horizontal="left" readingOrder="0" vertical="center"/>
    </xf>
    <xf borderId="0" fillId="0" fontId="15" numFmtId="0" xfId="0" applyAlignment="1" applyFont="1">
      <alignment readingOrder="0"/>
    </xf>
    <xf borderId="0" fillId="0" fontId="17" numFmtId="0" xfId="0" applyAlignment="1" applyFont="1">
      <alignment readingOrder="0" vertical="center"/>
    </xf>
    <xf borderId="0" fillId="0" fontId="36" numFmtId="0" xfId="0" applyAlignment="1" applyFont="1">
      <alignment horizontal="center" readingOrder="0" vertical="center"/>
    </xf>
    <xf borderId="0" fillId="0" fontId="6" numFmtId="0" xfId="0" applyAlignment="1" applyFont="1">
      <alignment readingOrder="0" vertical="bottom"/>
    </xf>
    <xf borderId="0" fillId="0" fontId="169" numFmtId="0" xfId="0" applyAlignment="1" applyFont="1">
      <alignment readingOrder="0" shrinkToFit="0" vertical="center" wrapText="0"/>
    </xf>
    <xf borderId="0" fillId="0" fontId="36" numFmtId="0" xfId="0" applyAlignment="1" applyFont="1">
      <alignment horizontal="center" readingOrder="0" shrinkToFit="0" vertical="center" wrapText="0"/>
    </xf>
    <xf borderId="0" fillId="0" fontId="6" numFmtId="0" xfId="0" applyAlignment="1" applyFont="1">
      <alignment readingOrder="0" shrinkToFit="0" vertical="bottom" wrapText="0"/>
    </xf>
    <xf borderId="0" fillId="0" fontId="197" numFmtId="0" xfId="0" applyAlignment="1" applyFont="1">
      <alignment readingOrder="0" shrinkToFit="0" vertical="center" wrapText="0"/>
    </xf>
    <xf borderId="0" fillId="0" fontId="36" numFmtId="0" xfId="0" applyAlignment="1" applyFont="1">
      <alignment horizontal="center" readingOrder="0" shrinkToFit="0" vertical="center" wrapText="0"/>
    </xf>
    <xf borderId="0" fillId="0" fontId="6" numFmtId="0" xfId="0" applyAlignment="1" applyFont="1">
      <alignment readingOrder="0" shrinkToFit="0" vertical="bottom" wrapText="0"/>
    </xf>
    <xf borderId="0" fillId="0" fontId="23" numFmtId="0" xfId="0" applyAlignment="1" applyFont="1">
      <alignment horizontal="left" vertical="bottom"/>
    </xf>
    <xf borderId="0" fillId="0" fontId="198" numFmtId="0" xfId="0" applyAlignment="1" applyFont="1">
      <alignment vertical="center"/>
    </xf>
    <xf borderId="0" fillId="0" fontId="30" numFmtId="0" xfId="0" applyAlignment="1" applyFont="1">
      <alignment horizontal="center" readingOrder="0" shrinkToFit="0" vertical="center" wrapText="0"/>
    </xf>
    <xf borderId="0" fillId="0" fontId="12" numFmtId="0" xfId="0" applyAlignment="1" applyFont="1">
      <alignment readingOrder="0" shrinkToFit="0" vertical="bottom" wrapText="0"/>
    </xf>
    <xf borderId="0" fillId="0" fontId="15" numFmtId="0" xfId="0" applyAlignment="1" applyFont="1">
      <alignment horizontal="left" vertical="bottom"/>
    </xf>
    <xf borderId="0" fillId="0" fontId="38" numFmtId="0" xfId="0" applyAlignment="1" applyFont="1">
      <alignment readingOrder="0" vertical="center"/>
    </xf>
    <xf borderId="0" fillId="12" fontId="199" numFmtId="0" xfId="0" applyAlignment="1" applyFont="1">
      <alignment readingOrder="0" vertical="center"/>
    </xf>
    <xf borderId="0" fillId="0" fontId="15" numFmtId="0" xfId="0" applyAlignment="1" applyFont="1">
      <alignment horizontal="right" readingOrder="0" vertical="bottom"/>
    </xf>
    <xf borderId="0" fillId="0" fontId="200" numFmtId="0" xfId="0" applyAlignment="1" applyFont="1">
      <alignment horizontal="right" readingOrder="0" vertical="bottom"/>
    </xf>
    <xf borderId="0" fillId="0" fontId="201" numFmtId="0" xfId="0" applyAlignment="1" applyFont="1">
      <alignment readingOrder="0" shrinkToFit="0" vertical="center" wrapText="0"/>
    </xf>
    <xf borderId="0" fillId="0" fontId="30" numFmtId="0" xfId="0" applyAlignment="1" applyFont="1">
      <alignment horizontal="center" readingOrder="0" vertical="center"/>
    </xf>
    <xf borderId="0" fillId="0" fontId="12" numFmtId="0" xfId="0" applyAlignment="1" applyFont="1">
      <alignment readingOrder="0" vertical="bottom"/>
    </xf>
    <xf borderId="0" fillId="0" fontId="202" numFmtId="0" xfId="0" applyAlignment="1" applyFont="1">
      <alignment readingOrder="0" vertical="center"/>
    </xf>
    <xf borderId="2" fillId="0" fontId="23" numFmtId="0" xfId="0" applyAlignment="1" applyBorder="1" applyFont="1">
      <alignment horizontal="left" vertical="bottom"/>
    </xf>
    <xf borderId="2" fillId="0" fontId="203" numFmtId="0" xfId="0" applyAlignment="1" applyBorder="1" applyFont="1">
      <alignment readingOrder="0" vertical="center"/>
    </xf>
    <xf borderId="2" fillId="0" fontId="12" numFmtId="0" xfId="0" applyAlignment="1" applyBorder="1" applyFont="1">
      <alignment horizontal="right" readingOrder="0" vertical="bottom"/>
    </xf>
    <xf borderId="2" fillId="0" fontId="17" numFmtId="0" xfId="0" applyAlignment="1" applyBorder="1" applyFont="1">
      <alignment readingOrder="0" vertical="center"/>
    </xf>
    <xf borderId="2" fillId="0" fontId="15" numFmtId="0" xfId="0" applyAlignment="1" applyBorder="1" applyFont="1">
      <alignment horizontal="center" vertical="bottom"/>
    </xf>
    <xf borderId="2" fillId="0" fontId="30" numFmtId="0" xfId="0" applyAlignment="1" applyBorder="1" applyFont="1">
      <alignment horizontal="center" readingOrder="0" vertical="center"/>
    </xf>
    <xf borderId="2" fillId="0" fontId="30" numFmtId="0" xfId="0" applyAlignment="1" applyBorder="1" applyFont="1">
      <alignment readingOrder="0" vertical="bottom"/>
    </xf>
    <xf borderId="0" fillId="0" fontId="204" numFmtId="0" xfId="0" applyAlignment="1" applyFont="1">
      <alignment shrinkToFit="0" vertical="center" wrapText="0"/>
    </xf>
    <xf borderId="0" fillId="0" fontId="31" numFmtId="10" xfId="0" applyAlignment="1" applyFont="1" applyNumberFormat="1">
      <alignment vertical="center"/>
    </xf>
    <xf borderId="0" fillId="0" fontId="205" numFmtId="0" xfId="0" applyAlignment="1" applyFont="1">
      <alignment readingOrder="0" vertical="center"/>
    </xf>
    <xf borderId="0" fillId="0" fontId="206" numFmtId="0" xfId="0" applyAlignment="1" applyFont="1">
      <alignment readingOrder="0" vertical="center"/>
    </xf>
    <xf borderId="0" fillId="0" fontId="207" numFmtId="0" xfId="0" applyAlignment="1" applyFont="1">
      <alignment readingOrder="0" vertical="center"/>
    </xf>
    <xf borderId="0" fillId="0" fontId="31" numFmtId="0" xfId="0" applyAlignment="1" applyFont="1">
      <alignment readingOrder="0" vertical="center"/>
    </xf>
    <xf borderId="2" fillId="0" fontId="23" numFmtId="10" xfId="0" applyAlignment="1" applyBorder="1" applyFont="1" applyNumberFormat="1">
      <alignment horizontal="left" vertical="bottom"/>
    </xf>
    <xf borderId="2" fillId="0" fontId="208" numFmtId="10" xfId="0" applyAlignment="1" applyBorder="1" applyFont="1" applyNumberFormat="1">
      <alignment vertical="center"/>
    </xf>
    <xf borderId="2" fillId="6" fontId="6" numFmtId="165" xfId="0" applyAlignment="1" applyBorder="1" applyFont="1" applyNumberFormat="1">
      <alignment horizontal="right" readingOrder="0" vertical="bottom"/>
    </xf>
    <xf borderId="2" fillId="6" fontId="15" numFmtId="164" xfId="0" applyAlignment="1" applyBorder="1" applyFont="1" applyNumberFormat="1">
      <alignment horizontal="right" vertical="bottom"/>
    </xf>
    <xf borderId="2" fillId="0" fontId="120" numFmtId="0" xfId="0" applyAlignment="1" applyBorder="1" applyFont="1">
      <alignment readingOrder="0" vertical="center"/>
    </xf>
    <xf borderId="2" fillId="0" fontId="15" numFmtId="0" xfId="0" applyAlignment="1" applyBorder="1" applyFont="1">
      <alignment horizontal="center" vertical="bottom"/>
    </xf>
    <xf borderId="2" fillId="0" fontId="30" numFmtId="0" xfId="0" applyAlignment="1" applyBorder="1" applyFont="1">
      <alignment horizontal="center" readingOrder="0" shrinkToFit="0" vertical="center" wrapText="0"/>
    </xf>
    <xf borderId="2" fillId="0" fontId="12" numFmtId="0" xfId="0" applyAlignment="1" applyBorder="1" applyFont="1">
      <alignment readingOrder="0" shrinkToFit="0" vertical="bottom" wrapText="0"/>
    </xf>
    <xf borderId="0" fillId="0" fontId="46" numFmtId="0" xfId="0" applyAlignment="1" applyFont="1">
      <alignment readingOrder="0" vertical="center"/>
    </xf>
    <xf borderId="0" fillId="0" fontId="23" numFmtId="10" xfId="0" applyAlignment="1" applyFont="1" applyNumberFormat="1">
      <alignment horizontal="left" vertical="bottom"/>
    </xf>
    <xf borderId="0" fillId="0" fontId="38" numFmtId="0" xfId="0" applyAlignment="1" applyFont="1">
      <alignment horizontal="left" readingOrder="0" vertical="center"/>
    </xf>
    <xf borderId="0" fillId="0" fontId="15" numFmtId="0" xfId="0" applyAlignment="1" applyFont="1">
      <alignment horizontal="center" vertical="bottom"/>
    </xf>
    <xf borderId="0" fillId="0" fontId="46" numFmtId="0" xfId="0" applyAlignment="1" applyFont="1">
      <alignment horizontal="center" vertical="center"/>
    </xf>
    <xf borderId="0" fillId="0" fontId="15" numFmtId="0" xfId="0" applyAlignment="1" applyFont="1">
      <alignment vertical="top"/>
    </xf>
    <xf borderId="0" fillId="0" fontId="209" numFmtId="0" xfId="0" applyAlignment="1" applyFont="1">
      <alignment readingOrder="0" vertical="top"/>
    </xf>
    <xf borderId="2" fillId="0" fontId="12" numFmtId="0" xfId="0" applyAlignment="1" applyBorder="1" applyFont="1">
      <alignment vertical="bottom"/>
    </xf>
    <xf borderId="2" fillId="0" fontId="210" numFmtId="0" xfId="0" applyAlignment="1" applyBorder="1" applyFont="1">
      <alignment readingOrder="0" vertical="center"/>
    </xf>
    <xf borderId="2" fillId="0" fontId="12" numFmtId="0" xfId="0" applyAlignment="1" applyBorder="1" applyFont="1">
      <alignment horizontal="right" vertical="bottom"/>
    </xf>
    <xf borderId="2" fillId="0" fontId="15" numFmtId="164" xfId="0" applyAlignment="1" applyBorder="1" applyFont="1" applyNumberFormat="1">
      <alignment horizontal="right" vertical="bottom"/>
    </xf>
    <xf borderId="2" fillId="0" fontId="6" numFmtId="0" xfId="0" applyAlignment="1" applyBorder="1" applyFont="1">
      <alignment horizontal="center" readingOrder="0" vertical="center"/>
    </xf>
    <xf borderId="2" fillId="0" fontId="205" numFmtId="0" xfId="0" applyAlignment="1" applyBorder="1" applyFont="1">
      <alignment readingOrder="0" vertical="center"/>
    </xf>
    <xf borderId="2" fillId="0" fontId="12" numFmtId="167" xfId="0" applyAlignment="1" applyBorder="1" applyFont="1" applyNumberFormat="1">
      <alignment horizontal="right" vertical="bottom"/>
    </xf>
    <xf borderId="2" fillId="0" fontId="211" numFmtId="0" xfId="0" applyAlignment="1" applyBorder="1" applyFont="1">
      <alignment shrinkToFit="0" vertical="center" wrapText="0"/>
    </xf>
    <xf borderId="2" fillId="0" fontId="30" numFmtId="0" xfId="0" applyAlignment="1" applyBorder="1" applyFont="1">
      <alignment horizontal="center" readingOrder="0" vertical="center"/>
    </xf>
    <xf borderId="0" fillId="0" fontId="212" numFmtId="0" xfId="0" applyAlignment="1" applyFont="1">
      <alignment readingOrder="0" vertical="center"/>
    </xf>
    <xf borderId="0" fillId="0" fontId="12" numFmtId="0" xfId="0" applyAlignment="1" applyFont="1">
      <alignment readingOrder="0"/>
    </xf>
    <xf borderId="2" fillId="0" fontId="213" numFmtId="0" xfId="0" applyAlignment="1" applyBorder="1" applyFont="1">
      <alignment horizontal="right" readingOrder="0" vertical="bottom"/>
    </xf>
    <xf borderId="2" fillId="0" fontId="6" numFmtId="0" xfId="0" applyAlignment="1" applyBorder="1" applyFont="1">
      <alignment horizontal="right" readingOrder="0" vertical="bottom"/>
    </xf>
    <xf borderId="2" fillId="0" fontId="212" numFmtId="0" xfId="0" applyAlignment="1" applyBorder="1" applyFont="1">
      <alignment readingOrder="0" vertical="center"/>
    </xf>
    <xf borderId="2" fillId="0" fontId="214" numFmtId="0" xfId="0" applyAlignment="1" applyBorder="1" applyFont="1">
      <alignment readingOrder="0" shrinkToFit="0" vertical="center" wrapText="0"/>
    </xf>
    <xf borderId="2" fillId="0" fontId="30" numFmtId="0" xfId="0" applyAlignment="1" applyBorder="1" applyFont="1">
      <alignment horizontal="center" readingOrder="0" vertical="center"/>
    </xf>
    <xf borderId="2" fillId="0" fontId="215" numFmtId="0" xfId="0" applyAlignment="1" applyBorder="1" applyFont="1">
      <alignment readingOrder="0"/>
    </xf>
    <xf borderId="0" fillId="0" fontId="12" numFmtId="0" xfId="0" applyAlignment="1" applyFont="1">
      <alignment readingOrder="0"/>
    </xf>
    <xf borderId="0" fillId="0" fontId="216" numFmtId="0" xfId="0" applyAlignment="1" applyFont="1">
      <alignment readingOrder="0"/>
    </xf>
    <xf borderId="0" fillId="0" fontId="34" numFmtId="0" xfId="0" applyAlignment="1" applyFont="1">
      <alignment horizontal="left" vertical="bottom"/>
    </xf>
    <xf borderId="0" fillId="0" fontId="217" numFmtId="0" xfId="0" applyAlignment="1" applyFont="1">
      <alignment readingOrder="0" vertical="center"/>
    </xf>
    <xf borderId="0" fillId="0" fontId="218" numFmtId="0" xfId="0" applyAlignment="1" applyFont="1">
      <alignment horizontal="center" readingOrder="0" vertical="center"/>
    </xf>
    <xf borderId="0" fillId="0" fontId="219" numFmtId="0" xfId="0" applyAlignment="1" applyFont="1">
      <alignment horizontal="left" readingOrder="0" vertical="center"/>
    </xf>
    <xf borderId="0" fillId="0" fontId="19" numFmtId="0" xfId="0" applyAlignment="1" applyFont="1">
      <alignment readingOrder="0" shrinkToFit="0" vertical="center" wrapText="0"/>
    </xf>
    <xf borderId="0" fillId="0" fontId="15" numFmtId="0" xfId="0" applyAlignment="1" applyFont="1">
      <alignment horizontal="center" readingOrder="0" vertical="center"/>
    </xf>
    <xf borderId="0" fillId="0" fontId="15" numFmtId="0" xfId="0" applyAlignment="1" applyFont="1">
      <alignment horizontal="right" readingOrder="0"/>
    </xf>
    <xf borderId="0" fillId="11" fontId="220" numFmtId="0" xfId="0" applyAlignment="1" applyFont="1">
      <alignment horizontal="center" readingOrder="0" vertical="center"/>
    </xf>
    <xf borderId="0" fillId="5" fontId="221" numFmtId="0" xfId="0" applyAlignment="1" applyFont="1">
      <alignment vertical="center"/>
    </xf>
    <xf borderId="0" fillId="5" fontId="221" numFmtId="0" xfId="0" applyAlignment="1" applyFont="1">
      <alignment horizontal="center" vertical="center"/>
    </xf>
    <xf borderId="0" fillId="5" fontId="222" numFmtId="0" xfId="0" applyAlignment="1" applyFont="1">
      <alignment horizontal="center" vertical="center"/>
    </xf>
    <xf borderId="0" fillId="5" fontId="221" numFmtId="0" xfId="0" applyAlignment="1" applyFont="1">
      <alignment horizontal="left" vertical="center"/>
    </xf>
    <xf borderId="0" fillId="5" fontId="221" numFmtId="0" xfId="0" applyAlignment="1" applyFont="1">
      <alignment horizontal="center" readingOrder="0" vertical="center"/>
    </xf>
    <xf borderId="0" fillId="5" fontId="223" numFmtId="0" xfId="0" applyAlignment="1" applyFont="1">
      <alignment vertical="center"/>
    </xf>
    <xf borderId="0" fillId="0" fontId="223" numFmtId="0" xfId="0" applyAlignment="1" applyFont="1">
      <alignment horizontal="center" vertical="center"/>
    </xf>
    <xf borderId="0" fillId="0" fontId="224" numFmtId="0" xfId="0" applyAlignment="1" applyFont="1">
      <alignment horizontal="center" vertical="center"/>
    </xf>
    <xf borderId="0" fillId="0" fontId="223" numFmtId="0" xfId="0" applyAlignment="1" applyFont="1">
      <alignment vertical="center"/>
    </xf>
    <xf borderId="0" fillId="0" fontId="225" numFmtId="0" xfId="0" applyAlignment="1" applyFont="1">
      <alignment horizontal="left" vertical="center"/>
    </xf>
    <xf borderId="0" fillId="0" fontId="225" numFmtId="167" xfId="0" applyAlignment="1" applyFont="1" applyNumberFormat="1">
      <alignment horizontal="center" vertical="center"/>
    </xf>
    <xf borderId="0" fillId="0" fontId="223" numFmtId="0" xfId="0" applyAlignment="1" applyFont="1">
      <alignment horizontal="center" vertical="center"/>
    </xf>
    <xf borderId="0" fillId="0" fontId="223" numFmtId="0" xfId="0" applyAlignment="1" applyFont="1">
      <alignment horizontal="center" readingOrder="0" vertical="center"/>
    </xf>
    <xf borderId="0" fillId="0" fontId="224" numFmtId="0" xfId="0" applyAlignment="1" applyFont="1">
      <alignment horizontal="center" vertical="center"/>
    </xf>
    <xf borderId="0" fillId="0" fontId="225" numFmtId="0" xfId="0" applyAlignment="1" applyFont="1">
      <alignment vertical="center"/>
    </xf>
    <xf borderId="0" fillId="0" fontId="223" numFmtId="0" xfId="0" applyAlignment="1" applyFont="1">
      <alignment vertical="center"/>
    </xf>
    <xf borderId="0" fillId="0" fontId="225" numFmtId="0" xfId="0" applyAlignment="1" applyFont="1">
      <alignment horizontal="left" vertical="center"/>
    </xf>
    <xf borderId="0" fillId="0" fontId="225" numFmtId="167" xfId="0" applyAlignment="1" applyFont="1" applyNumberFormat="1">
      <alignment horizontal="center" vertical="center"/>
    </xf>
    <xf borderId="0" fillId="0" fontId="226" numFmtId="0" xfId="0" applyAlignment="1" applyFont="1">
      <alignment vertical="center"/>
    </xf>
    <xf borderId="0" fillId="5" fontId="227" numFmtId="0" xfId="0" applyAlignment="1" applyFont="1">
      <alignment vertical="center"/>
    </xf>
    <xf borderId="0" fillId="0" fontId="227" numFmtId="0" xfId="0" applyAlignment="1" applyFont="1">
      <alignment horizontal="center" vertical="center"/>
    </xf>
    <xf borderId="0" fillId="0" fontId="228" numFmtId="0" xfId="0" applyAlignment="1" applyFont="1">
      <alignment horizontal="center" vertical="center"/>
    </xf>
    <xf borderId="0" fillId="0" fontId="227" numFmtId="0" xfId="0" applyAlignment="1" applyFont="1">
      <alignment vertical="center"/>
    </xf>
    <xf borderId="0" fillId="0" fontId="229" numFmtId="0" xfId="0" applyAlignment="1" applyFont="1">
      <alignment horizontal="left" vertical="center"/>
    </xf>
    <xf borderId="0" fillId="0" fontId="229" numFmtId="167" xfId="0" applyAlignment="1" applyFont="1" applyNumberFormat="1">
      <alignment horizontal="center" vertical="center"/>
    </xf>
    <xf borderId="0" fillId="0" fontId="228" numFmtId="0" xfId="0" applyAlignment="1" applyFont="1">
      <alignment horizontal="center" vertical="center"/>
    </xf>
    <xf borderId="0" fillId="0" fontId="227" numFmtId="0" xfId="0" applyAlignment="1" applyFont="1">
      <alignment vertical="center"/>
    </xf>
    <xf borderId="0" fillId="0" fontId="229" numFmtId="0" xfId="0" applyAlignment="1" applyFont="1">
      <alignment vertical="center"/>
    </xf>
    <xf borderId="0" fillId="0" fontId="229" numFmtId="167" xfId="0" applyAlignment="1" applyFont="1" applyNumberFormat="1">
      <alignment horizontal="center" vertical="center"/>
    </xf>
    <xf borderId="0" fillId="0" fontId="227" numFmtId="0" xfId="0" applyAlignment="1" applyFont="1">
      <alignment horizontal="center" vertical="center"/>
    </xf>
    <xf borderId="0" fillId="5" fontId="230" numFmtId="0" xfId="0" applyAlignment="1" applyFont="1">
      <alignment vertical="center"/>
    </xf>
    <xf borderId="0" fillId="5" fontId="231" numFmtId="0" xfId="0" applyAlignment="1" applyFont="1">
      <alignment vertical="center"/>
    </xf>
    <xf borderId="0" fillId="0" fontId="232" numFmtId="0" xfId="0" applyAlignment="1" applyFont="1">
      <alignment horizontal="center" readingOrder="0" vertical="center"/>
    </xf>
    <xf borderId="0" fillId="0" fontId="233" numFmtId="0" xfId="0" applyAlignment="1" applyFont="1">
      <alignment horizontal="center" readingOrder="0" vertical="center"/>
    </xf>
    <xf borderId="0" fillId="0" fontId="234" numFmtId="0" xfId="0" applyAlignment="1" applyFont="1">
      <alignment readingOrder="0" vertical="center"/>
    </xf>
    <xf borderId="0" fillId="0" fontId="233" numFmtId="0" xfId="0" applyAlignment="1" applyFont="1">
      <alignment horizontal="left" readingOrder="0" vertical="center"/>
    </xf>
    <xf borderId="0" fillId="0" fontId="234" numFmtId="0" xfId="0" applyAlignment="1" applyFont="1">
      <alignment horizontal="center" readingOrder="0" vertical="center"/>
    </xf>
    <xf borderId="0" fillId="5" fontId="235" numFmtId="0" xfId="0" applyAlignment="1" applyFont="1">
      <alignment vertical="center"/>
    </xf>
    <xf borderId="0" fillId="5" fontId="236" numFmtId="0" xfId="0" applyAlignment="1" applyFont="1">
      <alignment horizontal="left" readingOrder="0" vertical="center"/>
    </xf>
    <xf borderId="0" fillId="5" fontId="236" numFmtId="0" xfId="0" applyAlignment="1" applyFont="1">
      <alignment horizontal="center" vertical="center"/>
    </xf>
    <xf borderId="0" fillId="5" fontId="235" numFmtId="0" xfId="0" applyAlignment="1" applyFont="1">
      <alignment horizontal="left" vertical="center"/>
    </xf>
    <xf borderId="0" fillId="5" fontId="237" numFmtId="0" xfId="0" applyAlignment="1" applyFont="1">
      <alignment horizontal="right" readingOrder="0" vertical="center"/>
    </xf>
    <xf borderId="0" fillId="5" fontId="236" numFmtId="0" xfId="0" applyAlignment="1" applyFont="1">
      <alignment horizontal="left" readingOrder="0" vertical="center"/>
    </xf>
    <xf borderId="0" fillId="0" fontId="231" numFmtId="0" xfId="0" applyAlignment="1" applyFont="1">
      <alignment horizontal="center" vertical="center"/>
    </xf>
    <xf borderId="0" fillId="0" fontId="238" numFmtId="0" xfId="0" applyAlignment="1" applyFont="1">
      <alignment horizontal="left" vertical="center"/>
    </xf>
    <xf borderId="0" fillId="0" fontId="231" numFmtId="0" xfId="0" applyAlignment="1" applyFont="1">
      <alignment horizontal="left" vertical="center"/>
    </xf>
    <xf borderId="0" fillId="0" fontId="239" numFmtId="0" xfId="0" applyAlignment="1" applyFont="1">
      <alignment horizontal="left" vertical="center"/>
    </xf>
    <xf borderId="0" fillId="0" fontId="240" numFmtId="0" xfId="0" applyAlignment="1" applyFont="1">
      <alignment horizontal="center" vertical="center"/>
    </xf>
    <xf borderId="0" fillId="0" fontId="231" numFmtId="0" xfId="0" applyAlignment="1" applyFont="1">
      <alignment vertical="center"/>
    </xf>
    <xf borderId="0" fillId="0" fontId="241" numFmtId="0" xfId="0" applyAlignment="1" applyFont="1">
      <alignment horizontal="center" vertical="center"/>
    </xf>
    <xf borderId="0" fillId="0" fontId="240" numFmtId="0" xfId="0" applyAlignment="1" applyFont="1">
      <alignment horizontal="left" vertical="center"/>
    </xf>
    <xf borderId="0" fillId="5" fontId="222" numFmtId="0" xfId="0" applyAlignment="1" applyFont="1">
      <alignment horizontal="center" readingOrder="0" vertical="center"/>
    </xf>
    <xf borderId="0" fillId="11" fontId="221" numFmtId="0" xfId="0" applyAlignment="1" applyFont="1">
      <alignment horizontal="center" vertical="center"/>
    </xf>
    <xf borderId="0" fillId="11" fontId="222" numFmtId="0" xfId="0" applyAlignment="1" applyFont="1">
      <alignment horizontal="center" vertical="center"/>
    </xf>
    <xf borderId="0" fillId="11" fontId="221" numFmtId="0" xfId="0" applyAlignment="1" applyFont="1">
      <alignment vertical="center"/>
    </xf>
    <xf borderId="0" fillId="11" fontId="221" numFmtId="0" xfId="0" applyAlignment="1" applyFont="1">
      <alignment horizontal="left" vertical="center"/>
    </xf>
    <xf borderId="0" fillId="5" fontId="223" numFmtId="0" xfId="0" applyAlignment="1" applyFont="1">
      <alignment horizontal="center" vertical="center"/>
    </xf>
    <xf borderId="0" fillId="0" fontId="223" numFmtId="0" xfId="0" applyAlignment="1" applyFont="1">
      <alignment horizontal="left" vertical="center"/>
    </xf>
    <xf borderId="0" fillId="11" fontId="223" numFmtId="0" xfId="0" applyAlignment="1" applyFont="1">
      <alignment horizontal="center" vertical="center"/>
    </xf>
    <xf borderId="0" fillId="11" fontId="224" numFmtId="0" xfId="0" applyAlignment="1" applyFont="1">
      <alignment horizontal="center" vertical="center"/>
    </xf>
    <xf borderId="0" fillId="11" fontId="223" numFmtId="0" xfId="0" applyAlignment="1" applyFont="1">
      <alignment vertical="center"/>
    </xf>
    <xf borderId="0" fillId="11" fontId="225" numFmtId="0" xfId="0" applyAlignment="1" applyFont="1">
      <alignment horizontal="left" vertical="center"/>
    </xf>
    <xf borderId="0" fillId="11" fontId="225" numFmtId="0" xfId="0" applyAlignment="1" applyFont="1">
      <alignment horizontal="center" vertical="center"/>
    </xf>
    <xf borderId="0" fillId="5" fontId="227" numFmtId="0" xfId="0" applyAlignment="1" applyFont="1">
      <alignment horizontal="center" vertical="center"/>
    </xf>
    <xf borderId="0" fillId="0" fontId="227" numFmtId="0" xfId="0" applyAlignment="1" applyFont="1">
      <alignment horizontal="left" vertical="center"/>
    </xf>
    <xf borderId="0" fillId="11" fontId="227" numFmtId="0" xfId="0" applyAlignment="1" applyFont="1">
      <alignment horizontal="center" vertical="center"/>
    </xf>
    <xf borderId="0" fillId="11" fontId="228" numFmtId="0" xfId="0" applyAlignment="1" applyFont="1">
      <alignment horizontal="center" vertical="center"/>
    </xf>
    <xf borderId="0" fillId="11" fontId="227" numFmtId="0" xfId="0" applyAlignment="1" applyFont="1">
      <alignment vertical="center"/>
    </xf>
    <xf borderId="0" fillId="11" fontId="229" numFmtId="0" xfId="0" applyAlignment="1" applyFont="1">
      <alignment horizontal="left" vertical="center"/>
    </xf>
    <xf borderId="0" fillId="11" fontId="229" numFmtId="0" xfId="0" applyAlignment="1" applyFont="1">
      <alignment horizontal="center" vertical="center"/>
    </xf>
    <xf borderId="0" fillId="5" fontId="230" numFmtId="0" xfId="0" applyAlignment="1" applyFont="1">
      <alignment horizontal="center" vertical="center"/>
    </xf>
    <xf borderId="0" fillId="0" fontId="230" numFmtId="0" xfId="0" applyAlignment="1" applyFont="1">
      <alignment horizontal="center" vertical="center"/>
    </xf>
    <xf borderId="0" fillId="0" fontId="242" numFmtId="0" xfId="0" applyAlignment="1" applyFont="1">
      <alignment horizontal="center" vertical="center"/>
    </xf>
    <xf borderId="0" fillId="0" fontId="230" numFmtId="0" xfId="0" applyAlignment="1" applyFont="1">
      <alignment horizontal="left" vertical="center"/>
    </xf>
    <xf borderId="0" fillId="0" fontId="243" numFmtId="0" xfId="0" applyAlignment="1" applyFont="1">
      <alignment horizontal="left" vertical="center"/>
    </xf>
    <xf borderId="0" fillId="0" fontId="243" numFmtId="167" xfId="0" applyAlignment="1" applyFont="1" applyNumberFormat="1">
      <alignment horizontal="center" vertical="center"/>
    </xf>
    <xf borderId="0" fillId="0" fontId="230" numFmtId="0" xfId="0" applyAlignment="1" applyFont="1">
      <alignment horizontal="center" vertical="center"/>
    </xf>
    <xf borderId="0" fillId="11" fontId="230" numFmtId="0" xfId="0" applyAlignment="1" applyFont="1">
      <alignment horizontal="center" vertical="center"/>
    </xf>
    <xf borderId="0" fillId="11" fontId="242" numFmtId="0" xfId="0" applyAlignment="1" applyFont="1">
      <alignment horizontal="center" vertical="center"/>
    </xf>
    <xf borderId="0" fillId="11" fontId="230" numFmtId="0" xfId="0" applyAlignment="1" applyFont="1">
      <alignment vertical="center"/>
    </xf>
    <xf borderId="0" fillId="11" fontId="243" numFmtId="0" xfId="0" applyAlignment="1" applyFont="1">
      <alignment horizontal="left" vertical="center"/>
    </xf>
    <xf borderId="0" fillId="11" fontId="243" numFmtId="0" xfId="0" applyAlignment="1" applyFont="1">
      <alignment horizontal="center" vertical="center"/>
    </xf>
    <xf borderId="0" fillId="5" fontId="235" numFmtId="0" xfId="0" applyAlignment="1" applyFont="1">
      <alignment horizontal="center" vertical="center"/>
    </xf>
    <xf borderId="0" fillId="11" fontId="235" numFmtId="0" xfId="0" applyAlignment="1" applyFont="1">
      <alignment horizontal="center" vertical="center"/>
    </xf>
    <xf borderId="0" fillId="11" fontId="235" numFmtId="0" xfId="0" applyAlignment="1" applyFont="1">
      <alignment vertical="center"/>
    </xf>
    <xf borderId="0" fillId="11" fontId="244" numFmtId="0" xfId="0" applyAlignment="1" applyFont="1">
      <alignment horizontal="center" vertical="center"/>
    </xf>
    <xf borderId="0" fillId="0" fontId="231" numFmtId="0" xfId="0" applyAlignment="1" applyFont="1">
      <alignment readingOrder="0" vertical="center"/>
    </xf>
    <xf borderId="0" fillId="0" fontId="238" numFmtId="167" xfId="0" applyAlignment="1" applyFont="1" applyNumberFormat="1">
      <alignment horizontal="left" readingOrder="0" vertical="center"/>
    </xf>
    <xf borderId="0" fillId="73" fontId="34" numFmtId="0" xfId="0" applyAlignment="1" applyFont="1">
      <alignment vertical="center"/>
    </xf>
    <xf borderId="0" fillId="73" fontId="221" numFmtId="0" xfId="0" applyAlignment="1" applyFont="1">
      <alignment horizontal="center" vertical="center"/>
    </xf>
    <xf borderId="0" fillId="73" fontId="221" numFmtId="0" xfId="0" applyAlignment="1" applyFont="1">
      <alignment vertical="center"/>
    </xf>
    <xf borderId="0" fillId="11" fontId="223" numFmtId="0" xfId="0" applyAlignment="1" applyFont="1">
      <alignment horizontal="center" vertical="center"/>
    </xf>
    <xf borderId="0" fillId="11" fontId="224" numFmtId="0" xfId="0" applyAlignment="1" applyFont="1">
      <alignment horizontal="center" vertical="center"/>
    </xf>
    <xf borderId="0" fillId="11" fontId="223" numFmtId="0" xfId="0" applyAlignment="1" applyFont="1">
      <alignment vertical="center"/>
    </xf>
    <xf borderId="0" fillId="11" fontId="225" numFmtId="0" xfId="0" applyAlignment="1" applyFont="1">
      <alignment vertical="center"/>
    </xf>
    <xf borderId="0" fillId="11" fontId="225" numFmtId="167" xfId="0" applyAlignment="1" applyFont="1" applyNumberFormat="1">
      <alignment horizontal="center" vertical="center"/>
    </xf>
    <xf borderId="0" fillId="12" fontId="223" numFmtId="0" xfId="0" applyAlignment="1" applyFont="1">
      <alignment horizontal="center" vertical="center"/>
    </xf>
    <xf borderId="0" fillId="12" fontId="224" numFmtId="0" xfId="0" applyAlignment="1" applyFont="1">
      <alignment horizontal="center" vertical="center"/>
    </xf>
    <xf borderId="0" fillId="12" fontId="223" numFmtId="0" xfId="0" applyAlignment="1" applyFont="1">
      <alignment vertical="center"/>
    </xf>
    <xf borderId="0" fillId="12" fontId="225" numFmtId="0" xfId="0" applyAlignment="1" applyFont="1">
      <alignment vertical="center"/>
    </xf>
    <xf borderId="0" fillId="12" fontId="225" numFmtId="167" xfId="0" applyAlignment="1" applyFont="1" applyNumberFormat="1">
      <alignment horizontal="center" vertical="center"/>
    </xf>
    <xf borderId="0" fillId="11" fontId="227" numFmtId="0" xfId="0" applyAlignment="1" applyFont="1">
      <alignment horizontal="center" vertical="center"/>
    </xf>
    <xf borderId="0" fillId="11" fontId="228" numFmtId="0" xfId="0" applyAlignment="1" applyFont="1">
      <alignment horizontal="center" vertical="center"/>
    </xf>
    <xf borderId="0" fillId="11" fontId="227" numFmtId="0" xfId="0" applyAlignment="1" applyFont="1">
      <alignment vertical="center"/>
    </xf>
    <xf borderId="0" fillId="11" fontId="229" numFmtId="0" xfId="0" applyAlignment="1" applyFont="1">
      <alignment vertical="center"/>
    </xf>
    <xf borderId="0" fillId="11" fontId="229" numFmtId="167" xfId="0" applyAlignment="1" applyFont="1" applyNumberFormat="1">
      <alignment horizontal="center" vertical="center"/>
    </xf>
    <xf borderId="0" fillId="12" fontId="230" numFmtId="0" xfId="0" applyAlignment="1" applyFont="1">
      <alignment horizontal="center" vertical="center"/>
    </xf>
    <xf borderId="0" fillId="12" fontId="242" numFmtId="0" xfId="0" applyAlignment="1" applyFont="1">
      <alignment horizontal="center" vertical="center"/>
    </xf>
    <xf borderId="0" fillId="12" fontId="230" numFmtId="0" xfId="0" applyAlignment="1" applyFont="1">
      <alignment vertical="center"/>
    </xf>
    <xf borderId="0" fillId="12" fontId="243" numFmtId="0" xfId="0" applyAlignment="1" applyFont="1">
      <alignment vertical="center"/>
    </xf>
    <xf borderId="0" fillId="12" fontId="243" numFmtId="167" xfId="0" applyAlignment="1" applyFont="1" applyNumberFormat="1">
      <alignment horizontal="center" vertical="center"/>
    </xf>
    <xf borderId="0" fillId="73" fontId="245" numFmtId="0" xfId="0" applyAlignment="1" applyFont="1">
      <alignment vertical="center"/>
    </xf>
    <xf borderId="0" fillId="73" fontId="246" numFmtId="0" xfId="0" applyAlignment="1" applyFont="1">
      <alignment vertical="center"/>
    </xf>
    <xf borderId="0" fillId="0" fontId="27" numFmtId="0" xfId="0" applyAlignment="1" applyFont="1">
      <alignment readingOrder="0" vertical="top"/>
    </xf>
    <xf borderId="0" fillId="0" fontId="15" numFmtId="0" xfId="0" applyAlignment="1" applyFont="1">
      <alignment vertical="top"/>
    </xf>
    <xf borderId="0" fillId="0" fontId="9" numFmtId="0" xfId="0" applyAlignment="1" applyFont="1">
      <alignment readingOrder="0" vertical="top"/>
    </xf>
    <xf borderId="0" fillId="0" fontId="247" numFmtId="0" xfId="0" applyAlignment="1" applyFont="1">
      <alignment horizontal="left" readingOrder="0" vertical="top"/>
    </xf>
    <xf borderId="0" fillId="0" fontId="19" numFmtId="0" xfId="0" applyFont="1"/>
    <xf borderId="0" fillId="0" fontId="5" numFmtId="0" xfId="0" applyAlignment="1" applyFont="1">
      <alignment horizontal="left" readingOrder="0" vertical="top"/>
    </xf>
    <xf borderId="0" fillId="0" fontId="6" numFmtId="0" xfId="0" applyAlignment="1" applyFont="1">
      <alignment horizontal="left" readingOrder="0" vertical="top"/>
    </xf>
    <xf borderId="0" fillId="0" fontId="248" numFmtId="0" xfId="0" applyAlignment="1" applyFont="1">
      <alignment readingOrder="0" shrinkToFit="0" vertical="top" wrapText="0"/>
    </xf>
    <xf borderId="0" fillId="0" fontId="9" numFmtId="0" xfId="0" applyAlignment="1" applyFont="1">
      <alignment horizontal="left" vertical="top"/>
    </xf>
    <xf borderId="0" fillId="0" fontId="15" numFmtId="0" xfId="0" applyAlignment="1" applyFont="1">
      <alignment horizontal="left" readingOrder="0" vertical="top"/>
    </xf>
    <xf borderId="0" fillId="0" fontId="15" numFmtId="0" xfId="0" applyAlignment="1" applyFont="1">
      <alignment readingOrder="0" vertical="top"/>
    </xf>
    <xf borderId="0" fillId="0" fontId="249" numFmtId="0" xfId="0" applyAlignment="1" applyFont="1">
      <alignment readingOrder="0" vertical="top"/>
    </xf>
    <xf borderId="0" fillId="0" fontId="250" numFmtId="0" xfId="0" applyAlignment="1" applyFont="1">
      <alignment vertical="top"/>
    </xf>
    <xf borderId="0" fillId="0" fontId="5" numFmtId="165" xfId="0" applyAlignment="1" applyFont="1" applyNumberFormat="1">
      <alignment horizontal="left" readingOrder="0" vertical="top"/>
    </xf>
    <xf borderId="0" fillId="0" fontId="6" numFmtId="165" xfId="0" applyAlignment="1" applyFont="1" applyNumberFormat="1">
      <alignment horizontal="left" readingOrder="0"/>
    </xf>
    <xf borderId="0" fillId="158" fontId="6" numFmtId="165" xfId="0" applyAlignment="1" applyFill="1" applyFont="1" applyNumberFormat="1">
      <alignment horizontal="left" readingOrder="0"/>
    </xf>
    <xf borderId="0" fillId="0" fontId="15" numFmtId="0" xfId="0" applyAlignment="1" applyFont="1">
      <alignment readingOrder="0" vertical="top"/>
    </xf>
    <xf borderId="0" fillId="0" fontId="5" numFmtId="164" xfId="0" applyAlignment="1" applyFont="1" applyNumberFormat="1">
      <alignment horizontal="left" readingOrder="0" shrinkToFit="0" vertical="top" wrapText="0"/>
    </xf>
    <xf borderId="0" fillId="0" fontId="6" numFmtId="164" xfId="0" applyAlignment="1" applyFont="1" applyNumberFormat="1">
      <alignment horizontal="left" readingOrder="0"/>
    </xf>
    <xf borderId="0" fillId="11" fontId="6" numFmtId="164" xfId="0" applyAlignment="1" applyFont="1" applyNumberFormat="1">
      <alignment horizontal="left" readingOrder="0"/>
    </xf>
    <xf borderId="0" fillId="0" fontId="251" numFmtId="0" xfId="0" applyAlignment="1" applyFont="1">
      <alignment readingOrder="0" vertical="top"/>
    </xf>
    <xf borderId="0" fillId="0" fontId="252" numFmtId="0" xfId="0" applyAlignment="1" applyFont="1">
      <alignment horizontal="left" readingOrder="0" vertical="top"/>
    </xf>
    <xf borderId="0" fillId="0" fontId="6" numFmtId="0" xfId="0" applyAlignment="1" applyFont="1">
      <alignment horizontal="left" readingOrder="0" vertical="top"/>
    </xf>
    <xf borderId="0" fillId="0" fontId="5" numFmtId="166" xfId="0" applyAlignment="1" applyFont="1" applyNumberFormat="1">
      <alignment horizontal="left" vertical="top"/>
    </xf>
    <xf borderId="0" fillId="0" fontId="5" numFmtId="0" xfId="0" applyAlignment="1" applyFont="1">
      <alignment horizontal="left" vertical="top"/>
    </xf>
    <xf borderId="0" fillId="0" fontId="253" numFmtId="0" xfId="0" applyAlignment="1" applyFont="1">
      <alignment horizontal="left" readingOrder="0" vertical="top"/>
    </xf>
    <xf borderId="0" fillId="0" fontId="254" numFmtId="0" xfId="0" applyAlignment="1" applyFont="1">
      <alignment readingOrder="0" shrinkToFit="0" vertical="top" wrapText="0"/>
    </xf>
    <xf borderId="0" fillId="0" fontId="5"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255" numFmtId="0" xfId="0" applyAlignment="1" applyFont="1">
      <alignment readingOrder="0" vertical="top"/>
    </xf>
    <xf borderId="0" fillId="0" fontId="256" numFmtId="0" xfId="0" applyAlignment="1" applyFont="1">
      <alignment readingOrder="0" shrinkToFit="0" vertical="top" wrapText="0"/>
    </xf>
    <xf borderId="0" fillId="0" fontId="257" numFmtId="0" xfId="0" applyAlignment="1" applyFont="1">
      <alignment readingOrder="0" vertical="top"/>
    </xf>
    <xf borderId="0" fillId="0" fontId="250" numFmtId="0" xfId="0" applyAlignment="1" applyFont="1">
      <alignment shrinkToFit="0" vertical="top" wrapText="0"/>
    </xf>
    <xf borderId="0" fillId="0" fontId="258" numFmtId="0" xfId="0" applyAlignment="1" applyFont="1">
      <alignment shrinkToFit="0" vertical="top" wrapText="0"/>
    </xf>
    <xf borderId="0" fillId="0" fontId="259" numFmtId="0" xfId="0" applyAlignment="1" applyFont="1">
      <alignment readingOrder="0" shrinkToFit="0" vertical="top" wrapText="0"/>
    </xf>
    <xf borderId="0" fillId="0" fontId="19" numFmtId="10" xfId="0" applyAlignment="1" applyFont="1" applyNumberFormat="1">
      <alignment vertical="top"/>
    </xf>
    <xf borderId="0" fillId="0" fontId="260" numFmtId="0" xfId="0" applyAlignment="1" applyFont="1">
      <alignment readingOrder="0" shrinkToFit="0" vertical="top" wrapText="0"/>
    </xf>
    <xf borderId="0" fillId="0" fontId="259" numFmtId="0" xfId="0" applyAlignment="1" applyFont="1">
      <alignment shrinkToFit="0" vertical="top" wrapText="0"/>
    </xf>
    <xf borderId="0" fillId="0" fontId="19" numFmtId="0" xfId="0" applyAlignment="1" applyFont="1">
      <alignment vertical="top"/>
    </xf>
    <xf borderId="0" fillId="2" fontId="1" numFmtId="0" xfId="0" applyAlignment="1" applyFont="1">
      <alignment readingOrder="0" vertical="bottom"/>
    </xf>
    <xf borderId="0" fillId="2" fontId="261" numFmtId="0" xfId="0" applyAlignment="1" applyFont="1">
      <alignment horizontal="left" readingOrder="0" shrinkToFit="0" vertical="bottom" wrapText="0"/>
    </xf>
    <xf borderId="0" fillId="2" fontId="8" numFmtId="0" xfId="0" applyAlignment="1" applyFont="1">
      <alignment vertical="bottom"/>
    </xf>
    <xf borderId="0" fillId="2" fontId="1" numFmtId="0" xfId="0" applyAlignment="1" applyFont="1">
      <alignment readingOrder="0" shrinkToFit="0" vertical="bottom" wrapText="0"/>
    </xf>
    <xf borderId="0" fillId="2" fontId="262" numFmtId="3" xfId="0" applyAlignment="1" applyFont="1" applyNumberFormat="1">
      <alignment horizontal="left" readingOrder="0" vertical="center"/>
    </xf>
    <xf borderId="0" fillId="2" fontId="1" numFmtId="3" xfId="0" applyAlignment="1" applyFont="1" applyNumberFormat="1">
      <alignment horizontal="right" readingOrder="0" vertical="center"/>
    </xf>
    <xf borderId="2" fillId="0" fontId="27" numFmtId="0" xfId="0" applyAlignment="1" applyBorder="1" applyFont="1">
      <alignment readingOrder="0" vertical="top"/>
    </xf>
    <xf borderId="2" fillId="0" fontId="27" numFmtId="0" xfId="0" applyAlignment="1" applyBorder="1" applyFont="1">
      <alignment vertical="top"/>
    </xf>
    <xf borderId="2" fillId="0" fontId="27" numFmtId="0" xfId="0" applyAlignment="1" applyBorder="1" applyFont="1">
      <alignment horizontal="right" vertical="top"/>
    </xf>
    <xf borderId="2" fillId="0" fontId="27" numFmtId="0" xfId="0" applyAlignment="1" applyBorder="1" applyFont="1">
      <alignment horizontal="left" readingOrder="0" shrinkToFit="0" vertical="top" wrapText="0"/>
    </xf>
    <xf borderId="2" fillId="0" fontId="9" numFmtId="0" xfId="0" applyAlignment="1" applyBorder="1" applyFont="1">
      <alignment vertical="top"/>
    </xf>
    <xf borderId="2" fillId="0" fontId="27" numFmtId="0" xfId="0" applyAlignment="1" applyBorder="1" applyFont="1">
      <alignment readingOrder="0" shrinkToFit="0" vertical="top" wrapText="0"/>
    </xf>
    <xf borderId="2" fillId="0" fontId="27" numFmtId="0" xfId="0" applyAlignment="1" applyBorder="1" applyFont="1">
      <alignment horizontal="center" vertical="top"/>
    </xf>
    <xf borderId="2" fillId="0" fontId="27" numFmtId="0" xfId="0" applyAlignment="1" applyBorder="1" applyFont="1">
      <alignment shrinkToFit="0" vertical="top" wrapText="0"/>
    </xf>
    <xf borderId="0" fillId="0" fontId="15" numFmtId="0" xfId="0" applyAlignment="1" applyFont="1">
      <alignment vertical="bottom"/>
    </xf>
    <xf borderId="0" fillId="0" fontId="15" numFmtId="167" xfId="0" applyAlignment="1" applyFont="1" applyNumberFormat="1">
      <alignment vertical="bottom"/>
    </xf>
    <xf borderId="0" fillId="0" fontId="15" numFmtId="167" xfId="0" applyAlignment="1" applyFont="1" applyNumberFormat="1">
      <alignment readingOrder="0" vertical="bottom"/>
    </xf>
    <xf borderId="0" fillId="0" fontId="263" numFmtId="0" xfId="0" applyAlignment="1" applyFont="1">
      <alignment readingOrder="0" shrinkToFit="0" vertical="bottom" wrapText="0"/>
    </xf>
    <xf borderId="0" fillId="0" fontId="264" numFmtId="0" xfId="0" applyAlignment="1" applyFont="1">
      <alignment readingOrder="0" shrinkToFit="0" vertical="bottom" wrapText="0"/>
    </xf>
    <xf borderId="0" fillId="0" fontId="265" numFmtId="0" xfId="0" applyAlignment="1" applyFont="1">
      <alignment readingOrder="0" shrinkToFit="0" vertical="bottom" wrapText="0"/>
    </xf>
    <xf borderId="0" fillId="0" fontId="266" numFmtId="0" xfId="0" applyAlignment="1" applyFont="1">
      <alignment vertical="bottom"/>
    </xf>
    <xf borderId="0" fillId="0" fontId="267" numFmtId="0" xfId="0" applyAlignment="1" applyFont="1">
      <alignment shrinkToFit="0" vertical="bottom" wrapText="0"/>
    </xf>
    <xf borderId="0" fillId="0" fontId="268" numFmtId="0" xfId="0" applyAlignment="1" applyFont="1">
      <alignment shrinkToFit="0" vertical="bottom" wrapText="0"/>
    </xf>
    <xf borderId="0" fillId="0" fontId="15" numFmtId="167" xfId="0" applyAlignment="1" applyFont="1" applyNumberFormat="1">
      <alignment vertical="bottom"/>
    </xf>
    <xf borderId="0" fillId="0" fontId="15" numFmtId="167" xfId="0" applyAlignment="1" applyFont="1" applyNumberFormat="1">
      <alignment readingOrder="0" vertical="bottom"/>
    </xf>
    <xf borderId="0" fillId="0" fontId="269" numFmtId="0" xfId="0" applyAlignment="1" applyFont="1">
      <alignment readingOrder="0" shrinkToFit="0" vertical="bottom" wrapText="0"/>
    </xf>
    <xf borderId="0" fillId="0" fontId="270" numFmtId="0" xfId="0" applyAlignment="1" applyFont="1">
      <alignment shrinkToFit="0" vertical="bottom" wrapText="0"/>
    </xf>
    <xf borderId="0" fillId="0" fontId="271" numFmtId="0" xfId="0" applyAlignment="1" applyFont="1">
      <alignment readingOrder="0"/>
    </xf>
    <xf borderId="0" fillId="0" fontId="15"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5" numFmtId="0" xfId="0" applyAlignment="1" applyFont="1">
      <alignment shrinkToFit="0" vertical="bottom" wrapText="0"/>
    </xf>
    <xf borderId="0" fillId="0" fontId="14" numFmtId="0" xfId="0" applyAlignment="1" applyFont="1">
      <alignment vertical="bottom"/>
    </xf>
    <xf borderId="0" fillId="0" fontId="14" numFmtId="0" xfId="0" applyAlignment="1" applyFont="1">
      <alignment vertical="bottom"/>
    </xf>
    <xf borderId="0" fillId="0" fontId="272" numFmtId="0" xfId="0" applyAlignment="1" applyFont="1">
      <alignment vertical="bottom"/>
    </xf>
    <xf borderId="0" fillId="0" fontId="6" numFmtId="0" xfId="0" applyAlignment="1" applyFont="1">
      <alignment vertical="bottom"/>
    </xf>
    <xf borderId="0" fillId="0" fontId="273" numFmtId="0" xfId="0" applyAlignment="1" applyFont="1">
      <alignment readingOrder="0" vertical="bottom"/>
    </xf>
    <xf borderId="0" fillId="0" fontId="15" numFmtId="0" xfId="0" applyAlignment="1" applyFont="1">
      <alignment shrinkToFit="0" vertical="bottom" wrapText="0"/>
    </xf>
    <xf borderId="0" fillId="0" fontId="6" numFmtId="165" xfId="0" applyAlignment="1" applyFont="1" applyNumberFormat="1">
      <alignment horizontal="right" readingOrder="0" vertical="bottom"/>
    </xf>
    <xf borderId="0" fillId="0" fontId="12" numFmtId="0" xfId="0" applyAlignment="1" applyFont="1">
      <alignment horizontal="left" readingOrder="0" vertical="bottom"/>
    </xf>
    <xf borderId="0" fillId="0" fontId="15" numFmtId="0" xfId="0" applyAlignment="1" applyFont="1">
      <alignment horizontal="center" shrinkToFit="0" vertical="bottom" wrapText="0"/>
    </xf>
    <xf borderId="0" fillId="0" fontId="274" numFmtId="0" xfId="0" applyAlignment="1" applyFont="1">
      <alignment readingOrder="0" shrinkToFit="0" vertical="center" wrapText="0"/>
    </xf>
    <xf borderId="0" fillId="0" fontId="275" numFmtId="0" xfId="0" applyAlignment="1" applyFont="1">
      <alignment readingOrder="0" vertical="bottom"/>
    </xf>
    <xf borderId="0" fillId="0" fontId="276" numFmtId="0" xfId="0" applyAlignment="1" applyFont="1">
      <alignment horizontal="center" readingOrder="0"/>
    </xf>
    <xf borderId="0" fillId="0" fontId="15" numFmtId="0" xfId="0" applyAlignment="1" applyFont="1">
      <alignment readingOrder="0" shrinkToFit="0" vertical="center" wrapText="0"/>
    </xf>
    <xf borderId="1" fillId="0" fontId="277" numFmtId="0" xfId="0" applyAlignment="1" applyBorder="1" applyFont="1">
      <alignment readingOrder="0" shrinkToFit="0" vertical="top" wrapText="1"/>
    </xf>
    <xf borderId="1" fillId="0" fontId="277" numFmtId="49" xfId="0" applyAlignment="1" applyBorder="1" applyFont="1" applyNumberFormat="1">
      <alignment horizontal="right" readingOrder="0" shrinkToFit="0" vertical="top" wrapText="1"/>
    </xf>
    <xf borderId="1" fillId="0" fontId="277" numFmtId="0" xfId="0" applyAlignment="1" applyBorder="1" applyFont="1">
      <alignment horizontal="center" readingOrder="0" shrinkToFit="0" vertical="top" wrapText="1"/>
    </xf>
    <xf borderId="1" fillId="0" fontId="277" numFmtId="0" xfId="0" applyAlignment="1" applyBorder="1" applyFont="1">
      <alignment horizontal="right" readingOrder="0" shrinkToFit="0" vertical="top" wrapText="1"/>
    </xf>
    <xf borderId="1" fillId="0" fontId="277" numFmtId="3" xfId="0" applyAlignment="1" applyBorder="1" applyFont="1" applyNumberFormat="1">
      <alignment horizontal="left" readingOrder="0" shrinkToFit="0" vertical="top" wrapText="1"/>
    </xf>
    <xf borderId="0" fillId="0" fontId="12" numFmtId="0" xfId="0" applyAlignment="1" applyFont="1">
      <alignment readingOrder="0" shrinkToFit="0" vertical="top" wrapText="1"/>
    </xf>
    <xf borderId="0" fillId="0" fontId="277" numFmtId="0" xfId="0" applyAlignment="1" applyFont="1">
      <alignment readingOrder="0" shrinkToFit="0" vertical="top" wrapText="1"/>
    </xf>
    <xf borderId="0" fillId="0" fontId="12" numFmtId="49" xfId="0" applyAlignment="1" applyFont="1" applyNumberFormat="1">
      <alignment horizontal="right" readingOrder="0" shrinkToFit="0" vertical="top" wrapText="1"/>
    </xf>
    <xf borderId="0" fillId="0" fontId="12" numFmtId="0" xfId="0" applyAlignment="1" applyFont="1">
      <alignment horizontal="center" readingOrder="0" shrinkToFit="0" vertical="top" wrapText="1"/>
    </xf>
    <xf borderId="0" fillId="0" fontId="12" numFmtId="0" xfId="0" applyAlignment="1" applyFont="1">
      <alignment readingOrder="0" shrinkToFit="0" vertical="top" wrapText="1"/>
    </xf>
    <xf borderId="0" fillId="0" fontId="12" numFmtId="167" xfId="0" applyAlignment="1" applyFont="1" applyNumberFormat="1">
      <alignment horizontal="right" readingOrder="0" shrinkToFit="0" vertical="top" wrapText="1"/>
    </xf>
    <xf borderId="0" fillId="0" fontId="278" numFmtId="0" xfId="0" applyAlignment="1" applyFont="1">
      <alignment horizontal="center" readingOrder="0" shrinkToFit="0" vertical="top" wrapText="1"/>
    </xf>
    <xf borderId="0" fillId="0" fontId="6"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168" xfId="0" applyAlignment="1" applyFont="1" applyNumberFormat="1">
      <alignment horizontal="right" readingOrder="0" shrinkToFit="0" vertical="top" wrapText="1"/>
    </xf>
    <xf borderId="0" fillId="0" fontId="15" numFmtId="0" xfId="0" applyAlignment="1" applyFont="1">
      <alignment horizontal="left" readingOrder="0" shrinkToFit="0" vertical="top" wrapText="1"/>
    </xf>
    <xf borderId="0" fillId="0" fontId="279" numFmtId="0" xfId="0" applyAlignment="1" applyFont="1">
      <alignment horizontal="left" readingOrder="0" shrinkToFit="0" vertical="top" wrapText="1"/>
    </xf>
    <xf borderId="0" fillId="0" fontId="12" numFmtId="0" xfId="0" applyAlignment="1" applyFont="1">
      <alignment readingOrder="0" shrinkToFit="0" vertical="top" wrapText="1"/>
    </xf>
    <xf borderId="0" fillId="0" fontId="12" numFmtId="49" xfId="0" applyAlignment="1" applyFont="1" applyNumberFormat="1">
      <alignment horizontal="right" readingOrder="0" shrinkToFit="0" vertical="top" wrapText="1"/>
    </xf>
    <xf borderId="0" fillId="0" fontId="280" numFmtId="0" xfId="0" applyAlignment="1" applyFont="1">
      <alignment horizontal="center" readingOrder="0" shrinkToFit="0" vertical="top" wrapText="1"/>
    </xf>
    <xf borderId="0" fillId="0" fontId="12" numFmtId="0" xfId="0" applyAlignment="1" applyFont="1">
      <alignment horizontal="left" readingOrder="0" shrinkToFit="0" vertical="top" wrapText="1"/>
    </xf>
    <xf borderId="0" fillId="0" fontId="277" numFmtId="0" xfId="0" applyAlignment="1" applyFont="1">
      <alignment readingOrder="0" shrinkToFit="0" vertical="top" wrapText="1"/>
    </xf>
    <xf borderId="0" fillId="0" fontId="12" numFmtId="0" xfId="0" applyAlignment="1" applyFont="1">
      <alignment horizontal="right" readingOrder="0" shrinkToFit="0" vertical="top" wrapText="1"/>
    </xf>
    <xf borderId="0" fillId="0" fontId="12" numFmtId="168" xfId="0" applyAlignment="1" applyFont="1" applyNumberFormat="1">
      <alignment horizontal="right" readingOrder="0" shrinkToFit="0" vertical="top" wrapText="1"/>
    </xf>
    <xf borderId="0" fillId="0" fontId="12" numFmtId="0" xfId="0" applyAlignment="1" applyFont="1">
      <alignment horizontal="center" readingOrder="0" shrinkToFit="0" vertical="top" wrapText="1"/>
    </xf>
    <xf borderId="0" fillId="0" fontId="6" numFmtId="0" xfId="0" applyAlignment="1" applyFont="1">
      <alignment readingOrder="0" shrinkToFit="0" vertical="top" wrapText="1"/>
    </xf>
    <xf borderId="0" fillId="0" fontId="12" numFmtId="167" xfId="0" applyAlignment="1" applyFont="1" applyNumberFormat="1">
      <alignment horizontal="left" readingOrder="0" shrinkToFit="0" vertical="top" wrapText="1"/>
    </xf>
    <xf borderId="0" fillId="0" fontId="12" numFmtId="169" xfId="0" applyAlignment="1" applyFont="1" applyNumberFormat="1">
      <alignment horizontal="right" readingOrder="0" shrinkToFit="0" vertical="top" wrapText="1"/>
    </xf>
    <xf borderId="0" fillId="0" fontId="12" numFmtId="167" xfId="0" applyAlignment="1" applyFont="1" applyNumberFormat="1">
      <alignment horizontal="left" readingOrder="0" shrinkToFit="0" vertical="top" wrapText="1"/>
    </xf>
    <xf borderId="0" fillId="0" fontId="12" numFmtId="0" xfId="0" applyAlignment="1" applyFont="1">
      <alignment horizontal="right" readingOrder="0" shrinkToFit="0" vertical="top" wrapText="1"/>
    </xf>
    <xf borderId="0" fillId="0" fontId="12" numFmtId="0" xfId="0" applyAlignment="1" applyFont="1">
      <alignment horizontal="center" readingOrder="0" shrinkToFit="0" vertical="top" wrapText="1"/>
    </xf>
    <xf borderId="0" fillId="0" fontId="281" numFmtId="0" xfId="0" applyFont="1"/>
    <xf borderId="0" fillId="0" fontId="277" numFmtId="49" xfId="0" applyAlignment="1" applyFont="1" applyNumberFormat="1">
      <alignment horizontal="left" readingOrder="0" shrinkToFit="0" vertical="top" wrapText="0"/>
    </xf>
    <xf borderId="0" fillId="0" fontId="12" numFmtId="0" xfId="0" applyAlignment="1" applyFont="1">
      <alignment horizontal="right" readingOrder="0" shrinkToFit="0" vertical="top" wrapText="1"/>
    </xf>
    <xf borderId="0" fillId="0" fontId="12" numFmtId="0" xfId="0" applyAlignment="1" applyFont="1">
      <alignment horizontal="center" readingOrder="0" shrinkToFit="0" vertical="top" wrapText="1"/>
    </xf>
    <xf borderId="0" fillId="0" fontId="12" numFmtId="0" xfId="0" applyAlignment="1" applyFont="1">
      <alignment horizontal="center" readingOrder="0" shrinkToFit="0" vertical="top" wrapText="1"/>
    </xf>
    <xf borderId="0" fillId="6" fontId="9" numFmtId="0" xfId="0" applyAlignment="1" applyFont="1">
      <alignment readingOrder="0" vertical="top"/>
    </xf>
    <xf borderId="0" fillId="6" fontId="281" numFmtId="0" xfId="0" applyFont="1"/>
    <xf borderId="0" fillId="6" fontId="282" numFmtId="0" xfId="0" applyFont="1"/>
    <xf borderId="0" fillId="6" fontId="283" numFmtId="49" xfId="0" applyAlignment="1" applyFont="1" applyNumberFormat="1">
      <alignment horizontal="left" readingOrder="0" shrinkToFit="0" vertical="top" wrapText="0"/>
    </xf>
    <xf borderId="0" fillId="6" fontId="12" numFmtId="0" xfId="0" applyAlignment="1" applyFont="1">
      <alignment horizontal="right" readingOrder="0" shrinkToFit="0" vertical="top" wrapText="1"/>
    </xf>
    <xf borderId="0" fillId="6" fontId="12" numFmtId="0" xfId="0" applyAlignment="1" applyFont="1">
      <alignment horizontal="center" readingOrder="0" shrinkToFit="0" vertical="top" wrapText="1"/>
    </xf>
    <xf borderId="0" fillId="6" fontId="277" numFmtId="49" xfId="0" applyAlignment="1" applyFont="1" applyNumberFormat="1">
      <alignment horizontal="left" readingOrder="0" shrinkToFit="0" vertical="top" wrapText="0"/>
    </xf>
    <xf borderId="0" fillId="6" fontId="12" numFmtId="0" xfId="0" applyAlignment="1" applyFont="1">
      <alignment horizontal="center" readingOrder="0" shrinkToFit="0" vertical="top" wrapText="1"/>
    </xf>
    <xf borderId="0" fillId="6" fontId="12" numFmtId="0" xfId="0" applyAlignment="1" applyFont="1">
      <alignment horizontal="left" readingOrder="0" shrinkToFit="0" vertical="top" wrapText="1"/>
    </xf>
    <xf borderId="0" fillId="0" fontId="12" numFmtId="0" xfId="0" applyAlignment="1" applyFont="1">
      <alignment horizontal="center" readingOrder="0" shrinkToFit="0" vertical="top" wrapText="1"/>
    </xf>
    <xf borderId="0" fillId="0" fontId="12" numFmtId="0" xfId="0" applyAlignment="1" applyFont="1">
      <alignment horizontal="right" readingOrder="0" shrinkToFit="0" vertical="top" wrapText="1"/>
    </xf>
    <xf borderId="3" fillId="0" fontId="284" numFmtId="0" xfId="0" applyAlignment="1" applyBorder="1" applyFont="1">
      <alignment horizontal="left" readingOrder="0" shrinkToFit="0" wrapText="1"/>
    </xf>
    <xf borderId="4" fillId="0" fontId="284" numFmtId="0" xfId="0" applyAlignment="1" applyBorder="1" applyFont="1">
      <alignment horizontal="left" readingOrder="0" shrinkToFit="0" wrapText="1"/>
    </xf>
    <xf borderId="4" fillId="0" fontId="284" numFmtId="0" xfId="0" applyAlignment="1" applyBorder="1" applyFont="1">
      <alignment horizontal="right" readingOrder="0" shrinkToFit="0" wrapText="1"/>
    </xf>
    <xf borderId="4" fillId="0" fontId="284" numFmtId="3" xfId="0" applyAlignment="1" applyBorder="1" applyFont="1" applyNumberFormat="1">
      <alignment horizontal="right" readingOrder="0" shrinkToFit="0" wrapText="1"/>
    </xf>
    <xf borderId="5" fillId="0" fontId="284" numFmtId="0" xfId="0" applyAlignment="1" applyBorder="1" applyFont="1">
      <alignment horizontal="right" readingOrder="0" shrinkToFit="0" wrapText="1"/>
    </xf>
    <xf borderId="0" fillId="0" fontId="285" numFmtId="0" xfId="0" applyAlignment="1" applyFont="1">
      <alignment readingOrder="0" shrinkToFit="0" wrapText="0"/>
    </xf>
    <xf borderId="0" fillId="0" fontId="286" numFmtId="170" xfId="0" applyAlignment="1" applyFont="1" applyNumberFormat="1">
      <alignment readingOrder="0"/>
    </xf>
    <xf borderId="0" fillId="0" fontId="287" numFmtId="0" xfId="0" applyFont="1"/>
    <xf borderId="6" fillId="0" fontId="286" numFmtId="0" xfId="0" applyAlignment="1" applyBorder="1" applyFont="1">
      <alignment horizontal="left" readingOrder="0" shrinkToFit="0" wrapText="1"/>
    </xf>
    <xf borderId="0" fillId="0" fontId="287" numFmtId="167" xfId="0" applyAlignment="1" applyFont="1" applyNumberFormat="1">
      <alignment horizontal="left" readingOrder="0" shrinkToFit="0" wrapText="1"/>
    </xf>
    <xf borderId="0" fillId="85" fontId="287" numFmtId="0" xfId="0" applyAlignment="1" applyFont="1">
      <alignment horizontal="left" readingOrder="0" shrinkToFit="0" wrapText="1"/>
    </xf>
    <xf borderId="0" fillId="159" fontId="287" numFmtId="0" xfId="0" applyAlignment="1" applyFill="1" applyFont="1">
      <alignment horizontal="right" readingOrder="0" shrinkToFit="0" wrapText="1"/>
    </xf>
    <xf borderId="0" fillId="159" fontId="287" numFmtId="3" xfId="0" applyAlignment="1" applyFont="1" applyNumberFormat="1">
      <alignment horizontal="right" readingOrder="0" shrinkToFit="0" wrapText="1"/>
    </xf>
    <xf borderId="0" fillId="159" fontId="287" numFmtId="171" xfId="0" applyAlignment="1" applyFont="1" applyNumberFormat="1">
      <alignment horizontal="right" readingOrder="0" shrinkToFit="0" wrapText="1"/>
    </xf>
    <xf borderId="0" fillId="0" fontId="287" numFmtId="3" xfId="0" applyAlignment="1" applyFont="1" applyNumberFormat="1">
      <alignment horizontal="right" readingOrder="0" shrinkToFit="0" wrapText="1"/>
    </xf>
    <xf borderId="0" fillId="0" fontId="287" numFmtId="172" xfId="0" applyAlignment="1" applyFont="1" applyNumberFormat="1">
      <alignment horizontal="right" readingOrder="0" shrinkToFit="0" wrapText="1"/>
    </xf>
    <xf borderId="0" fillId="0" fontId="287" numFmtId="0" xfId="0" applyAlignment="1" applyFont="1">
      <alignment horizontal="right" readingOrder="0" shrinkToFit="0" wrapText="1"/>
    </xf>
    <xf borderId="7" fillId="0" fontId="287" numFmtId="164" xfId="0" applyAlignment="1" applyBorder="1" applyFont="1" applyNumberFormat="1">
      <alignment horizontal="right" readingOrder="0" shrinkToFit="0" wrapText="1"/>
    </xf>
    <xf borderId="0" fillId="0" fontId="287" numFmtId="0" xfId="0" applyAlignment="1" applyFont="1">
      <alignment readingOrder="0" shrinkToFit="0" wrapText="0"/>
    </xf>
    <xf borderId="0" fillId="0" fontId="287" numFmtId="170" xfId="0" applyFont="1" applyNumberFormat="1"/>
    <xf borderId="0" fillId="122" fontId="287" numFmtId="0" xfId="0" applyAlignment="1" applyFont="1">
      <alignment horizontal="left" readingOrder="0" shrinkToFit="0" wrapText="1"/>
    </xf>
    <xf borderId="0" fillId="122" fontId="287" numFmtId="3" xfId="0" applyAlignment="1" applyFont="1" applyNumberFormat="1">
      <alignment horizontal="right" readingOrder="0" shrinkToFit="0" wrapText="1"/>
    </xf>
    <xf borderId="0" fillId="122" fontId="287" numFmtId="171" xfId="0" applyAlignment="1" applyFont="1" applyNumberFormat="1">
      <alignment horizontal="right" readingOrder="0" shrinkToFit="0" wrapText="1"/>
    </xf>
    <xf borderId="0" fillId="0" fontId="287" numFmtId="0" xfId="0" applyAlignment="1" applyFont="1">
      <alignment horizontal="left" readingOrder="0" shrinkToFit="0" wrapText="1"/>
    </xf>
    <xf borderId="0" fillId="85" fontId="288" numFmtId="3" xfId="0" applyAlignment="1" applyFont="1" applyNumberFormat="1">
      <alignment horizontal="right" readingOrder="0" shrinkToFit="0" wrapText="1"/>
    </xf>
    <xf borderId="0" fillId="0" fontId="287" numFmtId="171" xfId="0" applyAlignment="1" applyFont="1" applyNumberFormat="1">
      <alignment horizontal="right" readingOrder="0" shrinkToFit="0" wrapText="1"/>
    </xf>
    <xf borderId="0" fillId="4" fontId="287" numFmtId="0" xfId="0" applyAlignment="1" applyFont="1">
      <alignment horizontal="left" readingOrder="0" shrinkToFit="0" wrapText="1"/>
    </xf>
    <xf borderId="0" fillId="0" fontId="287" numFmtId="0" xfId="0" applyAlignment="1" applyFont="1">
      <alignment horizontal="right" readingOrder="0" shrinkToFit="0" wrapText="1"/>
    </xf>
    <xf borderId="0" fillId="4" fontId="287" numFmtId="3" xfId="0" applyAlignment="1" applyFont="1" applyNumberFormat="1">
      <alignment horizontal="right" readingOrder="0" shrinkToFit="0" wrapText="1"/>
    </xf>
    <xf borderId="0" fillId="4" fontId="287" numFmtId="171" xfId="0" applyAlignment="1" applyFont="1" applyNumberFormat="1">
      <alignment horizontal="right" readingOrder="0" shrinkToFit="0" wrapText="1"/>
    </xf>
    <xf borderId="7" fillId="160" fontId="287" numFmtId="164" xfId="0" applyAlignment="1" applyBorder="1" applyFill="1" applyFont="1" applyNumberFormat="1">
      <alignment horizontal="right" readingOrder="0" shrinkToFit="0" wrapText="1"/>
    </xf>
    <xf borderId="0" fillId="0" fontId="287" numFmtId="0" xfId="0" applyFont="1"/>
    <xf borderId="0" fillId="47" fontId="287" numFmtId="0" xfId="0" applyAlignment="1" applyFont="1">
      <alignment horizontal="left" readingOrder="0" shrinkToFit="0" wrapText="1"/>
    </xf>
    <xf borderId="0" fillId="47" fontId="287" numFmtId="3" xfId="0" applyAlignment="1" applyFont="1" applyNumberFormat="1">
      <alignment horizontal="right" readingOrder="0" shrinkToFit="0" wrapText="1"/>
    </xf>
    <xf borderId="0" fillId="47" fontId="287" numFmtId="171" xfId="0" applyAlignment="1" applyFont="1" applyNumberFormat="1">
      <alignment horizontal="right" readingOrder="0" shrinkToFit="0" wrapText="1"/>
    </xf>
    <xf borderId="0" fillId="0" fontId="287" numFmtId="0" xfId="0" applyAlignment="1" applyFont="1">
      <alignment readingOrder="0" shrinkToFit="0" wrapText="0"/>
    </xf>
    <xf borderId="6" fillId="6" fontId="286" numFmtId="0" xfId="0" applyAlignment="1" applyBorder="1" applyFont="1">
      <alignment horizontal="left" readingOrder="0" shrinkToFit="0" wrapText="1"/>
    </xf>
    <xf borderId="0" fillId="85" fontId="287" numFmtId="3" xfId="0" applyAlignment="1" applyFont="1" applyNumberFormat="1">
      <alignment horizontal="right" readingOrder="0" shrinkToFit="0" wrapText="1"/>
    </xf>
    <xf borderId="0" fillId="0" fontId="288" numFmtId="171" xfId="0" applyAlignment="1" applyFont="1" applyNumberFormat="1">
      <alignment horizontal="right" readingOrder="0" shrinkToFit="0" wrapText="1"/>
    </xf>
    <xf borderId="0" fillId="0" fontId="287" numFmtId="0" xfId="0" applyAlignment="1" applyFont="1">
      <alignment shrinkToFit="0" wrapText="0"/>
    </xf>
    <xf borderId="0" fillId="0" fontId="287" numFmtId="171" xfId="0" applyAlignment="1" applyFont="1" applyNumberFormat="1">
      <alignment horizontal="right" readingOrder="0" shrinkToFit="0" wrapText="1"/>
    </xf>
    <xf borderId="0" fillId="0" fontId="287" numFmtId="170" xfId="0" applyAlignment="1" applyFont="1" applyNumberFormat="1">
      <alignment readingOrder="0"/>
    </xf>
    <xf borderId="0" fillId="0" fontId="288" numFmtId="167" xfId="0" applyAlignment="1" applyFont="1" applyNumberFormat="1">
      <alignment horizontal="left" readingOrder="0" shrinkToFit="0" wrapText="1"/>
    </xf>
    <xf borderId="0" fillId="159" fontId="288" numFmtId="3" xfId="0" applyAlignment="1" applyFont="1" applyNumberFormat="1">
      <alignment horizontal="right" readingOrder="0" shrinkToFit="0" wrapText="1"/>
    </xf>
    <xf borderId="0" fillId="159" fontId="288" numFmtId="171" xfId="0" applyAlignment="1" applyFont="1" applyNumberFormat="1">
      <alignment horizontal="right" readingOrder="0" shrinkToFit="0" wrapText="1"/>
    </xf>
    <xf borderId="0" fillId="0" fontId="288" numFmtId="0" xfId="0" applyAlignment="1" applyFont="1">
      <alignment horizontal="right" readingOrder="0" shrinkToFit="0" wrapText="1"/>
    </xf>
    <xf borderId="7" fillId="0" fontId="288" numFmtId="164" xfId="0" applyAlignment="1" applyBorder="1" applyFont="1" applyNumberFormat="1">
      <alignment horizontal="right" readingOrder="0" shrinkToFit="0" wrapText="1"/>
    </xf>
    <xf borderId="0" fillId="0" fontId="287" numFmtId="0" xfId="0" applyAlignment="1" applyFont="1">
      <alignment horizontal="left" shrinkToFit="0" wrapText="1"/>
    </xf>
    <xf borderId="0" fillId="0" fontId="287" numFmtId="171" xfId="0" applyAlignment="1" applyFont="1" applyNumberFormat="1">
      <alignment horizontal="left" shrinkToFit="0" wrapText="1"/>
    </xf>
    <xf borderId="0" fillId="0" fontId="287" numFmtId="172" xfId="0" applyAlignment="1" applyFont="1" applyNumberFormat="1">
      <alignment horizontal="left" shrinkToFit="0" wrapText="1"/>
    </xf>
    <xf borderId="7" fillId="0" fontId="287" numFmtId="164" xfId="0" applyAlignment="1" applyBorder="1" applyFont="1" applyNumberFormat="1">
      <alignment horizontal="left" shrinkToFit="0" wrapText="1"/>
    </xf>
    <xf borderId="0" fillId="161" fontId="288" numFmtId="3" xfId="0" applyAlignment="1" applyFill="1" applyFont="1" applyNumberFormat="1">
      <alignment horizontal="right" readingOrder="0" shrinkToFit="0" wrapText="1"/>
    </xf>
    <xf borderId="8" fillId="0" fontId="286" numFmtId="0" xfId="0" applyAlignment="1" applyBorder="1" applyFont="1">
      <alignment horizontal="left" readingOrder="0" shrinkToFit="0" wrapText="1"/>
    </xf>
    <xf borderId="2" fillId="0" fontId="288" numFmtId="167" xfId="0" applyAlignment="1" applyBorder="1" applyFont="1" applyNumberFormat="1">
      <alignment horizontal="left" readingOrder="0" shrinkToFit="0" wrapText="1"/>
    </xf>
    <xf borderId="2" fillId="0" fontId="287" numFmtId="0" xfId="0" applyAlignment="1" applyBorder="1" applyFont="1">
      <alignment horizontal="left" readingOrder="0" shrinkToFit="0" wrapText="1"/>
    </xf>
    <xf borderId="2" fillId="0" fontId="287" numFmtId="0" xfId="0" applyAlignment="1" applyBorder="1" applyFont="1">
      <alignment horizontal="right" readingOrder="0" shrinkToFit="0" wrapText="1"/>
    </xf>
    <xf borderId="2" fillId="0" fontId="287" numFmtId="0" xfId="0" applyAlignment="1" applyBorder="1" applyFont="1">
      <alignment horizontal="left" shrinkToFit="0" wrapText="1"/>
    </xf>
    <xf borderId="2" fillId="0" fontId="287" numFmtId="171" xfId="0" applyAlignment="1" applyBorder="1" applyFont="1" applyNumberFormat="1">
      <alignment horizontal="left" shrinkToFit="0" wrapText="1"/>
    </xf>
    <xf borderId="2" fillId="0" fontId="287" numFmtId="172" xfId="0" applyAlignment="1" applyBorder="1" applyFont="1" applyNumberFormat="1">
      <alignment horizontal="left" shrinkToFit="0" wrapText="1"/>
    </xf>
    <xf borderId="9" fillId="0" fontId="287" numFmtId="164" xfId="0" applyAlignment="1" applyBorder="1" applyFont="1" applyNumberFormat="1">
      <alignment horizontal="left" shrinkToFit="0" wrapText="1"/>
    </xf>
    <xf borderId="0" fillId="0" fontId="287" numFmtId="3" xfId="0" applyAlignment="1" applyFont="1" applyNumberFormat="1">
      <alignment horizontal="right"/>
    </xf>
    <xf borderId="0" fillId="0" fontId="287" numFmtId="0" xfId="0" applyAlignment="1" applyFont="1">
      <alignment horizontal="right"/>
    </xf>
    <xf borderId="0" fillId="0" fontId="235" numFmtId="0" xfId="0" applyAlignment="1" applyFont="1">
      <alignment readingOrder="0"/>
    </xf>
    <xf borderId="0" fillId="0" fontId="244" numFmtId="0" xfId="0" applyFont="1"/>
    <xf borderId="3" fillId="0" fontId="286" numFmtId="0" xfId="0" applyAlignment="1" applyBorder="1" applyFont="1">
      <alignment readingOrder="0"/>
    </xf>
    <xf borderId="4" fillId="0" fontId="286" numFmtId="0" xfId="0" applyAlignment="1" applyBorder="1" applyFont="1">
      <alignment horizontal="right" readingOrder="0"/>
    </xf>
    <xf borderId="4" fillId="0" fontId="286" numFmtId="0" xfId="0" applyAlignment="1" applyBorder="1" applyFont="1">
      <alignment readingOrder="0"/>
    </xf>
    <xf borderId="5" fillId="0" fontId="286" numFmtId="170" xfId="0" applyAlignment="1" applyBorder="1" applyFont="1" applyNumberFormat="1">
      <alignment readingOrder="0"/>
    </xf>
    <xf borderId="0" fillId="0" fontId="244" numFmtId="0" xfId="0" applyAlignment="1" applyFont="1">
      <alignment vertical="bottom"/>
    </xf>
    <xf borderId="0" fillId="0" fontId="244" numFmtId="170" xfId="0" applyFont="1" applyNumberFormat="1"/>
    <xf borderId="0" fillId="0" fontId="235" numFmtId="0" xfId="0" applyFont="1"/>
    <xf borderId="0" fillId="0" fontId="289" numFmtId="0" xfId="0" applyAlignment="1" applyFont="1">
      <alignment horizontal="left" readingOrder="0" shrinkToFit="0" wrapText="1"/>
    </xf>
    <xf borderId="0" fillId="0" fontId="290" numFmtId="0" xfId="0" applyAlignment="1" applyFont="1">
      <alignment horizontal="left" readingOrder="0"/>
    </xf>
    <xf borderId="0" fillId="0" fontId="291" numFmtId="0" xfId="0" applyAlignment="1" applyFont="1">
      <alignment readingOrder="0"/>
    </xf>
    <xf borderId="0" fillId="85" fontId="244" numFmtId="0" xfId="0" applyAlignment="1" applyFont="1">
      <alignment horizontal="left" readingOrder="0" shrinkToFit="0" wrapText="0"/>
    </xf>
    <xf borderId="0" fillId="0" fontId="244" numFmtId="0" xfId="0" applyFont="1"/>
    <xf borderId="6" fillId="0" fontId="287" numFmtId="0" xfId="0" applyAlignment="1" applyBorder="1" applyFont="1">
      <alignment readingOrder="0"/>
    </xf>
    <xf borderId="0" fillId="0" fontId="287" numFmtId="0" xfId="0" applyAlignment="1" applyFont="1">
      <alignment readingOrder="0"/>
    </xf>
    <xf borderId="0" fillId="0" fontId="287" numFmtId="173" xfId="0" applyAlignment="1" applyFont="1" applyNumberFormat="1">
      <alignment readingOrder="0"/>
    </xf>
    <xf borderId="0" fillId="0" fontId="292" numFmtId="0" xfId="0" applyAlignment="1" applyFont="1">
      <alignment readingOrder="0"/>
    </xf>
    <xf borderId="7" fillId="0" fontId="287" numFmtId="170" xfId="0" applyBorder="1" applyFont="1" applyNumberFormat="1"/>
    <xf borderId="0" fillId="0" fontId="244" numFmtId="170" xfId="0" applyAlignment="1" applyFont="1" applyNumberFormat="1">
      <alignment readingOrder="0"/>
    </xf>
    <xf borderId="0" fillId="0" fontId="244" numFmtId="0" xfId="0" applyAlignment="1" applyFont="1">
      <alignment readingOrder="0"/>
    </xf>
    <xf borderId="0" fillId="0" fontId="293" numFmtId="0" xfId="0" applyAlignment="1" applyFont="1">
      <alignment readingOrder="0"/>
    </xf>
    <xf borderId="0" fillId="159" fontId="244" numFmtId="0" xfId="0" applyAlignment="1" applyFont="1">
      <alignment readingOrder="0" shrinkToFit="0" wrapText="0"/>
    </xf>
    <xf borderId="0" fillId="0" fontId="294" numFmtId="0" xfId="0" applyAlignment="1" applyFont="1">
      <alignment readingOrder="0" shrinkToFit="0" wrapText="0"/>
    </xf>
    <xf borderId="0" fillId="0" fontId="295" numFmtId="0" xfId="0" applyAlignment="1" applyFont="1">
      <alignment readingOrder="0" shrinkToFit="0" wrapText="0"/>
    </xf>
    <xf borderId="0" fillId="47" fontId="244" numFmtId="0" xfId="0" applyAlignment="1" applyFont="1">
      <alignment readingOrder="0" shrinkToFit="0" wrapText="0"/>
    </xf>
    <xf borderId="6" fillId="0" fontId="287" numFmtId="0" xfId="0" applyAlignment="1" applyBorder="1" applyFont="1">
      <alignment readingOrder="0" vertical="bottom"/>
    </xf>
    <xf borderId="0" fillId="0" fontId="287" numFmtId="173" xfId="0" applyAlignment="1" applyFont="1" applyNumberFormat="1">
      <alignment readingOrder="0" vertical="bottom"/>
    </xf>
    <xf borderId="0" fillId="0" fontId="296" numFmtId="0" xfId="0" applyAlignment="1" applyFont="1">
      <alignment readingOrder="0" shrinkToFit="0" vertical="bottom" wrapText="0"/>
    </xf>
    <xf borderId="0" fillId="0" fontId="244" numFmtId="0" xfId="0" applyAlignment="1" applyFont="1">
      <alignment shrinkToFit="0" wrapText="0"/>
    </xf>
    <xf borderId="0" fillId="0" fontId="244" numFmtId="170" xfId="0" applyFont="1" applyNumberFormat="1"/>
    <xf borderId="0" fillId="0" fontId="244" numFmtId="0" xfId="0" applyAlignment="1" applyFont="1">
      <alignment readingOrder="0" vertical="bottom"/>
    </xf>
    <xf borderId="0" fillId="122" fontId="244" numFmtId="0" xfId="0" applyAlignment="1" applyFont="1">
      <alignment readingOrder="0" shrinkToFit="0" wrapText="0"/>
    </xf>
    <xf borderId="0" fillId="0" fontId="297" numFmtId="0" xfId="0" applyAlignment="1" applyFont="1">
      <alignment readingOrder="0" vertical="bottom"/>
    </xf>
    <xf borderId="6" fillId="0" fontId="287" numFmtId="0" xfId="0" applyAlignment="1" applyBorder="1" applyFont="1">
      <alignment readingOrder="0"/>
    </xf>
    <xf borderId="0" fillId="0" fontId="287" numFmtId="173" xfId="0" applyAlignment="1" applyFont="1" applyNumberFormat="1">
      <alignment readingOrder="0"/>
    </xf>
    <xf borderId="0" fillId="0" fontId="298" numFmtId="0" xfId="0" applyAlignment="1" applyFont="1">
      <alignment readingOrder="0" shrinkToFit="0" wrapText="0"/>
    </xf>
    <xf borderId="0" fillId="0" fontId="235" numFmtId="167" xfId="0" applyAlignment="1" applyFont="1" applyNumberFormat="1">
      <alignment horizontal="center" shrinkToFit="0" vertical="bottom" wrapText="0"/>
    </xf>
    <xf borderId="0" fillId="0" fontId="244" numFmtId="170" xfId="0" applyAlignment="1" applyFont="1" applyNumberFormat="1">
      <alignment horizontal="left" readingOrder="0" vertical="bottom"/>
    </xf>
    <xf borderId="0" fillId="0" fontId="244" numFmtId="0" xfId="0" applyAlignment="1" applyFont="1">
      <alignment horizontal="center" vertical="bottom"/>
    </xf>
    <xf borderId="0" fillId="159" fontId="244" numFmtId="0" xfId="0" applyAlignment="1" applyFont="1">
      <alignment readingOrder="0" shrinkToFit="0" vertical="bottom" wrapText="0"/>
    </xf>
    <xf borderId="0" fillId="0" fontId="244" numFmtId="0" xfId="0" applyAlignment="1" applyFont="1">
      <alignment vertical="bottom"/>
    </xf>
    <xf borderId="6" fillId="0" fontId="287" numFmtId="0" xfId="0" applyAlignment="1" applyBorder="1" applyFont="1">
      <alignment readingOrder="0" vertical="bottom"/>
    </xf>
    <xf borderId="0" fillId="0" fontId="287" numFmtId="173" xfId="0" applyAlignment="1" applyFont="1" applyNumberFormat="1">
      <alignment readingOrder="0" vertical="bottom"/>
    </xf>
    <xf borderId="0" fillId="0" fontId="299" numFmtId="0" xfId="0" applyAlignment="1" applyFont="1">
      <alignment readingOrder="0" shrinkToFit="0" vertical="bottom" wrapText="0"/>
    </xf>
    <xf borderId="0" fillId="0" fontId="244" numFmtId="167" xfId="0" applyAlignment="1" applyFont="1" applyNumberFormat="1">
      <alignment shrinkToFit="0" vertical="bottom" wrapText="0"/>
    </xf>
    <xf borderId="0" fillId="0" fontId="300" numFmtId="170" xfId="0" applyAlignment="1" applyFont="1" applyNumberFormat="1">
      <alignment horizontal="left" readingOrder="0" vertical="bottom"/>
    </xf>
    <xf borderId="0" fillId="0" fontId="244" numFmtId="0" xfId="0" applyAlignment="1" applyFont="1">
      <alignment readingOrder="0"/>
    </xf>
    <xf borderId="0" fillId="0" fontId="301" numFmtId="0" xfId="0" applyFont="1"/>
    <xf borderId="0" fillId="85" fontId="244" numFmtId="0" xfId="0" applyAlignment="1" applyFont="1">
      <alignment readingOrder="0" shrinkToFit="0" wrapText="0"/>
    </xf>
    <xf borderId="0" fillId="4" fontId="244" numFmtId="0" xfId="0" applyAlignment="1" applyFont="1">
      <alignment readingOrder="0" shrinkToFit="0" wrapText="0"/>
    </xf>
    <xf borderId="0" fillId="160" fontId="244" numFmtId="0" xfId="0" applyAlignment="1" applyFont="1">
      <alignment readingOrder="0" shrinkToFit="0" wrapText="0"/>
    </xf>
    <xf borderId="0" fillId="0" fontId="287" numFmtId="0" xfId="0" applyAlignment="1" applyFont="1">
      <alignment readingOrder="0" shrinkToFit="0" vertical="bottom" wrapText="0"/>
    </xf>
    <xf borderId="8" fillId="0" fontId="287" numFmtId="0" xfId="0" applyBorder="1" applyFont="1"/>
    <xf borderId="2" fillId="0" fontId="287" numFmtId="3" xfId="0" applyBorder="1" applyFont="1" applyNumberFormat="1"/>
    <xf borderId="2" fillId="0" fontId="287" numFmtId="0" xfId="0" applyBorder="1" applyFont="1"/>
    <xf borderId="9" fillId="0" fontId="287" numFmtId="0" xfId="0" applyBorder="1" applyFont="1"/>
    <xf borderId="0" fillId="0" fontId="244" numFmtId="3" xfId="0" applyFont="1" applyNumberFormat="1"/>
    <xf borderId="0" fillId="6" fontId="244" numFmtId="0" xfId="0" applyAlignment="1" applyFont="1">
      <alignment readingOrder="0" vertical="bottom"/>
    </xf>
    <xf borderId="0" fillId="6" fontId="244" numFmtId="0" xfId="0" applyAlignment="1" applyFont="1">
      <alignment vertical="bottom"/>
    </xf>
    <xf borderId="0" fillId="161" fontId="244" numFmtId="0" xfId="0" applyAlignment="1" applyFont="1">
      <alignment readingOrder="0" shrinkToFit="0" wrapText="0"/>
    </xf>
    <xf borderId="0" fillId="0" fontId="244" numFmtId="170" xfId="0" applyAlignment="1" applyFont="1" applyNumberFormat="1">
      <alignment horizontal="center" vertical="bottom"/>
    </xf>
    <xf borderId="0" fillId="0" fontId="244" numFmtId="3" xfId="0" applyAlignment="1" applyFont="1" applyNumberFormat="1">
      <alignment vertical="bottom"/>
    </xf>
    <xf borderId="0" fillId="0" fontId="235" numFmtId="0" xfId="0" applyAlignment="1" applyFont="1">
      <alignment horizontal="left" readingOrder="0" vertical="bottom"/>
    </xf>
    <xf borderId="0" fillId="0" fontId="302" numFmtId="0" xfId="0" applyAlignment="1" applyFont="1">
      <alignment readingOrder="0"/>
    </xf>
    <xf borderId="0" fillId="0" fontId="287" numFmtId="3" xfId="0" applyFont="1" applyNumberFormat="1"/>
    <xf borderId="0" fillId="162" fontId="27" numFmtId="0" xfId="0" applyAlignment="1" applyFill="1" applyFont="1">
      <alignment readingOrder="0"/>
    </xf>
    <xf borderId="0" fillId="162" fontId="27" numFmtId="49" xfId="0" applyAlignment="1" applyFont="1" applyNumberFormat="1">
      <alignment readingOrder="0"/>
    </xf>
    <xf borderId="0" fillId="162" fontId="27" numFmtId="0" xfId="0" applyAlignment="1" applyFont="1">
      <alignment readingOrder="0" shrinkToFit="0" wrapText="0"/>
    </xf>
    <xf borderId="0" fillId="162" fontId="27" numFmtId="170" xfId="0" applyAlignment="1" applyFont="1" applyNumberFormat="1">
      <alignment readingOrder="0"/>
    </xf>
    <xf borderId="0" fillId="0" fontId="9" numFmtId="0" xfId="0" applyAlignment="1" applyFont="1">
      <alignment readingOrder="0"/>
    </xf>
    <xf borderId="0" fillId="0" fontId="9" numFmtId="49" xfId="0" applyAlignment="1" applyFont="1" applyNumberFormat="1">
      <alignment readingOrder="0"/>
    </xf>
    <xf borderId="0" fillId="0" fontId="9" numFmtId="0" xfId="0" applyAlignment="1" applyFont="1">
      <alignment readingOrder="0" shrinkToFit="0" wrapText="0"/>
    </xf>
    <xf borderId="0" fillId="0" fontId="9" numFmtId="170" xfId="0" applyAlignment="1" applyFont="1" applyNumberFormat="1">
      <alignment readingOrder="0"/>
    </xf>
    <xf borderId="0" fillId="6" fontId="303" numFmtId="0" xfId="0" applyAlignment="1" applyFont="1">
      <alignment readingOrder="0"/>
    </xf>
    <xf borderId="0" fillId="6" fontId="15" numFmtId="49" xfId="0" applyAlignment="1" applyFont="1" applyNumberFormat="1">
      <alignment readingOrder="0"/>
    </xf>
    <xf borderId="0" fillId="6" fontId="15" numFmtId="0" xfId="0" applyAlignment="1" applyFont="1">
      <alignment readingOrder="0"/>
    </xf>
    <xf borderId="0" fillId="6" fontId="15" numFmtId="174" xfId="0" applyAlignment="1" applyFont="1" applyNumberFormat="1">
      <alignment readingOrder="0"/>
    </xf>
    <xf borderId="0" fillId="6" fontId="15" numFmtId="0" xfId="0" applyAlignment="1" applyFont="1">
      <alignment readingOrder="0" shrinkToFit="0" wrapText="0"/>
    </xf>
    <xf borderId="0" fillId="6" fontId="304" numFmtId="0" xfId="0" applyAlignment="1" applyFont="1">
      <alignment readingOrder="0" shrinkToFit="0" wrapText="0"/>
    </xf>
    <xf borderId="0" fillId="0" fontId="15" numFmtId="0" xfId="0" applyAlignment="1" applyFont="1">
      <alignment readingOrder="0"/>
    </xf>
    <xf borderId="0" fillId="0" fontId="15" numFmtId="49" xfId="0" applyAlignment="1" applyFont="1" applyNumberFormat="1">
      <alignment readingOrder="0"/>
    </xf>
    <xf borderId="0" fillId="0" fontId="305" numFmtId="0" xfId="0" applyAlignment="1" applyFont="1">
      <alignment readingOrder="0" shrinkToFit="0" wrapText="0"/>
    </xf>
    <xf borderId="0" fillId="0" fontId="306" numFmtId="0" xfId="0" applyAlignment="1" applyFont="1">
      <alignment readingOrder="0" shrinkToFit="0" wrapText="0"/>
    </xf>
    <xf borderId="0" fillId="0" fontId="15" numFmtId="0" xfId="0" applyFont="1"/>
    <xf borderId="0" fillId="6" fontId="307" numFmtId="0" xfId="0" applyAlignment="1" applyFont="1">
      <alignment readingOrder="0" shrinkToFit="0" wrapText="0"/>
    </xf>
    <xf borderId="0" fillId="6" fontId="15" numFmtId="0" xfId="0" applyFont="1"/>
    <xf borderId="0" fillId="0" fontId="308" numFmtId="0" xfId="0" applyAlignment="1" applyFont="1">
      <alignment readingOrder="0" shrinkToFit="0" wrapText="0"/>
    </xf>
    <xf borderId="0" fillId="0" fontId="15" numFmtId="0" xfId="0" applyAlignment="1" applyFont="1">
      <alignment readingOrder="0"/>
    </xf>
    <xf borderId="0" fillId="0" fontId="15" numFmtId="49" xfId="0" applyAlignment="1" applyFont="1" applyNumberFormat="1">
      <alignment readingOrder="0"/>
    </xf>
    <xf borderId="0" fillId="0" fontId="15" numFmtId="0" xfId="0" applyFont="1"/>
    <xf borderId="0" fillId="0" fontId="309" numFmtId="0" xfId="0" applyAlignment="1" applyFont="1">
      <alignment readingOrder="0" shrinkToFit="0" wrapText="0"/>
    </xf>
    <xf borderId="0" fillId="0" fontId="15" numFmtId="0" xfId="0" applyAlignment="1" applyFont="1">
      <alignment readingOrder="0"/>
    </xf>
    <xf borderId="0" fillId="6" fontId="15" numFmtId="0" xfId="0" applyAlignment="1" applyFont="1">
      <alignment readingOrder="0"/>
    </xf>
    <xf quotePrefix="1" borderId="0" fillId="6" fontId="15" numFmtId="0" xfId="0" applyAlignment="1" applyFont="1">
      <alignment readingOrder="0"/>
    </xf>
    <xf borderId="0" fillId="0" fontId="15" numFmtId="49" xfId="0" applyFont="1" applyNumberFormat="1"/>
    <xf borderId="0" fillId="0" fontId="15" numFmtId="0" xfId="0" applyAlignment="1" applyFont="1">
      <alignment shrinkToFit="0" wrapText="0"/>
    </xf>
    <xf borderId="0" fillId="6" fontId="15" numFmtId="49" xfId="0" applyAlignment="1" applyFont="1" applyNumberFormat="1">
      <alignment horizontal="center"/>
    </xf>
    <xf borderId="0" fillId="6" fontId="9" numFmtId="0" xfId="0" applyAlignment="1" applyFont="1">
      <alignment horizontal="left" readingOrder="0" vertical="top"/>
    </xf>
    <xf borderId="0" fillId="6" fontId="15" numFmtId="0" xfId="0" applyAlignment="1" applyFont="1">
      <alignment horizontal="center"/>
    </xf>
    <xf borderId="0" fillId="6" fontId="15" numFmtId="0" xfId="0" applyAlignment="1" applyFont="1">
      <alignment shrinkToFit="0" wrapText="0"/>
    </xf>
    <xf borderId="0" fillId="0" fontId="31" numFmtId="0" xfId="0" applyFont="1"/>
    <xf borderId="0" fillId="0" fontId="31" numFmtId="49" xfId="0" applyFont="1" applyNumberFormat="1"/>
    <xf borderId="0" fillId="0" fontId="31" numFmtId="0" xfId="0" applyAlignment="1" applyFont="1">
      <alignment readingOrder="0"/>
    </xf>
    <xf borderId="0" fillId="0" fontId="198" numFmtId="0" xfId="0" applyFont="1"/>
    <xf borderId="0" fillId="0" fontId="310" numFmtId="0" xfId="0" applyAlignment="1" applyFont="1">
      <alignment readingOrder="0"/>
    </xf>
    <xf borderId="0" fillId="0" fontId="31" numFmtId="0" xfId="0" applyAlignment="1" applyFont="1">
      <alignment shrinkToFit="0" wrapText="0"/>
    </xf>
    <xf borderId="0" fillId="0" fontId="311" numFmtId="0" xfId="0" applyAlignment="1" applyFont="1">
      <alignment readingOrder="0"/>
    </xf>
    <xf borderId="0" fillId="0" fontId="222" numFmtId="0" xfId="0" applyAlignment="1" applyFont="1">
      <alignment readingOrder="0" vertical="top"/>
    </xf>
    <xf borderId="0" fillId="0" fontId="222" numFmtId="0" xfId="0" applyAlignment="1" applyFont="1">
      <alignment vertical="top"/>
    </xf>
    <xf borderId="0" fillId="0" fontId="312" numFmtId="0" xfId="0" applyAlignment="1" applyFont="1">
      <alignment readingOrder="0" vertical="top"/>
    </xf>
    <xf borderId="0" fillId="0" fontId="313" numFmtId="0" xfId="0" applyAlignment="1" applyFont="1">
      <alignment readingOrder="0" vertical="top"/>
    </xf>
    <xf borderId="0" fillId="0" fontId="312" numFmtId="0" xfId="0" applyAlignment="1" applyFont="1">
      <alignment vertical="top"/>
    </xf>
    <xf borderId="0" fillId="0" fontId="314" numFmtId="0" xfId="0" applyAlignment="1" applyFont="1">
      <alignment readingOrder="0" vertical="top"/>
    </xf>
  </cellXfs>
  <cellStyles count="1">
    <cellStyle xfId="0" name="Normal" builtinId="0"/>
  </cellStyles>
  <dxfs count="28">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color rgb="FFFFFFFF"/>
      </font>
      <fill>
        <patternFill patternType="solid">
          <fgColor rgb="FF980000"/>
          <bgColor rgb="FF980000"/>
        </patternFill>
      </fill>
      <border/>
    </dxf>
    <dxf>
      <font/>
      <fill>
        <patternFill patternType="solid">
          <fgColor rgb="FF3498DB"/>
          <bgColor rgb="FF3498DB"/>
        </patternFill>
      </fill>
      <border/>
    </dxf>
    <dxf>
      <font/>
      <fill>
        <patternFill patternType="solid">
          <fgColor rgb="FFF7CB4D"/>
          <bgColor rgb="FFF7CB4D"/>
        </patternFill>
      </fill>
      <border/>
    </dxf>
    <dxf>
      <font>
        <color rgb="FFFFFFFF"/>
      </font>
      <fill>
        <patternFill patternType="solid">
          <fgColor theme="7"/>
          <bgColor theme="7"/>
        </patternFill>
      </fill>
      <border/>
    </dxf>
    <dxf>
      <font>
        <color rgb="FFFFFFFF"/>
      </font>
      <fill>
        <patternFill patternType="solid">
          <fgColor theme="8"/>
          <bgColor theme="8"/>
        </patternFill>
      </fill>
      <border/>
    </dxf>
    <dxf>
      <font>
        <color rgb="FFFFFFFF"/>
      </font>
      <fill>
        <patternFill patternType="solid">
          <fgColor rgb="FF073763"/>
          <bgColor rgb="FF073763"/>
        </patternFill>
      </fill>
      <border/>
    </dxf>
    <dxf>
      <font>
        <color rgb="FFFFFFFF"/>
      </font>
      <fill>
        <patternFill patternType="solid">
          <fgColor rgb="FFCC4125"/>
          <bgColor rgb="FFCC4125"/>
        </patternFill>
      </fill>
      <border/>
    </dxf>
    <dxf>
      <font/>
      <fill>
        <patternFill patternType="solid">
          <fgColor rgb="FFCCCCCC"/>
          <bgColor rgb="FFCCCCCC"/>
        </patternFill>
      </fill>
      <border/>
    </dxf>
    <dxf>
      <font>
        <color rgb="FF000000"/>
      </font>
      <fill>
        <patternFill patternType="solid">
          <fgColor rgb="FFFF9900"/>
          <bgColor rgb="FFFF9900"/>
        </patternFill>
      </fill>
      <border/>
    </dxf>
    <dxf>
      <font>
        <color rgb="FFFFFFFF"/>
      </font>
      <fill>
        <patternFill patternType="solid">
          <fgColor rgb="FF666666"/>
          <bgColor rgb="FF666666"/>
        </patternFill>
      </fill>
      <border/>
    </dxf>
    <dxf>
      <font/>
      <fill>
        <patternFill patternType="solid">
          <fgColor rgb="FFF1C232"/>
          <bgColor rgb="FFF1C232"/>
        </patternFill>
      </fill>
      <border/>
    </dxf>
    <dxf>
      <font/>
      <fill>
        <patternFill patternType="solid">
          <fgColor rgb="FFD4A27F"/>
          <bgColor rgb="FFD4A27F"/>
        </patternFill>
      </fill>
      <border/>
    </dxf>
    <dxf>
      <font/>
      <fill>
        <patternFill patternType="solid">
          <fgColor rgb="FFB6D7A8"/>
          <bgColor rgb="FFB6D7A8"/>
        </patternFill>
      </fill>
      <border/>
    </dxf>
    <dxf>
      <font/>
      <fill>
        <patternFill patternType="solid">
          <fgColor rgb="FFD5A6BD"/>
          <bgColor rgb="FFD5A6BD"/>
        </patternFill>
      </fill>
      <border/>
    </dxf>
    <dxf>
      <font/>
      <fill>
        <patternFill patternType="none"/>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5B95F9"/>
          <bgColor rgb="FF5B95F9"/>
        </patternFill>
      </fill>
      <border/>
    </dxf>
    <dxf>
      <font>
        <b/>
        <color rgb="FFFFFFFF"/>
      </font>
      <fill>
        <patternFill patternType="none"/>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8989EB"/>
          <bgColor rgb="FF8989EB"/>
        </patternFill>
      </fill>
      <border/>
    </dxf>
    <dxf>
      <font/>
      <fill>
        <patternFill patternType="solid">
          <fgColor rgb="FFE8E7FC"/>
          <bgColor rgb="FFE8E7FC"/>
        </patternFill>
      </fill>
      <border/>
    </dxf>
    <dxf>
      <font/>
      <fill>
        <patternFill patternType="solid">
          <fgColor rgb="FF63D297"/>
          <bgColor rgb="FF63D297"/>
        </patternFill>
      </fill>
      <border/>
    </dxf>
    <dxf>
      <font/>
      <fill>
        <patternFill patternType="solid">
          <fgColor rgb="FFE7F9EF"/>
          <bgColor rgb="FFE7F9EF"/>
        </patternFill>
      </fill>
      <border/>
    </dxf>
  </dxfs>
  <tableStyles count="10">
    <tableStyle count="3" pivot="0" name="Models Table-style">
      <tableStyleElement dxfId="18" type="headerRow"/>
      <tableStyleElement dxfId="19" type="firstRowStripe"/>
      <tableStyleElement dxfId="18" type="secondRowStripe"/>
    </tableStyle>
    <tableStyle count="3" pivot="0" name="Rankings-style">
      <tableStyleElement dxfId="20" type="headerRow"/>
      <tableStyleElement dxfId="18" type="firstRowStripe"/>
      <tableStyleElement dxfId="19" type="secondRowStripe"/>
    </tableStyle>
    <tableStyle count="3" pivot="0" name="Rankings-style 2">
      <tableStyleElement dxfId="20" type="headerRow"/>
      <tableStyleElement dxfId="18" type="firstRowStripe"/>
      <tableStyleElement dxfId="19" type="secondRowStripe"/>
    </tableStyle>
    <tableStyle count="3" pivot="0" name="About-style">
      <tableStyleElement dxfId="22" type="headerRow"/>
      <tableStyleElement dxfId="18" type="firstRowStripe"/>
      <tableStyleElement dxfId="23" type="secondRowStripe"/>
    </tableStyle>
    <tableStyle count="3" pivot="0" name="Datasets Table-style">
      <tableStyleElement dxfId="18" type="headerRow"/>
      <tableStyleElement dxfId="19" type="firstRowStripe"/>
      <tableStyleElement dxfId="18" type="secondRowStripe"/>
    </tableStyle>
    <tableStyle count="3" pivot="0" name="Datasets Table-style 2">
      <tableStyleElement dxfId="24" type="headerRow"/>
      <tableStyleElement dxfId="18" type="firstRowStripe"/>
      <tableStyleElement dxfId="25" type="secondRowStripe"/>
    </tableStyle>
    <tableStyle count="3" pivot="0" name="GPT achievements-style">
      <tableStyleElement dxfId="18" type="headerRow"/>
      <tableStyleElement dxfId="19" type="firstRowStripe"/>
      <tableStyleElement dxfId="18" type="secondRowStripe"/>
    </tableStyle>
    <tableStyle count="2" pivot="0" name="Compute Table (2024)-style">
      <tableStyleElement dxfId="18" type="firstRowStripe"/>
      <tableStyleElement dxfId="19" type="secondRowStripe"/>
    </tableStyle>
    <tableStyle count="3" pivot="0" name="Humanoids (2024)-style">
      <tableStyleElement dxfId="26" type="headerRow"/>
      <tableStyleElement dxfId="18" type="firstRowStripe"/>
      <tableStyleElement dxfId="27" type="secondRowStripe"/>
    </tableStyle>
    <tableStyle count="3" pivot="0" name="Aux-style">
      <tableStyleElement dxfId="22" type="headerRow"/>
      <tableStyleElement dxfId="18" type="firstRowStripe"/>
      <tableStyleElement dxfId="2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25</xdr:row>
      <xdr:rowOff>171450</xdr:rowOff>
    </xdr:from>
    <xdr:ext cx="2333625" cy="1314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25</xdr:row>
      <xdr:rowOff>238125</xdr:rowOff>
    </xdr:from>
    <xdr:ext cx="2581275" cy="124777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S683" displayName="Table_1" name="Table_1" id="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Models Table-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1:Z1000" displayName="Table_10" name="Table_10" id="10">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ux-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O33" displayName="Table_2" name="Table_2" id="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Ranking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34:O47" displayName="Table_3" name="Table_3" id="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Rankings-style 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H35"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Abou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P1" displayName="Table_5" name="Table_5" id="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atasets Table-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P58" displayName="Table_6" 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atasets Table-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K58" displayName="Table_7" 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GPT achievement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T1010" displayName="Table_8" name="Table_8" id="8">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Compute Table (2024)-style" showColumnStripes="0" showFirstColumn="1" showLastColumn="1" showRowStripes="1"/>
</table>
</file>

<file path=xl/tables/table9.xml><?xml version="1.0" encoding="utf-8"?>
<table xmlns="http://schemas.openxmlformats.org/spreadsheetml/2006/main" ref="A2:O33" displayName="Table_9" name="Table_9" id="9">
  <tableColumns count="15">
    <tableColumn name="Lab" id="1"/>
    <tableColumn name="Robot" id="2"/>
    <tableColumn name="Country" id="3"/>
    <tableColumn name="Release" id="4"/>
    <tableColumn name="Height (cm)" id="5"/>
    <tableColumn name="Weight (kg)" id="6"/>
    <tableColumn name="Walk (km/h)" id="7"/>
    <tableColumn name="Run (km/h)" id="8"/>
    <tableColumn name="Payload/carry (kg)" id="9"/>
    <tableColumn name="Power (hours)" id="10"/>
    <tableColumn name="Link" id="11"/>
    <tableColumn name="Video" id="12"/>
    <tableColumn name="Clothed?" id="13"/>
    <tableColumn name="US$ ('000)" id="14"/>
    <tableColumn name="Notes" id="15"/>
  </tableColumns>
  <tableStyleInfo name="Humanoids (202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chat.primeintellect.ai/" TargetMode="External"/><Relationship Id="rId194" Type="http://schemas.openxmlformats.org/officeDocument/2006/relationships/hyperlink" Target="https://arxiv.org/abs/2505.04519" TargetMode="External"/><Relationship Id="rId193" Type="http://schemas.openxmlformats.org/officeDocument/2006/relationships/hyperlink" Target="https://github.com/pangu-tech/pangu-ultra" TargetMode="External"/><Relationship Id="rId192" Type="http://schemas.openxmlformats.org/officeDocument/2006/relationships/hyperlink" Target="https://www.primeintellect.ai/blog/intellect-2-release" TargetMode="External"/><Relationship Id="rId191" Type="http://schemas.openxmlformats.org/officeDocument/2006/relationships/hyperlink" Target="https://storage.googleapis.com/public-technical-paper/INTELLECT_2_Technical_Report.pdf" TargetMode="External"/><Relationship Id="rId187" Type="http://schemas.openxmlformats.org/officeDocument/2006/relationships/hyperlink" Target="https://huggingface.co/blog/tiiuae/falcon-edge" TargetMode="External"/><Relationship Id="rId186" Type="http://schemas.openxmlformats.org/officeDocument/2006/relationships/hyperlink" Target="https://huggingface.co/tiiuae/Falcon-E-3B-Instruct" TargetMode="External"/><Relationship Id="rId185" Type="http://schemas.openxmlformats.org/officeDocument/2006/relationships/hyperlink" Target="https://openai.com/index/introducing-codex/" TargetMode="External"/><Relationship Id="rId184" Type="http://schemas.openxmlformats.org/officeDocument/2006/relationships/hyperlink" Target="https://chatgpt.com/codex" TargetMode="External"/><Relationship Id="rId189" Type="http://schemas.openxmlformats.org/officeDocument/2006/relationships/hyperlink" Target="https://windsurf.com/blog/windsurf-wave-9-swe-1" TargetMode="External"/><Relationship Id="rId188" Type="http://schemas.openxmlformats.org/officeDocument/2006/relationships/hyperlink" Target="https://windsurf.com/blog/windsurf-wave-9-swe-1" TargetMode="External"/><Relationship Id="rId183" Type="http://schemas.openxmlformats.org/officeDocument/2006/relationships/hyperlink" Target="https://arxiv.org/abs/2505.10475" TargetMode="External"/><Relationship Id="rId182" Type="http://schemas.openxmlformats.org/officeDocument/2006/relationships/hyperlink" Target="https://huggingface.co/ParScale/ParScale-4.7B-P8-Python" TargetMode="External"/><Relationship Id="rId181" Type="http://schemas.openxmlformats.org/officeDocument/2006/relationships/hyperlink" Target="https://developers.googleblog.com/en/introducing-gemma-3n/" TargetMode="External"/><Relationship Id="rId180" Type="http://schemas.openxmlformats.org/officeDocument/2006/relationships/hyperlink" Target="https://ai.google.dev/gemma/docs/gemma-3n" TargetMode="External"/><Relationship Id="rId176" Type="http://schemas.openxmlformats.org/officeDocument/2006/relationships/hyperlink" Target="https://huggingface.co/tiiuae/Falcon-H1-34B-Instruct-GGUF" TargetMode="External"/><Relationship Id="rId175" Type="http://schemas.openxmlformats.org/officeDocument/2006/relationships/hyperlink" Target="https://www-cdn.anthropic.com/6be99a52cb68eb70eb9572b4cafad13df32ed995.pdf" TargetMode="External"/><Relationship Id="rId174" Type="http://schemas.openxmlformats.org/officeDocument/2006/relationships/hyperlink" Target="https://claude.ai/" TargetMode="External"/><Relationship Id="rId173" Type="http://schemas.openxmlformats.org/officeDocument/2006/relationships/hyperlink" Target="https://arxiv.org/abs/2505.17667" TargetMode="External"/><Relationship Id="rId179" Type="http://schemas.openxmlformats.org/officeDocument/2006/relationships/hyperlink" Target="https://deepmind.google/models/gemini-diffusion/" TargetMode="External"/><Relationship Id="rId178" Type="http://schemas.openxmlformats.org/officeDocument/2006/relationships/hyperlink" Target="https://deepmind.google/models/gemini-diffusion/" TargetMode="External"/><Relationship Id="rId177" Type="http://schemas.openxmlformats.org/officeDocument/2006/relationships/hyperlink" Target="https://huggingface.co/papers/2507.22448" TargetMode="External"/><Relationship Id="rId198" Type="http://schemas.openxmlformats.org/officeDocument/2006/relationships/hyperlink" Target="https://www.ibm.com/new/announcements/ibm-granite-4-0-tiny-preview-sneak-peek" TargetMode="External"/><Relationship Id="rId197" Type="http://schemas.openxmlformats.org/officeDocument/2006/relationships/hyperlink" Target="https://huggingface.co/ibm-granite/granite-4.0-tiny-preview" TargetMode="External"/><Relationship Id="rId196" Type="http://schemas.openxmlformats.org/officeDocument/2006/relationships/hyperlink" Target="https://mistral.ai/news/mistral-medium-3" TargetMode="External"/><Relationship Id="rId195" Type="http://schemas.openxmlformats.org/officeDocument/2006/relationships/hyperlink" Target="https://chat.mistral.ai/chat" TargetMode="External"/><Relationship Id="rId199" Type="http://schemas.openxmlformats.org/officeDocument/2006/relationships/hyperlink" Target="https://huggingface.co/microsoft/Phi-4-reasoning-plus" TargetMode="External"/><Relationship Id="rId150" Type="http://schemas.openxmlformats.org/officeDocument/2006/relationships/hyperlink" Target="https://deepmind.google/discover/blog/gemini-robotics-on-device-brings-ai-to-local-robotic-devices/" TargetMode="External"/><Relationship Id="rId392" Type="http://schemas.openxmlformats.org/officeDocument/2006/relationships/hyperlink" Target="https://novasky-ai.github.io/posts/sky-t1/" TargetMode="External"/><Relationship Id="rId391" Type="http://schemas.openxmlformats.org/officeDocument/2006/relationships/hyperlink" Target="https://huggingface.co/NovaSky-AI/Sky-T1-32B-Preview" TargetMode="External"/><Relationship Id="rId390" Type="http://schemas.openxmlformats.org/officeDocument/2006/relationships/hyperlink" Target="https://www.hailuo.ai/" TargetMode="External"/><Relationship Id="rId1" Type="http://schemas.openxmlformats.org/officeDocument/2006/relationships/hyperlink" Target="https://lifearchitect.ai/models-table/" TargetMode="External"/><Relationship Id="rId2" Type="http://schemas.openxmlformats.org/officeDocument/2006/relationships/hyperlink" Target="https://lifearchitect.ai/timeline" TargetMode="External"/><Relationship Id="rId3" Type="http://schemas.openxmlformats.org/officeDocument/2006/relationships/hyperlink" Target="https://lifearchitect.ai/memo" TargetMode="External"/><Relationship Id="rId149" Type="http://schemas.openxmlformats.org/officeDocument/2006/relationships/hyperlink" Target="https://deepmind.google/discover/blog/gemini-robotics-on-device-brings-ai-to-local-robotic-devices/" TargetMode="External"/><Relationship Id="rId4" Type="http://schemas.openxmlformats.org/officeDocument/2006/relationships/hyperlink" Target="https://lifearchitect.ai/auroragpt/" TargetMode="External"/><Relationship Id="rId148" Type="http://schemas.openxmlformats.org/officeDocument/2006/relationships/hyperlink" Target="https://docs.google.com/forms/u/0/d/1sM5GqcVMWv-KmKY3TOMpVtQ-lDFeAftQ-d9xQn92jCE/viewform?ts=67cef986&amp;edit_requested=true" TargetMode="External"/><Relationship Id="rId1090" Type="http://schemas.openxmlformats.org/officeDocument/2006/relationships/hyperlink" Target="https://deci.ai/blog/decilm-15-times-faster-than-llama2-nas-generated-llm-with-variable-gqa/" TargetMode="External"/><Relationship Id="rId1091" Type="http://schemas.openxmlformats.org/officeDocument/2006/relationships/hyperlink" Target="https://github.com/ibm/moduleformer" TargetMode="External"/><Relationship Id="rId1092" Type="http://schemas.openxmlformats.org/officeDocument/2006/relationships/hyperlink" Target="https://arxiv.org/abs/2306.04640" TargetMode="External"/><Relationship Id="rId1093" Type="http://schemas.openxmlformats.org/officeDocument/2006/relationships/hyperlink" Target="https://next-gpt.github.io/" TargetMode="External"/><Relationship Id="rId1094" Type="http://schemas.openxmlformats.org/officeDocument/2006/relationships/hyperlink" Target="https://arxiv.org/abs/2309.05519" TargetMode="External"/><Relationship Id="rId9" Type="http://schemas.openxmlformats.org/officeDocument/2006/relationships/hyperlink" Target="https://www.reddit.com/r/singularity/comments/1kbpdvp/a_string_referencing_gemini_ultra_has_been_added/" TargetMode="External"/><Relationship Id="rId143" Type="http://schemas.openxmlformats.org/officeDocument/2006/relationships/hyperlink" Target="https://huggingface.co/tencent/Hunyuan-A13B-Instruct" TargetMode="External"/><Relationship Id="rId385" Type="http://schemas.openxmlformats.org/officeDocument/2006/relationships/hyperlink" Target="https://huggingface.co/internlm/internlm3-8b-instruct" TargetMode="External"/><Relationship Id="rId1095" Type="http://schemas.openxmlformats.org/officeDocument/2006/relationships/hyperlink" Target="https://huggingface.co/microsoft/phi-1_5" TargetMode="External"/><Relationship Id="rId142" Type="http://schemas.openxmlformats.org/officeDocument/2006/relationships/hyperlink" Target="https://huggingface.co/tencent/Hunyuan-A13B-Instruct" TargetMode="External"/><Relationship Id="rId384" Type="http://schemas.openxmlformats.org/officeDocument/2006/relationships/hyperlink" Target="https://kyutai.org/2025/01/13/helium.html" TargetMode="External"/><Relationship Id="rId1096" Type="http://schemas.openxmlformats.org/officeDocument/2006/relationships/hyperlink" Target="https://arxiv.org/abs/2309.05463" TargetMode="External"/><Relationship Id="rId141" Type="http://schemas.openxmlformats.org/officeDocument/2006/relationships/hyperlink" Target="https://arxiv.org/abs/2506.20639" TargetMode="External"/><Relationship Id="rId383" Type="http://schemas.openxmlformats.org/officeDocument/2006/relationships/hyperlink" Target="https://huggingface.co/kyutai/helium-1-preview-2b" TargetMode="External"/><Relationship Id="rId1097" Type="http://schemas.openxmlformats.org/officeDocument/2006/relationships/hyperlink" Target="https://jackcook.com/2023/09/08/predictive-text.html" TargetMode="External"/><Relationship Id="rId140" Type="http://schemas.openxmlformats.org/officeDocument/2006/relationships/hyperlink" Target="https://github.com/apple/ml-diffucoder" TargetMode="External"/><Relationship Id="rId382" Type="http://schemas.openxmlformats.org/officeDocument/2006/relationships/hyperlink" Target="https://www.technologyreview.com/2025/01/17/1110086/openai-has-created-an-ai-model-for-longevity-science/" TargetMode="External"/><Relationship Id="rId1098" Type="http://schemas.openxmlformats.org/officeDocument/2006/relationships/hyperlink" Target="https://github.com/jackcook/predictive-spy" TargetMode="External"/><Relationship Id="rId5" Type="http://schemas.openxmlformats.org/officeDocument/2006/relationships/hyperlink" Target="https://www.reuters.com/technology/artificial-intelligence/deepseek-rushes-launch-new-ai-model-china-goes-all-2025-02-25/" TargetMode="External"/><Relationship Id="rId147" Type="http://schemas.openxmlformats.org/officeDocument/2006/relationships/hyperlink" Target="https://blogs.windows.com/windowsexperience/2025/06/23/introducing-mu-language-model-and-how-it-enabled-the-agent-in-windows-settings/" TargetMode="External"/><Relationship Id="rId389" Type="http://schemas.openxmlformats.org/officeDocument/2006/relationships/hyperlink" Target="https://arxiv.org/abs/2501.08313" TargetMode="External"/><Relationship Id="rId1099" Type="http://schemas.openxmlformats.org/officeDocument/2006/relationships/hyperlink" Target="https://www.adept.ai/blog/persimmon-8b" TargetMode="External"/><Relationship Id="rId6" Type="http://schemas.openxmlformats.org/officeDocument/2006/relationships/hyperlink" Target="https://docs.google.com/document/d/e/2PACX-1vTmx-A5sBe_3RsURGM7VvLWsAgUXbcIb2pFaW7f1FTPgK7mGvYENXGQPoF2u4onFndJ_5tzZ02su-vg/pub" TargetMode="External"/><Relationship Id="rId146" Type="http://schemas.openxmlformats.org/officeDocument/2006/relationships/hyperlink" Target="https://blogs.windows.com/windows-insider/2025/06/13/announcing-windows-11-insider-preview-build-26200-5651-dev-channel/" TargetMode="External"/><Relationship Id="rId388" Type="http://schemas.openxmlformats.org/officeDocument/2006/relationships/hyperlink" Target="https://github.com/MiniMax-AI/MiniMax-01" TargetMode="External"/><Relationship Id="rId7" Type="http://schemas.openxmlformats.org/officeDocument/2006/relationships/hyperlink" Target="http://jiuyangongshe.com/a/1h4gq724su0" TargetMode="External"/><Relationship Id="rId145" Type="http://schemas.openxmlformats.org/officeDocument/2006/relationships/hyperlink" Target="https://www.inceptionlabs.ai/introducing-mercury-our-general-chat-model" TargetMode="External"/><Relationship Id="rId387" Type="http://schemas.openxmlformats.org/officeDocument/2006/relationships/hyperlink" Target="https://internlm-chat.intern-ai.org.cn/" TargetMode="External"/><Relationship Id="rId8" Type="http://schemas.openxmlformats.org/officeDocument/2006/relationships/hyperlink" Target="https://lifearchitect.ai/ernie/" TargetMode="External"/><Relationship Id="rId144" Type="http://schemas.openxmlformats.org/officeDocument/2006/relationships/hyperlink" Target="https://chat.inceptionlabs.ai/" TargetMode="External"/><Relationship Id="rId386" Type="http://schemas.openxmlformats.org/officeDocument/2006/relationships/hyperlink" Target="https://huggingface.co/internlm/internlm3-8b-instruct" TargetMode="External"/><Relationship Id="rId381" Type="http://schemas.openxmlformats.org/officeDocument/2006/relationships/hyperlink" Target="https://www.technologyreview.com/2025/01/17/1110086/openai-has-created-an-ai-model-for-longevity-science/" TargetMode="External"/><Relationship Id="rId380" Type="http://schemas.openxmlformats.org/officeDocument/2006/relationships/hyperlink" Target="https://github.com/deepseek-ai/DeepSeek-R1/blob/main/DeepSeek_R1.pdf" TargetMode="External"/><Relationship Id="rId139" Type="http://schemas.openxmlformats.org/officeDocument/2006/relationships/hyperlink" Target="https://arxiv.org/abs/2506.23025" TargetMode="External"/><Relationship Id="rId138" Type="http://schemas.openxmlformats.org/officeDocument/2006/relationships/hyperlink" Target="https://x.com/tngtech/status/1940531045432283412?s=46" TargetMode="External"/><Relationship Id="rId137" Type="http://schemas.openxmlformats.org/officeDocument/2006/relationships/hyperlink" Target="https://arxiv.org/abs/2506.14794" TargetMode="External"/><Relationship Id="rId379" Type="http://schemas.openxmlformats.org/officeDocument/2006/relationships/hyperlink" Target="https://chat.deepseek.com/" TargetMode="External"/><Relationship Id="rId1080" Type="http://schemas.openxmlformats.org/officeDocument/2006/relationships/hyperlink" Target="https://laion.ai/blog/leo-lm/" TargetMode="External"/><Relationship Id="rId1081" Type="http://schemas.openxmlformats.org/officeDocument/2006/relationships/hyperlink" Target="https://huggingface.co/mistralai" TargetMode="External"/><Relationship Id="rId1082" Type="http://schemas.openxmlformats.org/officeDocument/2006/relationships/hyperlink" Target="https://twitter.com/Teknium1/status/1707049931041890597" TargetMode="External"/><Relationship Id="rId1083" Type="http://schemas.openxmlformats.org/officeDocument/2006/relationships/hyperlink" Target="https://mistral.ai/news/announcing-mistral-7b/" TargetMode="External"/><Relationship Id="rId132" Type="http://schemas.openxmlformats.org/officeDocument/2006/relationships/hyperlink" Target="https://developers.googleblog.com/en/t5gemma/" TargetMode="External"/><Relationship Id="rId374" Type="http://schemas.openxmlformats.org/officeDocument/2006/relationships/hyperlink" Target="https://arxiv.org/abs/2501.12326" TargetMode="External"/><Relationship Id="rId1084" Type="http://schemas.openxmlformats.org/officeDocument/2006/relationships/hyperlink" Target="https://arxiv.org/abs/2309.11419" TargetMode="External"/><Relationship Id="rId131" Type="http://schemas.openxmlformats.org/officeDocument/2006/relationships/hyperlink" Target="https://huggingface.co/google/t5gemma-9b-9b-ul2-it" TargetMode="External"/><Relationship Id="rId373" Type="http://schemas.openxmlformats.org/officeDocument/2006/relationships/hyperlink" Target="https://github.com/bytedance/UI-TARS-desktop?tab=readme-ov-file" TargetMode="External"/><Relationship Id="rId1085" Type="http://schemas.openxmlformats.org/officeDocument/2006/relationships/hyperlink" Target="https://github.com/baichuan-inc/Baichuan2/blob/main/README_EN.md" TargetMode="External"/><Relationship Id="rId130" Type="http://schemas.openxmlformats.org/officeDocument/2006/relationships/hyperlink" Target="https://azure.microsoft.com/en-us/blog/reasoning-reimagined-introducing-phi-4-mini-flash-reasoning/" TargetMode="External"/><Relationship Id="rId372" Type="http://schemas.openxmlformats.org/officeDocument/2006/relationships/hyperlink" Target="https://hkunlp.github.io/blog/2025/evabyte/" TargetMode="External"/><Relationship Id="rId1086" Type="http://schemas.openxmlformats.org/officeDocument/2006/relationships/hyperlink" Target="https://cdn.baichuan-ai.com/paper/Baichuan2-technical-report.pdf" TargetMode="External"/><Relationship Id="rId371" Type="http://schemas.openxmlformats.org/officeDocument/2006/relationships/hyperlink" Target="https://huggingface.co/EvaByte/EvaByte" TargetMode="External"/><Relationship Id="rId1087" Type="http://schemas.openxmlformats.org/officeDocument/2006/relationships/hyperlink" Target="https://huggingface.co/spaces/thirdai/BOLT2.5B" TargetMode="External"/><Relationship Id="rId136" Type="http://schemas.openxmlformats.org/officeDocument/2006/relationships/hyperlink" Target="https://huggingface.co/tngtech/DeepSeek-TNG-R1T2-Chimera" TargetMode="External"/><Relationship Id="rId378" Type="http://schemas.openxmlformats.org/officeDocument/2006/relationships/hyperlink" Target="https://arxiv.org/abs/2501.12599" TargetMode="External"/><Relationship Id="rId1088" Type="http://schemas.openxmlformats.org/officeDocument/2006/relationships/hyperlink" Target="https://medium.com/thirdai-blog/introducing-the-worlds-first-generative-llm-pre-trained-only-on-cpus-meet-thirdai-s-bolt2-5b-10c0600e1af4" TargetMode="External"/><Relationship Id="rId135" Type="http://schemas.openxmlformats.org/officeDocument/2006/relationships/hyperlink" Target="https://arxiv.org/abs/2507.05201" TargetMode="External"/><Relationship Id="rId377" Type="http://schemas.openxmlformats.org/officeDocument/2006/relationships/hyperlink" Target="https://github.com/MoonshotAI/kimi-k1.5?tab=readme-ov-file" TargetMode="External"/><Relationship Id="rId1089" Type="http://schemas.openxmlformats.org/officeDocument/2006/relationships/hyperlink" Target="https://huggingface.co/Deci/DeciLM-6b" TargetMode="External"/><Relationship Id="rId134" Type="http://schemas.openxmlformats.org/officeDocument/2006/relationships/hyperlink" Target="https://huggingface.co/google/medgemma-27b-it" TargetMode="External"/><Relationship Id="rId376" Type="http://schemas.openxmlformats.org/officeDocument/2006/relationships/hyperlink" Target="https://team.doubao.com/en/special/doubao_1_5_pro" TargetMode="External"/><Relationship Id="rId133" Type="http://schemas.openxmlformats.org/officeDocument/2006/relationships/hyperlink" Target="https://arxiv.org/abs/2504.06225." TargetMode="External"/><Relationship Id="rId375" Type="http://schemas.openxmlformats.org/officeDocument/2006/relationships/hyperlink" Target="https://www.volcengine.com/docs/82379/1330310" TargetMode="External"/><Relationship Id="rId172" Type="http://schemas.openxmlformats.org/officeDocument/2006/relationships/hyperlink" Target="https://huggingface.co/Tongyi-Zhiwen/QwenLong-L1-32B" TargetMode="External"/><Relationship Id="rId171" Type="http://schemas.openxmlformats.org/officeDocument/2006/relationships/hyperlink" Target="https://huggingface.co/FractalAIResearch/Fathom-R1-14B" TargetMode="External"/><Relationship Id="rId170" Type="http://schemas.openxmlformats.org/officeDocument/2006/relationships/hyperlink" Target="https://huggingface.co/FractalAIResearch/Fathom-R1-14B" TargetMode="External"/><Relationship Id="rId165" Type="http://schemas.openxmlformats.org/officeDocument/2006/relationships/hyperlink" Target="https://arxiv.org/abs/2505.07608" TargetMode="External"/><Relationship Id="rId164" Type="http://schemas.openxmlformats.org/officeDocument/2006/relationships/hyperlink" Target="https://huggingface.co/XiaomiMiMo/MiMo-7B-RL-0530" TargetMode="External"/><Relationship Id="rId163" Type="http://schemas.openxmlformats.org/officeDocument/2006/relationships/hyperlink" Target="https://storage.googleapis.com/deepmind-media/gemini/gemini_v2_5_report.pdf" TargetMode="External"/><Relationship Id="rId162" Type="http://schemas.openxmlformats.org/officeDocument/2006/relationships/hyperlink" Target="https://deepmind.google/models/gemini-diffusion/" TargetMode="External"/><Relationship Id="rId169" Type="http://schemas.openxmlformats.org/officeDocument/2006/relationships/hyperlink" Target="https://huggingface.co/deepseek-ai/DeepSeek-R1-0528" TargetMode="External"/><Relationship Id="rId168" Type="http://schemas.openxmlformats.org/officeDocument/2006/relationships/hyperlink" Target="https://chat.deepseek.com/" TargetMode="External"/><Relationship Id="rId167" Type="http://schemas.openxmlformats.org/officeDocument/2006/relationships/hyperlink" Target="https://arxiv.org/abs/2505.23735" TargetMode="External"/><Relationship Id="rId166" Type="http://schemas.openxmlformats.org/officeDocument/2006/relationships/hyperlink" Target="https://arxiv.org/abs/2505.23735" TargetMode="External"/><Relationship Id="rId161" Type="http://schemas.openxmlformats.org/officeDocument/2006/relationships/hyperlink" Target="https://github.com/rednote-hilab/dots.llm1/blob/main/dots1_tech_report.pdf" TargetMode="External"/><Relationship Id="rId160" Type="http://schemas.openxmlformats.org/officeDocument/2006/relationships/hyperlink" Target="https://huggingface.co/rednote-hilab/dots.llm1.base" TargetMode="External"/><Relationship Id="rId159" Type="http://schemas.openxmlformats.org/officeDocument/2006/relationships/hyperlink" Target="https://arxiv.org/abs/2506.05209" TargetMode="External"/><Relationship Id="rId154" Type="http://schemas.openxmlformats.org/officeDocument/2006/relationships/hyperlink" Target="https://www.minimax.io/news/minimaxm1" TargetMode="External"/><Relationship Id="rId396" Type="http://schemas.openxmlformats.org/officeDocument/2006/relationships/hyperlink" Target="https://github.com/NVlabs/Cosmos-Nemotron" TargetMode="External"/><Relationship Id="rId153" Type="http://schemas.openxmlformats.org/officeDocument/2006/relationships/hyperlink" Target="https://arxiv.org/abs/2506.13585" TargetMode="External"/><Relationship Id="rId395" Type="http://schemas.openxmlformats.org/officeDocument/2006/relationships/hyperlink" Target="https://research.nvidia.com/publication/2025-01_cosmos-world-foundation-model-platform-physical-ai" TargetMode="External"/><Relationship Id="rId152" Type="http://schemas.openxmlformats.org/officeDocument/2006/relationships/hyperlink" Target="https://huggingface.co/MiniMaxAI/MiniMax-M1-80k" TargetMode="External"/><Relationship Id="rId394" Type="http://schemas.openxmlformats.org/officeDocument/2006/relationships/hyperlink" Target="https://lifearchitect.ai/cosmos/" TargetMode="External"/><Relationship Id="rId151" Type="http://schemas.openxmlformats.org/officeDocument/2006/relationships/hyperlink" Target="https://huggingface.co/ICONNAI/ICONN-1" TargetMode="External"/><Relationship Id="rId393" Type="http://schemas.openxmlformats.org/officeDocument/2006/relationships/hyperlink" Target="https://build.nvidia.com/nvidia/cosmos-nemotron-34b" TargetMode="External"/><Relationship Id="rId158" Type="http://schemas.openxmlformats.org/officeDocument/2006/relationships/hyperlink" Target="https://huggingface.co/common-pile/comma-v0.1-2t" TargetMode="External"/><Relationship Id="rId157" Type="http://schemas.openxmlformats.org/officeDocument/2006/relationships/hyperlink" Target="https://mistral.ai/news/magistral" TargetMode="External"/><Relationship Id="rId399" Type="http://schemas.openxmlformats.org/officeDocument/2006/relationships/hyperlink" Target="https://research.nvidia.com/publication/2025-01_cosmos-world-foundation-model-platform-physical-ai" TargetMode="External"/><Relationship Id="rId156" Type="http://schemas.openxmlformats.org/officeDocument/2006/relationships/hyperlink" Target="https://mistral.ai/static/research/magistral.pdf" TargetMode="External"/><Relationship Id="rId398" Type="http://schemas.openxmlformats.org/officeDocument/2006/relationships/hyperlink" Target="https://lifearchitect.ai/cosmos/" TargetMode="External"/><Relationship Id="rId155" Type="http://schemas.openxmlformats.org/officeDocument/2006/relationships/hyperlink" Target="https://chat.mistral.ai/chat" TargetMode="External"/><Relationship Id="rId397" Type="http://schemas.openxmlformats.org/officeDocument/2006/relationships/hyperlink" Target="https://huggingface.co/nvidia/Cosmos-1.0-Diffusion-14B-Video2World" TargetMode="External"/><Relationship Id="rId808" Type="http://schemas.openxmlformats.org/officeDocument/2006/relationships/hyperlink" Target="https://docs.cohere.com/reference/rerank-1" TargetMode="External"/><Relationship Id="rId807" Type="http://schemas.openxmlformats.org/officeDocument/2006/relationships/hyperlink" Target="https://arxiv.org/abs/2403.07691" TargetMode="External"/><Relationship Id="rId806" Type="http://schemas.openxmlformats.org/officeDocument/2006/relationships/hyperlink" Target="https://huggingface.co/HuggingFaceH4/zephyr-orpo-141b-A35b-v0.1" TargetMode="External"/><Relationship Id="rId805" Type="http://schemas.openxmlformats.org/officeDocument/2006/relationships/hyperlink" Target="https://blog.eleuther.ai/pile-t5/" TargetMode="External"/><Relationship Id="rId809" Type="http://schemas.openxmlformats.org/officeDocument/2006/relationships/hyperlink" Target="https://txt.cohere.com/rerank-3/" TargetMode="External"/><Relationship Id="rId800" Type="http://schemas.openxmlformats.org/officeDocument/2006/relationships/hyperlink" Target="https://publications.reka.ai/reka-core-tech-report.pdf" TargetMode="External"/><Relationship Id="rId804" Type="http://schemas.openxmlformats.org/officeDocument/2006/relationships/hyperlink" Target="https://huggingface.co/EleutherAI/pile-t5-xxl" TargetMode="External"/><Relationship Id="rId803" Type="http://schemas.openxmlformats.org/officeDocument/2006/relationships/hyperlink" Target="https://wizardlm.github.io/WizardLM2/" TargetMode="External"/><Relationship Id="rId802" Type="http://schemas.openxmlformats.org/officeDocument/2006/relationships/hyperlink" Target="https://huggingface.co/MaziyarPanahi/WizardLM-2-8x22B-GGUF" TargetMode="External"/><Relationship Id="rId801" Type="http://schemas.openxmlformats.org/officeDocument/2006/relationships/hyperlink" Target="https://www.reka.ai/news/reka-core-our-frontier-class-multimodal-language-model" TargetMode="External"/><Relationship Id="rId40" Type="http://schemas.openxmlformats.org/officeDocument/2006/relationships/hyperlink" Target="https://huggingface.co/PerceptronAI/Isaac-0.1" TargetMode="External"/><Relationship Id="rId1334" Type="http://schemas.openxmlformats.org/officeDocument/2006/relationships/hyperlink" Target="https://storage.googleapis.com/deepmind-media/A%20Generalist%20Agent/Generalist%20Agent.pdf" TargetMode="External"/><Relationship Id="rId1335" Type="http://schemas.openxmlformats.org/officeDocument/2006/relationships/hyperlink" Target="https://youtu.be/l9FJm--ClvY" TargetMode="External"/><Relationship Id="rId42" Type="http://schemas.openxmlformats.org/officeDocument/2006/relationships/hyperlink" Target="https://grok.com/" TargetMode="External"/><Relationship Id="rId1336" Type="http://schemas.openxmlformats.org/officeDocument/2006/relationships/hyperlink" Target="https://arxiv.org/abs/2201.08239" TargetMode="External"/><Relationship Id="rId41" Type="http://schemas.openxmlformats.org/officeDocument/2006/relationships/hyperlink" Target="https://www.perceptron.inc/blog/introducing-isaac-0-1" TargetMode="External"/><Relationship Id="rId1337" Type="http://schemas.openxmlformats.org/officeDocument/2006/relationships/hyperlink" Target="https://huggingface.co/facebook/opt-30b" TargetMode="External"/><Relationship Id="rId44" Type="http://schemas.openxmlformats.org/officeDocument/2006/relationships/hyperlink" Target="https://huggingface.co/google/vaultgemma-1b" TargetMode="External"/><Relationship Id="rId1338" Type="http://schemas.openxmlformats.org/officeDocument/2006/relationships/hyperlink" Target="https://arxiv.org/abs/2205.01068" TargetMode="External"/><Relationship Id="rId43" Type="http://schemas.openxmlformats.org/officeDocument/2006/relationships/hyperlink" Target="https://x.ai/news/grok-4-fast" TargetMode="External"/><Relationship Id="rId1339" Type="http://schemas.openxmlformats.org/officeDocument/2006/relationships/hyperlink" Target="https://instructions.apps.allenai.org/demo" TargetMode="External"/><Relationship Id="rId46" Type="http://schemas.openxmlformats.org/officeDocument/2006/relationships/hyperlink" Target="https://research.google/blog/vaultgemma-the-worlds-most-capable-differentially-private-llm/" TargetMode="External"/><Relationship Id="rId45" Type="http://schemas.openxmlformats.org/officeDocument/2006/relationships/hyperlink" Target="https://services.google.com/fh/files/blogs/vaultgemma_tech_report.pdf" TargetMode="External"/><Relationship Id="rId509" Type="http://schemas.openxmlformats.org/officeDocument/2006/relationships/hyperlink" Target="https://huggingface.co/tencent/Tencent-Hunyuan-Large" TargetMode="External"/><Relationship Id="rId508" Type="http://schemas.openxmlformats.org/officeDocument/2006/relationships/hyperlink" Target="https://arxiv.org/abs/2411.05281" TargetMode="External"/><Relationship Id="rId503" Type="http://schemas.openxmlformats.org/officeDocument/2006/relationships/hyperlink" Target="https://fireworks.ai/blog/fireworks-compound-ai-system-f1" TargetMode="External"/><Relationship Id="rId745" Type="http://schemas.openxmlformats.org/officeDocument/2006/relationships/hyperlink" Target="https://lifearchitect.ai/o1/" TargetMode="External"/><Relationship Id="rId987" Type="http://schemas.openxmlformats.org/officeDocument/2006/relationships/hyperlink" Target="https://deepmind.google/technologies/gemini/" TargetMode="External"/><Relationship Id="rId502" Type="http://schemas.openxmlformats.org/officeDocument/2006/relationships/hyperlink" Target="https://fireworks.ai/models/fireworks/f1-preview/playground" TargetMode="External"/><Relationship Id="rId744" Type="http://schemas.openxmlformats.org/officeDocument/2006/relationships/hyperlink" Target="https://chatgpt.com/" TargetMode="External"/><Relationship Id="rId986" Type="http://schemas.openxmlformats.org/officeDocument/2006/relationships/hyperlink" Target="https://github.com/nexusflowai/NexusRaven-V2/tree/master" TargetMode="External"/><Relationship Id="rId501" Type="http://schemas.openxmlformats.org/officeDocument/2006/relationships/hyperlink" Target="https://mistral.ai/news/pixtral-large/" TargetMode="External"/><Relationship Id="rId743" Type="http://schemas.openxmlformats.org/officeDocument/2006/relationships/hyperlink" Target="https://lifearchitect.ai/watermarking/" TargetMode="External"/><Relationship Id="rId985" Type="http://schemas.openxmlformats.org/officeDocument/2006/relationships/hyperlink" Target="https://huggingface.co/spaces/Nexusflow/NexusRaven-V2-Demo" TargetMode="External"/><Relationship Id="rId500" Type="http://schemas.openxmlformats.org/officeDocument/2006/relationships/hyperlink" Target="https://mistral.ai/news/pixtral-large/" TargetMode="External"/><Relationship Id="rId742" Type="http://schemas.openxmlformats.org/officeDocument/2006/relationships/hyperlink" Target="https://goo.gle/GeminiV1-5" TargetMode="External"/><Relationship Id="rId984" Type="http://schemas.openxmlformats.org/officeDocument/2006/relationships/hyperlink" Target="https://www.together.ai/blog/stripedhyena-7b" TargetMode="External"/><Relationship Id="rId507" Type="http://schemas.openxmlformats.org/officeDocument/2006/relationships/hyperlink" Target="https://huggingface.co/tensoropera/Fox-1-1.6B-Instruct-v0.1" TargetMode="External"/><Relationship Id="rId749" Type="http://schemas.openxmlformats.org/officeDocument/2006/relationships/hyperlink" Target="https://huggingface.co/tiiuae/falcon-11B" TargetMode="External"/><Relationship Id="rId506" Type="http://schemas.openxmlformats.org/officeDocument/2006/relationships/hyperlink" Target="https://qwenlm.github.io/blog/qwen2.5-coder-family/" TargetMode="External"/><Relationship Id="rId748" Type="http://schemas.openxmlformats.org/officeDocument/2006/relationships/hyperlink" Target="https://twitter.com/drjimfan/status/1790089671365767313" TargetMode="External"/><Relationship Id="rId505" Type="http://schemas.openxmlformats.org/officeDocument/2006/relationships/hyperlink" Target="https://arxiv.org/abs/2412.15115" TargetMode="External"/><Relationship Id="rId747" Type="http://schemas.openxmlformats.org/officeDocument/2006/relationships/hyperlink" Target="https://openai.com/index/gpt-4o-system-card/" TargetMode="External"/><Relationship Id="rId989" Type="http://schemas.openxmlformats.org/officeDocument/2006/relationships/hyperlink" Target="https://lifearchitect.ai/watermarking/" TargetMode="External"/><Relationship Id="rId504" Type="http://schemas.openxmlformats.org/officeDocument/2006/relationships/hyperlink" Target="https://huggingface.co/Qwen/Qwen2.5-72B-Instruct" TargetMode="External"/><Relationship Id="rId746" Type="http://schemas.openxmlformats.org/officeDocument/2006/relationships/hyperlink" Target="https://lifearchitect.ai/o1/" TargetMode="External"/><Relationship Id="rId988" Type="http://schemas.openxmlformats.org/officeDocument/2006/relationships/hyperlink" Target="https://storage.googleapis.com/deepmind-media/gemini/gemini_1_report.pdf" TargetMode="External"/><Relationship Id="rId48" Type="http://schemas.openxmlformats.org/officeDocument/2006/relationships/hyperlink" Target="https://qwen.ai/blog?id=4074cca80393150c248e508aa62983f9cb7d27cd&amp;from=research.latest-advancements-list" TargetMode="External"/><Relationship Id="rId47" Type="http://schemas.openxmlformats.org/officeDocument/2006/relationships/hyperlink" Target="https://huggingface.co/collections/Qwen/qwen3-next-68c25fd6838e585db8eeea9d" TargetMode="External"/><Relationship Id="rId49" Type="http://schemas.openxmlformats.org/officeDocument/2006/relationships/hyperlink" Target="https://www.k2think.ai/" TargetMode="External"/><Relationship Id="rId741" Type="http://schemas.openxmlformats.org/officeDocument/2006/relationships/hyperlink" Target="https://aistudio.google.com/app/prompts/new_chat" TargetMode="External"/><Relationship Id="rId983" Type="http://schemas.openxmlformats.org/officeDocument/2006/relationships/hyperlink" Target="https://api.together.xyz/playground/language/togethercomputer/StripedHyena-Hessian-7B" TargetMode="External"/><Relationship Id="rId1330" Type="http://schemas.openxmlformats.org/officeDocument/2006/relationships/hyperlink" Target="https://arxiv.org/abs/2001.07487" TargetMode="External"/><Relationship Id="rId740" Type="http://schemas.openxmlformats.org/officeDocument/2006/relationships/hyperlink" Target="https://www.cerebras.net/blog/introducing-sparse-llama-70-smaller-3x-faster-full-accuracy" TargetMode="External"/><Relationship Id="rId982" Type="http://schemas.openxmlformats.org/officeDocument/2006/relationships/hyperlink" Target="https://arxiv.org/abs/2401.04088" TargetMode="External"/><Relationship Id="rId1331" Type="http://schemas.openxmlformats.org/officeDocument/2006/relationships/hyperlink" Target="https://github.com/XiangLi1999/Diffusion-LM" TargetMode="External"/><Relationship Id="rId981" Type="http://schemas.openxmlformats.org/officeDocument/2006/relationships/hyperlink" Target="https://www.together.ai/blog/mixtral" TargetMode="External"/><Relationship Id="rId1332" Type="http://schemas.openxmlformats.org/officeDocument/2006/relationships/hyperlink" Target="https://arxiv.org/abs/2205.14217" TargetMode="External"/><Relationship Id="rId980" Type="http://schemas.openxmlformats.org/officeDocument/2006/relationships/hyperlink" Target="https://mistral.ai/news/la-plateforme/" TargetMode="External"/><Relationship Id="rId1333" Type="http://schemas.openxmlformats.org/officeDocument/2006/relationships/hyperlink" Target="https://arxiv.org/abs/2205.05131" TargetMode="External"/><Relationship Id="rId1323" Type="http://schemas.openxmlformats.org/officeDocument/2006/relationships/hyperlink" Target="https://github.com/yandex/YaLM-100B" TargetMode="External"/><Relationship Id="rId1324" Type="http://schemas.openxmlformats.org/officeDocument/2006/relationships/hyperlink" Target="https://medium.com/yandex/yandex-publishes-yalm-100b-its-the-largest-gpt-like-neural-network-in-open-source-d1df53d0e9a6" TargetMode="External"/><Relationship Id="rId31" Type="http://schemas.openxmlformats.org/officeDocument/2006/relationships/hyperlink" Target="https://huggingface.co/collections/google/timesfm-release-66e4be5fdb56e960c1e482a6" TargetMode="External"/><Relationship Id="rId1325" Type="http://schemas.openxmlformats.org/officeDocument/2006/relationships/hyperlink" Target="https://unified-io.allenai.org/" TargetMode="External"/><Relationship Id="rId30" Type="http://schemas.openxmlformats.org/officeDocument/2006/relationships/hyperlink" Target="https://storage.googleapis.com/deepmind-media/gemini-robotics/Gemini-Robotics-1-5-Tech-Report.pdf" TargetMode="External"/><Relationship Id="rId1326" Type="http://schemas.openxmlformats.org/officeDocument/2006/relationships/hyperlink" Target="https://github.com/jiasenlu/unified-io/blob/main/UnifiedIOv1.pdf" TargetMode="External"/><Relationship Id="rId33" Type="http://schemas.openxmlformats.org/officeDocument/2006/relationships/hyperlink" Target="https://chat.qwen.ai/" TargetMode="External"/><Relationship Id="rId1327" Type="http://schemas.openxmlformats.org/officeDocument/2006/relationships/hyperlink" Target="https://arxiv.org/abs/2202.07765" TargetMode="External"/><Relationship Id="rId32" Type="http://schemas.openxmlformats.org/officeDocument/2006/relationships/hyperlink" Target="https://research.google/blog/time-series-foundation-models-can-be-few-shot-learners/" TargetMode="External"/><Relationship Id="rId1328" Type="http://schemas.openxmlformats.org/officeDocument/2006/relationships/hyperlink" Target="https://ai.googleblog.com/2022/06/limoe-learning-multiple-modalities-with.html" TargetMode="External"/><Relationship Id="rId35" Type="http://schemas.openxmlformats.org/officeDocument/2006/relationships/hyperlink" Target="https://github.com/QwenLM/Qwen3-Omni?tab=readme-ov-file" TargetMode="External"/><Relationship Id="rId1329" Type="http://schemas.openxmlformats.org/officeDocument/2006/relationships/hyperlink" Target="https://huggingface.co/ykilcher/gpt-4chan/discussions/4" TargetMode="External"/><Relationship Id="rId34" Type="http://schemas.openxmlformats.org/officeDocument/2006/relationships/hyperlink" Target="https://qwen.ai/blog?id=241398b9cd6353de490b0f82806c7848c5d2777d&amp;from=research.latest-advancements-list" TargetMode="External"/><Relationship Id="rId739" Type="http://schemas.openxmlformats.org/officeDocument/2006/relationships/hyperlink" Target="https://arxiv.org/abs/2405.03594" TargetMode="External"/><Relationship Id="rId734" Type="http://schemas.openxmlformats.org/officeDocument/2006/relationships/hyperlink" Target="https://ai.meta.com/resources/models-and-libraries/chameleon-downloads/?gk_enable=chameleon_web_flow_is_live" TargetMode="External"/><Relationship Id="rId976" Type="http://schemas.openxmlformats.org/officeDocument/2006/relationships/hyperlink" Target="https://arxiv.org/abs/2312.15166" TargetMode="External"/><Relationship Id="rId733" Type="http://schemas.openxmlformats.org/officeDocument/2006/relationships/hyperlink" Target="https://www.aixinzhijie.com/article/6845768" TargetMode="External"/><Relationship Id="rId975" Type="http://schemas.openxmlformats.org/officeDocument/2006/relationships/hyperlink" Target="https://huggingface.co/upstage/SOLAR-10.7B-v1.0" TargetMode="External"/><Relationship Id="rId732" Type="http://schemas.openxmlformats.org/officeDocument/2006/relationships/hyperlink" Target="https://kr-asia.com/01-ais-newest-closed-source-model-said-to-outperform-gpt-4-across-six-benchmarks" TargetMode="External"/><Relationship Id="rId974" Type="http://schemas.openxmlformats.org/officeDocument/2006/relationships/hyperlink" Target="https://cloud.google.com/static/vertex-ai/docs/generative-ai/medlm/MedLM-model-card.pdf" TargetMode="External"/><Relationship Id="rId731" Type="http://schemas.openxmlformats.org/officeDocument/2006/relationships/hyperlink" Target="https://platform.01.ai/" TargetMode="External"/><Relationship Id="rId973" Type="http://schemas.openxmlformats.org/officeDocument/2006/relationships/hyperlink" Target="https://cloud.google.com/vertex-ai/docs/generative-ai/model-reference/medlm" TargetMode="External"/><Relationship Id="rId738" Type="http://schemas.openxmlformats.org/officeDocument/2006/relationships/hyperlink" Target="https://huggingface.co/spaces/neuralmagic/llama-2-sparse-transfer-chat-deepsparse" TargetMode="External"/><Relationship Id="rId737" Type="http://schemas.openxmlformats.org/officeDocument/2006/relationships/hyperlink" Target="https://storage.googleapis.com/deepmind-media/LearnLM/LearnLM_paper.pdf" TargetMode="External"/><Relationship Id="rId979" Type="http://schemas.openxmlformats.org/officeDocument/2006/relationships/hyperlink" Target="https://poe.com/" TargetMode="External"/><Relationship Id="rId736" Type="http://schemas.openxmlformats.org/officeDocument/2006/relationships/hyperlink" Target="https://learning.google.com/experiments/learn-about/signup" TargetMode="External"/><Relationship Id="rId978" Type="http://schemas.openxmlformats.org/officeDocument/2006/relationships/hyperlink" Target="https://deci.ai/blog/introducing-DeciLM-7b-the-fastest-and-most-accurate-7b-large-language-model-to-date" TargetMode="External"/><Relationship Id="rId735" Type="http://schemas.openxmlformats.org/officeDocument/2006/relationships/hyperlink" Target="https://arxiv.org/abs/2405.09818" TargetMode="External"/><Relationship Id="rId977" Type="http://schemas.openxmlformats.org/officeDocument/2006/relationships/hyperlink" Target="https://console.deci.ai/infery-llm-demo" TargetMode="External"/><Relationship Id="rId37" Type="http://schemas.openxmlformats.org/officeDocument/2006/relationships/hyperlink" Target="https://huggingface.co/deepseek-ai/DeepSeek-V3.1-Terminus" TargetMode="External"/><Relationship Id="rId36" Type="http://schemas.openxmlformats.org/officeDocument/2006/relationships/hyperlink" Target="https://github.com/QwenLM/Qwen3-Omni/blob/main/assets/Qwen3_Omni.pdf" TargetMode="External"/><Relationship Id="rId39" Type="http://schemas.openxmlformats.org/officeDocument/2006/relationships/hyperlink" Target="https://x.com/deepseek_ai/status/1958417072536608952" TargetMode="External"/><Relationship Id="rId38" Type="http://schemas.openxmlformats.org/officeDocument/2006/relationships/hyperlink" Target="https://api-docs.deepseek.com/news/news250922" TargetMode="External"/><Relationship Id="rId730" Type="http://schemas.openxmlformats.org/officeDocument/2006/relationships/hyperlink" Target="https://appserversrc.8btc.cn/FnDYlEC4STBhphu6M3NL4CKH43FW" TargetMode="External"/><Relationship Id="rId972" Type="http://schemas.openxmlformats.org/officeDocument/2006/relationships/hyperlink" Target="https://arxiv.org/abs/2312.13286" TargetMode="External"/><Relationship Id="rId971" Type="http://schemas.openxmlformats.org/officeDocument/2006/relationships/hyperlink" Target="https://baaivision.github.io/emu2/" TargetMode="External"/><Relationship Id="rId1320" Type="http://schemas.openxmlformats.org/officeDocument/2006/relationships/hyperlink" Target="https://ai.googleblog.com/2022/06/minerva-solving-quantitative-reasoning.html" TargetMode="External"/><Relationship Id="rId970" Type="http://schemas.openxmlformats.org/officeDocument/2006/relationships/hyperlink" Target="https://arxiv.org/abs/2312.14862" TargetMode="External"/><Relationship Id="rId1321" Type="http://schemas.openxmlformats.org/officeDocument/2006/relationships/hyperlink" Target="https://arxiv.org/abs/2206.11309" TargetMode="External"/><Relationship Id="rId1322" Type="http://schemas.openxmlformats.org/officeDocument/2006/relationships/hyperlink" Target="https://github.com/yandex/YaLM-100B" TargetMode="External"/><Relationship Id="rId1114" Type="http://schemas.openxmlformats.org/officeDocument/2006/relationships/hyperlink" Target="https://huggingface.co/spaces/HuggingFaceM4/idefics_playground" TargetMode="External"/><Relationship Id="rId1356" Type="http://schemas.openxmlformats.org/officeDocument/2006/relationships/hyperlink" Target="https://arxiv.org/abs/2203.15556" TargetMode="External"/><Relationship Id="rId1115" Type="http://schemas.openxmlformats.org/officeDocument/2006/relationships/hyperlink" Target="https://huggingface.co/blog/idefics" TargetMode="External"/><Relationship Id="rId1357" Type="http://schemas.openxmlformats.org/officeDocument/2006/relationships/hyperlink" Target="https://playground.helloforefront.com/models/free-gpt-j-playground" TargetMode="External"/><Relationship Id="rId20" Type="http://schemas.openxmlformats.org/officeDocument/2006/relationships/hyperlink" Target="http://z.ai" TargetMode="External"/><Relationship Id="rId1116" Type="http://schemas.openxmlformats.org/officeDocument/2006/relationships/hyperlink" Target="https://arxiv.org/abs/2308.07922" TargetMode="External"/><Relationship Id="rId1358" Type="http://schemas.openxmlformats.org/officeDocument/2006/relationships/hyperlink" Target="https://github.com/EleutherAI/gpt-neox" TargetMode="External"/><Relationship Id="rId1117" Type="http://schemas.openxmlformats.org/officeDocument/2006/relationships/hyperlink" Target="https://huggingface.co/azale-ai/DukunLM-13B-V1.0-Uncensored" TargetMode="External"/><Relationship Id="rId1359" Type="http://schemas.openxmlformats.org/officeDocument/2006/relationships/hyperlink" Target="https://arxiv.org/abs/2112.12731" TargetMode="External"/><Relationship Id="rId22" Type="http://schemas.openxmlformats.org/officeDocument/2006/relationships/hyperlink" Target="https://z.ai/blog/glm-4.6" TargetMode="External"/><Relationship Id="rId1118" Type="http://schemas.openxmlformats.org/officeDocument/2006/relationships/hyperlink" Target="https://huggingface.co/azale-ai/DukunLM-13B-V1.0-Uncensored" TargetMode="External"/><Relationship Id="rId21" Type="http://schemas.openxmlformats.org/officeDocument/2006/relationships/hyperlink" Target="https://huggingface.co/zai-org/GLM-4.6" TargetMode="External"/><Relationship Id="rId1119" Type="http://schemas.openxmlformats.org/officeDocument/2006/relationships/hyperlink" Target="https://huggingface.co/WizardLM/WizardLM-70B-V1.0" TargetMode="External"/><Relationship Id="rId24" Type="http://schemas.openxmlformats.org/officeDocument/2006/relationships/hyperlink" Target="https://huggingface.co/inclusionAI/Ring-1T-preview" TargetMode="External"/><Relationship Id="rId23" Type="http://schemas.openxmlformats.org/officeDocument/2006/relationships/hyperlink" Target="https://huggingface.co/inclusionAI/Ring-1T-preview" TargetMode="External"/><Relationship Id="rId525" Type="http://schemas.openxmlformats.org/officeDocument/2006/relationships/hyperlink" Target="http://ibm.biz/granite-report" TargetMode="External"/><Relationship Id="rId767" Type="http://schemas.openxmlformats.org/officeDocument/2006/relationships/hyperlink" Target="https://github.com/ibm-granite/granite-code-models" TargetMode="External"/><Relationship Id="rId524" Type="http://schemas.openxmlformats.org/officeDocument/2006/relationships/hyperlink" Target="https://huggingface.co/ibm-granite/granite-3.0-3b-a800m-instruct" TargetMode="External"/><Relationship Id="rId766" Type="http://schemas.openxmlformats.org/officeDocument/2006/relationships/hyperlink" Target="https://arxiv.org/abs/2405.04517" TargetMode="External"/><Relationship Id="rId523" Type="http://schemas.openxmlformats.org/officeDocument/2006/relationships/hyperlink" Target="http://ibm.biz/granite-report" TargetMode="External"/><Relationship Id="rId765" Type="http://schemas.openxmlformats.org/officeDocument/2006/relationships/hyperlink" Target="https://twitter.com/BlinkDL_AI/status/1787834625211158562" TargetMode="External"/><Relationship Id="rId522" Type="http://schemas.openxmlformats.org/officeDocument/2006/relationships/hyperlink" Target="https://huggingface.co/ibm-granite/granite-3.0-8b-base" TargetMode="External"/><Relationship Id="rId764" Type="http://schemas.openxmlformats.org/officeDocument/2006/relationships/hyperlink" Target="https://huggingface.co/BlinkDL/rwkv-6-world" TargetMode="External"/><Relationship Id="rId529" Type="http://schemas.openxmlformats.org/officeDocument/2006/relationships/hyperlink" Target="https://build.nvidia.com/nvidia/llama-3_1-nemotron-70b-instruct/modelcard" TargetMode="External"/><Relationship Id="rId528" Type="http://schemas.openxmlformats.org/officeDocument/2006/relationships/hyperlink" Target="https://build.nvidia.com/nvidia/llama-3_1-nemotron-70b-instruct" TargetMode="External"/><Relationship Id="rId527" Type="http://schemas.openxmlformats.org/officeDocument/2006/relationships/hyperlink" Target="https://arxiv.org/abs/2410.13187v1" TargetMode="External"/><Relationship Id="rId769" Type="http://schemas.openxmlformats.org/officeDocument/2006/relationships/hyperlink" Target="https://chat.lmsys.org/" TargetMode="External"/><Relationship Id="rId526" Type="http://schemas.openxmlformats.org/officeDocument/2006/relationships/hyperlink" Target="https://github.com/aixcoder-plugin/aixcoder-7b" TargetMode="External"/><Relationship Id="rId768" Type="http://schemas.openxmlformats.org/officeDocument/2006/relationships/hyperlink" Target="https://github.com/ibm-granite/granite-code-models/blob/main/paper.pdf" TargetMode="External"/><Relationship Id="rId26" Type="http://schemas.openxmlformats.org/officeDocument/2006/relationships/hyperlink" Target="https://assets.anthropic.com/m/12f214efcc2f457a/original/Claude-Sonnet-4-5-System-Card.pdf" TargetMode="External"/><Relationship Id="rId25" Type="http://schemas.openxmlformats.org/officeDocument/2006/relationships/hyperlink" Target="https://claude.ai/" TargetMode="External"/><Relationship Id="rId28" Type="http://schemas.openxmlformats.org/officeDocument/2006/relationships/hyperlink" Target="https://storage.googleapis.com/deepmind-media/gemini-robotics/Gemini-Robotics-1-5-Tech-Report.pdf" TargetMode="External"/><Relationship Id="rId1350" Type="http://schemas.openxmlformats.org/officeDocument/2006/relationships/hyperlink" Target="https://muse.lighton.ai/" TargetMode="External"/><Relationship Id="rId27" Type="http://schemas.openxmlformats.org/officeDocument/2006/relationships/hyperlink" Target="https://www.anthropic.com/news/claude-sonnet-4-5" TargetMode="External"/><Relationship Id="rId1351" Type="http://schemas.openxmlformats.org/officeDocument/2006/relationships/hyperlink" Target="https://www-cnbc-com.cdn.ampproject.org/c/s/www.cnbc.com/amp/2022/03/08/reid-hoffman-has-set-up-a-new-ai-company-with-deepminds-co-founder.html" TargetMode="External"/><Relationship Id="rId521" Type="http://schemas.openxmlformats.org/officeDocument/2006/relationships/hyperlink" Target="https://assets.anthropic.com/m/61e7d27f8c8f5919/original/Claude-3-Model-Card.pdf" TargetMode="External"/><Relationship Id="rId763" Type="http://schemas.openxmlformats.org/officeDocument/2006/relationships/hyperlink" Target="https://huggingface.co/spaces/BlinkDL/RWKV-Gradio-2" TargetMode="External"/><Relationship Id="rId1110" Type="http://schemas.openxmlformats.org/officeDocument/2006/relationships/hyperlink" Target="https://huggingface.co/inception-mbzuai" TargetMode="External"/><Relationship Id="rId1352" Type="http://schemas.openxmlformats.org/officeDocument/2006/relationships/hyperlink" Target="https://arxiv.org/abs/2201.0752" TargetMode="External"/><Relationship Id="rId29" Type="http://schemas.openxmlformats.org/officeDocument/2006/relationships/hyperlink" Target="https://aistudio.google.com/?model=gemini-robotics-er-1.5-preview" TargetMode="External"/><Relationship Id="rId520" Type="http://schemas.openxmlformats.org/officeDocument/2006/relationships/hyperlink" Target="https://claude.ai/" TargetMode="External"/><Relationship Id="rId762" Type="http://schemas.openxmlformats.org/officeDocument/2006/relationships/hyperlink" Target="https://arxiv.org/abs/2405.04828" TargetMode="External"/><Relationship Id="rId1111" Type="http://schemas.openxmlformats.org/officeDocument/2006/relationships/hyperlink" Target="https://arxiv.org/abs/2308.16149" TargetMode="External"/><Relationship Id="rId1353" Type="http://schemas.openxmlformats.org/officeDocument/2006/relationships/hyperlink" Target="https://app.aleph-alpha.com/playground/completion" TargetMode="External"/><Relationship Id="rId761" Type="http://schemas.openxmlformats.org/officeDocument/2006/relationships/hyperlink" Target="https://huggingface.co/chuxin-llm/Chuxin-1.6B-Base" TargetMode="External"/><Relationship Id="rId1112" Type="http://schemas.openxmlformats.org/officeDocument/2006/relationships/hyperlink" Target="https://github.com/facebookresearch/codellama" TargetMode="External"/><Relationship Id="rId1354" Type="http://schemas.openxmlformats.org/officeDocument/2006/relationships/hyperlink" Target="https://www-heise-de.translate.goog/news/Machine-Learning-Aleph-Alpha-feilt-mit-Oracle-und-Nvidia-an-transformativer-KI-6269269.html?_x_tr_sl=de&amp;_x_tr_tl=en&amp;_x_tr_hl=en&amp;_x_tr_pto=sc" TargetMode="External"/><Relationship Id="rId760" Type="http://schemas.openxmlformats.org/officeDocument/2006/relationships/hyperlink" Target="https://arxiv.org/abs/2405.04434" TargetMode="External"/><Relationship Id="rId1113" Type="http://schemas.openxmlformats.org/officeDocument/2006/relationships/hyperlink" Target="https://ai.meta.com/research/publications/code-llama-open-foundation-models-for-code/" TargetMode="External"/><Relationship Id="rId1355" Type="http://schemas.openxmlformats.org/officeDocument/2006/relationships/hyperlink" Target="https://www.aleph-alpha.de/pricing" TargetMode="External"/><Relationship Id="rId1103" Type="http://schemas.openxmlformats.org/officeDocument/2006/relationships/hyperlink" Target="https://huggingface.co/spaces/tiiuae/falcon-180b-demo" TargetMode="External"/><Relationship Id="rId1345" Type="http://schemas.openxmlformats.org/officeDocument/2006/relationships/hyperlink" Target="https://arxiv.org/abs/2204.07580" TargetMode="External"/><Relationship Id="rId1104" Type="http://schemas.openxmlformats.org/officeDocument/2006/relationships/hyperlink" Target="https://arxiv.org/abs/2311.16867" TargetMode="External"/><Relationship Id="rId1346" Type="http://schemas.openxmlformats.org/officeDocument/2006/relationships/hyperlink" Target="https://storage.googleapis.com/pathways-language-model/PaLM-paper.pdf" TargetMode="External"/><Relationship Id="rId1105" Type="http://schemas.openxmlformats.org/officeDocument/2006/relationships/hyperlink" Target="https://www.tencent.com/en-us/articles/2201685.html" TargetMode="External"/><Relationship Id="rId1347" Type="http://schemas.openxmlformats.org/officeDocument/2006/relationships/hyperlink" Target="https://storage.googleapis.com/pathways-language-model/PaLM-paper.pdf" TargetMode="External"/><Relationship Id="rId1106" Type="http://schemas.openxmlformats.org/officeDocument/2006/relationships/hyperlink" Target="https://arxiv.org/abs/2402.01723v1" TargetMode="External"/><Relationship Id="rId1348" Type="http://schemas.openxmlformats.org/officeDocument/2006/relationships/hyperlink" Target="https://arxiv.org/abs/2203.13224" TargetMode="External"/><Relationship Id="rId11" Type="http://schemas.openxmlformats.org/officeDocument/2006/relationships/hyperlink" Target="https://ai.meta.com/blog/llama-4-multimodal-intelligence/" TargetMode="External"/><Relationship Id="rId1107" Type="http://schemas.openxmlformats.org/officeDocument/2006/relationships/hyperlink" Target="https://arxiv.org/abs/2309.08632" TargetMode="External"/><Relationship Id="rId1349" Type="http://schemas.openxmlformats.org/officeDocument/2006/relationships/hyperlink" Target="https://arxiv.org/abs/2203.13474" TargetMode="External"/><Relationship Id="rId10" Type="http://schemas.openxmlformats.org/officeDocument/2006/relationships/hyperlink" Target="https://lifearchitect.ai/gpt-6/" TargetMode="External"/><Relationship Id="rId1108" Type="http://schemas.openxmlformats.org/officeDocument/2006/relationships/hyperlink" Target="https://www.ibm.com/granite" TargetMode="External"/><Relationship Id="rId13" Type="http://schemas.openxmlformats.org/officeDocument/2006/relationships/hyperlink" Target="https://lifearchitect.ai/o4/" TargetMode="External"/><Relationship Id="rId1109" Type="http://schemas.openxmlformats.org/officeDocument/2006/relationships/hyperlink" Target="https://www.ibm.com/downloads/cas/X9W4O6BM" TargetMode="External"/><Relationship Id="rId12" Type="http://schemas.openxmlformats.org/officeDocument/2006/relationships/hyperlink" Target="https://ai.meta.com/blog/llama-4-multimodal-intelligence/" TargetMode="External"/><Relationship Id="rId519" Type="http://schemas.openxmlformats.org/officeDocument/2006/relationships/hyperlink" Target="https://cohere.com/blog/aya-expanse-connecting-our-world" TargetMode="External"/><Relationship Id="rId514" Type="http://schemas.openxmlformats.org/officeDocument/2006/relationships/hyperlink" Target="https://huggingface.co/amd/AMD-OLMo" TargetMode="External"/><Relationship Id="rId756" Type="http://schemas.openxmlformats.org/officeDocument/2006/relationships/hyperlink" Target="https://github.com/01-ai/Yi-1.5" TargetMode="External"/><Relationship Id="rId998" Type="http://schemas.openxmlformats.org/officeDocument/2006/relationships/hyperlink" Target="https://ai.meta.com/research/publications/seamless-multilingual-expressive-and-streaming-speech-translation/" TargetMode="External"/><Relationship Id="rId513" Type="http://schemas.openxmlformats.org/officeDocument/2006/relationships/hyperlink" Target="https://www.techinasia.com/news/ai-singapore-boosts-sea-ai-sealion-v3-model" TargetMode="External"/><Relationship Id="rId755" Type="http://schemas.openxmlformats.org/officeDocument/2006/relationships/hyperlink" Target="https://huggingface.co/01-ai/Yi-1.5-34B-Chat" TargetMode="External"/><Relationship Id="rId997" Type="http://schemas.openxmlformats.org/officeDocument/2006/relationships/hyperlink" Target="https://seamless.metademolab.com/expressive/" TargetMode="External"/><Relationship Id="rId512" Type="http://schemas.openxmlformats.org/officeDocument/2006/relationships/hyperlink" Target="https://www.linkedin.com/posts/leslieteo01_ai-machinelearning-nlp-activity-7258042808891027456-Tqab/" TargetMode="External"/><Relationship Id="rId754" Type="http://schemas.openxmlformats.org/officeDocument/2006/relationships/hyperlink" Target="https://en.wikipedia.org/wiki/Fugaku_(supercomputer)" TargetMode="External"/><Relationship Id="rId996" Type="http://schemas.openxmlformats.org/officeDocument/2006/relationships/hyperlink" Target="https://blog.perplexity.ai/blog/introducing-pplx-online-llms" TargetMode="External"/><Relationship Id="rId511" Type="http://schemas.openxmlformats.org/officeDocument/2006/relationships/hyperlink" Target="https://huggingface.co/aisingapore/gemma2-9b-cpt-sea-lionv3-base" TargetMode="External"/><Relationship Id="rId753" Type="http://schemas.openxmlformats.org/officeDocument/2006/relationships/hyperlink" Target="https://www.fujitsu.com/global/about/resources/news/press-releases/2024/0510-01.html" TargetMode="External"/><Relationship Id="rId995" Type="http://schemas.openxmlformats.org/officeDocument/2006/relationships/hyperlink" Target="https://labs.perplexity.ai/" TargetMode="External"/><Relationship Id="rId518" Type="http://schemas.openxmlformats.org/officeDocument/2006/relationships/hyperlink" Target="https://huggingface.co/CohereForAI/aya-expanse-32b" TargetMode="External"/><Relationship Id="rId517" Type="http://schemas.openxmlformats.org/officeDocument/2006/relationships/hyperlink" Target="https://huggingface.co/collections/HuggingFaceTB/smollm2-6723884218bcda64b34d7db9" TargetMode="External"/><Relationship Id="rId759" Type="http://schemas.openxmlformats.org/officeDocument/2006/relationships/hyperlink" Target="https://chat.deepseek.com/" TargetMode="External"/><Relationship Id="rId516" Type="http://schemas.openxmlformats.org/officeDocument/2006/relationships/hyperlink" Target="https://huggingface.co/collections/HuggingFaceTB/smollm2-6723884218bcda64b34d7db9" TargetMode="External"/><Relationship Id="rId758" Type="http://schemas.openxmlformats.org/officeDocument/2006/relationships/hyperlink" Target="https://arxiv.org/abs/2405.05254" TargetMode="External"/><Relationship Id="rId515" Type="http://schemas.openxmlformats.org/officeDocument/2006/relationships/hyperlink" Target="https://www.amd.com/en/developer/resources/technical-articles/introducing-the-first-amd-1b-language-model.html" TargetMode="External"/><Relationship Id="rId757" Type="http://schemas.openxmlformats.org/officeDocument/2006/relationships/hyperlink" Target="https://github.com/microsoft/unilm/tree/master/YOCO" TargetMode="External"/><Relationship Id="rId999" Type="http://schemas.openxmlformats.org/officeDocument/2006/relationships/hyperlink" Target="https://github.com/facebookresearch/seamless_communication" TargetMode="External"/><Relationship Id="rId15" Type="http://schemas.openxmlformats.org/officeDocument/2006/relationships/hyperlink" Target="https://huggingface.co/Salesforce/CoDA-v0-Instruct" TargetMode="External"/><Relationship Id="rId990" Type="http://schemas.openxmlformats.org/officeDocument/2006/relationships/hyperlink" Target="https://huggingface.co/havenhq/mamba-chat" TargetMode="External"/><Relationship Id="rId14" Type="http://schemas.openxmlformats.org/officeDocument/2006/relationships/hyperlink" Target="https://lifearchitect.ai/o4/" TargetMode="External"/><Relationship Id="rId17" Type="http://schemas.openxmlformats.org/officeDocument/2006/relationships/hyperlink" Target="https://huggingface.co/ibm-granite/granite-4.0-h-small" TargetMode="External"/><Relationship Id="rId16" Type="http://schemas.openxmlformats.org/officeDocument/2006/relationships/hyperlink" Target="https://github.com/SalesforceAIResearch/CoDA/blob/main/technical_report.pdf" TargetMode="External"/><Relationship Id="rId1340" Type="http://schemas.openxmlformats.org/officeDocument/2006/relationships/hyperlink" Target="https://arxiv.org/abs/2204.07705" TargetMode="External"/><Relationship Id="rId19" Type="http://schemas.openxmlformats.org/officeDocument/2006/relationships/hyperlink" Target="https://www.ibm.com/new/announcements/ibm-granite-4-0-hyper-efficient-high-performance-hybrid-models" TargetMode="External"/><Relationship Id="rId510" Type="http://schemas.openxmlformats.org/officeDocument/2006/relationships/hyperlink" Target="https://arxiv.org/abs/2411.02265" TargetMode="External"/><Relationship Id="rId752" Type="http://schemas.openxmlformats.org/officeDocument/2006/relationships/hyperlink" Target="https://huggingface.co/Fugaku-LLM/Fugaku-LLM-13B-instruct" TargetMode="External"/><Relationship Id="rId994" Type="http://schemas.openxmlformats.org/officeDocument/2006/relationships/hyperlink" Target="https://arxiv.org/abs/2312.00738" TargetMode="External"/><Relationship Id="rId1341" Type="http://schemas.openxmlformats.org/officeDocument/2006/relationships/hyperlink" Target="https://huggingface.co/spaces/facebook/incoder-demo" TargetMode="External"/><Relationship Id="rId18" Type="http://schemas.openxmlformats.org/officeDocument/2006/relationships/hyperlink" Target="https://www.ibm.com/granite/docs/models/granite" TargetMode="External"/><Relationship Id="rId751" Type="http://schemas.openxmlformats.org/officeDocument/2006/relationships/hyperlink" Target="https://www.tii.ae/news/falcon-2-uaes-technology-innovation-institute-releases-new-ai-model-series-outperforming-metas" TargetMode="External"/><Relationship Id="rId993" Type="http://schemas.openxmlformats.org/officeDocument/2006/relationships/hyperlink" Target="https://github.com/damo-nlp-sg/seallms" TargetMode="External"/><Relationship Id="rId1100" Type="http://schemas.openxmlformats.org/officeDocument/2006/relationships/hyperlink" Target="https://github.com/persimmon-ai-labs/adept-inference" TargetMode="External"/><Relationship Id="rId1342" Type="http://schemas.openxmlformats.org/officeDocument/2006/relationships/hyperlink" Target="https://arxiv.org/abs/2204.05999" TargetMode="External"/><Relationship Id="rId750" Type="http://schemas.openxmlformats.org/officeDocument/2006/relationships/hyperlink" Target="https://www.tii.ae/news/falcon-2-uaes-technology-innovation-institute-releases-new-ai-model-series-outperforming-metas" TargetMode="External"/><Relationship Id="rId992" Type="http://schemas.openxmlformats.org/officeDocument/2006/relationships/hyperlink" Target="https://arxiv.org/abs/2312.00785" TargetMode="External"/><Relationship Id="rId1101" Type="http://schemas.openxmlformats.org/officeDocument/2006/relationships/hyperlink" Target="https://huggingface.co/CofeAI/FLM-101B" TargetMode="External"/><Relationship Id="rId1343" Type="http://schemas.openxmlformats.org/officeDocument/2006/relationships/hyperlink" Target="https://www.tii.ae/news/technology-innovation-institute-announces-launch-noor-worlds-largest-arabic-nlp-model" TargetMode="External"/><Relationship Id="rId991" Type="http://schemas.openxmlformats.org/officeDocument/2006/relationships/hyperlink" Target="https://arxiv.org/abs/2312.00752" TargetMode="External"/><Relationship Id="rId1102" Type="http://schemas.openxmlformats.org/officeDocument/2006/relationships/hyperlink" Target="https://arxiv.org/abs/2309.03852" TargetMode="External"/><Relationship Id="rId1344" Type="http://schemas.openxmlformats.org/officeDocument/2006/relationships/hyperlink" Target="https://huggingface.co/sberbank-ai/mGPT" TargetMode="External"/><Relationship Id="rId84" Type="http://schemas.openxmlformats.org/officeDocument/2006/relationships/hyperlink" Target="https://research.nvidia.com/labs/adlr/NVIDIA-Nemotron-Nano-2/" TargetMode="External"/><Relationship Id="rId83" Type="http://schemas.openxmlformats.org/officeDocument/2006/relationships/hyperlink" Target="https://research.nvidia.com/labs/adlr/files/NVIDIA-Nemotron-Nano-2-Technical-Report.pdf" TargetMode="External"/><Relationship Id="rId86" Type="http://schemas.openxmlformats.org/officeDocument/2006/relationships/hyperlink" Target="https://developers.googleblog.com/en/introducing-gemma-3-270m/" TargetMode="External"/><Relationship Id="rId85" Type="http://schemas.openxmlformats.org/officeDocument/2006/relationships/hyperlink" Target="https://huggingface.co/google/gemma-3-270m-it" TargetMode="External"/><Relationship Id="rId88" Type="http://schemas.openxmlformats.org/officeDocument/2006/relationships/hyperlink" Target="https://openai.com/index/gpt-5-system-card/" TargetMode="External"/><Relationship Id="rId87" Type="http://schemas.openxmlformats.org/officeDocument/2006/relationships/hyperlink" Target="https://poe.com/GPT-5" TargetMode="External"/><Relationship Id="rId89" Type="http://schemas.openxmlformats.org/officeDocument/2006/relationships/hyperlink" Target="https://openai.com/index/introducing-gpt-5/" TargetMode="External"/><Relationship Id="rId709" Type="http://schemas.openxmlformats.org/officeDocument/2006/relationships/hyperlink" Target="https://huggingface.co/spaces/Qwen/Qwen2-72B-Instruct" TargetMode="External"/><Relationship Id="rId708" Type="http://schemas.openxmlformats.org/officeDocument/2006/relationships/hyperlink" Target="https://arxiv.org/abs/2406.00975" TargetMode="External"/><Relationship Id="rId707" Type="http://schemas.openxmlformats.org/officeDocument/2006/relationships/hyperlink" Target="https://www.rungalileo.io/blog/introducing-galileo-luna-a-family-of-evaluation-foundation-models" TargetMode="External"/><Relationship Id="rId949" Type="http://schemas.openxmlformats.org/officeDocument/2006/relationships/hyperlink" Target="https://github.com/InternLM/InternLM" TargetMode="External"/><Relationship Id="rId706" Type="http://schemas.openxmlformats.org/officeDocument/2006/relationships/hyperlink" Target="https://arxiv.org/abs/2406.02528" TargetMode="External"/><Relationship Id="rId948" Type="http://schemas.openxmlformats.org/officeDocument/2006/relationships/hyperlink" Target="https://arxiv.org/abs/2401.12246" TargetMode="External"/><Relationship Id="rId80" Type="http://schemas.openxmlformats.org/officeDocument/2006/relationships/hyperlink" Target="https://huggingface.co/deepseek-ai/DeepSeek-V3.1-Base" TargetMode="External"/><Relationship Id="rId82" Type="http://schemas.openxmlformats.org/officeDocument/2006/relationships/hyperlink" Target="https://huggingface.co/nvidia/NVIDIA-Nemotron-Nano-12B-v2-Base" TargetMode="External"/><Relationship Id="rId81" Type="http://schemas.openxmlformats.org/officeDocument/2006/relationships/hyperlink" Target="https://x.com/deepseek_ai/status/1958417072536608952" TargetMode="External"/><Relationship Id="rId701" Type="http://schemas.openxmlformats.org/officeDocument/2006/relationships/hyperlink" Target="https://research.nvidia.com/publication/2024-06_nemotron-4-340b" TargetMode="External"/><Relationship Id="rId943" Type="http://schemas.openxmlformats.org/officeDocument/2006/relationships/hyperlink" Target="https://arxiv.org/abs/2401.14196" TargetMode="External"/><Relationship Id="rId700" Type="http://schemas.openxmlformats.org/officeDocument/2006/relationships/hyperlink" Target="https://d1qx31qr3h6wln.cloudfront.net/publications/Nemotron_4_340B_8T.pdf" TargetMode="External"/><Relationship Id="rId942" Type="http://schemas.openxmlformats.org/officeDocument/2006/relationships/hyperlink" Target="https://coder.deepseek.com/" TargetMode="External"/><Relationship Id="rId941" Type="http://schemas.openxmlformats.org/officeDocument/2006/relationships/hyperlink" Target="https://arxiv.org/abs/2401.13660" TargetMode="External"/><Relationship Id="rId940" Type="http://schemas.openxmlformats.org/officeDocument/2006/relationships/hyperlink" Target="https://huggingface.co/MaLA-LM/mala-500" TargetMode="External"/><Relationship Id="rId705" Type="http://schemas.openxmlformats.org/officeDocument/2006/relationships/hyperlink" Target="https://github.com/ridgerchu/matmulfreellm" TargetMode="External"/><Relationship Id="rId947" Type="http://schemas.openxmlformats.org/officeDocument/2006/relationships/hyperlink" Target="https://github.com/OrionStarAI/Orion" TargetMode="External"/><Relationship Id="rId704" Type="http://schemas.openxmlformats.org/officeDocument/2006/relationships/hyperlink" Target="https://lifearchitect.ai/apple/" TargetMode="External"/><Relationship Id="rId946" Type="http://schemas.openxmlformats.org/officeDocument/2006/relationships/hyperlink" Target="https://www.adept.ai/blog/adept-fuyu-heavy" TargetMode="External"/><Relationship Id="rId703" Type="http://schemas.openxmlformats.org/officeDocument/2006/relationships/hyperlink" Target="https://arxiv.org/abs/2404.14619" TargetMode="External"/><Relationship Id="rId945" Type="http://schemas.openxmlformats.org/officeDocument/2006/relationships/hyperlink" Target="https://arxiv.org/abs/2401.10491" TargetMode="External"/><Relationship Id="rId702" Type="http://schemas.openxmlformats.org/officeDocument/2006/relationships/hyperlink" Target="https://github.com/apple/corenet/tree/main/projects/openelm" TargetMode="External"/><Relationship Id="rId944" Type="http://schemas.openxmlformats.org/officeDocument/2006/relationships/hyperlink" Target="https://github.com/fanqiwan/FuseLLM" TargetMode="External"/><Relationship Id="rId73" Type="http://schemas.openxmlformats.org/officeDocument/2006/relationships/hyperlink" Target="https://huggingface.co/NousResearch/Hermes-4-405B-FP8" TargetMode="External"/><Relationship Id="rId72" Type="http://schemas.openxmlformats.org/officeDocument/2006/relationships/hyperlink" Target="https://x.ai/news/grok-code-fast-1" TargetMode="External"/><Relationship Id="rId75" Type="http://schemas.openxmlformats.org/officeDocument/2006/relationships/hyperlink" Target="https://hermes4.nousresearch.com/" TargetMode="External"/><Relationship Id="rId74" Type="http://schemas.openxmlformats.org/officeDocument/2006/relationships/hyperlink" Target="https://arxiv.org/abs/2508.18255" TargetMode="External"/><Relationship Id="rId77" Type="http://schemas.openxmlformats.org/officeDocument/2006/relationships/hyperlink" Target="https://arxiv.org/abs/2508.15884v1" TargetMode="External"/><Relationship Id="rId76" Type="http://schemas.openxmlformats.org/officeDocument/2006/relationships/hyperlink" Target="https://github.com/NVlabs/Jet-Nemotron" TargetMode="External"/><Relationship Id="rId79" Type="http://schemas.openxmlformats.org/officeDocument/2006/relationships/hyperlink" Target="https://x.com/deepseek_ai/status/1958417068568481854/photo/2" TargetMode="External"/><Relationship Id="rId78" Type="http://schemas.openxmlformats.org/officeDocument/2006/relationships/hyperlink" Target="https://huggingface.co/deepseek-ai/DeepSeek-V3.1-Base" TargetMode="External"/><Relationship Id="rId939" Type="http://schemas.openxmlformats.org/officeDocument/2006/relationships/hyperlink" Target="https://arxiv.org/abs/2401.13303" TargetMode="External"/><Relationship Id="rId938" Type="http://schemas.openxmlformats.org/officeDocument/2006/relationships/hyperlink" Target="https://huggingface.co/MaLA-LM/mala-500" TargetMode="External"/><Relationship Id="rId937" Type="http://schemas.openxmlformats.org/officeDocument/2006/relationships/hyperlink" Target="https://arxiv.org/abs/2305.13048" TargetMode="External"/><Relationship Id="rId71" Type="http://schemas.openxmlformats.org/officeDocument/2006/relationships/hyperlink" Target="https://data.x.ai/2025-08-26-grok-code-fast-1-model-card.pdf" TargetMode="External"/><Relationship Id="rId70" Type="http://schemas.openxmlformats.org/officeDocument/2006/relationships/hyperlink" Target="https://github.com/features/copilot" TargetMode="External"/><Relationship Id="rId932" Type="http://schemas.openxmlformats.org/officeDocument/2006/relationships/hyperlink" Target="https://openreview.net/forum?id=S1RKWSyZ2Y" TargetMode="External"/><Relationship Id="rId931" Type="http://schemas.openxmlformats.org/officeDocument/2006/relationships/hyperlink" Target="https://github.com/tsujuifu/pytorch_mgie" TargetMode="External"/><Relationship Id="rId930" Type="http://schemas.openxmlformats.org/officeDocument/2006/relationships/hyperlink" Target="https://www.shine.cn/biz/tech/2401304331/" TargetMode="External"/><Relationship Id="rId936" Type="http://schemas.openxmlformats.org/officeDocument/2006/relationships/hyperlink" Target="https://blog.rwkv.com/p/eagle-7b-soaring-past-transformers" TargetMode="External"/><Relationship Id="rId935" Type="http://schemas.openxmlformats.org/officeDocument/2006/relationships/hyperlink" Target="https://huggingface.co/spaces/BlinkDL/RWKV-Gradio-2" TargetMode="External"/><Relationship Id="rId934" Type="http://schemas.openxmlformats.org/officeDocument/2006/relationships/hyperlink" Target="https://ai.meta.com/research/publications/code-llama-open-foundation-models-for-code/" TargetMode="External"/><Relationship Id="rId933" Type="http://schemas.openxmlformats.org/officeDocument/2006/relationships/hyperlink" Target="https://huggingface.co/codellama/CodeLlama-70b-hf" TargetMode="External"/><Relationship Id="rId62" Type="http://schemas.openxmlformats.org/officeDocument/2006/relationships/hyperlink" Target="https://modelstudio.console.alibabacloud.com/?tab=doc" TargetMode="External"/><Relationship Id="rId1312" Type="http://schemas.openxmlformats.org/officeDocument/2006/relationships/hyperlink" Target="https://ai.googleblog.com/2022/07/ml-enhanced-code-completion-improves.html" TargetMode="External"/><Relationship Id="rId61" Type="http://schemas.openxmlformats.org/officeDocument/2006/relationships/hyperlink" Target="https://chat.qwen.ai/" TargetMode="External"/><Relationship Id="rId1313" Type="http://schemas.openxmlformats.org/officeDocument/2006/relationships/hyperlink" Target="https://arxiv.org/abs/2207.11280" TargetMode="External"/><Relationship Id="rId64" Type="http://schemas.openxmlformats.org/officeDocument/2006/relationships/hyperlink" Target="https://huggingface.co/moonshotai/Kimi-K2-Instruct-0905" TargetMode="External"/><Relationship Id="rId1314" Type="http://schemas.openxmlformats.org/officeDocument/2006/relationships/hyperlink" Target="https://github.com/facebookresearch/fairseq/tree/nllb/" TargetMode="External"/><Relationship Id="rId63" Type="http://schemas.openxmlformats.org/officeDocument/2006/relationships/hyperlink" Target="https://huggingface.co/moonshotai/Kimi-K2-Instruct" TargetMode="External"/><Relationship Id="rId1315" Type="http://schemas.openxmlformats.org/officeDocument/2006/relationships/hyperlink" Target="https://research.facebook.com/publications/no-language-left-behind/" TargetMode="External"/><Relationship Id="rId66" Type="http://schemas.openxmlformats.org/officeDocument/2006/relationships/hyperlink" Target="https://github.com/swiss-ai/apertus-tech-report/blob/main/Apertus_Tech_Report.pdf" TargetMode="External"/><Relationship Id="rId1316" Type="http://schemas.openxmlformats.org/officeDocument/2006/relationships/hyperlink" Target="http://ask-rbg.ai/" TargetMode="External"/><Relationship Id="rId65" Type="http://schemas.openxmlformats.org/officeDocument/2006/relationships/hyperlink" Target="https://huggingface.co/swiss-ai/Apertus-70B-Instruct-2509" TargetMode="External"/><Relationship Id="rId1317" Type="http://schemas.openxmlformats.org/officeDocument/2006/relationships/hyperlink" Target="https://www.ai21.com/blog/announcing-ai21-studio-and-jurassic-1" TargetMode="External"/><Relationship Id="rId68" Type="http://schemas.openxmlformats.org/officeDocument/2006/relationships/hyperlink" Target="https://microsoft.ai/news/two-new-in-house-models/" TargetMode="External"/><Relationship Id="rId1318" Type="http://schemas.openxmlformats.org/officeDocument/2006/relationships/hyperlink" Target="https://huggingface.co/spaces/huggingface/bloom_demo" TargetMode="External"/><Relationship Id="rId67" Type="http://schemas.openxmlformats.org/officeDocument/2006/relationships/hyperlink" Target="https://ethz.ch/en/news-and-events/eth-news/news/2025/09/press-release-apertus-a-fully-open-transparent-multilingual-language-model.html" TargetMode="External"/><Relationship Id="rId1319" Type="http://schemas.openxmlformats.org/officeDocument/2006/relationships/hyperlink" Target="https://github.com/bigscience-workshop/bigscience/tree/master/train/tr11-176B-ml" TargetMode="External"/><Relationship Id="rId729" Type="http://schemas.openxmlformats.org/officeDocument/2006/relationships/hyperlink" Target="https://www.aixinzhijie.com/article/6845768" TargetMode="External"/><Relationship Id="rId728" Type="http://schemas.openxmlformats.org/officeDocument/2006/relationships/hyperlink" Target="https://platform.01.ai/" TargetMode="External"/><Relationship Id="rId60" Type="http://schemas.openxmlformats.org/officeDocument/2006/relationships/hyperlink" Target="https://tilde.ai/lv/tildeopen-llm/" TargetMode="External"/><Relationship Id="rId723" Type="http://schemas.openxmlformats.org/officeDocument/2006/relationships/hyperlink" Target="https://www.llm360.ai/blog/several-new-releases-to-further-our-mission.html" TargetMode="External"/><Relationship Id="rId965" Type="http://schemas.openxmlformats.org/officeDocument/2006/relationships/hyperlink" Target="https://arxiv.org/abs/2312.17172" TargetMode="External"/><Relationship Id="rId722" Type="http://schemas.openxmlformats.org/officeDocument/2006/relationships/hyperlink" Target="https://huggingface.co/LLM360/K2" TargetMode="External"/><Relationship Id="rId964" Type="http://schemas.openxmlformats.org/officeDocument/2006/relationships/hyperlink" Target="https://unified-io-2.allenai.org/" TargetMode="External"/><Relationship Id="rId721" Type="http://schemas.openxmlformats.org/officeDocument/2006/relationships/hyperlink" Target="https://arxiv.org/abs/2405.19327" TargetMode="External"/><Relationship Id="rId963" Type="http://schemas.openxmlformats.org/officeDocument/2006/relationships/hyperlink" Target="https://arxiv.org/abs/2401.00908" TargetMode="External"/><Relationship Id="rId720" Type="http://schemas.openxmlformats.org/officeDocument/2006/relationships/hyperlink" Target="https://map-neo.github.io/" TargetMode="External"/><Relationship Id="rId962" Type="http://schemas.openxmlformats.org/officeDocument/2006/relationships/hyperlink" Target="https://arxiv.org/abs/2401.02385" TargetMode="External"/><Relationship Id="rId727" Type="http://schemas.openxmlformats.org/officeDocument/2006/relationships/hyperlink" Target="https://drive.google.com/file/d/1YKBPo61pnl97C1c_1C2ZVOnPhqf7MLSc/view" TargetMode="External"/><Relationship Id="rId969" Type="http://schemas.openxmlformats.org/officeDocument/2006/relationships/hyperlink" Target="https://huggingface.co/wenge-research/yayi2-30b" TargetMode="External"/><Relationship Id="rId726" Type="http://schemas.openxmlformats.org/officeDocument/2006/relationships/hyperlink" Target="https://huggingface.co/spaces/CohereForAI/aya-23" TargetMode="External"/><Relationship Id="rId968" Type="http://schemas.openxmlformats.org/officeDocument/2006/relationships/hyperlink" Target="https://arxiv.org/abs/2312.17276" TargetMode="External"/><Relationship Id="rId725" Type="http://schemas.openxmlformats.org/officeDocument/2006/relationships/hyperlink" Target="https://mistral.ai/news/codestral/" TargetMode="External"/><Relationship Id="rId967" Type="http://schemas.openxmlformats.org/officeDocument/2006/relationships/hyperlink" Target="https://arxiv.org/abs/2312.17276" TargetMode="External"/><Relationship Id="rId724" Type="http://schemas.openxmlformats.org/officeDocument/2006/relationships/hyperlink" Target="https://huggingface.co/mistralai/Codestral-22B-v0.1" TargetMode="External"/><Relationship Id="rId966" Type="http://schemas.openxmlformats.org/officeDocument/2006/relationships/hyperlink" Target="https://arxiv.org/abs/2312.14187" TargetMode="External"/><Relationship Id="rId69" Type="http://schemas.openxmlformats.org/officeDocument/2006/relationships/hyperlink" Target="https://microsoft.ai/news/two-new-in-house-models/" TargetMode="External"/><Relationship Id="rId961" Type="http://schemas.openxmlformats.org/officeDocument/2006/relationships/hyperlink" Target="https://github.com/jzhang38/TinyLlama" TargetMode="External"/><Relationship Id="rId960" Type="http://schemas.openxmlformats.org/officeDocument/2006/relationships/hyperlink" Target="https://venturebeat.com/ai/why-writers-palmyra-llm-is-the-little-ai-model-that-could-for-enterprises/" TargetMode="External"/><Relationship Id="rId1310" Type="http://schemas.openxmlformats.org/officeDocument/2006/relationships/hyperlink" Target="https://assets.amazon.science/ee/20/3abcf2304d9b8d68da2006ff7107/alexatm-20b-few-shot-learning-using-a-large-scale-multilingual-seq2seq-model.pdf" TargetMode="External"/><Relationship Id="rId1311" Type="http://schemas.openxmlformats.org/officeDocument/2006/relationships/hyperlink" Target="https://arxiv.org/pdf/2207.14255.pdf" TargetMode="External"/><Relationship Id="rId51" Type="http://schemas.openxmlformats.org/officeDocument/2006/relationships/hyperlink" Target="https://huggingface.co/collections/jhu-clsp/mmbert-a-modern-multilingual-encoder-68b725831d7c6e3acc435ed4" TargetMode="External"/><Relationship Id="rId1301" Type="http://schemas.openxmlformats.org/officeDocument/2006/relationships/hyperlink" Target="https://huggingface.co/nvidia/nemo-megatron-gpt-20B" TargetMode="External"/><Relationship Id="rId50" Type="http://schemas.openxmlformats.org/officeDocument/2006/relationships/hyperlink" Target="https://arxiv.org/abs/2509.07604" TargetMode="External"/><Relationship Id="rId1302" Type="http://schemas.openxmlformats.org/officeDocument/2006/relationships/hyperlink" Target="https://huggingface.co/nvidia/nemo-megatron-gpt-20B" TargetMode="External"/><Relationship Id="rId53" Type="http://schemas.openxmlformats.org/officeDocument/2006/relationships/hyperlink" Target="https://ernie.baidu.com/" TargetMode="External"/><Relationship Id="rId1303" Type="http://schemas.openxmlformats.org/officeDocument/2006/relationships/hyperlink" Target="https://arxiv.org/abs/2208.09770v1" TargetMode="External"/><Relationship Id="rId52" Type="http://schemas.openxmlformats.org/officeDocument/2006/relationships/hyperlink" Target="https://arxiv.org/abs/2509.06888" TargetMode="External"/><Relationship Id="rId1304" Type="http://schemas.openxmlformats.org/officeDocument/2006/relationships/hyperlink" Target="https://arxiv.org/abs/2208.03299" TargetMode="External"/><Relationship Id="rId55" Type="http://schemas.openxmlformats.org/officeDocument/2006/relationships/hyperlink" Target="https://huggingface.co/baidu/ERNIE-4.5-21B-A3B-Thinking" TargetMode="External"/><Relationship Id="rId1305" Type="http://schemas.openxmlformats.org/officeDocument/2006/relationships/hyperlink" Target="http://blenderbot.ai/" TargetMode="External"/><Relationship Id="rId54" Type="http://schemas.openxmlformats.org/officeDocument/2006/relationships/hyperlink" Target="https://www.prnewswire.com/news-releases/baidu-unveils-reasoning-model-ernie-x1-1-with-upgrades-in-key-capabilities-302551170.html" TargetMode="External"/><Relationship Id="rId1306" Type="http://schemas.openxmlformats.org/officeDocument/2006/relationships/hyperlink" Target="https://github.com/facebookresearch/ParlAI/blob/main/projects/bb3/BB3_main_tech_report.pdf" TargetMode="External"/><Relationship Id="rId57" Type="http://schemas.openxmlformats.org/officeDocument/2006/relationships/hyperlink" Target="https://huggingface.co/Kwai-Klear/Klear-46B-A2.5B-Instruct" TargetMode="External"/><Relationship Id="rId1307" Type="http://schemas.openxmlformats.org/officeDocument/2006/relationships/hyperlink" Target="https://huggingface.co/spaces/THUDM/GLM-130B" TargetMode="External"/><Relationship Id="rId56" Type="http://schemas.openxmlformats.org/officeDocument/2006/relationships/hyperlink" Target="https://huggingface.co/baidu/ERNIE-4.5-21B-A3B-Thinking" TargetMode="External"/><Relationship Id="rId1308" Type="http://schemas.openxmlformats.org/officeDocument/2006/relationships/hyperlink" Target="https://arxiv.org/abs/2210.02414" TargetMode="External"/><Relationship Id="rId1309" Type="http://schemas.openxmlformats.org/officeDocument/2006/relationships/hyperlink" Target="https://github.com/amazon-research/alexa-teacher-models" TargetMode="External"/><Relationship Id="rId719" Type="http://schemas.openxmlformats.org/officeDocument/2006/relationships/hyperlink" Target="https://tridao.me/blog/2024/mamba2-part1-model/" TargetMode="External"/><Relationship Id="rId718" Type="http://schemas.openxmlformats.org/officeDocument/2006/relationships/hyperlink" Target="https://arxiv.org/abs/2405.21060" TargetMode="External"/><Relationship Id="rId717" Type="http://schemas.openxmlformats.org/officeDocument/2006/relationships/hyperlink" Target="https://github.com/state-spaces/mamba" TargetMode="External"/><Relationship Id="rId959" Type="http://schemas.openxmlformats.org/officeDocument/2006/relationships/hyperlink" Target="https://writer.com/blog/palmyra-helm-benchmark/" TargetMode="External"/><Relationship Id="rId712" Type="http://schemas.openxmlformats.org/officeDocument/2006/relationships/hyperlink" Target="https://github.com/QwenLM/Qwen2?tab=readme-ov-file" TargetMode="External"/><Relationship Id="rId954" Type="http://schemas.openxmlformats.org/officeDocument/2006/relationships/hyperlink" Target="https://arxiv.org/abs/2401.06066" TargetMode="External"/><Relationship Id="rId711" Type="http://schemas.openxmlformats.org/officeDocument/2006/relationships/hyperlink" Target="https://qwenlm.github.io/blog/qwen2/" TargetMode="External"/><Relationship Id="rId953" Type="http://schemas.openxmlformats.org/officeDocument/2006/relationships/hyperlink" Target="https://www.chatglm.cn/" TargetMode="External"/><Relationship Id="rId710" Type="http://schemas.openxmlformats.org/officeDocument/2006/relationships/hyperlink" Target="https://arxiv.org/abs/2407.10671" TargetMode="External"/><Relationship Id="rId952" Type="http://schemas.openxmlformats.org/officeDocument/2006/relationships/hyperlink" Target="https://pandaily.com/zhipu-ai-unveils-glm-4-model-with-advanced-performance-paralleling-gpt-4/" TargetMode="External"/><Relationship Id="rId951" Type="http://schemas.openxmlformats.org/officeDocument/2006/relationships/hyperlink" Target="https://open.bigmodel.cn/" TargetMode="External"/><Relationship Id="rId716" Type="http://schemas.openxmlformats.org/officeDocument/2006/relationships/hyperlink" Target="https://github.com/SkyworkAI/Skywork-MoE/blob/main/skywork-moe-tech-report.pdf" TargetMode="External"/><Relationship Id="rId958" Type="http://schemas.openxmlformats.org/officeDocument/2006/relationships/hyperlink" Target="https://arxiv.org/abs/2401.02415" TargetMode="External"/><Relationship Id="rId715" Type="http://schemas.openxmlformats.org/officeDocument/2006/relationships/hyperlink" Target="https://huggingface.co/Skywork/Skywork-MoE-Base" TargetMode="External"/><Relationship Id="rId957" Type="http://schemas.openxmlformats.org/officeDocument/2006/relationships/hyperlink" Target="https://huggingface.co/TencentARC/LLaMA-Pro-8B" TargetMode="External"/><Relationship Id="rId714" Type="http://schemas.openxmlformats.org/officeDocument/2006/relationships/hyperlink" Target="https://qwenlm.github.io/blog/qwen2/" TargetMode="External"/><Relationship Id="rId956" Type="http://schemas.openxmlformats.org/officeDocument/2006/relationships/hyperlink" Target="https://arxiv.org/abs/2401.02954" TargetMode="External"/><Relationship Id="rId713" Type="http://schemas.openxmlformats.org/officeDocument/2006/relationships/hyperlink" Target="https://arxiv.org/abs/2407.10671" TargetMode="External"/><Relationship Id="rId955" Type="http://schemas.openxmlformats.org/officeDocument/2006/relationships/hyperlink" Target="https://chat.deepseek.com/" TargetMode="External"/><Relationship Id="rId59" Type="http://schemas.openxmlformats.org/officeDocument/2006/relationships/hyperlink" Target="https://huggingface.co/TildeAI/TildeOpen-30b" TargetMode="External"/><Relationship Id="rId58" Type="http://schemas.openxmlformats.org/officeDocument/2006/relationships/hyperlink" Target="https://huggingface.co/Kwai-Klear/Klear-46B-A2.5B-Instruct" TargetMode="External"/><Relationship Id="rId950" Type="http://schemas.openxmlformats.org/officeDocument/2006/relationships/hyperlink" Target="https://arxiv.org/abs/2403.17297" TargetMode="External"/><Relationship Id="rId1300" Type="http://schemas.openxmlformats.org/officeDocument/2006/relationships/hyperlink" Target="https://arxiv.org/abs/2209.06794" TargetMode="External"/><Relationship Id="rId590" Type="http://schemas.openxmlformats.org/officeDocument/2006/relationships/hyperlink" Target="https://huggingface.co/collections/allenai/olmoe-66cf678c047657a30c8cd3da" TargetMode="External"/><Relationship Id="rId107" Type="http://schemas.openxmlformats.org/officeDocument/2006/relationships/hyperlink" Target="https://x.com/CyouSakura/status/1948767450751009227" TargetMode="External"/><Relationship Id="rId349" Type="http://schemas.openxmlformats.org/officeDocument/2006/relationships/hyperlink" Target="https://console.mistral.ai/" TargetMode="External"/><Relationship Id="rId106" Type="http://schemas.openxmlformats.org/officeDocument/2006/relationships/hyperlink" Target="https://github.com/stepfun-ai/Step3/blob/main/Step3-Sys-Tech-Report.pdf" TargetMode="External"/><Relationship Id="rId348" Type="http://schemas.openxmlformats.org/officeDocument/2006/relationships/hyperlink" Target="https://x.ai/blog/grok-3" TargetMode="External"/><Relationship Id="rId105" Type="http://schemas.openxmlformats.org/officeDocument/2006/relationships/hyperlink" Target="https://www.stepfun.com/" TargetMode="External"/><Relationship Id="rId347" Type="http://schemas.openxmlformats.org/officeDocument/2006/relationships/hyperlink" Target="https://x.ai/blog/grok-3" TargetMode="External"/><Relationship Id="rId589" Type="http://schemas.openxmlformats.org/officeDocument/2006/relationships/hyperlink" Target="https://01-ai.github.io/blog.html?post=en/2024-09-05-A-Small-but-Mighty-LLM-for-Code.md" TargetMode="External"/><Relationship Id="rId104" Type="http://schemas.openxmlformats.org/officeDocument/2006/relationships/hyperlink" Target="https://huggingface.co/internlm/Intern-S1" TargetMode="External"/><Relationship Id="rId346" Type="http://schemas.openxmlformats.org/officeDocument/2006/relationships/hyperlink" Target="https://grok.com/" TargetMode="External"/><Relationship Id="rId588" Type="http://schemas.openxmlformats.org/officeDocument/2006/relationships/hyperlink" Target="https://huggingface.co/collections/01-ai/yi-coder-66bdb00f5bdd611f9a008f30" TargetMode="External"/><Relationship Id="rId109" Type="http://schemas.openxmlformats.org/officeDocument/2006/relationships/hyperlink" Target="https://huggingface.co/Qwen/Qwen3-235B-A22B-Thinking-2507" TargetMode="External"/><Relationship Id="rId1170" Type="http://schemas.openxmlformats.org/officeDocument/2006/relationships/hyperlink" Target="https://arxiv.org/abs/2306.02707" TargetMode="External"/><Relationship Id="rId108" Type="http://schemas.openxmlformats.org/officeDocument/2006/relationships/hyperlink" Target="https://huggingface.co/Qwen/Qwen3-235B-A22B-Thinking-2507" TargetMode="External"/><Relationship Id="rId1171" Type="http://schemas.openxmlformats.org/officeDocument/2006/relationships/hyperlink" Target="https://arxiv.org/abs/2305.15717" TargetMode="External"/><Relationship Id="rId341" Type="http://schemas.openxmlformats.org/officeDocument/2006/relationships/hyperlink" Target="https://arxiv.org/abs/2502.12671" TargetMode="External"/><Relationship Id="rId583" Type="http://schemas.openxmlformats.org/officeDocument/2006/relationships/hyperlink" Target="https://jina.ai/news/reader-lm-small-language-models-for-cleaning-and-converting-html-to-markdown/" TargetMode="External"/><Relationship Id="rId1172" Type="http://schemas.openxmlformats.org/officeDocument/2006/relationships/hyperlink" Target="https://arxiv.org/abs/2306.01545" TargetMode="External"/><Relationship Id="rId340" Type="http://schemas.openxmlformats.org/officeDocument/2006/relationships/hyperlink" Target="https://huggingface.co/baichuan-inc/Baichuan-M1-14B-Base" TargetMode="External"/><Relationship Id="rId582" Type="http://schemas.openxmlformats.org/officeDocument/2006/relationships/hyperlink" Target="https://huggingface.co/jinaai/reader-lm-1.5b" TargetMode="External"/><Relationship Id="rId1173" Type="http://schemas.openxmlformats.org/officeDocument/2006/relationships/hyperlink" Target="https://lifearchitect.ai/gemini/" TargetMode="External"/><Relationship Id="rId581" Type="http://schemas.openxmlformats.org/officeDocument/2006/relationships/hyperlink" Target="https://openai.com/index/introducing-openai-o1-preview/" TargetMode="External"/><Relationship Id="rId1174" Type="http://schemas.openxmlformats.org/officeDocument/2006/relationships/hyperlink" Target="https://ai.googleblog.com/2023/05/large-sequence-models-for-software.html" TargetMode="External"/><Relationship Id="rId580" Type="http://schemas.openxmlformats.org/officeDocument/2006/relationships/hyperlink" Target="https://x.com/WenhuChen/status/1834605218018754581" TargetMode="External"/><Relationship Id="rId1175" Type="http://schemas.openxmlformats.org/officeDocument/2006/relationships/hyperlink" Target="https://magic.dev/blog/ltm-1" TargetMode="External"/><Relationship Id="rId103" Type="http://schemas.openxmlformats.org/officeDocument/2006/relationships/hyperlink" Target="https://huggingface.co/internlm/Intern-S1" TargetMode="External"/><Relationship Id="rId345" Type="http://schemas.openxmlformats.org/officeDocument/2006/relationships/hyperlink" Target="https://www.perplexity.ai/hub/blog/open-sourcing-r1-1776" TargetMode="External"/><Relationship Id="rId587" Type="http://schemas.openxmlformats.org/officeDocument/2006/relationships/hyperlink" Target="https://github.com/deepseek-ai/DeepSeek-Coder-V2/blob/main/paper.pdf" TargetMode="External"/><Relationship Id="rId1176" Type="http://schemas.openxmlformats.org/officeDocument/2006/relationships/hyperlink" Target="https://magic.dev/blog/ltm-1" TargetMode="External"/><Relationship Id="rId102" Type="http://schemas.openxmlformats.org/officeDocument/2006/relationships/hyperlink" Target="https://arxiv.org/abs/2507.18013" TargetMode="External"/><Relationship Id="rId344" Type="http://schemas.openxmlformats.org/officeDocument/2006/relationships/hyperlink" Target="https://huggingface.co/perplexity-ai/r1-1776" TargetMode="External"/><Relationship Id="rId586" Type="http://schemas.openxmlformats.org/officeDocument/2006/relationships/hyperlink" Target="https://huggingface.co/deepseek-ai/DeepSeek-V2.5" TargetMode="External"/><Relationship Id="rId1177" Type="http://schemas.openxmlformats.org/officeDocument/2006/relationships/hyperlink" Target="https://arxiv.org/abs/2305.20050" TargetMode="External"/><Relationship Id="rId101" Type="http://schemas.openxmlformats.org/officeDocument/2006/relationships/hyperlink" Target="https://github.com/Tele-AI/T1" TargetMode="External"/><Relationship Id="rId343" Type="http://schemas.openxmlformats.org/officeDocument/2006/relationships/hyperlink" Target="https://github.com/arcinstitute/evo2" TargetMode="External"/><Relationship Id="rId585" Type="http://schemas.openxmlformats.org/officeDocument/2006/relationships/hyperlink" Target="https://mistral.ai/news/pixtral-12b/" TargetMode="External"/><Relationship Id="rId1178" Type="http://schemas.openxmlformats.org/officeDocument/2006/relationships/hyperlink" Target="https://panda-gpt.github.io/" TargetMode="External"/><Relationship Id="rId100" Type="http://schemas.openxmlformats.org/officeDocument/2006/relationships/hyperlink" Target="https://z.ai/blog/glm-4.5" TargetMode="External"/><Relationship Id="rId342" Type="http://schemas.openxmlformats.org/officeDocument/2006/relationships/hyperlink" Target="https://github.com/arcinstitute/evo2" TargetMode="External"/><Relationship Id="rId584" Type="http://schemas.openxmlformats.org/officeDocument/2006/relationships/hyperlink" Target="https://huggingface.co/mistralai/Pixtral-12B-2409" TargetMode="External"/><Relationship Id="rId1179" Type="http://schemas.openxmlformats.org/officeDocument/2006/relationships/hyperlink" Target="https://github.com/yxuansu/PandaGPT/blob/main/PandaGPT.pdf" TargetMode="External"/><Relationship Id="rId1169" Type="http://schemas.openxmlformats.org/officeDocument/2006/relationships/hyperlink" Target="https://aka.ms/orca-lm" TargetMode="External"/><Relationship Id="rId338" Type="http://schemas.openxmlformats.org/officeDocument/2006/relationships/hyperlink" Target="https://www.figure.ai/news/helix" TargetMode="External"/><Relationship Id="rId337" Type="http://schemas.openxmlformats.org/officeDocument/2006/relationships/hyperlink" Target="https://github.com/MoonshotAI/Moonlight?tab=readme-ov-file" TargetMode="External"/><Relationship Id="rId579" Type="http://schemas.openxmlformats.org/officeDocument/2006/relationships/hyperlink" Target="https://lifearchitect.ai/o1/" TargetMode="External"/><Relationship Id="rId336" Type="http://schemas.openxmlformats.org/officeDocument/2006/relationships/hyperlink" Target="https://github.com/MoonshotAI/Moonlight?tab=readme-ov-file" TargetMode="External"/><Relationship Id="rId578" Type="http://schemas.openxmlformats.org/officeDocument/2006/relationships/hyperlink" Target="https://lifearchitect.ai/o1/" TargetMode="External"/><Relationship Id="rId335" Type="http://schemas.openxmlformats.org/officeDocument/2006/relationships/hyperlink" Target="https://huggingface.co/moonshotai/Moonlight-16B-A3B" TargetMode="External"/><Relationship Id="rId577" Type="http://schemas.openxmlformats.org/officeDocument/2006/relationships/hyperlink" Target="https://chatgpt.com/" TargetMode="External"/><Relationship Id="rId339" Type="http://schemas.openxmlformats.org/officeDocument/2006/relationships/hyperlink" Target="https://www.figure.ai/news/helix" TargetMode="External"/><Relationship Id="rId1160" Type="http://schemas.openxmlformats.org/officeDocument/2006/relationships/hyperlink" Target="https://www.cnbc.com/2023/05/16/googles-palm-2-uses-nearly-five-times-more-text-data-than-predecessor.html" TargetMode="External"/><Relationship Id="rId330" Type="http://schemas.openxmlformats.org/officeDocument/2006/relationships/hyperlink" Target="https://qwenlm.github.io/blog/qwq-max-preview/" TargetMode="External"/><Relationship Id="rId572" Type="http://schemas.openxmlformats.org/officeDocument/2006/relationships/hyperlink" Target="https://arxiv.org/abs/2412.15115" TargetMode="External"/><Relationship Id="rId1161" Type="http://schemas.openxmlformats.org/officeDocument/2006/relationships/hyperlink" Target="https://arxiv.org/abs/2306.12925" TargetMode="External"/><Relationship Id="rId571" Type="http://schemas.openxmlformats.org/officeDocument/2006/relationships/hyperlink" Target="https://huggingface.co/Qwen/Qwen2.5-72B-Instruct" TargetMode="External"/><Relationship Id="rId1162" Type="http://schemas.openxmlformats.org/officeDocument/2006/relationships/hyperlink" Target="https://docs.google.com/forms/d/e/1FAIpQLScM9Iz1KzaRlfgDrYrldoPDnXbhO5LW3-hqmQCd56YpheEN7g/viewform" TargetMode="External"/><Relationship Id="rId570" Type="http://schemas.openxmlformats.org/officeDocument/2006/relationships/hyperlink" Target="https://lifearchitect.ai/watermarking/" TargetMode="External"/><Relationship Id="rId1163" Type="http://schemas.openxmlformats.org/officeDocument/2006/relationships/hyperlink" Target="https://inflection.ai/assets/Inflection-1_0622.pdf" TargetMode="External"/><Relationship Id="rId1164" Type="http://schemas.openxmlformats.org/officeDocument/2006/relationships/hyperlink" Target="https://arxiv.org/abs/2306.11644" TargetMode="External"/><Relationship Id="rId334" Type="http://schemas.openxmlformats.org/officeDocument/2006/relationships/hyperlink" Target="https://www.anthropic.com/news/claude-3-7-sonnet" TargetMode="External"/><Relationship Id="rId576" Type="http://schemas.openxmlformats.org/officeDocument/2006/relationships/hyperlink" Target="https://docs.datacommons.org/papers/DataGemma-FullPaper.pdf" TargetMode="External"/><Relationship Id="rId1165" Type="http://schemas.openxmlformats.org/officeDocument/2006/relationships/hyperlink" Target="https://internlm-org.translate.goog/?_x_tr_sl=zh&amp;_x_tr_tl=en" TargetMode="External"/><Relationship Id="rId333" Type="http://schemas.openxmlformats.org/officeDocument/2006/relationships/hyperlink" Target="https://assets.anthropic.com/m/785e231869ea8b3b/original/claude-3-7-sonnet-system-card.pdf" TargetMode="External"/><Relationship Id="rId575" Type="http://schemas.openxmlformats.org/officeDocument/2006/relationships/hyperlink" Target="https://huggingface.co/google/datagemma-rig-27b-it" TargetMode="External"/><Relationship Id="rId1166" Type="http://schemas.openxmlformats.org/officeDocument/2006/relationships/hyperlink" Target="https://github.com/InternLM/InternLM-techreport" TargetMode="External"/><Relationship Id="rId332" Type="http://schemas.openxmlformats.org/officeDocument/2006/relationships/hyperlink" Target="https://claude.ai/" TargetMode="External"/><Relationship Id="rId574" Type="http://schemas.openxmlformats.org/officeDocument/2006/relationships/hyperlink" Target="https://huggingface.co/microsoft/GRIN-MoE/blob/main/GRIN_MoE.pdf" TargetMode="External"/><Relationship Id="rId1167" Type="http://schemas.openxmlformats.org/officeDocument/2006/relationships/hyperlink" Target="https://parl.ai/projects/bb3x/" TargetMode="External"/><Relationship Id="rId331" Type="http://schemas.openxmlformats.org/officeDocument/2006/relationships/hyperlink" Target="https://x.com/Alibaba_Qwen/status/1894130603513319842" TargetMode="External"/><Relationship Id="rId573" Type="http://schemas.openxmlformats.org/officeDocument/2006/relationships/hyperlink" Target="https://huggingface.co/microsoft/GRIN-MoE" TargetMode="External"/><Relationship Id="rId1168" Type="http://schemas.openxmlformats.org/officeDocument/2006/relationships/hyperlink" Target="https://arxiv.org/abs/2306.04707" TargetMode="External"/><Relationship Id="rId370" Type="http://schemas.openxmlformats.org/officeDocument/2006/relationships/hyperlink" Target="https://qwenlm.github.io/blog/qwen2.5-max/" TargetMode="External"/><Relationship Id="rId129" Type="http://schemas.openxmlformats.org/officeDocument/2006/relationships/hyperlink" Target="https://huggingface.co/microsoft/Phi-4-mini-flash-reasoning" TargetMode="External"/><Relationship Id="rId128" Type="http://schemas.openxmlformats.org/officeDocument/2006/relationships/hyperlink" Target="https://lifearchitect.ai/whats-in-grok/" TargetMode="External"/><Relationship Id="rId127" Type="http://schemas.openxmlformats.org/officeDocument/2006/relationships/hyperlink" Target="https://grok.com/" TargetMode="External"/><Relationship Id="rId369" Type="http://schemas.openxmlformats.org/officeDocument/2006/relationships/hyperlink" Target="https://chat.qwenlm.ai/" TargetMode="External"/><Relationship Id="rId126" Type="http://schemas.openxmlformats.org/officeDocument/2006/relationships/hyperlink" Target="https://mistral.ai/news/devstral-2507" TargetMode="External"/><Relationship Id="rId368" Type="http://schemas.openxmlformats.org/officeDocument/2006/relationships/hyperlink" Target="https://huggingface.co/allenai/Llama-3.1-Tulu-3-405B" TargetMode="External"/><Relationship Id="rId1190" Type="http://schemas.openxmlformats.org/officeDocument/2006/relationships/hyperlink" Target="https://arxiv.org/abs/2305.07922" TargetMode="External"/><Relationship Id="rId1191" Type="http://schemas.openxmlformats.org/officeDocument/2006/relationships/hyperlink" Target="https://console.cloud.google.com/vertex-ai/generative/language/create/chat" TargetMode="External"/><Relationship Id="rId1192" Type="http://schemas.openxmlformats.org/officeDocument/2006/relationships/hyperlink" Target="https://www.cnbc.com/2023/05/16/googles-palm-2-uses-nearly-five-times-more-text-data-than-predecessor.html" TargetMode="External"/><Relationship Id="rId1193" Type="http://schemas.openxmlformats.org/officeDocument/2006/relationships/hyperlink" Target="https://www.cnbc.com/2023/05/16/googles-palm-2-uses-nearly-five-times-more-text-data-than-predecessor.html" TargetMode="External"/><Relationship Id="rId121" Type="http://schemas.openxmlformats.org/officeDocument/2006/relationships/hyperlink" Target="https://huggingface.co/moonshotai/Kimi-K2-Instruct" TargetMode="External"/><Relationship Id="rId363" Type="http://schemas.openxmlformats.org/officeDocument/2006/relationships/hyperlink" Target="https://chatgpt.com/?model=o3-mini" TargetMode="External"/><Relationship Id="rId1194" Type="http://schemas.openxmlformats.org/officeDocument/2006/relationships/hyperlink" Target="https://ai.google/static/documents/palm2techreport.pdf" TargetMode="External"/><Relationship Id="rId120" Type="http://schemas.openxmlformats.org/officeDocument/2006/relationships/hyperlink" Target="https://www.lgresearch.ai/data/cdn/upload/EXAONE_4_0.pdf" TargetMode="External"/><Relationship Id="rId362" Type="http://schemas.openxmlformats.org/officeDocument/2006/relationships/hyperlink" Target="https://arxiv.org/abs/2501.19393" TargetMode="External"/><Relationship Id="rId1195" Type="http://schemas.openxmlformats.org/officeDocument/2006/relationships/hyperlink" Target="https://huggingface.co/bigcode/starcoderbase" TargetMode="External"/><Relationship Id="rId361" Type="http://schemas.openxmlformats.org/officeDocument/2006/relationships/hyperlink" Target="https://github.com/simplescaling/s1" TargetMode="External"/><Relationship Id="rId1196" Type="http://schemas.openxmlformats.org/officeDocument/2006/relationships/hyperlink" Target="https://drive.google.com/file/d/1cN-b9GnWtHzQRoE7M7gAEyivY0kl4BYs/view" TargetMode="External"/><Relationship Id="rId360" Type="http://schemas.openxmlformats.org/officeDocument/2006/relationships/hyperlink" Target="https://lifearchitect.ai/watermarking/" TargetMode="External"/><Relationship Id="rId1197" Type="http://schemas.openxmlformats.org/officeDocument/2006/relationships/hyperlink" Target="https://huggingface.co/mosaicml/mpt-7b" TargetMode="External"/><Relationship Id="rId125" Type="http://schemas.openxmlformats.org/officeDocument/2006/relationships/hyperlink" Target="https://chat.mistral.ai/chat" TargetMode="External"/><Relationship Id="rId367" Type="http://schemas.openxmlformats.org/officeDocument/2006/relationships/hyperlink" Target="https://playground.allenai.org/" TargetMode="External"/><Relationship Id="rId1198" Type="http://schemas.openxmlformats.org/officeDocument/2006/relationships/hyperlink" Target="https://twitter.com/NaveenGRao/status/1654496162492084227" TargetMode="External"/><Relationship Id="rId124" Type="http://schemas.openxmlformats.org/officeDocument/2006/relationships/hyperlink" Target="https://www.reka.ai/news/introducing-reka-flash" TargetMode="External"/><Relationship Id="rId366" Type="http://schemas.openxmlformats.org/officeDocument/2006/relationships/hyperlink" Target="https://huggingface.co/mistralai/Mistral-Small-24B-Instruct-2501" TargetMode="External"/><Relationship Id="rId1199" Type="http://schemas.openxmlformats.org/officeDocument/2006/relationships/hyperlink" Target="https://pi.ai/talk" TargetMode="External"/><Relationship Id="rId123" Type="http://schemas.openxmlformats.org/officeDocument/2006/relationships/hyperlink" Target="https://huggingface.co/RekaAI/reka-flash-3.1" TargetMode="External"/><Relationship Id="rId365" Type="http://schemas.openxmlformats.org/officeDocument/2006/relationships/hyperlink" Target="https://huggingface.co/mistralai/Mistral-Small-24B-Instruct-2501" TargetMode="External"/><Relationship Id="rId122" Type="http://schemas.openxmlformats.org/officeDocument/2006/relationships/hyperlink" Target="https://moonshotai.github.io/Kimi-K2/" TargetMode="External"/><Relationship Id="rId364" Type="http://schemas.openxmlformats.org/officeDocument/2006/relationships/hyperlink" Target="https://openai.com/index/o3-mini-system-card/" TargetMode="External"/><Relationship Id="rId95" Type="http://schemas.openxmlformats.org/officeDocument/2006/relationships/hyperlink" Target="https://openai.com/index/introducing-gpt-oss/" TargetMode="External"/><Relationship Id="rId94" Type="http://schemas.openxmlformats.org/officeDocument/2006/relationships/hyperlink" Target="https://cdn.openai.com/pdf/419b6906-9da6-406c-a19d-1bb078ac7637/oai_gpt-oss_model_card.pdf" TargetMode="External"/><Relationship Id="rId97" Type="http://schemas.openxmlformats.org/officeDocument/2006/relationships/hyperlink" Target="https://www.anthropic.com/news/claude-opus-4-1" TargetMode="External"/><Relationship Id="rId96" Type="http://schemas.openxmlformats.org/officeDocument/2006/relationships/hyperlink" Target="https://claude.ai/" TargetMode="External"/><Relationship Id="rId99" Type="http://schemas.openxmlformats.org/officeDocument/2006/relationships/hyperlink" Target="https://huggingface.co/zai-org/GLM-4.5" TargetMode="External"/><Relationship Id="rId98" Type="http://schemas.openxmlformats.org/officeDocument/2006/relationships/hyperlink" Target="http://z.ai" TargetMode="External"/><Relationship Id="rId91" Type="http://schemas.openxmlformats.org/officeDocument/2006/relationships/hyperlink" Target="https://cdn.openai.com/pdf/419b6906-9da6-406c-a19d-1bb078ac7637/oai_gpt-oss_model_card.pdf" TargetMode="External"/><Relationship Id="rId90" Type="http://schemas.openxmlformats.org/officeDocument/2006/relationships/hyperlink" Target="https://huggingface.co/openai/gpt-oss-120b" TargetMode="External"/><Relationship Id="rId93" Type="http://schemas.openxmlformats.org/officeDocument/2006/relationships/hyperlink" Target="https://huggingface.co/openai/gpt-oss-20b" TargetMode="External"/><Relationship Id="rId92" Type="http://schemas.openxmlformats.org/officeDocument/2006/relationships/hyperlink" Target="https://openai.com/index/introducing-gpt-oss/" TargetMode="External"/><Relationship Id="rId118" Type="http://schemas.openxmlformats.org/officeDocument/2006/relationships/hyperlink" Target="https://arxiv.org/abs/2507.07024v1" TargetMode="External"/><Relationship Id="rId117" Type="http://schemas.openxmlformats.org/officeDocument/2006/relationships/hyperlink" Target="https://huggingface.co/allenai/FlexOlmo-7x7B-1T" TargetMode="External"/><Relationship Id="rId359" Type="http://schemas.openxmlformats.org/officeDocument/2006/relationships/hyperlink" Target="https://blog.google/technology/google-deepmind/gemini-model-updates-february-2025/" TargetMode="External"/><Relationship Id="rId116" Type="http://schemas.openxmlformats.org/officeDocument/2006/relationships/hyperlink" Target="https://huggingface.co/Qwen/Qwen3-235B-A22B-Instruct-2507" TargetMode="External"/><Relationship Id="rId358" Type="http://schemas.openxmlformats.org/officeDocument/2006/relationships/hyperlink" Target="https://aistudio.google.com/prompts/new_chat?model=gemini-2.0-pro-exp-02-05" TargetMode="External"/><Relationship Id="rId115" Type="http://schemas.openxmlformats.org/officeDocument/2006/relationships/hyperlink" Target="https://huggingface.co/Qwen/Qwen3-235B-A22B-Instruct-2507" TargetMode="External"/><Relationship Id="rId357" Type="http://schemas.openxmlformats.org/officeDocument/2006/relationships/hyperlink" Target="https://arxiv.org/abs/2502.06781" TargetMode="External"/><Relationship Id="rId599" Type="http://schemas.openxmlformats.org/officeDocument/2006/relationships/hyperlink" Target="https://ai.google.dev/" TargetMode="External"/><Relationship Id="rId1180" Type="http://schemas.openxmlformats.org/officeDocument/2006/relationships/hyperlink" Target="https://textsynth.com/completion.html" TargetMode="External"/><Relationship Id="rId1181" Type="http://schemas.openxmlformats.org/officeDocument/2006/relationships/hyperlink" Target="https://www.tii.ae/news/uaes-technology-innovation-institute-launches-open-source-falcon-40b-large-language-model" TargetMode="External"/><Relationship Id="rId119" Type="http://schemas.openxmlformats.org/officeDocument/2006/relationships/hyperlink" Target="https://huggingface.co/LGAI-EXAONE/EXAONE-4.0-32B" TargetMode="External"/><Relationship Id="rId1182" Type="http://schemas.openxmlformats.org/officeDocument/2006/relationships/hyperlink" Target="https://refact.ai/blog/2023/applying-recent-innovations-to-train-model/" TargetMode="External"/><Relationship Id="rId110" Type="http://schemas.openxmlformats.org/officeDocument/2006/relationships/hyperlink" Target="https://arxiv.org/abs/2507.08297" TargetMode="External"/><Relationship Id="rId352" Type="http://schemas.openxmlformats.org/officeDocument/2006/relationships/hyperlink" Target="https://arxiv.org/abs/2502.08489" TargetMode="External"/><Relationship Id="rId594" Type="http://schemas.openxmlformats.org/officeDocument/2006/relationships/hyperlink" Target="https://huggingface.co/Salesforce/xLAM-8x22b-r" TargetMode="External"/><Relationship Id="rId1183" Type="http://schemas.openxmlformats.org/officeDocument/2006/relationships/hyperlink" Target="https://refact.ai/blog/2023/applying-recent-innovations-to-train-model/" TargetMode="External"/><Relationship Id="rId351" Type="http://schemas.openxmlformats.org/officeDocument/2006/relationships/hyperlink" Target="https://github.com/langtech-bsc/salamandra" TargetMode="External"/><Relationship Id="rId593" Type="http://schemas.openxmlformats.org/officeDocument/2006/relationships/hyperlink" Target="https://huggingface.co/Salesforce/xLAM-8x22b-r" TargetMode="External"/><Relationship Id="rId1184" Type="http://schemas.openxmlformats.org/officeDocument/2006/relationships/hyperlink" Target="https://huggingface.co/spaces/uwnlp/guanaco-playground-tgi" TargetMode="External"/><Relationship Id="rId350" Type="http://schemas.openxmlformats.org/officeDocument/2006/relationships/hyperlink" Target="https://mistral.ai/en/news/mistral-saba" TargetMode="External"/><Relationship Id="rId592" Type="http://schemas.openxmlformats.org/officeDocument/2006/relationships/hyperlink" Target="https://opi.org.pl/en/the-launch-of-the-first-polish-open-large-language-model-pllum/" TargetMode="External"/><Relationship Id="rId1185" Type="http://schemas.openxmlformats.org/officeDocument/2006/relationships/hyperlink" Target="https://arxiv.org/abs/2305.14314" TargetMode="External"/><Relationship Id="rId591" Type="http://schemas.openxmlformats.org/officeDocument/2006/relationships/hyperlink" Target="https://arxiv.org/abs/2409.02060v1" TargetMode="External"/><Relationship Id="rId1186" Type="http://schemas.openxmlformats.org/officeDocument/2006/relationships/hyperlink" Target="https://arxiv.org/abs/2305.11206" TargetMode="External"/><Relationship Id="rId114" Type="http://schemas.openxmlformats.org/officeDocument/2006/relationships/hyperlink" Target="https://qwenlm.github.io/blog/qwen3-coder/" TargetMode="External"/><Relationship Id="rId356" Type="http://schemas.openxmlformats.org/officeDocument/2006/relationships/hyperlink" Target="https://huggingface.co/internlm/OREAL-32B" TargetMode="External"/><Relationship Id="rId598" Type="http://schemas.openxmlformats.org/officeDocument/2006/relationships/hyperlink" Target="https://cartesia.ai/blog/2024-08-27-on-device" TargetMode="External"/><Relationship Id="rId1187" Type="http://schemas.openxmlformats.org/officeDocument/2006/relationships/hyperlink" Target="https://www.asus.com/news/xxifirl2s2tzesl0/" TargetMode="External"/><Relationship Id="rId113" Type="http://schemas.openxmlformats.org/officeDocument/2006/relationships/hyperlink" Target="https://huggingface.co/Qwen/Qwen3-Coder-480B-A35B-Instruct" TargetMode="External"/><Relationship Id="rId355" Type="http://schemas.openxmlformats.org/officeDocument/2006/relationships/hyperlink" Target="https://x.com/NousResearch/status/1890148004029759612" TargetMode="External"/><Relationship Id="rId597" Type="http://schemas.openxmlformats.org/officeDocument/2006/relationships/hyperlink" Target="https://huggingface.co/cartesia-ai/Rene-v0.1-1.3b-pytorch" TargetMode="External"/><Relationship Id="rId1188" Type="http://schemas.openxmlformats.org/officeDocument/2006/relationships/hyperlink" Target="https://archive.md/cVdJt" TargetMode="External"/><Relationship Id="rId112" Type="http://schemas.openxmlformats.org/officeDocument/2006/relationships/hyperlink" Target="https://arxiv.org/abs/2507.08297" TargetMode="External"/><Relationship Id="rId354" Type="http://schemas.openxmlformats.org/officeDocument/2006/relationships/hyperlink" Target="https://huggingface.co/NousResearch/DeepHermes-3-Llama-3-8B-Preview" TargetMode="External"/><Relationship Id="rId596" Type="http://schemas.openxmlformats.org/officeDocument/2006/relationships/hyperlink" Target="https://magic.dev/blog/100m-token-context-windows" TargetMode="External"/><Relationship Id="rId1189" Type="http://schemas.openxmlformats.org/officeDocument/2006/relationships/hyperlink" Target="https://huggingface.co/Salesforce/codet5p-16b" TargetMode="External"/><Relationship Id="rId111" Type="http://schemas.openxmlformats.org/officeDocument/2006/relationships/hyperlink" Target="https://huggingface.co/Kwaipilot/KAT-V1-40B" TargetMode="External"/><Relationship Id="rId353" Type="http://schemas.openxmlformats.org/officeDocument/2006/relationships/hyperlink" Target="https://huggingface.co/NousResearch/DeepHermes-3-Llama-3-8B-Preview" TargetMode="External"/><Relationship Id="rId595" Type="http://schemas.openxmlformats.org/officeDocument/2006/relationships/hyperlink" Target="https://magic.dev/blog/100m-token-context-windows" TargetMode="External"/><Relationship Id="rId1136" Type="http://schemas.openxmlformats.org/officeDocument/2006/relationships/hyperlink" Target="https://huggingface.co/stabilityai/FreeWilly2" TargetMode="External"/><Relationship Id="rId1378" Type="http://schemas.openxmlformats.org/officeDocument/2006/relationships/hyperlink" Target="https://arxiv.org/abs/2109.09519" TargetMode="External"/><Relationship Id="rId1137" Type="http://schemas.openxmlformats.org/officeDocument/2006/relationships/hyperlink" Target="https://stability.ai/blog/stable-beluga-large-instruction-fine-tuned-models" TargetMode="External"/><Relationship Id="rId1379" Type="http://schemas.openxmlformats.org/officeDocument/2006/relationships/hyperlink" Target="https://macaw.apps.allenai.org/" TargetMode="External"/><Relationship Id="rId1138" Type="http://schemas.openxmlformats.org/officeDocument/2006/relationships/hyperlink" Target="https://huggingface.co/stabilityai/FreeWilly1-Delta-SafeTensor" TargetMode="External"/><Relationship Id="rId1139" Type="http://schemas.openxmlformats.org/officeDocument/2006/relationships/hyperlink" Target="https://stability.ai/blog/stable-beluga-large-instruction-fine-tuned-models" TargetMode="External"/><Relationship Id="rId305" Type="http://schemas.openxmlformats.org/officeDocument/2006/relationships/hyperlink" Target="https://huggingface.co/amd/Instella-3B" TargetMode="External"/><Relationship Id="rId547" Type="http://schemas.openxmlformats.org/officeDocument/2006/relationships/hyperlink" Target="https://arxiv.org/abs/2409.14664" TargetMode="External"/><Relationship Id="rId789" Type="http://schemas.openxmlformats.org/officeDocument/2006/relationships/hyperlink" Target="https://huggingface.co/microsoft/Phi-3-mini-128k-instruct" TargetMode="External"/><Relationship Id="rId304" Type="http://schemas.openxmlformats.org/officeDocument/2006/relationships/hyperlink" Target="https://huggingface.co/ai21labs/AI21-Jamba-Large-1.6" TargetMode="External"/><Relationship Id="rId546" Type="http://schemas.openxmlformats.org/officeDocument/2006/relationships/hyperlink" Target="https://blog.salesforceairesearch.com/sfr-judge/" TargetMode="External"/><Relationship Id="rId788" Type="http://schemas.openxmlformats.org/officeDocument/2006/relationships/hyperlink" Target="https://arxiv.org/abs/2404.14219" TargetMode="External"/><Relationship Id="rId303" Type="http://schemas.openxmlformats.org/officeDocument/2006/relationships/hyperlink" Target="https://huggingface.co/ai21labs/AI21-Jamba-Large-1.6" TargetMode="External"/><Relationship Id="rId545" Type="http://schemas.openxmlformats.org/officeDocument/2006/relationships/hyperlink" Target="https://www.liquid.ai/liquid-foundation-models" TargetMode="External"/><Relationship Id="rId787" Type="http://schemas.openxmlformats.org/officeDocument/2006/relationships/hyperlink" Target="https://huggingface.co/microsoft/Phi-3-medium-128k-instruct" TargetMode="External"/><Relationship Id="rId302" Type="http://schemas.openxmlformats.org/officeDocument/2006/relationships/hyperlink" Target="https://qwenlm.github.io/blog/qwq-32b/" TargetMode="External"/><Relationship Id="rId544" Type="http://schemas.openxmlformats.org/officeDocument/2006/relationships/hyperlink" Target="https://labs.perplexity.ai/" TargetMode="External"/><Relationship Id="rId786" Type="http://schemas.openxmlformats.org/officeDocument/2006/relationships/hyperlink" Target="https://venturebeat.com/ai/apple-releases-openelm-small-open-source-ai-models-designed-to-run-on-device/" TargetMode="External"/><Relationship Id="rId309" Type="http://schemas.openxmlformats.org/officeDocument/2006/relationships/hyperlink" Target="https://huggingface.co/collections/ibm-granite/granite-32-language-models-67b3bc8c13508f6d064cff9a" TargetMode="External"/><Relationship Id="rId308" Type="http://schemas.openxmlformats.org/officeDocument/2006/relationships/hyperlink" Target="https://arxiv.org/abs/2503.00865" TargetMode="External"/><Relationship Id="rId307" Type="http://schemas.openxmlformats.org/officeDocument/2006/relationships/hyperlink" Target="https://huggingface.co/Tower-Babel/Babel-83B" TargetMode="External"/><Relationship Id="rId549" Type="http://schemas.openxmlformats.org/officeDocument/2006/relationships/hyperlink" Target="https://huggingface.co/BAAI/Emu3-Gen" TargetMode="External"/><Relationship Id="rId306" Type="http://schemas.openxmlformats.org/officeDocument/2006/relationships/hyperlink" Target="https://rocm.blogs.amd.com/artificial-intelligence/introducing-instella-3B/README.html" TargetMode="External"/><Relationship Id="rId548" Type="http://schemas.openxmlformats.org/officeDocument/2006/relationships/hyperlink" Target="https://github.com/SalesforceAIResearch/SFRJudge" TargetMode="External"/><Relationship Id="rId781" Type="http://schemas.openxmlformats.org/officeDocument/2006/relationships/hyperlink" Target="https://www.snowflake.com/blog/arctic-open-efficient-foundation-language-models-snowflake/" TargetMode="External"/><Relationship Id="rId1370" Type="http://schemas.openxmlformats.org/officeDocument/2006/relationships/hyperlink" Target="https://cloud.google.com/blog/topics/tpus/google-showcases-cloud-tpu-v4-pods-for-large-model-training" TargetMode="External"/><Relationship Id="rId780" Type="http://schemas.openxmlformats.org/officeDocument/2006/relationships/hyperlink" Target="https://arctic.streamlit.app/" TargetMode="External"/><Relationship Id="rId1371" Type="http://schemas.openxmlformats.org/officeDocument/2006/relationships/hyperlink" Target="https://arxiv.org/pdf/1810.04805.pdf" TargetMode="External"/><Relationship Id="rId1130" Type="http://schemas.openxmlformats.org/officeDocument/2006/relationships/hyperlink" Target="https://www.lighton.ai/blog/lighton-s-blog-4/introducing-alfred-40b-0723-38" TargetMode="External"/><Relationship Id="rId1372" Type="http://schemas.openxmlformats.org/officeDocument/2006/relationships/hyperlink" Target="https://app.cedille.ai/" TargetMode="External"/><Relationship Id="rId1131" Type="http://schemas.openxmlformats.org/officeDocument/2006/relationships/hyperlink" Target="https://huggingface.co/togethercomputer/LLaMA-2-7B-32K" TargetMode="External"/><Relationship Id="rId1373" Type="http://schemas.openxmlformats.org/officeDocument/2006/relationships/hyperlink" Target="https://github.com/coteries/cedille-ai" TargetMode="External"/><Relationship Id="rId301" Type="http://schemas.openxmlformats.org/officeDocument/2006/relationships/hyperlink" Target="https://huggingface.co/Qwen/QwQ-32B" TargetMode="External"/><Relationship Id="rId543" Type="http://schemas.openxmlformats.org/officeDocument/2006/relationships/hyperlink" Target="https://developers.inflection.ai/docs" TargetMode="External"/><Relationship Id="rId785" Type="http://schemas.openxmlformats.org/officeDocument/2006/relationships/hyperlink" Target="https://arxiv.org/abs/2404.14619" TargetMode="External"/><Relationship Id="rId1132" Type="http://schemas.openxmlformats.org/officeDocument/2006/relationships/hyperlink" Target="https://together.ai/blog/llama-2-7b-32k" TargetMode="External"/><Relationship Id="rId1374" Type="http://schemas.openxmlformats.org/officeDocument/2006/relationships/hyperlink" Target="https://arxiv.org/abs/2201.11990" TargetMode="External"/><Relationship Id="rId300" Type="http://schemas.openxmlformats.org/officeDocument/2006/relationships/hyperlink" Target="https://www.reka.ai/news/introducing-reka-flash" TargetMode="External"/><Relationship Id="rId542" Type="http://schemas.openxmlformats.org/officeDocument/2006/relationships/hyperlink" Target="https://developers.inflection.ai/" TargetMode="External"/><Relationship Id="rId784" Type="http://schemas.openxmlformats.org/officeDocument/2006/relationships/hyperlink" Target="https://huggingface.co/apple/OpenELM-3B-Instruct" TargetMode="External"/><Relationship Id="rId1133" Type="http://schemas.openxmlformats.org/officeDocument/2006/relationships/hyperlink" Target="https://arxiv.org/abs/2307.14334" TargetMode="External"/><Relationship Id="rId1375" Type="http://schemas.openxmlformats.org/officeDocument/2006/relationships/hyperlink" Target="https://arxiv.org/abs/2109.01652" TargetMode="External"/><Relationship Id="rId541" Type="http://schemas.openxmlformats.org/officeDocument/2006/relationships/hyperlink" Target="https://developers.inflection.ai/docs" TargetMode="External"/><Relationship Id="rId783" Type="http://schemas.openxmlformats.org/officeDocument/2006/relationships/hyperlink" Target="https://www.techinasia.com/sensetime-pauses-trading-stock-rises-30-model-launch" TargetMode="External"/><Relationship Id="rId1134" Type="http://schemas.openxmlformats.org/officeDocument/2006/relationships/hyperlink" Target="https://huggingface.co/cerebras/btlm-3b-8k-base" TargetMode="External"/><Relationship Id="rId1376" Type="http://schemas.openxmlformats.org/officeDocument/2006/relationships/hyperlink" Target="https://arxiv.org/abs/2108.07790" TargetMode="External"/><Relationship Id="rId540" Type="http://schemas.openxmlformats.org/officeDocument/2006/relationships/hyperlink" Target="https://developers.inflection.ai/" TargetMode="External"/><Relationship Id="rId782" Type="http://schemas.openxmlformats.org/officeDocument/2006/relationships/hyperlink" Target="https://news.futunn.com/en/post/41290101/a-large-shangtang-multi-modal-model-with-600-billion-parameters" TargetMode="External"/><Relationship Id="rId1135" Type="http://schemas.openxmlformats.org/officeDocument/2006/relationships/hyperlink" Target="https://www.cerebras.net/blog/btlm-3b-8k-7b-performance-in-a-3-billion-parameter-model/" TargetMode="External"/><Relationship Id="rId1377" Type="http://schemas.openxmlformats.org/officeDocument/2006/relationships/hyperlink" Target="https://nlp.baidu.com/special/plato/englishDemo" TargetMode="External"/><Relationship Id="rId1125" Type="http://schemas.openxmlformats.org/officeDocument/2006/relationships/hyperlink" Target="https://huggingface.co/stabilityai/stablecode-completion-alpha-3b-4k" TargetMode="External"/><Relationship Id="rId1367" Type="http://schemas.openxmlformats.org/officeDocument/2006/relationships/hyperlink" Target="https://arxiv.org/abs/2111.09543" TargetMode="External"/><Relationship Id="rId1126" Type="http://schemas.openxmlformats.org/officeDocument/2006/relationships/hyperlink" Target="https://stability.ai/blog/stablecode-llm-generative-ai-coding" TargetMode="External"/><Relationship Id="rId1368" Type="http://schemas.openxmlformats.org/officeDocument/2006/relationships/hyperlink" Target="https://cloud.google.com/blog/topics/tpus/google-showcases-cloud-tpu-v4-pods-for-large-model-training" TargetMode="External"/><Relationship Id="rId1127" Type="http://schemas.openxmlformats.org/officeDocument/2006/relationships/hyperlink" Target="https://github.com/snap-stanford/med-flamingo" TargetMode="External"/><Relationship Id="rId1369" Type="http://schemas.openxmlformats.org/officeDocument/2006/relationships/hyperlink" Target="https://arxiv.org/pdf/1810.04805.pdf" TargetMode="External"/><Relationship Id="rId1128" Type="http://schemas.openxmlformats.org/officeDocument/2006/relationships/hyperlink" Target="https://arxiv.org/abs/2307.15189" TargetMode="External"/><Relationship Id="rId1129" Type="http://schemas.openxmlformats.org/officeDocument/2006/relationships/hyperlink" Target="https://huggingface.co/lightonai/alfred-40b-0723" TargetMode="External"/><Relationship Id="rId536" Type="http://schemas.openxmlformats.org/officeDocument/2006/relationships/hyperlink" Target="https://cdn.prod.website-files.com/669abfd62b0d2313e8024f30/670b31c473f57e3c96e35298_ttft_mmlu.png" TargetMode="External"/><Relationship Id="rId778" Type="http://schemas.openxmlformats.org/officeDocument/2006/relationships/hyperlink" Target="https://huggingface.co/spaces/Qwen/Qwen1.5-110B-Chat-demo" TargetMode="External"/><Relationship Id="rId535" Type="http://schemas.openxmlformats.org/officeDocument/2006/relationships/hyperlink" Target="https://huggingface.co/Zyphra/Zamba2-7B" TargetMode="External"/><Relationship Id="rId777" Type="http://schemas.openxmlformats.org/officeDocument/2006/relationships/hyperlink" Target="https://arxiv.org/abs/2404.16645" TargetMode="External"/><Relationship Id="rId534" Type="http://schemas.openxmlformats.org/officeDocument/2006/relationships/hyperlink" Target="https://x.com/01AI_Yi/status/1845776529185476613" TargetMode="External"/><Relationship Id="rId776" Type="http://schemas.openxmlformats.org/officeDocument/2006/relationships/hyperlink" Target="https://huggingface.co/CofeAI/Tele-FLM" TargetMode="External"/><Relationship Id="rId533" Type="http://schemas.openxmlformats.org/officeDocument/2006/relationships/hyperlink" Target="https://platform.lingyiwanwu.com/docs" TargetMode="External"/><Relationship Id="rId775" Type="http://schemas.openxmlformats.org/officeDocument/2006/relationships/hyperlink" Target="https://arxiv.org/abs/2305.07759" TargetMode="External"/><Relationship Id="rId539" Type="http://schemas.openxmlformats.org/officeDocument/2006/relationships/hyperlink" Target="https://arxiv.org/abs/2410.01131" TargetMode="External"/><Relationship Id="rId538" Type="http://schemas.openxmlformats.org/officeDocument/2006/relationships/hyperlink" Target="https://github.com/lucidrains/nGPT-pytorch" TargetMode="External"/><Relationship Id="rId537" Type="http://schemas.openxmlformats.org/officeDocument/2006/relationships/hyperlink" Target="https://www.zyphra.com/post/zamba2-7b" TargetMode="External"/><Relationship Id="rId779" Type="http://schemas.openxmlformats.org/officeDocument/2006/relationships/hyperlink" Target="https://qwenlm.github.io/blog/qwen1.5-110b/" TargetMode="External"/><Relationship Id="rId770" Type="http://schemas.openxmlformats.org/officeDocument/2006/relationships/hyperlink" Target="https://help.aliyun.com/zh/dashscope/developer-reference/model-introduction" TargetMode="External"/><Relationship Id="rId1360" Type="http://schemas.openxmlformats.org/officeDocument/2006/relationships/hyperlink" Target="https://arxiv.org/abs/2112.10668" TargetMode="External"/><Relationship Id="rId1361" Type="http://schemas.openxmlformats.org/officeDocument/2006/relationships/hyperlink" Target="https://arxiv.org/abs/2112.10684" TargetMode="External"/><Relationship Id="rId1120" Type="http://schemas.openxmlformats.org/officeDocument/2006/relationships/hyperlink" Target="https://github.com/nlpxucan/WizardLM" TargetMode="External"/><Relationship Id="rId1362" Type="http://schemas.openxmlformats.org/officeDocument/2006/relationships/hyperlink" Target="https://arxiv.org/abs/2112.11446" TargetMode="External"/><Relationship Id="rId532" Type="http://schemas.openxmlformats.org/officeDocument/2006/relationships/hyperlink" Target="https://platform.lingyiwanwu.com/" TargetMode="External"/><Relationship Id="rId774" Type="http://schemas.openxmlformats.org/officeDocument/2006/relationships/hyperlink" Target="https://huggingface.co/roneneldan/TinyStories-33M" TargetMode="External"/><Relationship Id="rId1121" Type="http://schemas.openxmlformats.org/officeDocument/2006/relationships/hyperlink" Target="https://platypus-llm.github.io/" TargetMode="External"/><Relationship Id="rId1363" Type="http://schemas.openxmlformats.org/officeDocument/2006/relationships/hyperlink" Target="https://lifearchitect.ai/whats-in-my-ai/" TargetMode="External"/><Relationship Id="rId531" Type="http://schemas.openxmlformats.org/officeDocument/2006/relationships/hyperlink" Target="https://mistral.ai/news/ministraux/" TargetMode="External"/><Relationship Id="rId773" Type="http://schemas.openxmlformats.org/officeDocument/2006/relationships/hyperlink" Target="https://arxiv.org/abs/2404.18416" TargetMode="External"/><Relationship Id="rId1122" Type="http://schemas.openxmlformats.org/officeDocument/2006/relationships/hyperlink" Target="https://platypus-llm.github.io/Platypus.pdf" TargetMode="External"/><Relationship Id="rId1364" Type="http://schemas.openxmlformats.org/officeDocument/2006/relationships/hyperlink" Target="https://arxiv.org/abs/2112.06905" TargetMode="External"/><Relationship Id="rId530" Type="http://schemas.openxmlformats.org/officeDocument/2006/relationships/hyperlink" Target="https://huggingface.co/mistralai/Ministral-8B-Instruct-2410" TargetMode="External"/><Relationship Id="rId772" Type="http://schemas.openxmlformats.org/officeDocument/2006/relationships/hyperlink" Target="https://twitter.com/alan_karthi/status/1785117450528264216" TargetMode="External"/><Relationship Id="rId1123" Type="http://schemas.openxmlformats.org/officeDocument/2006/relationships/hyperlink" Target="https://huggingface.co/stabilityai/japanese-stablelm-base-alpha-7b?ref=maginative.com" TargetMode="External"/><Relationship Id="rId1365" Type="http://schemas.openxmlformats.org/officeDocument/2006/relationships/hyperlink" Target="https://arxiv.org/abs/2112.00861" TargetMode="External"/><Relationship Id="rId771" Type="http://schemas.openxmlformats.org/officeDocument/2006/relationships/hyperlink" Target="https://twitter.com/JustinLin610/status/1787584325367529509" TargetMode="External"/><Relationship Id="rId1124" Type="http://schemas.openxmlformats.org/officeDocument/2006/relationships/hyperlink" Target="https://stability.ai/blog/stability-ai-new-jplm-japanese-language-model-stablelm" TargetMode="External"/><Relationship Id="rId1366" Type="http://schemas.openxmlformats.org/officeDocument/2006/relationships/hyperlink" Target="https://arxiv.org/abs/2112.04426" TargetMode="External"/><Relationship Id="rId1158" Type="http://schemas.openxmlformats.org/officeDocument/2006/relationships/hyperlink" Target="https://google-research.github.io/seanet/audiopalm/examples/" TargetMode="External"/><Relationship Id="rId1159" Type="http://schemas.openxmlformats.org/officeDocument/2006/relationships/hyperlink" Target="https://www.cnbc.com/2023/05/16/googles-palm-2-uses-nearly-five-times-more-text-data-than-predecessor.html" TargetMode="External"/><Relationship Id="rId327" Type="http://schemas.openxmlformats.org/officeDocument/2006/relationships/hyperlink" Target="https://www.inceptionlabs.ai/news" TargetMode="External"/><Relationship Id="rId569" Type="http://schemas.openxmlformats.org/officeDocument/2006/relationships/hyperlink" Target="https://developers.googleblog.com/en/updated-production-ready-gemini-models-reduced-15-pro-pricing-increased-rate-limits-and-more/" TargetMode="External"/><Relationship Id="rId326" Type="http://schemas.openxmlformats.org/officeDocument/2006/relationships/hyperlink" Target="https://chat.inceptionlabs.ai/" TargetMode="External"/><Relationship Id="rId568" Type="http://schemas.openxmlformats.org/officeDocument/2006/relationships/hyperlink" Target="https://aistudio.google.com/app/prompts/new_chat" TargetMode="External"/><Relationship Id="rId325" Type="http://schemas.openxmlformats.org/officeDocument/2006/relationships/hyperlink" Target="https://azure.microsoft.com/en-us/blog/empowering-innovation-the-next-generation-of-the-phi-family/" TargetMode="External"/><Relationship Id="rId567" Type="http://schemas.openxmlformats.org/officeDocument/2006/relationships/hyperlink" Target="https://molmo.allenai.org/blog" TargetMode="External"/><Relationship Id="rId324" Type="http://schemas.openxmlformats.org/officeDocument/2006/relationships/hyperlink" Target="https://huggingface.co/microsoft/Phi-4-multimodal-instruct/blob/main/phi_4_mm.tech_report.02252025.pdf" TargetMode="External"/><Relationship Id="rId566" Type="http://schemas.openxmlformats.org/officeDocument/2006/relationships/hyperlink" Target="https://molmo.allenai.org/paper.pdf" TargetMode="External"/><Relationship Id="rId329" Type="http://schemas.openxmlformats.org/officeDocument/2006/relationships/hyperlink" Target="https://chat.qwen.ai/" TargetMode="External"/><Relationship Id="rId1390" Type="http://schemas.openxmlformats.org/officeDocument/2006/relationships/hyperlink" Target="https://arxiv.org/abs/2201.08239" TargetMode="External"/><Relationship Id="rId328" Type="http://schemas.openxmlformats.org/officeDocument/2006/relationships/hyperlink" Target="https://x.com/inceptionailabs/status/1894847921474150456" TargetMode="External"/><Relationship Id="rId1391" Type="http://schemas.openxmlformats.org/officeDocument/2006/relationships/hyperlink" Target="https://russiannlp.github.io/rugpt-demo/" TargetMode="External"/><Relationship Id="rId561" Type="http://schemas.openxmlformats.org/officeDocument/2006/relationships/hyperlink" Target="https://www.llama.com/" TargetMode="External"/><Relationship Id="rId1150" Type="http://schemas.openxmlformats.org/officeDocument/2006/relationships/hyperlink" Target="https://github.com/salesforce/xgen" TargetMode="External"/><Relationship Id="rId1392" Type="http://schemas.openxmlformats.org/officeDocument/2006/relationships/hyperlink" Target="https://github.com/sberbank-ai/ru-gpts" TargetMode="External"/><Relationship Id="rId560" Type="http://schemas.openxmlformats.org/officeDocument/2006/relationships/hyperlink" Target="https://www.amd.com/en/developer/resources/technical-articles/introducing-amd-first-slm-135m-model-fuels-ai-advancements.html" TargetMode="External"/><Relationship Id="rId1151" Type="http://schemas.openxmlformats.org/officeDocument/2006/relationships/hyperlink" Target="https://blog.salesforceairesearch.com/xgen/" TargetMode="External"/><Relationship Id="rId1393" Type="http://schemas.openxmlformats.org/officeDocument/2006/relationships/hyperlink" Target="https://arxiv.org/abs/2101.03961" TargetMode="External"/><Relationship Id="rId1152" Type="http://schemas.openxmlformats.org/officeDocument/2006/relationships/hyperlink" Target="https://ai.360.com/" TargetMode="External"/><Relationship Id="rId1394" Type="http://schemas.openxmlformats.org/officeDocument/2006/relationships/hyperlink" Target="https://arxiv.org/abs/2005.14165" TargetMode="External"/><Relationship Id="rId1153" Type="http://schemas.openxmlformats.org/officeDocument/2006/relationships/hyperlink" Target="https://arxiv.org/abs/2402.01723v1" TargetMode="External"/><Relationship Id="rId1395" Type="http://schemas.openxmlformats.org/officeDocument/2006/relationships/hyperlink" Target="https://lifearchitect.ai/whats-in-my-ai/" TargetMode="External"/><Relationship Id="rId323" Type="http://schemas.openxmlformats.org/officeDocument/2006/relationships/hyperlink" Target="https://huggingface.co/microsoft/Phi-4-mini-instruct" TargetMode="External"/><Relationship Id="rId565" Type="http://schemas.openxmlformats.org/officeDocument/2006/relationships/hyperlink" Target="https://molmo.allenai.org/" TargetMode="External"/><Relationship Id="rId1154" Type="http://schemas.openxmlformats.org/officeDocument/2006/relationships/hyperlink" Target="https://reka.ai/product/" TargetMode="External"/><Relationship Id="rId1396" Type="http://schemas.openxmlformats.org/officeDocument/2006/relationships/hyperlink" Target="https://app.inferkit.com/demo" TargetMode="External"/><Relationship Id="rId322" Type="http://schemas.openxmlformats.org/officeDocument/2006/relationships/hyperlink" Target="https://azure.microsoft.com/en-us/blog/empowering-innovation-the-next-generation-of-the-phi-family/" TargetMode="External"/><Relationship Id="rId564" Type="http://schemas.openxmlformats.org/officeDocument/2006/relationships/hyperlink" Target="https://www.llama.com/" TargetMode="External"/><Relationship Id="rId1155" Type="http://schemas.openxmlformats.org/officeDocument/2006/relationships/hyperlink" Target="https://reka.ai/product/" TargetMode="External"/><Relationship Id="rId1397" Type="http://schemas.openxmlformats.org/officeDocument/2006/relationships/hyperlink" Target="https://github.com/pytorch/fairseq/tree/main/examples/megatron_11b" TargetMode="External"/><Relationship Id="rId321" Type="http://schemas.openxmlformats.org/officeDocument/2006/relationships/hyperlink" Target="https://huggingface.co/microsoft/Phi-4-multimodal-instruct/blob/main/phi_4_mm.tech_report.02252025.pdf" TargetMode="External"/><Relationship Id="rId563" Type="http://schemas.openxmlformats.org/officeDocument/2006/relationships/hyperlink" Target="https://www.llama.com/" TargetMode="External"/><Relationship Id="rId1156" Type="http://schemas.openxmlformats.org/officeDocument/2006/relationships/hyperlink" Target="https://44e505515af066f4.gradio.app/" TargetMode="External"/><Relationship Id="rId1398" Type="http://schemas.openxmlformats.org/officeDocument/2006/relationships/hyperlink" Target="https://github.com/facebookresearch/fairseq/blob/main/examples/megatron_11b/README.md" TargetMode="External"/><Relationship Id="rId320" Type="http://schemas.openxmlformats.org/officeDocument/2006/relationships/hyperlink" Target="https://huggingface.co/microsoft/Phi-4-multimodal-instruct" TargetMode="External"/><Relationship Id="rId562" Type="http://schemas.openxmlformats.org/officeDocument/2006/relationships/hyperlink" Target="https://www.llama.com/" TargetMode="External"/><Relationship Id="rId1157" Type="http://schemas.openxmlformats.org/officeDocument/2006/relationships/hyperlink" Target="https://arxiv.org/abs/2306.14824" TargetMode="External"/><Relationship Id="rId1399" Type="http://schemas.openxmlformats.org/officeDocument/2006/relationships/hyperlink" Target="https://arxiv.org/abs/2003.04974" TargetMode="External"/><Relationship Id="rId1147" Type="http://schemas.openxmlformats.org/officeDocument/2006/relationships/hyperlink" Target="https://github.com/CStanKonrad/long_llama" TargetMode="External"/><Relationship Id="rId1389" Type="http://schemas.openxmlformats.org/officeDocument/2006/relationships/hyperlink" Target="https://www.youtube.com/watch?v=aUSSfo5nCdM" TargetMode="External"/><Relationship Id="rId1148" Type="http://schemas.openxmlformats.org/officeDocument/2006/relationships/hyperlink" Target="https://arxiv.org/abs/2307.03170" TargetMode="External"/><Relationship Id="rId1149" Type="http://schemas.openxmlformats.org/officeDocument/2006/relationships/hyperlink" Target="https://www.biorxiv.org/content/10.1101/2023.07.05.547496v1" TargetMode="External"/><Relationship Id="rId316" Type="http://schemas.openxmlformats.org/officeDocument/2006/relationships/hyperlink" Target="https://cloud.tencent.com/apply/p/i2zophus2x8" TargetMode="External"/><Relationship Id="rId558" Type="http://schemas.openxmlformats.org/officeDocument/2006/relationships/hyperlink" Target="https://www.theregister.com/2024/10/02/china_telecom_model_trained_local_tech/" TargetMode="External"/><Relationship Id="rId315" Type="http://schemas.openxmlformats.org/officeDocument/2006/relationships/hyperlink" Target="https://openai.com/index/introducing-gpt-4-5/" TargetMode="External"/><Relationship Id="rId557" Type="http://schemas.openxmlformats.org/officeDocument/2006/relationships/hyperlink" Target="https://arxiv.org/abs/2507.18013" TargetMode="External"/><Relationship Id="rId799" Type="http://schemas.openxmlformats.org/officeDocument/2006/relationships/hyperlink" Target="https://poe.com/RekaCore" TargetMode="External"/><Relationship Id="rId314" Type="http://schemas.openxmlformats.org/officeDocument/2006/relationships/hyperlink" Target="https://openai.com/index/gpt-4-5-system-card/" TargetMode="External"/><Relationship Id="rId556" Type="http://schemas.openxmlformats.org/officeDocument/2006/relationships/hyperlink" Target="https://modelscope.cn/models/TeleAI/TeleChat2-115B" TargetMode="External"/><Relationship Id="rId798" Type="http://schemas.openxmlformats.org/officeDocument/2006/relationships/hyperlink" Target="https://huggingface.co/blog/idefics2" TargetMode="External"/><Relationship Id="rId313" Type="http://schemas.openxmlformats.org/officeDocument/2006/relationships/hyperlink" Target="https://chat.com/" TargetMode="External"/><Relationship Id="rId555" Type="http://schemas.openxmlformats.org/officeDocument/2006/relationships/hyperlink" Target="https://www.theregister.com/2024/10/02/china_telecom_model_trained_local_tech/" TargetMode="External"/><Relationship Id="rId797" Type="http://schemas.openxmlformats.org/officeDocument/2006/relationships/hyperlink" Target="https://huggingface.co/HuggingFaceM4/idefics2-8b" TargetMode="External"/><Relationship Id="rId319" Type="http://schemas.openxmlformats.org/officeDocument/2006/relationships/hyperlink" Target="https://mp.weixin.qq.com/s/BwQkXpEitOm1Piz60SE-4A" TargetMode="External"/><Relationship Id="rId318" Type="http://schemas.openxmlformats.org/officeDocument/2006/relationships/hyperlink" Target="https://cloud.tencent.com/apply/p/i2zophus2x8" TargetMode="External"/><Relationship Id="rId317" Type="http://schemas.openxmlformats.org/officeDocument/2006/relationships/hyperlink" Target="https://mp.weixin.qq.com/s/BwQkXpEitOm1Piz60SE-4A" TargetMode="External"/><Relationship Id="rId559" Type="http://schemas.openxmlformats.org/officeDocument/2006/relationships/hyperlink" Target="https://huggingface.co/amd/AMD-Llama-135m" TargetMode="External"/><Relationship Id="rId1380" Type="http://schemas.openxmlformats.org/officeDocument/2006/relationships/hyperlink" Target="https://arxiv.org/abs/2109.02593" TargetMode="External"/><Relationship Id="rId550" Type="http://schemas.openxmlformats.org/officeDocument/2006/relationships/hyperlink" Target="https://arxiv.org/abs/2409.18869" TargetMode="External"/><Relationship Id="rId792" Type="http://schemas.openxmlformats.org/officeDocument/2006/relationships/hyperlink" Target="https://ai.meta.com/blog/meta-llama-3/" TargetMode="External"/><Relationship Id="rId1381" Type="http://schemas.openxmlformats.org/officeDocument/2006/relationships/hyperlink" Target="https://arxiv.org/abs/2109.00859" TargetMode="External"/><Relationship Id="rId791" Type="http://schemas.openxmlformats.org/officeDocument/2006/relationships/hyperlink" Target="https://meta.ai/" TargetMode="External"/><Relationship Id="rId1140" Type="http://schemas.openxmlformats.org/officeDocument/2006/relationships/hyperlink" Target="https://github.com/invictus717/MetaTransformer" TargetMode="External"/><Relationship Id="rId1382" Type="http://schemas.openxmlformats.org/officeDocument/2006/relationships/hyperlink" Target="https://arxiv.org/pdf/2207.01780.pdf" TargetMode="External"/><Relationship Id="rId790" Type="http://schemas.openxmlformats.org/officeDocument/2006/relationships/hyperlink" Target="https://arxiv.org/abs/2404.14219" TargetMode="External"/><Relationship Id="rId1141" Type="http://schemas.openxmlformats.org/officeDocument/2006/relationships/hyperlink" Target="https://arxiv.org/abs/2307.10802" TargetMode="External"/><Relationship Id="rId1383" Type="http://schemas.openxmlformats.org/officeDocument/2006/relationships/hyperlink" Target="https://beta.openai.com/playground" TargetMode="External"/><Relationship Id="rId1142" Type="http://schemas.openxmlformats.org/officeDocument/2006/relationships/hyperlink" Target="https://www.llama2.ai/" TargetMode="External"/><Relationship Id="rId1384" Type="http://schemas.openxmlformats.org/officeDocument/2006/relationships/hyperlink" Target="https://arxiv.org/abs/2107.03374" TargetMode="External"/><Relationship Id="rId312" Type="http://schemas.openxmlformats.org/officeDocument/2006/relationships/hyperlink" Target="https://huggingface.co/CohereForAI/c4ai-command-r7b-arabic-02-2025" TargetMode="External"/><Relationship Id="rId554" Type="http://schemas.openxmlformats.org/officeDocument/2006/relationships/hyperlink" Target="https://www.scmp.com/tech/big-tech/article/3280588/china-telecom-say-ai-model-1-trillion-parameters-trained-chinese-chips" TargetMode="External"/><Relationship Id="rId796" Type="http://schemas.openxmlformats.org/officeDocument/2006/relationships/hyperlink" Target="https://www.aboutamazon.com/news/aws/what-you-need-to-know-about-the-aws-ai-chips-powering-amazons-partnership-with-anthropic" TargetMode="External"/><Relationship Id="rId1143" Type="http://schemas.openxmlformats.org/officeDocument/2006/relationships/hyperlink" Target="https://ai.meta.com/research/publications/llama-2-open-foundation-and-fine-tuned-chat-models/" TargetMode="External"/><Relationship Id="rId1385" Type="http://schemas.openxmlformats.org/officeDocument/2006/relationships/hyperlink" Target="https://www.ai21.com/blog/announcing-ai21-studio-and-jurassic-1" TargetMode="External"/><Relationship Id="rId311" Type="http://schemas.openxmlformats.org/officeDocument/2006/relationships/hyperlink" Target="https://huggingface.co/CohereForAI/c4ai-command-r7b-arabic-02-2025" TargetMode="External"/><Relationship Id="rId553" Type="http://schemas.openxmlformats.org/officeDocument/2006/relationships/hyperlink" Target="https://arxiv.org/abs/2409.11402" TargetMode="External"/><Relationship Id="rId795" Type="http://schemas.openxmlformats.org/officeDocument/2006/relationships/hyperlink" Target="https://arxiv.org/abs/2404.10630" TargetMode="External"/><Relationship Id="rId1144" Type="http://schemas.openxmlformats.org/officeDocument/2006/relationships/hyperlink" Target="https://slashnext.com/blog/wormgpt-the-generative-ai-tool-cybercriminals-are-using-to-launch-business-email-compromise-attacks/" TargetMode="External"/><Relationship Id="rId1386" Type="http://schemas.openxmlformats.org/officeDocument/2006/relationships/hyperlink" Target="https://parl.ai/projects/blenderbot2/" TargetMode="External"/><Relationship Id="rId310" Type="http://schemas.openxmlformats.org/officeDocument/2006/relationships/hyperlink" Target="https://www.ibm.com/new/announcements/ibm-granite-3-2-open-source-reasoning-and-vision" TargetMode="External"/><Relationship Id="rId552" Type="http://schemas.openxmlformats.org/officeDocument/2006/relationships/hyperlink" Target="https://huggingface.co/nvidia/NVLM-D-72B" TargetMode="External"/><Relationship Id="rId794" Type="http://schemas.openxmlformats.org/officeDocument/2006/relationships/hyperlink" Target="https://arxiv.org/html/2405.16712v1" TargetMode="External"/><Relationship Id="rId1145" Type="http://schemas.openxmlformats.org/officeDocument/2006/relationships/hyperlink" Target="https://claude.ai/" TargetMode="External"/><Relationship Id="rId1387" Type="http://schemas.openxmlformats.org/officeDocument/2006/relationships/hyperlink" Target="https://playground.helloforefront.com/models/free-gpt-j-playground" TargetMode="External"/><Relationship Id="rId551" Type="http://schemas.openxmlformats.org/officeDocument/2006/relationships/hyperlink" Target="https://arxiv.org/abs/2406.11271v1" TargetMode="External"/><Relationship Id="rId793" Type="http://schemas.openxmlformats.org/officeDocument/2006/relationships/hyperlink" Target="https://huggingface.co/Zyphra/Zamba-7B-v1" TargetMode="External"/><Relationship Id="rId1146" Type="http://schemas.openxmlformats.org/officeDocument/2006/relationships/hyperlink" Target="https://www-files.anthropic.com/production/images/Model-Card-Claude-2.pdf" TargetMode="External"/><Relationship Id="rId1388" Type="http://schemas.openxmlformats.org/officeDocument/2006/relationships/hyperlink" Target="https://github.com/kingoflolz/mesh-transformer-jax" TargetMode="External"/><Relationship Id="rId297" Type="http://schemas.openxmlformats.org/officeDocument/2006/relationships/hyperlink" Target="https://huggingface.co/ggml-org/gemma-3-27b-it-GGUF" TargetMode="External"/><Relationship Id="rId296" Type="http://schemas.openxmlformats.org/officeDocument/2006/relationships/hyperlink" Target="https://storage.googleapis.com/deepmind-media/gemini-robotics/gemini_robotics_report.pdf" TargetMode="External"/><Relationship Id="rId295" Type="http://schemas.openxmlformats.org/officeDocument/2006/relationships/hyperlink" Target="https://artificialanalysis.ai/models/gemini-2-0-flash-experimental/providers" TargetMode="External"/><Relationship Id="rId294" Type="http://schemas.openxmlformats.org/officeDocument/2006/relationships/hyperlink" Target="https://storage.googleapis.com/deepmind-media/gemini-robotics/gemini_robotics_report.pdf" TargetMode="External"/><Relationship Id="rId299" Type="http://schemas.openxmlformats.org/officeDocument/2006/relationships/hyperlink" Target="https://huggingface.co/RekaAI/reka-flash-3" TargetMode="External"/><Relationship Id="rId298" Type="http://schemas.openxmlformats.org/officeDocument/2006/relationships/hyperlink" Target="https://storage.googleapis.com/deepmind-media/gemma/Gemma3Report.pdf" TargetMode="External"/><Relationship Id="rId271" Type="http://schemas.openxmlformats.org/officeDocument/2006/relationships/hyperlink" Target="https://storage.googleapis.com/research-media/txgemma/txgemma-report.pdf" TargetMode="External"/><Relationship Id="rId270" Type="http://schemas.openxmlformats.org/officeDocument/2006/relationships/hyperlink" Target="https://huggingface.co/google/txgemma-27b-chat" TargetMode="External"/><Relationship Id="rId269" Type="http://schemas.openxmlformats.org/officeDocument/2006/relationships/hyperlink" Target="https://storage.googleapis.com/research-media/txgemma/txgemma-report.pdf" TargetMode="External"/><Relationship Id="rId264" Type="http://schemas.openxmlformats.org/officeDocument/2006/relationships/hyperlink" Target="https://featherless.ai/models/featherless-ai/Qwerky-72B" TargetMode="External"/><Relationship Id="rId263" Type="http://schemas.openxmlformats.org/officeDocument/2006/relationships/hyperlink" Target="https://arxiv.org/abs/2504.02495" TargetMode="External"/><Relationship Id="rId262" Type="http://schemas.openxmlformats.org/officeDocument/2006/relationships/hyperlink" Target="https://security.googleblog.com/2025/04/google-launches-sec-gemini-v1-new.html" TargetMode="External"/><Relationship Id="rId261" Type="http://schemas.openxmlformats.org/officeDocument/2006/relationships/hyperlink" Target="https://security.googleblog.com/2025/04/google-launches-sec-gemini-v1-new.html" TargetMode="External"/><Relationship Id="rId268" Type="http://schemas.openxmlformats.org/officeDocument/2006/relationships/hyperlink" Target="https://github.com/google-gemini/gemma-cookbook/blob/main/TxGemma/%5BTxGemma%5DAgentic_Demo_with_Hugging_Face.ipynb" TargetMode="External"/><Relationship Id="rId267" Type="http://schemas.openxmlformats.org/officeDocument/2006/relationships/hyperlink" Target="https://www.deepcogito.com/research/cogito-v1-preview" TargetMode="External"/><Relationship Id="rId266" Type="http://schemas.openxmlformats.org/officeDocument/2006/relationships/hyperlink" Target="https://huggingface.co/deepcogito/cogito-v1-preview-llama-70B" TargetMode="External"/><Relationship Id="rId265" Type="http://schemas.openxmlformats.org/officeDocument/2006/relationships/hyperlink" Target="https://featherless.ai/models/featherless-ai/Qwerky-72B/readme" TargetMode="External"/><Relationship Id="rId260" Type="http://schemas.openxmlformats.org/officeDocument/2006/relationships/hyperlink" Target="https://ai.meta.com/blog/llama-4-multimodal-intelligence/" TargetMode="External"/><Relationship Id="rId259" Type="http://schemas.openxmlformats.org/officeDocument/2006/relationships/hyperlink" Target="https://huggingface.co/meta-llama/Llama-4-Scout-17B-16E" TargetMode="External"/><Relationship Id="rId258" Type="http://schemas.openxmlformats.org/officeDocument/2006/relationships/hyperlink" Target="https://ai.meta.com/blog/llama-4-multimodal-intelligence/" TargetMode="External"/><Relationship Id="rId253" Type="http://schemas.openxmlformats.org/officeDocument/2006/relationships/hyperlink" Target="https://developer.nvidia.com/blog/build-enterprise-ai-agents-with-advanced-open-nvidia-llama-nemotron-reasoning-models/" TargetMode="External"/><Relationship Id="rId495" Type="http://schemas.openxmlformats.org/officeDocument/2006/relationships/hyperlink" Target="https://chat.deepseek.com/" TargetMode="External"/><Relationship Id="rId252" Type="http://schemas.openxmlformats.org/officeDocument/2006/relationships/hyperlink" Target="https://huggingface.co/nvidia/Llama-3_1-Nemotron-Ultra-253B-v1" TargetMode="External"/><Relationship Id="rId494" Type="http://schemas.openxmlformats.org/officeDocument/2006/relationships/hyperlink" Target="https://github.com/openai/simple-evals" TargetMode="External"/><Relationship Id="rId251" Type="http://schemas.openxmlformats.org/officeDocument/2006/relationships/hyperlink" Target="https://research.nvidia.com/labs/adlr/nemotronh/" TargetMode="External"/><Relationship Id="rId493" Type="http://schemas.openxmlformats.org/officeDocument/2006/relationships/hyperlink" Target="https://platform.openai.com/docs/models" TargetMode="External"/><Relationship Id="rId250" Type="http://schemas.openxmlformats.org/officeDocument/2006/relationships/hyperlink" Target="https://arxiv.org/abs/2504.03624" TargetMode="External"/><Relationship Id="rId492" Type="http://schemas.openxmlformats.org/officeDocument/2006/relationships/hyperlink" Target="https://lifearchitect.ai/o1/" TargetMode="External"/><Relationship Id="rId257" Type="http://schemas.openxmlformats.org/officeDocument/2006/relationships/hyperlink" Target="https://ai.meta.com/blog/llama-4-multimodal-intelligence/" TargetMode="External"/><Relationship Id="rId499" Type="http://schemas.openxmlformats.org/officeDocument/2006/relationships/hyperlink" Target="https://arxiv.org/abs/2411.10083" TargetMode="External"/><Relationship Id="rId256" Type="http://schemas.openxmlformats.org/officeDocument/2006/relationships/hyperlink" Target="https://huggingface.co/meta-llama/Llama-4-Maverick-17B-128E" TargetMode="External"/><Relationship Id="rId498" Type="http://schemas.openxmlformats.org/officeDocument/2006/relationships/hyperlink" Target="https://github.com/XiaoduoAILab/XmodelLM" TargetMode="External"/><Relationship Id="rId255" Type="http://schemas.openxmlformats.org/officeDocument/2006/relationships/hyperlink" Target="https://ai.meta.com/blog/llama-4-multimodal-intelligence/" TargetMode="External"/><Relationship Id="rId497" Type="http://schemas.openxmlformats.org/officeDocument/2006/relationships/hyperlink" Target="https://mp-weixin-qq-com.translate.goog/s/e1YnTxZlzFvjcmrLLTA8fw?_x_tr_sl=zh-CN&amp;_x_tr_tl=en&amp;_x_tr_hl=zh-TW" TargetMode="External"/><Relationship Id="rId254" Type="http://schemas.openxmlformats.org/officeDocument/2006/relationships/hyperlink" Target="https://ai.meta.com/blog/llama-4-multimodal-intelligence/" TargetMode="External"/><Relationship Id="rId496" Type="http://schemas.openxmlformats.org/officeDocument/2006/relationships/hyperlink" Target="https://x.com/deepseek_ai/status/1859200141355536422" TargetMode="External"/><Relationship Id="rId293" Type="http://schemas.openxmlformats.org/officeDocument/2006/relationships/hyperlink" Target="https://huggingface.co/CohereForAI/c4ai-command-a-03-2025" TargetMode="External"/><Relationship Id="rId292" Type="http://schemas.openxmlformats.org/officeDocument/2006/relationships/hyperlink" Target="https://cohere.com/blog/command-a" TargetMode="External"/><Relationship Id="rId291" Type="http://schemas.openxmlformats.org/officeDocument/2006/relationships/hyperlink" Target="https://dashboard.cohere.com/playground/chat" TargetMode="External"/><Relationship Id="rId290" Type="http://schemas.openxmlformats.org/officeDocument/2006/relationships/hyperlink" Target="https://allenai.org/blog/olmo2-32B" TargetMode="External"/><Relationship Id="rId286" Type="http://schemas.openxmlformats.org/officeDocument/2006/relationships/hyperlink" Target="https://x.com/Baidu_Inc/status/1901094083508220035" TargetMode="External"/><Relationship Id="rId285" Type="http://schemas.openxmlformats.org/officeDocument/2006/relationships/hyperlink" Target="https://www.prnewswire.com/news-releases/baidu-unveils-ernie-4-5-and-reasoning-model-ernie-x1--makes-ernie-bot-free-ahead-of-schedule-302402490.html" TargetMode="External"/><Relationship Id="rId284" Type="http://schemas.openxmlformats.org/officeDocument/2006/relationships/hyperlink" Target="https://huggingface.co/baidu/ERNIE-4.5-VL-424B-A47B-PT" TargetMode="External"/><Relationship Id="rId283" Type="http://schemas.openxmlformats.org/officeDocument/2006/relationships/hyperlink" Target="https://mistral.ai/news/mistral-small-3-1" TargetMode="External"/><Relationship Id="rId289" Type="http://schemas.openxmlformats.org/officeDocument/2006/relationships/hyperlink" Target="https://playground.allenai.org/?model=olmo-2-0325-32b-instruct" TargetMode="External"/><Relationship Id="rId288" Type="http://schemas.openxmlformats.org/officeDocument/2006/relationships/hyperlink" Target="https://www.prnewswire.com/news-releases/baidu-unveils-ernie-4-5-and-reasoning-model-ernie-x1--makes-ernie-bot-free-ahead-of-schedule-302402490.html" TargetMode="External"/><Relationship Id="rId287" Type="http://schemas.openxmlformats.org/officeDocument/2006/relationships/hyperlink" Target="https://yiyan.baidu.com/" TargetMode="External"/><Relationship Id="rId282" Type="http://schemas.openxmlformats.org/officeDocument/2006/relationships/hyperlink" Target="https://huggingface.co/mistralai/Mistral-Small-3.1-24B-Instruct-2503" TargetMode="External"/><Relationship Id="rId281" Type="http://schemas.openxmlformats.org/officeDocument/2006/relationships/hyperlink" Target="https://www.lgresearch.ai/news/view?seq=543" TargetMode="External"/><Relationship Id="rId280" Type="http://schemas.openxmlformats.org/officeDocument/2006/relationships/hyperlink" Target="https://arxiv.org/abs/2503.12524" TargetMode="External"/><Relationship Id="rId275" Type="http://schemas.openxmlformats.org/officeDocument/2006/relationships/hyperlink" Target="https://chat.deepseek.com/" TargetMode="External"/><Relationship Id="rId274" Type="http://schemas.openxmlformats.org/officeDocument/2006/relationships/hyperlink" Target="https://lifearchitect.ai/watermarking/" TargetMode="External"/><Relationship Id="rId273" Type="http://schemas.openxmlformats.org/officeDocument/2006/relationships/hyperlink" Target="https://blog.google/technology/google-deepmind/gemini-model-thinking-updates-march-2025/" TargetMode="External"/><Relationship Id="rId272" Type="http://schemas.openxmlformats.org/officeDocument/2006/relationships/hyperlink" Target="https://aistudio.google.com/prompts/new_chat?model=gemini-2.0-pro-exp-02-05" TargetMode="External"/><Relationship Id="rId279" Type="http://schemas.openxmlformats.org/officeDocument/2006/relationships/hyperlink" Target="https://huggingface.co/LGAI-EXAONE/EXAONE-Deep-32B" TargetMode="External"/><Relationship Id="rId278" Type="http://schemas.openxmlformats.org/officeDocument/2006/relationships/hyperlink" Target="https://build.nvidia.com/nvidia/llama-3_3-nemotron-super-49b-v1/modelcard" TargetMode="External"/><Relationship Id="rId277" Type="http://schemas.openxmlformats.org/officeDocument/2006/relationships/hyperlink" Target="https://huggingface.co/nvidia/Llama-3_3-Nemotron-Super-49B-v1" TargetMode="External"/><Relationship Id="rId276" Type="http://schemas.openxmlformats.org/officeDocument/2006/relationships/hyperlink" Target="https://huggingface.co/deepseek-ai/DeepSeek-V3-0324" TargetMode="External"/><Relationship Id="rId907" Type="http://schemas.openxmlformats.org/officeDocument/2006/relationships/hyperlink" Target="https://www.goody2.ai/goody2-modelcard.pdf" TargetMode="External"/><Relationship Id="rId906" Type="http://schemas.openxmlformats.org/officeDocument/2006/relationships/hyperlink" Target="https://www.goody2.ai/chat" TargetMode="External"/><Relationship Id="rId905" Type="http://schemas.openxmlformats.org/officeDocument/2006/relationships/hyperlink" Target="https://arxiv.org/abs/2402.14905" TargetMode="External"/><Relationship Id="rId904" Type="http://schemas.openxmlformats.org/officeDocument/2006/relationships/hyperlink" Target="https://huggingface.co/collections/facebook/mobilellm-6722be18cb86c20ebe113e95" TargetMode="External"/><Relationship Id="rId909" Type="http://schemas.openxmlformats.org/officeDocument/2006/relationships/hyperlink" Target="https://huggingface.co/chatdb/natural-sql-7b" TargetMode="External"/><Relationship Id="rId908" Type="http://schemas.openxmlformats.org/officeDocument/2006/relationships/hyperlink" Target="https://archive.md/toxHq" TargetMode="External"/><Relationship Id="rId903" Type="http://schemas.openxmlformats.org/officeDocument/2006/relationships/hyperlink" Target="https://qwenlm.github.io/blog/qwen1.5/" TargetMode="External"/><Relationship Id="rId902" Type="http://schemas.openxmlformats.org/officeDocument/2006/relationships/hyperlink" Target="https://huggingface.co/spaces/Qwen/Qwen1.5-72B-Chat" TargetMode="External"/><Relationship Id="rId901" Type="http://schemas.openxmlformats.org/officeDocument/2006/relationships/hyperlink" Target="https://lifearchitect.ai/watermarking/" TargetMode="External"/><Relationship Id="rId900" Type="http://schemas.openxmlformats.org/officeDocument/2006/relationships/hyperlink" Target="https://goo.gle/GeminiV1-5" TargetMode="External"/><Relationship Id="rId929" Type="http://schemas.openxmlformats.org/officeDocument/2006/relationships/hyperlink" Target="https://www.laitimes.com/en/article/6f50u_6vhbm.html" TargetMode="External"/><Relationship Id="rId928" Type="http://schemas.openxmlformats.org/officeDocument/2006/relationships/hyperlink" Target="https://www.ithome.com/0/748/030.htm" TargetMode="External"/><Relationship Id="rId927" Type="http://schemas.openxmlformats.org/officeDocument/2006/relationships/hyperlink" Target="https://gitee.com/iflytekopensource/iFlytekSpark-13B" TargetMode="External"/><Relationship Id="rId926" Type="http://schemas.openxmlformats.org/officeDocument/2006/relationships/hyperlink" Target="https://venturebeat.com/ai/mistral-ceo-confirms-leak-of-new-open-source-ai-model-nearing-gpt-4-performance/" TargetMode="External"/><Relationship Id="rId921" Type="http://schemas.openxmlformats.org/officeDocument/2006/relationships/hyperlink" Target="https://www.wawawriter.com/" TargetMode="External"/><Relationship Id="rId920" Type="http://schemas.openxmlformats.org/officeDocument/2006/relationships/hyperlink" Target="https://www.cerebras.net/press-release/cerebras-systems-and-barcelona-supercomputing-center-train-industry-leading-multilingual-spanish-catalan-english-llm" TargetMode="External"/><Relationship Id="rId925" Type="http://schemas.openxmlformats.org/officeDocument/2006/relationships/hyperlink" Target="https://huggingface.co/miqudev/miqu-1-70b" TargetMode="External"/><Relationship Id="rId924" Type="http://schemas.openxmlformats.org/officeDocument/2006/relationships/hyperlink" Target="https://huggingface.co/miqudev/miqu-1-70b" TargetMode="External"/><Relationship Id="rId923" Type="http://schemas.openxmlformats.org/officeDocument/2006/relationships/hyperlink" Target="https://www.wawawriter.com/en/" TargetMode="External"/><Relationship Id="rId922" Type="http://schemas.openxmlformats.org/officeDocument/2006/relationships/hyperlink" Target="https://arxiv.org/abs/2401.17268" TargetMode="External"/><Relationship Id="rId918" Type="http://schemas.openxmlformats.org/officeDocument/2006/relationships/hyperlink" Target="https://audioflamingo.github.io/" TargetMode="External"/><Relationship Id="rId917" Type="http://schemas.openxmlformats.org/officeDocument/2006/relationships/hyperlink" Target="https://arxiv.org/abs/2402.01831" TargetMode="External"/><Relationship Id="rId916" Type="http://schemas.openxmlformats.org/officeDocument/2006/relationships/hyperlink" Target="https://huggingface.co/spaces/nvidia/audio-flamingo-demo" TargetMode="External"/><Relationship Id="rId915" Type="http://schemas.openxmlformats.org/officeDocument/2006/relationships/hyperlink" Target="https://allenai.org/olmo/olmo-paper.pdf" TargetMode="External"/><Relationship Id="rId919" Type="http://schemas.openxmlformats.org/officeDocument/2006/relationships/hyperlink" Target="https://huggingface.co/projecte-aina/FLOR-6.3B" TargetMode="External"/><Relationship Id="rId910" Type="http://schemas.openxmlformats.org/officeDocument/2006/relationships/hyperlink" Target="https://aisingapore.org/aiproducts/sea-lion/" TargetMode="External"/><Relationship Id="rId914" Type="http://schemas.openxmlformats.org/officeDocument/2006/relationships/hyperlink" Target="https://huggingface.co/allenai/OLMo-7B" TargetMode="External"/><Relationship Id="rId913" Type="http://schemas.openxmlformats.org/officeDocument/2006/relationships/hyperlink" Target="https://blog.research.google/2024/02/a-decoder-only-foundation-model-for.html" TargetMode="External"/><Relationship Id="rId912" Type="http://schemas.openxmlformats.org/officeDocument/2006/relationships/hyperlink" Target="https://huggingface.co/collections/google/timesfm-release-66e4be5fdb56e960c1e482a6" TargetMode="External"/><Relationship Id="rId911" Type="http://schemas.openxmlformats.org/officeDocument/2006/relationships/hyperlink" Target="https://huggingface.co/aisingapore/sealion7b" TargetMode="External"/><Relationship Id="rId1213" Type="http://schemas.openxmlformats.org/officeDocument/2006/relationships/hyperlink" Target="https://github.com/stability-AI/stableLM/" TargetMode="External"/><Relationship Id="rId1214" Type="http://schemas.openxmlformats.org/officeDocument/2006/relationships/hyperlink" Target="https://huggingface.co/databricks/dolly-v2-12b" TargetMode="External"/><Relationship Id="rId1215" Type="http://schemas.openxmlformats.org/officeDocument/2006/relationships/hyperlink" Target="https://www.databricks.com/blog/2023/04/12/dolly-first-open-commercially-viable-instruction-tuned-llm" TargetMode="External"/><Relationship Id="rId1216" Type="http://schemas.openxmlformats.org/officeDocument/2006/relationships/hyperlink" Target="https://huggingface.co/EleutherAI/pythia-12b" TargetMode="External"/><Relationship Id="rId1217" Type="http://schemas.openxmlformats.org/officeDocument/2006/relationships/hyperlink" Target="https://arxiv.org/abs/2304.01373" TargetMode="External"/><Relationship Id="rId1218" Type="http://schemas.openxmlformats.org/officeDocument/2006/relationships/hyperlink" Target="https://chat.lmsys.org/?model=koala-13b" TargetMode="External"/><Relationship Id="rId1219" Type="http://schemas.openxmlformats.org/officeDocument/2006/relationships/hyperlink" Target="https://bair.berkeley.edu/blog/2023/04/03/koala/" TargetMode="External"/><Relationship Id="rId629" Type="http://schemas.openxmlformats.org/officeDocument/2006/relationships/hyperlink" Target="https://huggingface.co/Zyphra/Zamba2-2.7B" TargetMode="External"/><Relationship Id="rId624" Type="http://schemas.openxmlformats.org/officeDocument/2006/relationships/hyperlink" Target="https://huggingface.co/spaces/tiiuae/falcon-mamba-playground" TargetMode="External"/><Relationship Id="rId866" Type="http://schemas.openxmlformats.org/officeDocument/2006/relationships/hyperlink" Target="https://arxiv.org/abs/2403.03640" TargetMode="External"/><Relationship Id="rId623" Type="http://schemas.openxmlformats.org/officeDocument/2006/relationships/hyperlink" Target="https://falconllm.tii.ae/tii-releases-first-sslm-with-falcon-mamba-7b.html" TargetMode="External"/><Relationship Id="rId865" Type="http://schemas.openxmlformats.org/officeDocument/2006/relationships/hyperlink" Target="https://apollo.llmzoo.com/" TargetMode="External"/><Relationship Id="rId622" Type="http://schemas.openxmlformats.org/officeDocument/2006/relationships/hyperlink" Target="https://falconllm.tii.ae/falcon-models.html" TargetMode="External"/><Relationship Id="rId864" Type="http://schemas.openxmlformats.org/officeDocument/2006/relationships/hyperlink" Target="https://inflection.ai/inflection-2-5" TargetMode="External"/><Relationship Id="rId621" Type="http://schemas.openxmlformats.org/officeDocument/2006/relationships/hyperlink" Target="https://arxiv.org/abs/2408.03541" TargetMode="External"/><Relationship Id="rId863" Type="http://schemas.openxmlformats.org/officeDocument/2006/relationships/hyperlink" Target="https://inflection.ai/inflection-2" TargetMode="External"/><Relationship Id="rId628" Type="http://schemas.openxmlformats.org/officeDocument/2006/relationships/hyperlink" Target="https://writer.com/blog/palmyra-med-fin-models/" TargetMode="External"/><Relationship Id="rId627" Type="http://schemas.openxmlformats.org/officeDocument/2006/relationships/hyperlink" Target="https://huggingface.co/Writer/Palmyra-Fin-70B-32K" TargetMode="External"/><Relationship Id="rId869" Type="http://schemas.openxmlformats.org/officeDocument/2006/relationships/hyperlink" Target="https://arxiv.org/abs/2402.16819" TargetMode="External"/><Relationship Id="rId626" Type="http://schemas.openxmlformats.org/officeDocument/2006/relationships/hyperlink" Target="https://writer.com/blog/palmyra-med-fin-models/" TargetMode="External"/><Relationship Id="rId868" Type="http://schemas.openxmlformats.org/officeDocument/2006/relationships/hyperlink" Target="https://www.anthropic.com/claude-3-model-card" TargetMode="External"/><Relationship Id="rId625" Type="http://schemas.openxmlformats.org/officeDocument/2006/relationships/hyperlink" Target="https://huggingface.co/Writer/Palmyra-Med-70B-32K" TargetMode="External"/><Relationship Id="rId867" Type="http://schemas.openxmlformats.org/officeDocument/2006/relationships/hyperlink" Target="https://claude.ai/" TargetMode="External"/><Relationship Id="rId620" Type="http://schemas.openxmlformats.org/officeDocument/2006/relationships/hyperlink" Target="https://huggingface.co/LGAI-EXAONE/EXAONE-3.0-7.8B-Instruct" TargetMode="External"/><Relationship Id="rId862" Type="http://schemas.openxmlformats.org/officeDocument/2006/relationships/hyperlink" Target="https://stability.ai/news/putting-the-ai-supercomputer-to-work" TargetMode="External"/><Relationship Id="rId861" Type="http://schemas.openxmlformats.org/officeDocument/2006/relationships/hyperlink" Target="https://arxiv.org/abs/2402.12226" TargetMode="External"/><Relationship Id="rId1210" Type="http://schemas.openxmlformats.org/officeDocument/2006/relationships/hyperlink" Target="https://huggingface.co/mosaicml/mpt-1b-redpajama-200b-dolly" TargetMode="External"/><Relationship Id="rId860" Type="http://schemas.openxmlformats.org/officeDocument/2006/relationships/hyperlink" Target="https://junzhan2000.github.io/AnyGPT.github.io/" TargetMode="External"/><Relationship Id="rId1211" Type="http://schemas.openxmlformats.org/officeDocument/2006/relationships/hyperlink" Target="https://twitter.com/jefrankle/status/1649060478910357504" TargetMode="External"/><Relationship Id="rId1212" Type="http://schemas.openxmlformats.org/officeDocument/2006/relationships/hyperlink" Target="https://huggingface.co/spaces/stabilityai/stablelm-tuned-alpha-chat" TargetMode="External"/><Relationship Id="rId1202" Type="http://schemas.openxmlformats.org/officeDocument/2006/relationships/hyperlink" Target="https://huggingface.co/nvidia/GPT-2B-001" TargetMode="External"/><Relationship Id="rId1203" Type="http://schemas.openxmlformats.org/officeDocument/2006/relationships/hyperlink" Target="https://aws.amazon.com/bedrock/titan/" TargetMode="External"/><Relationship Id="rId1204" Type="http://schemas.openxmlformats.org/officeDocument/2006/relationships/hyperlink" Target="https://importai.substack.com/p/import-ai-365-wmd-benchmark-amazon" TargetMode="External"/><Relationship Id="rId1205" Type="http://schemas.openxmlformats.org/officeDocument/2006/relationships/hyperlink" Target="https://importai.substack.com/p/import-ai-365-wmd-benchmark-amazon" TargetMode="External"/><Relationship Id="rId1206" Type="http://schemas.openxmlformats.org/officeDocument/2006/relationships/hyperlink" Target="https://www.techrepublic.com/article/amazon-bedrock-titan-cloud-artificial-intelligence/" TargetMode="External"/><Relationship Id="rId1207" Type="http://schemas.openxmlformats.org/officeDocument/2006/relationships/hyperlink" Target="https://importai.substack.com/p/import-ai-365-wmd-benchmark-amazon" TargetMode="External"/><Relationship Id="rId1208" Type="http://schemas.openxmlformats.org/officeDocument/2006/relationships/hyperlink" Target="https://6f8173a3550ed441ab.gradio.live/" TargetMode="External"/><Relationship Id="rId1209" Type="http://schemas.openxmlformats.org/officeDocument/2006/relationships/hyperlink" Target="https://arxiv.org/abs/2304.12244" TargetMode="External"/><Relationship Id="rId619" Type="http://schemas.openxmlformats.org/officeDocument/2006/relationships/hyperlink" Target="https://en.wikipedia.org/wiki/Sixth_Column" TargetMode="External"/><Relationship Id="rId618" Type="http://schemas.openxmlformats.org/officeDocument/2006/relationships/hyperlink" Target="https://x.ai/blog/grok-2" TargetMode="External"/><Relationship Id="rId613" Type="http://schemas.openxmlformats.org/officeDocument/2006/relationships/hyperlink" Target="https://arxiv.org/abs/2407.14679" TargetMode="External"/><Relationship Id="rId855" Type="http://schemas.openxmlformats.org/officeDocument/2006/relationships/hyperlink" Target="https://covariant.ai/insights/introducing-rfm-1-giving-robots-human-like-reasoning-capabilities/" TargetMode="External"/><Relationship Id="rId612" Type="http://schemas.openxmlformats.org/officeDocument/2006/relationships/hyperlink" Target="https://huggingface.co/nvidia/Minitron-4B-Base" TargetMode="External"/><Relationship Id="rId854" Type="http://schemas.openxmlformats.org/officeDocument/2006/relationships/hyperlink" Target="https://vimeo.com/921866765" TargetMode="External"/><Relationship Id="rId611" Type="http://schemas.openxmlformats.org/officeDocument/2006/relationships/hyperlink" Target="https://arxiv.org/abs/2407.13833" TargetMode="External"/><Relationship Id="rId853" Type="http://schemas.openxmlformats.org/officeDocument/2006/relationships/hyperlink" Target="https://arxiv.org/abs/2403.09611" TargetMode="External"/><Relationship Id="rId610" Type="http://schemas.openxmlformats.org/officeDocument/2006/relationships/hyperlink" Target="https://huggingface.co/microsoft/Phi-3.5-mini-instruct" TargetMode="External"/><Relationship Id="rId852" Type="http://schemas.openxmlformats.org/officeDocument/2006/relationships/hyperlink" Target="https://substack.recursal.ai/p/eaglex-17t-soaring-past-llama-7b" TargetMode="External"/><Relationship Id="rId617" Type="http://schemas.openxmlformats.org/officeDocument/2006/relationships/hyperlink" Target="https://huggingface.co/xai-org/grok-2" TargetMode="External"/><Relationship Id="rId859" Type="http://schemas.openxmlformats.org/officeDocument/2006/relationships/hyperlink" Target="https://arxiv.org/abs/2403.05525" TargetMode="External"/><Relationship Id="rId616" Type="http://schemas.openxmlformats.org/officeDocument/2006/relationships/hyperlink" Target="https://huggingface.co/sarvamai/sarvam-2b-v0.5" TargetMode="External"/><Relationship Id="rId858" Type="http://schemas.openxmlformats.org/officeDocument/2006/relationships/hyperlink" Target="https://github.com/deepseek-ai/DeepSeek-VL?tab=readme-ov-file" TargetMode="External"/><Relationship Id="rId615" Type="http://schemas.openxmlformats.org/officeDocument/2006/relationships/hyperlink" Target="https://huggingface.co/sarvamai/sarvam-2b-v0.5" TargetMode="External"/><Relationship Id="rId857" Type="http://schemas.openxmlformats.org/officeDocument/2006/relationships/hyperlink" Target="https://txt.cohere.com/command-r/" TargetMode="External"/><Relationship Id="rId614" Type="http://schemas.openxmlformats.org/officeDocument/2006/relationships/hyperlink" Target="https://developer.nvidia.com/blog/how-to-prune-and-distill-llama-3-1-8b-to-an-nvidia-llama-3-1-minitron-4b-model/" TargetMode="External"/><Relationship Id="rId856" Type="http://schemas.openxmlformats.org/officeDocument/2006/relationships/hyperlink" Target="https://os.cohere.ai/playground/large/generate" TargetMode="External"/><Relationship Id="rId851" Type="http://schemas.openxmlformats.org/officeDocument/2006/relationships/hyperlink" Target="https://huggingface.co/recursal/EagleX_1-7T" TargetMode="External"/><Relationship Id="rId850" Type="http://schemas.openxmlformats.org/officeDocument/2006/relationships/hyperlink" Target="https://news.ycombinator.com/item?id=39745700" TargetMode="External"/><Relationship Id="rId1200" Type="http://schemas.openxmlformats.org/officeDocument/2006/relationships/hyperlink" Target="https://www-cnbc-com.cdn.ampproject.org/c/s/www.cnbc.com/amp/2022/03/08/reid-hoffman-has-set-up-a-new-ai-company-with-deepminds-co-founder.html" TargetMode="External"/><Relationship Id="rId1201" Type="http://schemas.openxmlformats.org/officeDocument/2006/relationships/hyperlink" Target="https://huggingface.co/nvidia/GPT-2B-001" TargetMode="External"/><Relationship Id="rId1235" Type="http://schemas.openxmlformats.org/officeDocument/2006/relationships/hyperlink" Target="https://www.cnbc.com/2023/05/16/googles-palm-2-uses-nearly-five-times-more-text-data-than-predecessor.html" TargetMode="External"/><Relationship Id="rId1236" Type="http://schemas.openxmlformats.org/officeDocument/2006/relationships/hyperlink" Target="https://blog.google/technology/health/ai-llm-medpalm-research-thecheckup/" TargetMode="External"/><Relationship Id="rId1237" Type="http://schemas.openxmlformats.org/officeDocument/2006/relationships/hyperlink" Target="https://chat.openai.com/" TargetMode="External"/><Relationship Id="rId1238" Type="http://schemas.openxmlformats.org/officeDocument/2006/relationships/hyperlink" Target="https://lifearchitect.ai/gpt-4" TargetMode="External"/><Relationship Id="rId1239" Type="http://schemas.openxmlformats.org/officeDocument/2006/relationships/hyperlink" Target="https://cdn.openai.com/papers/gpt-4.pdf" TargetMode="External"/><Relationship Id="rId409" Type="http://schemas.openxmlformats.org/officeDocument/2006/relationships/hyperlink" Target="https://threadreaderapp.com/thread/1872318161883959485.html" TargetMode="External"/><Relationship Id="rId404" Type="http://schemas.openxmlformats.org/officeDocument/2006/relationships/hyperlink" Target="https://sonus.ai/blog/sonus-1" TargetMode="External"/><Relationship Id="rId646" Type="http://schemas.openxmlformats.org/officeDocument/2006/relationships/hyperlink" Target="https://mistral.ai/news/codestral-mamba/" TargetMode="External"/><Relationship Id="rId888" Type="http://schemas.openxmlformats.org/officeDocument/2006/relationships/hyperlink" Target="https://mistral.ai/news/mistral-large/" TargetMode="External"/><Relationship Id="rId403" Type="http://schemas.openxmlformats.org/officeDocument/2006/relationships/hyperlink" Target="https://chat.sonus.ai/sonus/" TargetMode="External"/><Relationship Id="rId645" Type="http://schemas.openxmlformats.org/officeDocument/2006/relationships/hyperlink" Target="https://huggingface.co/mistralai/mamba-codestral-7B-v0.1" TargetMode="External"/><Relationship Id="rId887" Type="http://schemas.openxmlformats.org/officeDocument/2006/relationships/hyperlink" Target="https://chat.mistral.ai/chat" TargetMode="External"/><Relationship Id="rId402" Type="http://schemas.openxmlformats.org/officeDocument/2006/relationships/hyperlink" Target="https://metagene.ai/metagene-1-paper.pdf" TargetMode="External"/><Relationship Id="rId644" Type="http://schemas.openxmlformats.org/officeDocument/2006/relationships/hyperlink" Target="https://blogs.nvidia.com/blog/mistral-nvidia-ai-model/" TargetMode="External"/><Relationship Id="rId886" Type="http://schemas.openxmlformats.org/officeDocument/2006/relationships/hyperlink" Target="https://arxiv.org/abs/2402.15627" TargetMode="External"/><Relationship Id="rId401" Type="http://schemas.openxmlformats.org/officeDocument/2006/relationships/hyperlink" Target="https://huggingface.co/metagene-ai" TargetMode="External"/><Relationship Id="rId643" Type="http://schemas.openxmlformats.org/officeDocument/2006/relationships/hyperlink" Target="https://mistral.ai/news/mistral-nemo/" TargetMode="External"/><Relationship Id="rId885" Type="http://schemas.openxmlformats.org/officeDocument/2006/relationships/hyperlink" Target="https://arxiv.org/abs/2402.15627" TargetMode="External"/><Relationship Id="rId408" Type="http://schemas.openxmlformats.org/officeDocument/2006/relationships/hyperlink" Target="https://github.com/deepseek-ai/DeepSeek-V3/blob/main/DeepSeek_V3.pdf" TargetMode="External"/><Relationship Id="rId407" Type="http://schemas.openxmlformats.org/officeDocument/2006/relationships/hyperlink" Target="https://chat.deepseek.com/" TargetMode="External"/><Relationship Id="rId649" Type="http://schemas.openxmlformats.org/officeDocument/2006/relationships/hyperlink" Target="https://arxiv.org/abs/2407.09025v1" TargetMode="External"/><Relationship Id="rId406" Type="http://schemas.openxmlformats.org/officeDocument/2006/relationships/hyperlink" Target="https://arxiv.org/abs/2412.17743" TargetMode="External"/><Relationship Id="rId648" Type="http://schemas.openxmlformats.org/officeDocument/2006/relationships/hyperlink" Target="https://mistral.ai/news/mathstral/" TargetMode="External"/><Relationship Id="rId405" Type="http://schemas.openxmlformats.org/officeDocument/2006/relationships/hyperlink" Target="https://github.com/RUC-GSAI/YuLan-Mini" TargetMode="External"/><Relationship Id="rId647" Type="http://schemas.openxmlformats.org/officeDocument/2006/relationships/hyperlink" Target="https://huggingface.co/mistralai/mathstral-7B-v0.1" TargetMode="External"/><Relationship Id="rId889" Type="http://schemas.openxmlformats.org/officeDocument/2006/relationships/hyperlink" Target="https://poe.com/Mistral-Large" TargetMode="External"/><Relationship Id="rId880" Type="http://schemas.openxmlformats.org/officeDocument/2006/relationships/hyperlink" Target="https://huggingface.co/HuggingFaceTB/cosmo-1b" TargetMode="External"/><Relationship Id="rId1230" Type="http://schemas.openxmlformats.org/officeDocument/2006/relationships/hyperlink" Target="https://www.cerebras.net/blog/cerebras-gpt-a-family-of-open-compute-efficient-large-language-models/" TargetMode="External"/><Relationship Id="rId400" Type="http://schemas.openxmlformats.org/officeDocument/2006/relationships/hyperlink" Target="https://techcrunch.com/2025/01/06/nvidia-releases-its-own-brand-of-world-models/" TargetMode="External"/><Relationship Id="rId642" Type="http://schemas.openxmlformats.org/officeDocument/2006/relationships/hyperlink" Target="https://huggingface.co/mistralai/Mistral-Nemo-Base-2407" TargetMode="External"/><Relationship Id="rId884" Type="http://schemas.openxmlformats.org/officeDocument/2006/relationships/hyperlink" Target="https://arxiv.org/abs/2402.19173" TargetMode="External"/><Relationship Id="rId1231" Type="http://schemas.openxmlformats.org/officeDocument/2006/relationships/hyperlink" Target="https://lifearchitect.ai/chinchilla/" TargetMode="External"/><Relationship Id="rId641" Type="http://schemas.openxmlformats.org/officeDocument/2006/relationships/hyperlink" Target="https://techcrunch.com/2024/07/18/openai-unveils-gpt-4o-mini-a-small-ai-model-powering-chatgpt/" TargetMode="External"/><Relationship Id="rId883" Type="http://schemas.openxmlformats.org/officeDocument/2006/relationships/hyperlink" Target="https://www.silo.ai/blog/viking-7b-13b-33b-sailing-the-nordic-seas-of-multilinguality" TargetMode="External"/><Relationship Id="rId1232" Type="http://schemas.openxmlformats.org/officeDocument/2006/relationships/hyperlink" Target="https://arxiv.org/abs/2303.10845" TargetMode="External"/><Relationship Id="rId640" Type="http://schemas.openxmlformats.org/officeDocument/2006/relationships/hyperlink" Target="https://openai.com/index/gpt-4o-mini-advancing-cost-efficient-intelligence/" TargetMode="External"/><Relationship Id="rId882" Type="http://schemas.openxmlformats.org/officeDocument/2006/relationships/hyperlink" Target="https://huggingface.co/LumiOpen/Poro-34B" TargetMode="External"/><Relationship Id="rId1233" Type="http://schemas.openxmlformats.org/officeDocument/2006/relationships/hyperlink" Target="https://arxiv.org/abs/2303.09752" TargetMode="External"/><Relationship Id="rId881" Type="http://schemas.openxmlformats.org/officeDocument/2006/relationships/hyperlink" Target="https://huggingface.co/blog/cosmopedia" TargetMode="External"/><Relationship Id="rId1234" Type="http://schemas.openxmlformats.org/officeDocument/2006/relationships/hyperlink" Target="https://www.cnbc.com/2023/05/16/googles-palm-2-uses-nearly-five-times-more-text-data-than-predecessor.html" TargetMode="External"/><Relationship Id="rId1224" Type="http://schemas.openxmlformats.org/officeDocument/2006/relationships/hyperlink" Target="https://huggingface.co/openflamingo/OpenFlamingo-9B" TargetMode="External"/><Relationship Id="rId1225" Type="http://schemas.openxmlformats.org/officeDocument/2006/relationships/hyperlink" Target="https://laion.ai/blog/open-flamingo/" TargetMode="External"/><Relationship Id="rId1226" Type="http://schemas.openxmlformats.org/officeDocument/2006/relationships/hyperlink" Target="https://7164d2142d11.ngrok.app/" TargetMode="External"/><Relationship Id="rId1227" Type="http://schemas.openxmlformats.org/officeDocument/2006/relationships/hyperlink" Target="https://github.com/nomic-ai/gpt4all" TargetMode="External"/><Relationship Id="rId1228" Type="http://schemas.openxmlformats.org/officeDocument/2006/relationships/hyperlink" Target="https://s3.amazonaws.com/static.nomic.ai/gpt4all/2023_GPT4All_Technical_Report.pdf" TargetMode="External"/><Relationship Id="rId1229" Type="http://schemas.openxmlformats.org/officeDocument/2006/relationships/hyperlink" Target="https://huggingface.co/cerebras" TargetMode="External"/><Relationship Id="rId635" Type="http://schemas.openxmlformats.org/officeDocument/2006/relationships/hyperlink" Target="https://mistral.ai/news/mistral-large-2407/" TargetMode="External"/><Relationship Id="rId877" Type="http://schemas.openxmlformats.org/officeDocument/2006/relationships/hyperlink" Target="https://sambanova.ai/press/secure-one-trillion-parameter-generative-ai-model-for-the-enterprise" TargetMode="External"/><Relationship Id="rId634" Type="http://schemas.openxmlformats.org/officeDocument/2006/relationships/hyperlink" Target="https://huggingface.co/mistralai/Mistral-Large-Instruct-2407" TargetMode="External"/><Relationship Id="rId876" Type="http://schemas.openxmlformats.org/officeDocument/2006/relationships/hyperlink" Target="https://trysambanova.ai/" TargetMode="External"/><Relationship Id="rId633" Type="http://schemas.openxmlformats.org/officeDocument/2006/relationships/hyperlink" Target="https://developer.nvidia.com/blog/how-to-prune-and-distill-llama-3-1-8b-to-an-nvidia-llama-3-1-minitron-4b-model/" TargetMode="External"/><Relationship Id="rId875" Type="http://schemas.openxmlformats.org/officeDocument/2006/relationships/hyperlink" Target="https://arxiv.org/abs/2402.17764" TargetMode="External"/><Relationship Id="rId632" Type="http://schemas.openxmlformats.org/officeDocument/2006/relationships/hyperlink" Target="https://blogs.nvidia.com/blog/mistral-nemo-minitron-8b-small-language-model/" TargetMode="External"/><Relationship Id="rId874" Type="http://schemas.openxmlformats.org/officeDocument/2006/relationships/hyperlink" Target="https://huggingface.co/1bitLLM/bitnet_b1_58-xl" TargetMode="External"/><Relationship Id="rId639" Type="http://schemas.openxmlformats.org/officeDocument/2006/relationships/hyperlink" Target="https://chatgpt.com/" TargetMode="External"/><Relationship Id="rId638" Type="http://schemas.openxmlformats.org/officeDocument/2006/relationships/hyperlink" Target="https://ai.meta.com/blog/meta-llama-3-1/" TargetMode="External"/><Relationship Id="rId637" Type="http://schemas.openxmlformats.org/officeDocument/2006/relationships/hyperlink" Target="https://ai.meta.com/research/publications/the-llama-3-herd-of-models/" TargetMode="External"/><Relationship Id="rId879" Type="http://schemas.openxmlformats.org/officeDocument/2006/relationships/hyperlink" Target="https://cohere.com/research/aya/aya-model-paper.pdf" TargetMode="External"/><Relationship Id="rId636" Type="http://schemas.openxmlformats.org/officeDocument/2006/relationships/hyperlink" Target="https://www.meta.ai/" TargetMode="External"/><Relationship Id="rId878" Type="http://schemas.openxmlformats.org/officeDocument/2006/relationships/hyperlink" Target="https://huggingface.co/CohereForAI/aya-101" TargetMode="External"/><Relationship Id="rId631" Type="http://schemas.openxmlformats.org/officeDocument/2006/relationships/hyperlink" Target="https://huggingface.co/nvidia/Mistral-NeMo-Minitron-8B-Base" TargetMode="External"/><Relationship Id="rId873" Type="http://schemas.openxmlformats.org/officeDocument/2006/relationships/hyperlink" Target="https://arxiv.org/abs/2402.19427" TargetMode="External"/><Relationship Id="rId1220" Type="http://schemas.openxmlformats.org/officeDocument/2006/relationships/hyperlink" Target="https://blog.character.ai/character-ai/" TargetMode="External"/><Relationship Id="rId630" Type="http://schemas.openxmlformats.org/officeDocument/2006/relationships/hyperlink" Target="https://www.zyphra.com/post/zamba2-small" TargetMode="External"/><Relationship Id="rId872" Type="http://schemas.openxmlformats.org/officeDocument/2006/relationships/hyperlink" Target="https://arxiv.org/abs/2402.19427" TargetMode="External"/><Relationship Id="rId1221" Type="http://schemas.openxmlformats.org/officeDocument/2006/relationships/hyperlink" Target="https://blog.character.ai/character-ai/" TargetMode="External"/><Relationship Id="rId871" Type="http://schemas.openxmlformats.org/officeDocument/2006/relationships/hyperlink" Target="https://arxiv.org/abs/2402.17733" TargetMode="External"/><Relationship Id="rId1222" Type="http://schemas.openxmlformats.org/officeDocument/2006/relationships/hyperlink" Target="https://arxiv.org/abs/2303.17564" TargetMode="External"/><Relationship Id="rId870" Type="http://schemas.openxmlformats.org/officeDocument/2006/relationships/hyperlink" Target="https://unbabel.com/meet-towerllm/" TargetMode="External"/><Relationship Id="rId1223" Type="http://schemas.openxmlformats.org/officeDocument/2006/relationships/hyperlink" Target="https://youtu.be/m2Scj2SO85Y" TargetMode="External"/><Relationship Id="rId1411" Type="http://schemas.openxmlformats.org/officeDocument/2006/relationships/hyperlink" Target="https://huggingface.co/openai-community/openai-gpt" TargetMode="External"/><Relationship Id="rId1412" Type="http://schemas.openxmlformats.org/officeDocument/2006/relationships/hyperlink" Target="https://openai.com/blog/language-unsupervised/" TargetMode="External"/><Relationship Id="rId1413" Type="http://schemas.openxmlformats.org/officeDocument/2006/relationships/hyperlink" Target="https://docs.fast.ai/tutorial.text.html" TargetMode="External"/><Relationship Id="rId1414" Type="http://schemas.openxmlformats.org/officeDocument/2006/relationships/hyperlink" Target="https://web.archive.org/web/20221209081600/https://edrone.me/blog/why-ulmfit-can-still-matter-training-and-inference-times" TargetMode="External"/><Relationship Id="rId1415" Type="http://schemas.openxmlformats.org/officeDocument/2006/relationships/hyperlink" Target="https://arxiv.org/abs/1801.06146" TargetMode="External"/><Relationship Id="rId1416" Type="http://schemas.openxmlformats.org/officeDocument/2006/relationships/hyperlink" Target="https://www.abc.net.au/news/science/2023-11-15/jeremy-howard-taught-ai-to-the-world-and-helped-invent-chatgpt/103092474" TargetMode="External"/><Relationship Id="rId1417" Type="http://schemas.openxmlformats.org/officeDocument/2006/relationships/hyperlink" Target="https://github.com/tensorflow/tensor2tensor?tab=readme-ov-file" TargetMode="External"/><Relationship Id="rId1418" Type="http://schemas.openxmlformats.org/officeDocument/2006/relationships/hyperlink" Target="https://arxiv.org/abs/1706.03762" TargetMode="External"/><Relationship Id="rId1419" Type="http://schemas.openxmlformats.org/officeDocument/2006/relationships/hyperlink" Target="https://github.com/tensorflow/tensor2tensor?tab=readme-ov-file" TargetMode="External"/><Relationship Id="rId829" Type="http://schemas.openxmlformats.org/officeDocument/2006/relationships/hyperlink" Target="https://arxiv.org/abs/2402.17764" TargetMode="External"/><Relationship Id="rId828" Type="http://schemas.openxmlformats.org/officeDocument/2006/relationships/hyperlink" Target="https://huggingface.co/NousResearch/OLMo-Bitnet-1B" TargetMode="External"/><Relationship Id="rId827" Type="http://schemas.openxmlformats.org/officeDocument/2006/relationships/hyperlink" Target="https://www.silo.ai/blog/viking-7b-13b-33b-sailing-the-nordic-seas-of-multilinguality" TargetMode="External"/><Relationship Id="rId822" Type="http://schemas.openxmlformats.org/officeDocument/2006/relationships/hyperlink" Target="https://huggingface.co/jetmoe/jetmoe-8b" TargetMode="External"/><Relationship Id="rId821" Type="http://schemas.openxmlformats.org/officeDocument/2006/relationships/hyperlink" Target="https://www.lepton.ai/playground/chat?model=jetmoe-8b-chat" TargetMode="External"/><Relationship Id="rId820" Type="http://schemas.openxmlformats.org/officeDocument/2006/relationships/hyperlink" Target="https://arxiv.org/abs/2404.03608v1" TargetMode="External"/><Relationship Id="rId826" Type="http://schemas.openxmlformats.org/officeDocument/2006/relationships/hyperlink" Target="https://huggingface.co/CohereForAI/c4ai-command-r-plus" TargetMode="External"/><Relationship Id="rId825" Type="http://schemas.openxmlformats.org/officeDocument/2006/relationships/hyperlink" Target="https://huggingface.co/spaces/CohereForAI/c4ai-command-r-plus" TargetMode="External"/><Relationship Id="rId824" Type="http://schemas.openxmlformats.org/officeDocument/2006/relationships/hyperlink" Target="https://huggingface.co/collections/openbmb/eurus-660bc40bec5376b3adc9d1c5" TargetMode="External"/><Relationship Id="rId823" Type="http://schemas.openxmlformats.org/officeDocument/2006/relationships/hyperlink" Target="https://huggingface.co/collections/openbmb/eurus-660bc40bec5376b3adc9d1c5" TargetMode="External"/><Relationship Id="rId1410" Type="http://schemas.openxmlformats.org/officeDocument/2006/relationships/hyperlink" Target="https://arxiv.org/abs/1810.04805" TargetMode="External"/><Relationship Id="rId1400" Type="http://schemas.openxmlformats.org/officeDocument/2006/relationships/hyperlink" Target="https://arxiv.org/abs/2001.09977" TargetMode="External"/><Relationship Id="rId1401" Type="http://schemas.openxmlformats.org/officeDocument/2006/relationships/hyperlink" Target="https://huggingface.co/google-t5/t5-base" TargetMode="External"/><Relationship Id="rId1402" Type="http://schemas.openxmlformats.org/officeDocument/2006/relationships/hyperlink" Target="https://arxiv.org/abs/1910.10683" TargetMode="External"/><Relationship Id="rId1403" Type="http://schemas.openxmlformats.org/officeDocument/2006/relationships/hyperlink" Target="https://arxiv.org/abs/1909.08053" TargetMode="External"/><Relationship Id="rId1404" Type="http://schemas.openxmlformats.org/officeDocument/2006/relationships/hyperlink" Target="https://huggingface.co/FacebookAI/roberta-large" TargetMode="External"/><Relationship Id="rId1405" Type="http://schemas.openxmlformats.org/officeDocument/2006/relationships/hyperlink" Target="https://arxiv.org/abs/1907.11692" TargetMode="External"/><Relationship Id="rId1406" Type="http://schemas.openxmlformats.org/officeDocument/2006/relationships/hyperlink" Target="https://arxiv.org/pdf/1910.10683.pdf" TargetMode="External"/><Relationship Id="rId1407" Type="http://schemas.openxmlformats.org/officeDocument/2006/relationships/hyperlink" Target="https://huggingface.co/openai-community/gpt2-large" TargetMode="External"/><Relationship Id="rId819" Type="http://schemas.openxmlformats.org/officeDocument/2006/relationships/hyperlink" Target="https://huggingface.co/sail" TargetMode="External"/><Relationship Id="rId1408" Type="http://schemas.openxmlformats.org/officeDocument/2006/relationships/hyperlink" Target="https://openai.com/blog/better-language-models/" TargetMode="External"/><Relationship Id="rId818" Type="http://schemas.openxmlformats.org/officeDocument/2006/relationships/hyperlink" Target="https://mistral.ai/news/mixtral-8x22b/" TargetMode="External"/><Relationship Id="rId1409" Type="http://schemas.openxmlformats.org/officeDocument/2006/relationships/hyperlink" Target="https://huggingface.co/google-bert/bert-base-uncased" TargetMode="External"/><Relationship Id="rId817" Type="http://schemas.openxmlformats.org/officeDocument/2006/relationships/hyperlink" Target="https://huggingface.co/mistral-community/Mixtral-8x22B-v0.1" TargetMode="External"/><Relationship Id="rId816" Type="http://schemas.openxmlformats.org/officeDocument/2006/relationships/hyperlink" Target="https://arxiv.org/abs/2404.05719" TargetMode="External"/><Relationship Id="rId811" Type="http://schemas.openxmlformats.org/officeDocument/2006/relationships/hyperlink" Target="https://cdn.openai.com/papers/gpt-4.pdf" TargetMode="External"/><Relationship Id="rId810" Type="http://schemas.openxmlformats.org/officeDocument/2006/relationships/hyperlink" Target="https://chat.openai.com/" TargetMode="External"/><Relationship Id="rId815" Type="http://schemas.openxmlformats.org/officeDocument/2006/relationships/hyperlink" Target="https://github.com/apple/ml-ferret" TargetMode="External"/><Relationship Id="rId814" Type="http://schemas.openxmlformats.org/officeDocument/2006/relationships/hyperlink" Target="https://arxiv.org/abs/2404.06395" TargetMode="External"/><Relationship Id="rId813" Type="http://schemas.openxmlformats.org/officeDocument/2006/relationships/hyperlink" Target="https://github.com/OpenBMB/MiniCPM/" TargetMode="External"/><Relationship Id="rId812" Type="http://schemas.openxmlformats.org/officeDocument/2006/relationships/hyperlink" Target="https://twitter.com/EpochAIResearch/status/1778463039932584205" TargetMode="External"/><Relationship Id="rId609" Type="http://schemas.openxmlformats.org/officeDocument/2006/relationships/hyperlink" Target="https://arxiv.org/abs/2407.13833https://arxiv.org/abs/2407.13833" TargetMode="External"/><Relationship Id="rId608" Type="http://schemas.openxmlformats.org/officeDocument/2006/relationships/hyperlink" Target="https://huggingface.co/microsoft/Phi-3.5-MoE-instruct" TargetMode="External"/><Relationship Id="rId607" Type="http://schemas.openxmlformats.org/officeDocument/2006/relationships/hyperlink" Target="https://arxiv.org/abs/2408.12570" TargetMode="External"/><Relationship Id="rId849" Type="http://schemas.openxmlformats.org/officeDocument/2006/relationships/hyperlink" Target="https://colab.research.google.com/drive/1gI8CM9Bz9ov0-E6aL2jF808rE56UtZyF?usp=sharing" TargetMode="External"/><Relationship Id="rId602" Type="http://schemas.openxmlformats.org/officeDocument/2006/relationships/hyperlink" Target="https://huggingface.co/Aleph-Alpha/Pharia-1-LLM-7B-control" TargetMode="External"/><Relationship Id="rId844" Type="http://schemas.openxmlformats.org/officeDocument/2006/relationships/hyperlink" Target="https://huggingface.co/SakanaAI/EvoLLM-JP-v1-10B" TargetMode="External"/><Relationship Id="rId601" Type="http://schemas.openxmlformats.org/officeDocument/2006/relationships/hyperlink" Target="https://x.com/OfficialLoganK/status/1828480085353234535." TargetMode="External"/><Relationship Id="rId843" Type="http://schemas.openxmlformats.org/officeDocument/2006/relationships/hyperlink" Target="https://stability.ai/news/introducing-stable-code-instruct-3b" TargetMode="External"/><Relationship Id="rId600" Type="http://schemas.openxmlformats.org/officeDocument/2006/relationships/hyperlink" Target="https://arxiv.org/abs/2403.05530" TargetMode="External"/><Relationship Id="rId842" Type="http://schemas.openxmlformats.org/officeDocument/2006/relationships/hyperlink" Target="https://huggingface.co/stabilityai/stable-code-instruct-3b" TargetMode="External"/><Relationship Id="rId841" Type="http://schemas.openxmlformats.org/officeDocument/2006/relationships/hyperlink" Target="https://www.databricks.com/blog/introducing-dbrx-new-state-art-open-llm" TargetMode="External"/><Relationship Id="rId606" Type="http://schemas.openxmlformats.org/officeDocument/2006/relationships/hyperlink" Target="https://huggingface.co/collections/ai21labs/jamba-15-66c44befa474a917fcf55251" TargetMode="External"/><Relationship Id="rId848" Type="http://schemas.openxmlformats.org/officeDocument/2006/relationships/hyperlink" Target="https://arxiv.org/abs/2403.15484" TargetMode="External"/><Relationship Id="rId605" Type="http://schemas.openxmlformats.org/officeDocument/2006/relationships/hyperlink" Target="https://arxiv.org/abs/2407.04620" TargetMode="External"/><Relationship Id="rId847" Type="http://schemas.openxmlformats.org/officeDocument/2006/relationships/hyperlink" Target="https://huggingface.co/Rakuten/RakutenAI-7B" TargetMode="External"/><Relationship Id="rId604" Type="http://schemas.openxmlformats.org/officeDocument/2006/relationships/hyperlink" Target="https://github.com/test-time-training/ttt-lm-jax" TargetMode="External"/><Relationship Id="rId846" Type="http://schemas.openxmlformats.org/officeDocument/2006/relationships/hyperlink" Target="https://sakana.ai/evolutionary-model-merge/" TargetMode="External"/><Relationship Id="rId603" Type="http://schemas.openxmlformats.org/officeDocument/2006/relationships/hyperlink" Target="https://aleph-alpha.com/introducing-pharia-1-llm-transparent-and-compliant/" TargetMode="External"/><Relationship Id="rId845" Type="http://schemas.openxmlformats.org/officeDocument/2006/relationships/hyperlink" Target="https://twitter.com/Teknium1/status/1707049931041890597" TargetMode="External"/><Relationship Id="rId840" Type="http://schemas.openxmlformats.org/officeDocument/2006/relationships/hyperlink" Target="https://huggingface.co/spaces/databricks/dbrx-instruct" TargetMode="External"/><Relationship Id="rId1423" Type="http://schemas.openxmlformats.org/officeDocument/2006/relationships/table" Target="../tables/table1.xml"/><Relationship Id="rId839" Type="http://schemas.openxmlformats.org/officeDocument/2006/relationships/hyperlink" Target="https://arxiv.org/abs/2403.19887" TargetMode="External"/><Relationship Id="rId838" Type="http://schemas.openxmlformats.org/officeDocument/2006/relationships/hyperlink" Target="https://arxiv.org/abs/2403.19887" TargetMode="External"/><Relationship Id="rId833" Type="http://schemas.openxmlformats.org/officeDocument/2006/relationships/hyperlink" Target="https://qwenlm.github.io/blog/qwen-moe/" TargetMode="External"/><Relationship Id="rId832" Type="http://schemas.openxmlformats.org/officeDocument/2006/relationships/hyperlink" Target="https://arxiv.org/abs/2403.20329" TargetMode="External"/><Relationship Id="rId831" Type="http://schemas.openxmlformats.org/officeDocument/2006/relationships/hyperlink" Target="https://arxiv.org/abs/2404.00399" TargetMode="External"/><Relationship Id="rId830" Type="http://schemas.openxmlformats.org/officeDocument/2006/relationships/hyperlink" Target="https://huggingface.co/collections/aurora-m/aurora-m-models-65fdfdff62471e09812f5407" TargetMode="External"/><Relationship Id="rId837" Type="http://schemas.openxmlformats.org/officeDocument/2006/relationships/hyperlink" Target="https://huggingface.co/ai21labs/Jamba-v0.1" TargetMode="External"/><Relationship Id="rId836" Type="http://schemas.openxmlformats.org/officeDocument/2006/relationships/hyperlink" Target="https://x.ai/blog/grok-1.5" TargetMode="External"/><Relationship Id="rId835" Type="http://schemas.openxmlformats.org/officeDocument/2006/relationships/hyperlink" Target="https://grok.x.ai/" TargetMode="External"/><Relationship Id="rId834" Type="http://schemas.openxmlformats.org/officeDocument/2006/relationships/hyperlink" Target="https://qwenlm.github.io/blog/qwen-moe/" TargetMode="External"/><Relationship Id="rId1420" Type="http://schemas.openxmlformats.org/officeDocument/2006/relationships/hyperlink" Target="https://arxiv.org/abs/1706.03762" TargetMode="External"/><Relationship Id="rId1421" Type="http://schemas.openxmlformats.org/officeDocument/2006/relationships/drawing" Target="../drawings/drawing1.xml"/><Relationship Id="rId1059" Type="http://schemas.openxmlformats.org/officeDocument/2006/relationships/hyperlink" Target="https://lifearchitect.ai/pathways/" TargetMode="External"/><Relationship Id="rId228" Type="http://schemas.openxmlformats.org/officeDocument/2006/relationships/hyperlink" Target="https://huggingface.co/THUDM/GLM-Z1-32B-0414" TargetMode="External"/><Relationship Id="rId227" Type="http://schemas.openxmlformats.org/officeDocument/2006/relationships/hyperlink" Target="https://www.ibm.com/new/announcements/ibm-granite-3-3-speech-recognition-refined-reasoning-rag-loras" TargetMode="External"/><Relationship Id="rId469" Type="http://schemas.openxmlformats.org/officeDocument/2006/relationships/hyperlink" Target="https://assets.amazon.science/9f/a3/ae41627f4ab2bde091f1ebc6b830/the-amazon-nova-family-of-models-technical-report-and-model-card.pdf" TargetMode="External"/><Relationship Id="rId226" Type="http://schemas.openxmlformats.org/officeDocument/2006/relationships/hyperlink" Target="https://huggingface.co/ibm-granite/granite-3.3-8b-instruct" TargetMode="External"/><Relationship Id="rId468" Type="http://schemas.openxmlformats.org/officeDocument/2006/relationships/hyperlink" Target="https://www.amazon.science/publications/the-amazon-nova-family-of-models-technical-report-and-model-card" TargetMode="External"/><Relationship Id="rId225" Type="http://schemas.openxmlformats.org/officeDocument/2006/relationships/hyperlink" Target="https://arxiv.org/abs/2504.12285" TargetMode="External"/><Relationship Id="rId467" Type="http://schemas.openxmlformats.org/officeDocument/2006/relationships/hyperlink" Target="https://aws.amazon.com/bedrock/" TargetMode="External"/><Relationship Id="rId1290" Type="http://schemas.openxmlformats.org/officeDocument/2006/relationships/hyperlink" Target="https://arxiv.org/abs/2210.11416" TargetMode="External"/><Relationship Id="rId1291" Type="http://schemas.openxmlformats.org/officeDocument/2006/relationships/hyperlink" Target="https://arxiv.org/abs/2210.11399" TargetMode="External"/><Relationship Id="rId229" Type="http://schemas.openxmlformats.org/officeDocument/2006/relationships/hyperlink" Target="https://github.com/THUDM/GLM-4/tree/main?tab=readme-ov-file" TargetMode="External"/><Relationship Id="rId1050" Type="http://schemas.openxmlformats.org/officeDocument/2006/relationships/hyperlink" Target="https://arxiv.org/abs/2307.11224" TargetMode="External"/><Relationship Id="rId1292" Type="http://schemas.openxmlformats.org/officeDocument/2006/relationships/hyperlink" Target="https://vimalabs.github.io/" TargetMode="External"/><Relationship Id="rId220" Type="http://schemas.openxmlformats.org/officeDocument/2006/relationships/hyperlink" Target="https://openai.com/index/introducing-o3-and-o4-mini/" TargetMode="External"/><Relationship Id="rId462" Type="http://schemas.openxmlformats.org/officeDocument/2006/relationships/hyperlink" Target="https://huggingface.co/blog/Pclanglais/common-models" TargetMode="External"/><Relationship Id="rId1051" Type="http://schemas.openxmlformats.org/officeDocument/2006/relationships/hyperlink" Target="https://huggingface.co/adept/fuyu-8b" TargetMode="External"/><Relationship Id="rId1293" Type="http://schemas.openxmlformats.org/officeDocument/2006/relationships/hyperlink" Target="https://arxiv.org/abs/2210.03094" TargetMode="External"/><Relationship Id="rId461" Type="http://schemas.openxmlformats.org/officeDocument/2006/relationships/hyperlink" Target="https://huggingface.co/PleIAs/Pleias-3b-Preview" TargetMode="External"/><Relationship Id="rId1052" Type="http://schemas.openxmlformats.org/officeDocument/2006/relationships/hyperlink" Target="https://www.adept.ai/blog/fuyu-8b" TargetMode="External"/><Relationship Id="rId1294" Type="http://schemas.openxmlformats.org/officeDocument/2006/relationships/hyperlink" Target="https://huggingface.co/openchat/openchat_3.5" TargetMode="External"/><Relationship Id="rId460" Type="http://schemas.openxmlformats.org/officeDocument/2006/relationships/hyperlink" Target="https://sea-sailor.github.io/blog/sailor2/" TargetMode="External"/><Relationship Id="rId1053" Type="http://schemas.openxmlformats.org/officeDocument/2006/relationships/hyperlink" Target="https://yiyan.baidu.com/" TargetMode="External"/><Relationship Id="rId1295" Type="http://schemas.openxmlformats.org/officeDocument/2006/relationships/hyperlink" Target="https://arxiv.org/abs/2309.11235" TargetMode="External"/><Relationship Id="rId1054" Type="http://schemas.openxmlformats.org/officeDocument/2006/relationships/hyperlink" Target="https://reuters.com/technology/chinas-baidu-unveils-latest-version-its-ernie-ai-model-2023-10-17/" TargetMode="External"/><Relationship Id="rId1296" Type="http://schemas.openxmlformats.org/officeDocument/2006/relationships/hyperlink" Target="https://welm.weixin.qq.com/docs/playground/" TargetMode="External"/><Relationship Id="rId224" Type="http://schemas.openxmlformats.org/officeDocument/2006/relationships/hyperlink" Target="https://huggingface.co/microsoft/bitnet-b1.58-2B-4T-gguf" TargetMode="External"/><Relationship Id="rId466" Type="http://schemas.openxmlformats.org/officeDocument/2006/relationships/hyperlink" Target="https://cdn.openai.com/o1-system-card-20241205.pdf" TargetMode="External"/><Relationship Id="rId1055" Type="http://schemas.openxmlformats.org/officeDocument/2006/relationships/hyperlink" Target="https://huggingface.co/HuggingFaceH4/zephyr-7b-alpha" TargetMode="External"/><Relationship Id="rId1297" Type="http://schemas.openxmlformats.org/officeDocument/2006/relationships/hyperlink" Target="https://arxiv.org/abs/2209.10372" TargetMode="External"/><Relationship Id="rId223" Type="http://schemas.openxmlformats.org/officeDocument/2006/relationships/hyperlink" Target="https://openai.com/index/introducing-o3-and-o4-mini/" TargetMode="External"/><Relationship Id="rId465" Type="http://schemas.openxmlformats.org/officeDocument/2006/relationships/hyperlink" Target="https://openai.com/index/introducing-chatgpt-pro/" TargetMode="External"/><Relationship Id="rId1056" Type="http://schemas.openxmlformats.org/officeDocument/2006/relationships/hyperlink" Target="https://twitter.com/Teknium1/status/1707049931041890597" TargetMode="External"/><Relationship Id="rId1298" Type="http://schemas.openxmlformats.org/officeDocument/2006/relationships/hyperlink" Target="https://github.com/THUDM/CodeGeeX" TargetMode="External"/><Relationship Id="rId222" Type="http://schemas.openxmlformats.org/officeDocument/2006/relationships/hyperlink" Target="https://cdn.openai.com/pdf/2221c875-02dc-4789-800b-e7758f3722c1/o3-and-o4-mini-system-card.pdf" TargetMode="External"/><Relationship Id="rId464" Type="http://schemas.openxmlformats.org/officeDocument/2006/relationships/hyperlink" Target="https://x.com/koltregaskes/status/1834723044931125676" TargetMode="External"/><Relationship Id="rId1057" Type="http://schemas.openxmlformats.org/officeDocument/2006/relationships/hyperlink" Target="https://huggingface.co/HuggingFaceH4/zephyr-7b-alpha" TargetMode="External"/><Relationship Id="rId1299" Type="http://schemas.openxmlformats.org/officeDocument/2006/relationships/hyperlink" Target="https://storage.googleapis.com/deepmind-media/DeepMind.com/Authors-Notes/sparrow/sparrow-final.pdf" TargetMode="External"/><Relationship Id="rId221" Type="http://schemas.openxmlformats.org/officeDocument/2006/relationships/hyperlink" Target="https://chatgpt.com/?model=o3" TargetMode="External"/><Relationship Id="rId463" Type="http://schemas.openxmlformats.org/officeDocument/2006/relationships/hyperlink" Target="https://chatgpt.com/" TargetMode="External"/><Relationship Id="rId1058" Type="http://schemas.openxmlformats.org/officeDocument/2006/relationships/hyperlink" Target="https://arxiv.org/abs/2310.09199" TargetMode="External"/><Relationship Id="rId1048" Type="http://schemas.openxmlformats.org/officeDocument/2006/relationships/hyperlink" Target="https://jina.ai/news/jina-ai-launches-worlds-first-open-source-8k-text-embedding-rivaling-openai/" TargetMode="External"/><Relationship Id="rId1049" Type="http://schemas.openxmlformats.org/officeDocument/2006/relationships/hyperlink" Target="https://huggingface.co/jinaai/jina-embeddings-v2-base-en?ref=jina-ai-gmbh.ghost.io" TargetMode="External"/><Relationship Id="rId217" Type="http://schemas.openxmlformats.org/officeDocument/2006/relationships/hyperlink" Target="https://lifearchitect.ai/watermarking/" TargetMode="External"/><Relationship Id="rId459" Type="http://schemas.openxmlformats.org/officeDocument/2006/relationships/hyperlink" Target="https://sea-sailor.github.io/blog/sailor2/" TargetMode="External"/><Relationship Id="rId216" Type="http://schemas.openxmlformats.org/officeDocument/2006/relationships/hyperlink" Target="https://deepmind.google/technologies/gemini/flash/" TargetMode="External"/><Relationship Id="rId458" Type="http://schemas.openxmlformats.org/officeDocument/2006/relationships/hyperlink" Target="https://huggingface.co/spaces/sail/Sailor2-20B-Chat" TargetMode="External"/><Relationship Id="rId215" Type="http://schemas.openxmlformats.org/officeDocument/2006/relationships/hyperlink" Target="https://aistudio.google.com/prompts/new_chat?model=gemini-2.5-flash-preview-04-17&amp;utm_source=deepmind.google&amp;utm_medium=referral&amp;utm_campaign=gdm&amp;utm_content=" TargetMode="External"/><Relationship Id="rId457" Type="http://schemas.openxmlformats.org/officeDocument/2006/relationships/hyperlink" Target="https://huggingface.co/ruliad/deepthought-8b-llama-v0.01-alpha" TargetMode="External"/><Relationship Id="rId699" Type="http://schemas.openxmlformats.org/officeDocument/2006/relationships/hyperlink" Target="https://build.nvidia.com/nvidia/nemotron-4-340b-instruct" TargetMode="External"/><Relationship Id="rId214" Type="http://schemas.openxmlformats.org/officeDocument/2006/relationships/hyperlink" Target="https://techcommunity.microsoft.com/blog/machinelearningblog/introducing-mai-ds-r1/4405076" TargetMode="External"/><Relationship Id="rId456" Type="http://schemas.openxmlformats.org/officeDocument/2006/relationships/hyperlink" Target="https://chat.ruliad.co/" TargetMode="External"/><Relationship Id="rId698" Type="http://schemas.openxmlformats.org/officeDocument/2006/relationships/hyperlink" Target="https://datacomp.ai/dclm." TargetMode="External"/><Relationship Id="rId219" Type="http://schemas.openxmlformats.org/officeDocument/2006/relationships/hyperlink" Target="https://cdn.openai.com/pdf/2221c875-02dc-4789-800b-e7758f3722c1/o3-and-o4-mini-system-card.pdf" TargetMode="External"/><Relationship Id="rId1280" Type="http://schemas.openxmlformats.org/officeDocument/2006/relationships/hyperlink" Target="https://galactica.org/static/paper.pdf" TargetMode="External"/><Relationship Id="rId218" Type="http://schemas.openxmlformats.org/officeDocument/2006/relationships/hyperlink" Target="https://chatgpt.com/?model=o4-mini-high" TargetMode="External"/><Relationship Id="rId1281" Type="http://schemas.openxmlformats.org/officeDocument/2006/relationships/hyperlink" Target="https://arxiv.org/abs/2211.04236" TargetMode="External"/><Relationship Id="rId451" Type="http://schemas.openxmlformats.org/officeDocument/2006/relationships/hyperlink" Target="https://github.com/OpenGVLab/InternVL" TargetMode="External"/><Relationship Id="rId693" Type="http://schemas.openxmlformats.org/officeDocument/2006/relationships/hyperlink" Target="https://www-cdn.anthropic.com/fed9cc193a14b84131812372d8d5857f8f304c52/Model_Card_Claude_3_Addendum.pdf" TargetMode="External"/><Relationship Id="rId1040" Type="http://schemas.openxmlformats.org/officeDocument/2006/relationships/hyperlink" Target="https://twitter.com/kaifulee/status/1724673131875377465" TargetMode="External"/><Relationship Id="rId1282" Type="http://schemas.openxmlformats.org/officeDocument/2006/relationships/hyperlink" Target="https://github.com/bigscience-workshop/xmtf" TargetMode="External"/><Relationship Id="rId450" Type="http://schemas.openxmlformats.org/officeDocument/2006/relationships/hyperlink" Target="https://arxiv.org/abs/2412.05271" TargetMode="External"/><Relationship Id="rId692" Type="http://schemas.openxmlformats.org/officeDocument/2006/relationships/hyperlink" Target="https://www.anthropic.com/news/claude-3-5-sonnet" TargetMode="External"/><Relationship Id="rId1041" Type="http://schemas.openxmlformats.org/officeDocument/2006/relationships/hyperlink" Target="https://chat.openai.com/" TargetMode="External"/><Relationship Id="rId1283" Type="http://schemas.openxmlformats.org/officeDocument/2006/relationships/hyperlink" Target="https://arxiv.org/abs/2211.01786" TargetMode="External"/><Relationship Id="rId691" Type="http://schemas.openxmlformats.org/officeDocument/2006/relationships/hyperlink" Target="https://poe.com/Claude-3.5-Sonnet" TargetMode="External"/><Relationship Id="rId1042" Type="http://schemas.openxmlformats.org/officeDocument/2006/relationships/hyperlink" Target="https://cdn.openai.com/papers/gpt-4.pdf" TargetMode="External"/><Relationship Id="rId1284" Type="http://schemas.openxmlformats.org/officeDocument/2006/relationships/hyperlink" Target="https://github.com/bigscience-workshop/xmtf" TargetMode="External"/><Relationship Id="rId690" Type="http://schemas.openxmlformats.org/officeDocument/2006/relationships/hyperlink" Target="https://x.com/faridofanani96/status/1804079517193113850/photo/1" TargetMode="External"/><Relationship Id="rId1043" Type="http://schemas.openxmlformats.org/officeDocument/2006/relationships/hyperlink" Target="https://openai.com/blog/new-models-and-developer-products-announced-at-devday" TargetMode="External"/><Relationship Id="rId1285" Type="http://schemas.openxmlformats.org/officeDocument/2006/relationships/hyperlink" Target="https://arxiv.org/abs/2211.01786" TargetMode="External"/><Relationship Id="rId213" Type="http://schemas.openxmlformats.org/officeDocument/2006/relationships/hyperlink" Target="https://huggingface.co/microsoft/MAI-DS-R1" TargetMode="External"/><Relationship Id="rId455" Type="http://schemas.openxmlformats.org/officeDocument/2006/relationships/hyperlink" Target="https://arxiv.org/abs/2412.04862" TargetMode="External"/><Relationship Id="rId697" Type="http://schemas.openxmlformats.org/officeDocument/2006/relationships/hyperlink" Target="https://arxiv.org/abs/2406.11794" TargetMode="External"/><Relationship Id="rId1044" Type="http://schemas.openxmlformats.org/officeDocument/2006/relationships/hyperlink" Target="https://arxiv.org/abs/2310.07707" TargetMode="External"/><Relationship Id="rId1286" Type="http://schemas.openxmlformats.org/officeDocument/2006/relationships/hyperlink" Target="https://github.com/microsoft/PACT" TargetMode="External"/><Relationship Id="rId212" Type="http://schemas.openxmlformats.org/officeDocument/2006/relationships/hyperlink" Target="https://x.com/Baidu_Inc/status/1915603080336597310" TargetMode="External"/><Relationship Id="rId454" Type="http://schemas.openxmlformats.org/officeDocument/2006/relationships/hyperlink" Target="https://huggingface.co/collections/LGAI-EXAONE/exaone-35-674d0e1bb3dcd2ab6f39dbb4" TargetMode="External"/><Relationship Id="rId696" Type="http://schemas.openxmlformats.org/officeDocument/2006/relationships/hyperlink" Target="https://huggingface.co/apple/DCLM-Baseline-7B" TargetMode="External"/><Relationship Id="rId1045" Type="http://schemas.openxmlformats.org/officeDocument/2006/relationships/hyperlink" Target="https://arxiv.org/abs/2310.19341" TargetMode="External"/><Relationship Id="rId1287" Type="http://schemas.openxmlformats.org/officeDocument/2006/relationships/hyperlink" Target="https://arxiv.org/abs/2209.11133" TargetMode="External"/><Relationship Id="rId211" Type="http://schemas.openxmlformats.org/officeDocument/2006/relationships/hyperlink" Target="https://www.prnewswire.com/news-releases/baidu-launches-ernie-4-5-turbo-ernie-x1-turbo-and-new-suite-of-ai-tools-to-empower-developers-and-supercharge-ai-innovation-302438584.html" TargetMode="External"/><Relationship Id="rId453" Type="http://schemas.openxmlformats.org/officeDocument/2006/relationships/hyperlink" Target="https://github.com/meta-llama/llama-models/blob/main/models/llama3_3/MODEL_CARD.md" TargetMode="External"/><Relationship Id="rId695" Type="http://schemas.openxmlformats.org/officeDocument/2006/relationships/hyperlink" Target="https://github.com/deepseek-ai/DeepSeek-Coder-V2/blob/main/paper.pdf" TargetMode="External"/><Relationship Id="rId1046" Type="http://schemas.openxmlformats.org/officeDocument/2006/relationships/hyperlink" Target="https://kimi.moonshot.cn/" TargetMode="External"/><Relationship Id="rId1288" Type="http://schemas.openxmlformats.org/officeDocument/2006/relationships/hyperlink" Target="https://textsynth.com/completion.html" TargetMode="External"/><Relationship Id="rId210" Type="http://schemas.openxmlformats.org/officeDocument/2006/relationships/hyperlink" Target="https://www.prnewswire.com/news-releases/baidu-launches-ernie-4-5-turbo-ernie-x1-turbo-and-new-suite-of-ai-tools-to-empower-developers-and-supercharge-ai-innovation-302438584.html" TargetMode="External"/><Relationship Id="rId452" Type="http://schemas.openxmlformats.org/officeDocument/2006/relationships/hyperlink" Target="https://www.meta.ai/" TargetMode="External"/><Relationship Id="rId694" Type="http://schemas.openxmlformats.org/officeDocument/2006/relationships/hyperlink" Target="https://chat.deepseek.com/coder" TargetMode="External"/><Relationship Id="rId1047" Type="http://schemas.openxmlformats.org/officeDocument/2006/relationships/hyperlink" Target="https://www.chinadaily.com.cn/a/202403/22/WS65fce476a31082fc043be1b1.html" TargetMode="External"/><Relationship Id="rId1289" Type="http://schemas.openxmlformats.org/officeDocument/2006/relationships/hyperlink" Target="https://arxiv.org/abs/2210.11416" TargetMode="External"/><Relationship Id="rId491" Type="http://schemas.openxmlformats.org/officeDocument/2006/relationships/hyperlink" Target="https://lifearchitect.ai/o1/" TargetMode="External"/><Relationship Id="rId490" Type="http://schemas.openxmlformats.org/officeDocument/2006/relationships/hyperlink" Target="https://chat.com/" TargetMode="External"/><Relationship Id="rId249" Type="http://schemas.openxmlformats.org/officeDocument/2006/relationships/hyperlink" Target="https://huggingface.co/nvidia/Nemotron-H-56B-Base-8K" TargetMode="External"/><Relationship Id="rId248" Type="http://schemas.openxmlformats.org/officeDocument/2006/relationships/hyperlink" Target="https://arxiv.org/abs/2504.07866" TargetMode="External"/><Relationship Id="rId247" Type="http://schemas.openxmlformats.org/officeDocument/2006/relationships/hyperlink" Target="https://x.com/hbouammar/status/1911370093516185771" TargetMode="External"/><Relationship Id="rId489" Type="http://schemas.openxmlformats.org/officeDocument/2006/relationships/hyperlink" Target="https://allenai.org/papers/tulu-3-report.pdf" TargetMode="External"/><Relationship Id="rId1070" Type="http://schemas.openxmlformats.org/officeDocument/2006/relationships/hyperlink" Target="https://robotics-transformer-x.github.io/" TargetMode="External"/><Relationship Id="rId1071" Type="http://schemas.openxmlformats.org/officeDocument/2006/relationships/hyperlink" Target="https://robotics-transformer-x.github.io/paper.pdf" TargetMode="External"/><Relationship Id="rId1072" Type="http://schemas.openxmlformats.org/officeDocument/2006/relationships/hyperlink" Target="https://arxiv.org/abs/2309.16534" TargetMode="External"/><Relationship Id="rId242" Type="http://schemas.openxmlformats.org/officeDocument/2006/relationships/hyperlink" Target="https://hkunlp.github.io/blog/2025/dream/" TargetMode="External"/><Relationship Id="rId484" Type="http://schemas.openxmlformats.org/officeDocument/2006/relationships/hyperlink" Target="https://kimi.moonshot.cn/" TargetMode="External"/><Relationship Id="rId1073" Type="http://schemas.openxmlformats.org/officeDocument/2006/relationships/hyperlink" Target="https://youtu.be/jrMMNmN21I8?t=1560" TargetMode="External"/><Relationship Id="rId241" Type="http://schemas.openxmlformats.org/officeDocument/2006/relationships/hyperlink" Target="https://github.com/HKUNLP/Dream" TargetMode="External"/><Relationship Id="rId483" Type="http://schemas.openxmlformats.org/officeDocument/2006/relationships/hyperlink" Target="https://arxiv.org/abs/2411.11843" TargetMode="External"/><Relationship Id="rId1074" Type="http://schemas.openxmlformats.org/officeDocument/2006/relationships/hyperlink" Target="https://wayve.ai/thinking/scaling-gaia-1/" TargetMode="External"/><Relationship Id="rId240" Type="http://schemas.openxmlformats.org/officeDocument/2006/relationships/hyperlink" Target="https://github.com/ByteDance-Seed/Seed-Thinking-v1.5" TargetMode="External"/><Relationship Id="rId482" Type="http://schemas.openxmlformats.org/officeDocument/2006/relationships/hyperlink" Target="https://huggingface.co/allenai/OLMo-2-1124-13B" TargetMode="External"/><Relationship Id="rId1075" Type="http://schemas.openxmlformats.org/officeDocument/2006/relationships/hyperlink" Target="https://arxiv.org/abs/2309.17080" TargetMode="External"/><Relationship Id="rId481" Type="http://schemas.openxmlformats.org/officeDocument/2006/relationships/hyperlink" Target="https://arxiv.org/abs/2501.00656" TargetMode="External"/><Relationship Id="rId1076" Type="http://schemas.openxmlformats.org/officeDocument/2006/relationships/hyperlink" Target="https://huggingface.co/Qwen" TargetMode="External"/><Relationship Id="rId246" Type="http://schemas.openxmlformats.org/officeDocument/2006/relationships/hyperlink" Target="https://www.together.ai/blog/deepcoder" TargetMode="External"/><Relationship Id="rId488" Type="http://schemas.openxmlformats.org/officeDocument/2006/relationships/hyperlink" Target="https://playground.allenai.org/" TargetMode="External"/><Relationship Id="rId1077" Type="http://schemas.openxmlformats.org/officeDocument/2006/relationships/hyperlink" Target="https://arxiv.org/abs/2309.16609" TargetMode="External"/><Relationship Id="rId245" Type="http://schemas.openxmlformats.org/officeDocument/2006/relationships/hyperlink" Target="https://www.together.ai/blog/deepcoder" TargetMode="External"/><Relationship Id="rId487" Type="http://schemas.openxmlformats.org/officeDocument/2006/relationships/hyperlink" Target="https://arxiv.org/abs/2411.14405" TargetMode="External"/><Relationship Id="rId1078" Type="http://schemas.openxmlformats.org/officeDocument/2006/relationships/hyperlink" Target="https://arxiv.org/abs/2309.16039" TargetMode="External"/><Relationship Id="rId244" Type="http://schemas.openxmlformats.org/officeDocument/2006/relationships/hyperlink" Target="https://arxiv.org/abs/2504.06214" TargetMode="External"/><Relationship Id="rId486" Type="http://schemas.openxmlformats.org/officeDocument/2006/relationships/hyperlink" Target="https://huggingface.co/AIDC-AI/Marco-o1" TargetMode="External"/><Relationship Id="rId1079" Type="http://schemas.openxmlformats.org/officeDocument/2006/relationships/hyperlink" Target="https://huggingface.co/LeoLM/leo-hessianai-13b" TargetMode="External"/><Relationship Id="rId243" Type="http://schemas.openxmlformats.org/officeDocument/2006/relationships/hyperlink" Target="https://huggingface.co/nvidia/Llama-3.1-8B-UltraLong-4M-Instruct" TargetMode="External"/><Relationship Id="rId485" Type="http://schemas.openxmlformats.org/officeDocument/2006/relationships/hyperlink" Target="https://www.globaltimes.cn/page/202411/1323248.shtml" TargetMode="External"/><Relationship Id="rId480" Type="http://schemas.openxmlformats.org/officeDocument/2006/relationships/hyperlink" Target="https://huggingface.co/collections/allenai/olmo-2-674117b93ab84e98afc72edc" TargetMode="External"/><Relationship Id="rId239" Type="http://schemas.openxmlformats.org/officeDocument/2006/relationships/hyperlink" Target="https://github.com/ByteDance-Seed/Seed-Thinking-v1.5" TargetMode="External"/><Relationship Id="rId238" Type="http://schemas.openxmlformats.org/officeDocument/2006/relationships/hyperlink" Target="https://huggingface.co/ServiceNow-AI/Apriel-5B-Instruct" TargetMode="External"/><Relationship Id="rId237" Type="http://schemas.openxmlformats.org/officeDocument/2006/relationships/hyperlink" Target="https://huggingface.co/ServiceNow-AI/Apriel-5B-Instruct" TargetMode="External"/><Relationship Id="rId479" Type="http://schemas.openxmlformats.org/officeDocument/2006/relationships/hyperlink" Target="https://opengpt-x.de/models/teuken-7b-de/" TargetMode="External"/><Relationship Id="rId236" Type="http://schemas.openxmlformats.org/officeDocument/2006/relationships/hyperlink" Target="https://blog.google/technology/ai/dolphingemma/" TargetMode="External"/><Relationship Id="rId478" Type="http://schemas.openxmlformats.org/officeDocument/2006/relationships/hyperlink" Target="https://arxiv.org/abs/2410.03730" TargetMode="External"/><Relationship Id="rId1060" Type="http://schemas.openxmlformats.org/officeDocument/2006/relationships/hyperlink" Target="https://arxiv.org/abs/2310.07713" TargetMode="External"/><Relationship Id="rId1061" Type="http://schemas.openxmlformats.org/officeDocument/2006/relationships/hyperlink" Target="https://github.com/apple/ml-ferret" TargetMode="External"/><Relationship Id="rId231" Type="http://schemas.openxmlformats.org/officeDocument/2006/relationships/hyperlink" Target="https://leaderboard.sea-lion.ai/" TargetMode="External"/><Relationship Id="rId473" Type="http://schemas.openxmlformats.org/officeDocument/2006/relationships/hyperlink" Target="https://huggingface.co/PrimeIntellect/INTELLECT-1" TargetMode="External"/><Relationship Id="rId1062" Type="http://schemas.openxmlformats.org/officeDocument/2006/relationships/hyperlink" Target="https://arxiv.org/abs/2310.07704" TargetMode="External"/><Relationship Id="rId230" Type="http://schemas.openxmlformats.org/officeDocument/2006/relationships/hyperlink" Target="https://huggingface.co/aisingapore/Llama-SEA-LION-v3.5-70B-R" TargetMode="External"/><Relationship Id="rId472" Type="http://schemas.openxmlformats.org/officeDocument/2006/relationships/hyperlink" Target="https://x.com/bloc97_/status/1863675225810043331" TargetMode="External"/><Relationship Id="rId1063" Type="http://schemas.openxmlformats.org/officeDocument/2006/relationships/hyperlink" Target="https://github.com/OpenLemur/Lemur" TargetMode="External"/><Relationship Id="rId471" Type="http://schemas.openxmlformats.org/officeDocument/2006/relationships/hyperlink" Target="https://github.com/NousResearch/DisTrO?tab=readme-ov-file" TargetMode="External"/><Relationship Id="rId1064" Type="http://schemas.openxmlformats.org/officeDocument/2006/relationships/hyperlink" Target="https://arxiv.org/abs/2310.06830" TargetMode="External"/><Relationship Id="rId470" Type="http://schemas.openxmlformats.org/officeDocument/2006/relationships/hyperlink" Target="https://distro.nousresearch.com/" TargetMode="External"/><Relationship Id="rId1065" Type="http://schemas.openxmlformats.org/officeDocument/2006/relationships/hyperlink" Target="https://arxiv.org/abs/2310.06830" TargetMode="External"/><Relationship Id="rId235" Type="http://schemas.openxmlformats.org/officeDocument/2006/relationships/hyperlink" Target="https://blog.google/technology/ai/dolphingemma/" TargetMode="External"/><Relationship Id="rId477" Type="http://schemas.openxmlformats.org/officeDocument/2006/relationships/hyperlink" Target="https://huggingface.co/openGPT-X/Teuken-7B-instruct-research-v0.4" TargetMode="External"/><Relationship Id="rId1066" Type="http://schemas.openxmlformats.org/officeDocument/2006/relationships/hyperlink" Target="https://huggingface.co/FreedomIntelligence/AceGPT-13B" TargetMode="External"/><Relationship Id="rId234" Type="http://schemas.openxmlformats.org/officeDocument/2006/relationships/hyperlink" Target="https://openai.com/index/gpt-4-1/" TargetMode="External"/><Relationship Id="rId476" Type="http://schemas.openxmlformats.org/officeDocument/2006/relationships/hyperlink" Target="https://qwenlm.github.io/blog/qwq-32b-preview/" TargetMode="External"/><Relationship Id="rId1067" Type="http://schemas.openxmlformats.org/officeDocument/2006/relationships/hyperlink" Target="https://github.com/FreedomIntelligence/AceGPT/tree/main" TargetMode="External"/><Relationship Id="rId233" Type="http://schemas.openxmlformats.org/officeDocument/2006/relationships/hyperlink" Target="https://platform.openai.com/playground/p/HqaxY9MEZ8Ta0zFbzfASn5bJ?mode=chat" TargetMode="External"/><Relationship Id="rId475" Type="http://schemas.openxmlformats.org/officeDocument/2006/relationships/hyperlink" Target="https://huggingface.co/spaces/Qwen/QwQ-32B-preview" TargetMode="External"/><Relationship Id="rId1068" Type="http://schemas.openxmlformats.org/officeDocument/2006/relationships/hyperlink" Target="https://reka.ai/announcing-our-multimodal-ai-assistant/" TargetMode="External"/><Relationship Id="rId232" Type="http://schemas.openxmlformats.org/officeDocument/2006/relationships/hyperlink" Target="https://sea-lion.ai/sea-lion-v3-5-and-updated-v3-enhanced-language-models-for-southeast-asia/" TargetMode="External"/><Relationship Id="rId474" Type="http://schemas.openxmlformats.org/officeDocument/2006/relationships/hyperlink" Target="https://github.com/PrimeIntellect-ai/prime/blob/main/INTELLECT_1_Technical_Report.pdf" TargetMode="External"/><Relationship Id="rId1069" Type="http://schemas.openxmlformats.org/officeDocument/2006/relationships/hyperlink" Target="https://reka.ai/product/" TargetMode="External"/><Relationship Id="rId1015" Type="http://schemas.openxmlformats.org/officeDocument/2006/relationships/hyperlink" Target="https://huggingface.co/nvidia/nemotron-3-8b-base-4k" TargetMode="External"/><Relationship Id="rId1257" Type="http://schemas.openxmlformats.org/officeDocument/2006/relationships/hyperlink" Target="https://docs.aleph-alpha.com/docs/introduction/prompting_and_completion/" TargetMode="External"/><Relationship Id="rId1016" Type="http://schemas.openxmlformats.org/officeDocument/2006/relationships/hyperlink" Target="https://developer.nvidia.com/blog/nvidia-ai-foundation-models-build-custom-enterprise-chatbots-and-co-pilots-with-production-ready-llms/" TargetMode="External"/><Relationship Id="rId1258" Type="http://schemas.openxmlformats.org/officeDocument/2006/relationships/hyperlink" Target="https://github.com/conceptofmind/toolformer" TargetMode="External"/><Relationship Id="rId1017" Type="http://schemas.openxmlformats.org/officeDocument/2006/relationships/hyperlink" Target="https://arxiv.org/abs/2311.09528" TargetMode="External"/><Relationship Id="rId1259" Type="http://schemas.openxmlformats.org/officeDocument/2006/relationships/hyperlink" Target="https://arxiv.org/abs/2302.04761" TargetMode="External"/><Relationship Id="rId1018" Type="http://schemas.openxmlformats.org/officeDocument/2006/relationships/hyperlink" Target="https://arxiv.org/abs/2311.09528" TargetMode="External"/><Relationship Id="rId1019" Type="http://schemas.openxmlformats.org/officeDocument/2006/relationships/hyperlink" Target="https://arxiv.org/abs/2311.11045" TargetMode="External"/><Relationship Id="rId426" Type="http://schemas.openxmlformats.org/officeDocument/2006/relationships/hyperlink" Target="https://huggingface.co/blog/falcon3" TargetMode="External"/><Relationship Id="rId668" Type="http://schemas.openxmlformats.org/officeDocument/2006/relationships/hyperlink" Target="https://moshi.chat/" TargetMode="External"/><Relationship Id="rId425" Type="http://schemas.openxmlformats.org/officeDocument/2006/relationships/hyperlink" Target="https://huggingface.co/tiiuae/Falcon3-10B-Base" TargetMode="External"/><Relationship Id="rId667" Type="http://schemas.openxmlformats.org/officeDocument/2006/relationships/hyperlink" Target="https://www.sensetime.com/en/news-detail/51168278?categoryId=1072" TargetMode="External"/><Relationship Id="rId424" Type="http://schemas.openxmlformats.org/officeDocument/2006/relationships/hyperlink" Target="https://openai.com/index/o1-and-new-tools-for-developers/" TargetMode="External"/><Relationship Id="rId666" Type="http://schemas.openxmlformats.org/officeDocument/2006/relationships/hyperlink" Target="https://platform.sensenova.cn/home" TargetMode="External"/><Relationship Id="rId423" Type="http://schemas.openxmlformats.org/officeDocument/2006/relationships/hyperlink" Target="https://chatgpt.com/" TargetMode="External"/><Relationship Id="rId665" Type="http://schemas.openxmlformats.org/officeDocument/2006/relationships/hyperlink" Target="https://arxiv.org/abs/2407.07612v1" TargetMode="External"/><Relationship Id="rId429" Type="http://schemas.openxmlformats.org/officeDocument/2006/relationships/hyperlink" Target="https://huggingface.co/maya-multimodal/maya" TargetMode="External"/><Relationship Id="rId428" Type="http://schemas.openxmlformats.org/officeDocument/2006/relationships/hyperlink" Target="https://huggingface.co/CohereForAI/c4ai-command-r7b-12-2024" TargetMode="External"/><Relationship Id="rId427" Type="http://schemas.openxmlformats.org/officeDocument/2006/relationships/hyperlink" Target="https://cohereforai-c4ai-command.hf.space/models/command-r7b-12-2024" TargetMode="External"/><Relationship Id="rId669" Type="http://schemas.openxmlformats.org/officeDocument/2006/relationships/hyperlink" Target="https://youtu.be/hm2IJSKcYvo" TargetMode="External"/><Relationship Id="rId660" Type="http://schemas.openxmlformats.org/officeDocument/2006/relationships/hyperlink" Target="https://platform.stepfun.com/docs/llm/text" TargetMode="External"/><Relationship Id="rId1250" Type="http://schemas.openxmlformats.org/officeDocument/2006/relationships/hyperlink" Target="https://txsun1997.github.io/blogs/moss.html" TargetMode="External"/><Relationship Id="rId1251" Type="http://schemas.openxmlformats.org/officeDocument/2006/relationships/hyperlink" Target="https://huggingface.co/models?search=palmyra" TargetMode="External"/><Relationship Id="rId1010" Type="http://schemas.openxmlformats.org/officeDocument/2006/relationships/hyperlink" Target="https://inflection.ai/inflection-2" TargetMode="External"/><Relationship Id="rId1252" Type="http://schemas.openxmlformats.org/officeDocument/2006/relationships/hyperlink" Target="https://writer.com/blog/palmyra/" TargetMode="External"/><Relationship Id="rId422" Type="http://schemas.openxmlformats.org/officeDocument/2006/relationships/hyperlink" Target="https://huggingface.co/blog/bamba" TargetMode="External"/><Relationship Id="rId664" Type="http://schemas.openxmlformats.org/officeDocument/2006/relationships/hyperlink" Target="https://huggingface.co/h2oai/h2o-danube3-4b-base" TargetMode="External"/><Relationship Id="rId1011" Type="http://schemas.openxmlformats.org/officeDocument/2006/relationships/hyperlink" Target="https://claude.ai/" TargetMode="External"/><Relationship Id="rId1253" Type="http://schemas.openxmlformats.org/officeDocument/2006/relationships/hyperlink" Target="https://writer.com/product/cowrite/" TargetMode="External"/><Relationship Id="rId421" Type="http://schemas.openxmlformats.org/officeDocument/2006/relationships/hyperlink" Target="https://huggingface.co/blog/bamba" TargetMode="External"/><Relationship Id="rId663" Type="http://schemas.openxmlformats.org/officeDocument/2006/relationships/hyperlink" Target="https://arxiv.org/abs/2407.09276" TargetMode="External"/><Relationship Id="rId1012" Type="http://schemas.openxmlformats.org/officeDocument/2006/relationships/hyperlink" Target="https://www.anthropic.com/index/claude-2-1" TargetMode="External"/><Relationship Id="rId1254" Type="http://schemas.openxmlformats.org/officeDocument/2006/relationships/hyperlink" Target="https://app.aleph-alpha.com/playground/completion" TargetMode="External"/><Relationship Id="rId420" Type="http://schemas.openxmlformats.org/officeDocument/2006/relationships/hyperlink" Target="https://github.com/ibm-granite/granite-3.1-language-models?tab=readme-ov-file" TargetMode="External"/><Relationship Id="rId662" Type="http://schemas.openxmlformats.org/officeDocument/2006/relationships/hyperlink" Target="https://h2o.ai/platform/danube/personal-gpt/" TargetMode="External"/><Relationship Id="rId1013" Type="http://schemas.openxmlformats.org/officeDocument/2006/relationships/hyperlink" Target="https://huggingface.co/allenai/tulu-2-dpo-70b" TargetMode="External"/><Relationship Id="rId1255" Type="http://schemas.openxmlformats.org/officeDocument/2006/relationships/hyperlink" Target="https://www.aleph-alpha.com/pdf/2023_02_AA_Benchmarks_doc.pdf" TargetMode="External"/><Relationship Id="rId661" Type="http://schemas.openxmlformats.org/officeDocument/2006/relationships/hyperlink" Target="https://pandaily.com/stepfun-releases-three-large-models-of-the-step-series/" TargetMode="External"/><Relationship Id="rId1014" Type="http://schemas.openxmlformats.org/officeDocument/2006/relationships/hyperlink" Target="https://arxiv.org/abs/2311.10702" TargetMode="External"/><Relationship Id="rId1256" Type="http://schemas.openxmlformats.org/officeDocument/2006/relationships/hyperlink" Target="https://www.aleph-alpha.com/pdf/2023_02_AA_Benchmarks_doc.pdf" TargetMode="External"/><Relationship Id="rId1004" Type="http://schemas.openxmlformats.org/officeDocument/2006/relationships/hyperlink" Target="https://huggingface.co/epfl-llm/meditron-70b" TargetMode="External"/><Relationship Id="rId1246" Type="http://schemas.openxmlformats.org/officeDocument/2006/relationships/hyperlink" Target="https://arxiv.org/abs/2302.14045" TargetMode="External"/><Relationship Id="rId1005" Type="http://schemas.openxmlformats.org/officeDocument/2006/relationships/hyperlink" Target="https://arxiv.org/abs/2311.16079" TargetMode="External"/><Relationship Id="rId1247" Type="http://schemas.openxmlformats.org/officeDocument/2006/relationships/hyperlink" Target="https://github.com/facebookresearch/llama/pull/73/files" TargetMode="External"/><Relationship Id="rId1006" Type="http://schemas.openxmlformats.org/officeDocument/2006/relationships/hyperlink" Target="https://arxiv.org/abs/2311.14737" TargetMode="External"/><Relationship Id="rId1248" Type="http://schemas.openxmlformats.org/officeDocument/2006/relationships/hyperlink" Target="https://research.facebook.com/publications/llama-open-and-efficient-foundation-language-models/" TargetMode="External"/><Relationship Id="rId1007" Type="http://schemas.openxmlformats.org/officeDocument/2006/relationships/hyperlink" Target="https://huggingface.co/berkeley-nest/Starling-LM-7B-alpha" TargetMode="External"/><Relationship Id="rId1249" Type="http://schemas.openxmlformats.org/officeDocument/2006/relationships/hyperlink" Target="https://moss.fastnlp.top/" TargetMode="External"/><Relationship Id="rId1008" Type="http://schemas.openxmlformats.org/officeDocument/2006/relationships/hyperlink" Target="https://starling.cs.berkeley.edu/" TargetMode="External"/><Relationship Id="rId1009" Type="http://schemas.openxmlformats.org/officeDocument/2006/relationships/hyperlink" Target="https://inflection.ai/inflection-2" TargetMode="External"/><Relationship Id="rId415" Type="http://schemas.openxmlformats.org/officeDocument/2006/relationships/hyperlink" Target="https://github.com/BlinkDL/RWKV-LM/tree/main/RWKV-v7" TargetMode="External"/><Relationship Id="rId657" Type="http://schemas.openxmlformats.org/officeDocument/2006/relationships/hyperlink" Target="https://vectara.com/blog/mockingbird-a-rag-and-structured-output-focused-llm/" TargetMode="External"/><Relationship Id="rId899" Type="http://schemas.openxmlformats.org/officeDocument/2006/relationships/hyperlink" Target="https://aistudio.google.com/app/prompts/new_chat" TargetMode="External"/><Relationship Id="rId414" Type="http://schemas.openxmlformats.org/officeDocument/2006/relationships/hyperlink" Target="https://github.com/BlinkDL/RWKV-LM/tree/main/RWKV-v7" TargetMode="External"/><Relationship Id="rId656" Type="http://schemas.openxmlformats.org/officeDocument/2006/relationships/hyperlink" Target="https://vectara.com/platform/" TargetMode="External"/><Relationship Id="rId898" Type="http://schemas.openxmlformats.org/officeDocument/2006/relationships/hyperlink" Target="https://storage.googleapis.com/deepmind-media/gemma/gemma-report.pdf" TargetMode="External"/><Relationship Id="rId413" Type="http://schemas.openxmlformats.org/officeDocument/2006/relationships/hyperlink" Target="https://lifearchitect.ai/o2/" TargetMode="External"/><Relationship Id="rId655" Type="http://schemas.openxmlformats.org/officeDocument/2006/relationships/hyperlink" Target="https://huggingface.co/blog/smollm" TargetMode="External"/><Relationship Id="rId897" Type="http://schemas.openxmlformats.org/officeDocument/2006/relationships/hyperlink" Target="https://labs.pplx.ai/" TargetMode="External"/><Relationship Id="rId412" Type="http://schemas.openxmlformats.org/officeDocument/2006/relationships/hyperlink" Target="https://lifearchitect.ai/o3/" TargetMode="External"/><Relationship Id="rId654" Type="http://schemas.openxmlformats.org/officeDocument/2006/relationships/hyperlink" Target="https://huggingface.co/collections/HuggingFaceTB/smollm-6695016cad7167254ce15966" TargetMode="External"/><Relationship Id="rId896" Type="http://schemas.openxmlformats.org/officeDocument/2006/relationships/hyperlink" Target="https://publications.reka.ai/reka-core-tech-report.pdf" TargetMode="External"/><Relationship Id="rId419" Type="http://schemas.openxmlformats.org/officeDocument/2006/relationships/hyperlink" Target="https://huggingface.co/ibm-granite/granite-3.1-8b-instruct" TargetMode="External"/><Relationship Id="rId418" Type="http://schemas.openxmlformats.org/officeDocument/2006/relationships/hyperlink" Target="https://bsky.app/profile/howard.fm/post/3ldod2afps62x" TargetMode="External"/><Relationship Id="rId417" Type="http://schemas.openxmlformats.org/officeDocument/2006/relationships/hyperlink" Target="https://arxiv.org/abs/2412.13663v1" TargetMode="External"/><Relationship Id="rId659" Type="http://schemas.openxmlformats.org/officeDocument/2006/relationships/hyperlink" Target="https://platform.stepfun.com/" TargetMode="External"/><Relationship Id="rId416" Type="http://schemas.openxmlformats.org/officeDocument/2006/relationships/hyperlink" Target="https://huggingface.co/blog/modernbert" TargetMode="External"/><Relationship Id="rId658" Type="http://schemas.openxmlformats.org/officeDocument/2006/relationships/hyperlink" Target="https://arxiv.org/abs/2407.10817v1" TargetMode="External"/><Relationship Id="rId891" Type="http://schemas.openxmlformats.org/officeDocument/2006/relationships/hyperlink" Target="https://www.hanooman.ai/" TargetMode="External"/><Relationship Id="rId890" Type="http://schemas.openxmlformats.org/officeDocument/2006/relationships/hyperlink" Target="https://mistral.ai/news/mistral-large/" TargetMode="External"/><Relationship Id="rId1240" Type="http://schemas.openxmlformats.org/officeDocument/2006/relationships/hyperlink" Target="https://crfm.stanford.edu/alpaca/" TargetMode="External"/><Relationship Id="rId1241" Type="http://schemas.openxmlformats.org/officeDocument/2006/relationships/hyperlink" Target="https://github.com/tatsu-lab/stanford_alpaca" TargetMode="External"/><Relationship Id="rId411" Type="http://schemas.openxmlformats.org/officeDocument/2006/relationships/hyperlink" Target="https://www.linkedin.com/blog/engineering/generative-ai/how-we-built-domain-adapted-foundation-genai-models-to-power-our-platform" TargetMode="External"/><Relationship Id="rId653" Type="http://schemas.openxmlformats.org/officeDocument/2006/relationships/hyperlink" Target="https://www.deepl.com/en/blog/next-gen-language-model" TargetMode="External"/><Relationship Id="rId895" Type="http://schemas.openxmlformats.org/officeDocument/2006/relationships/hyperlink" Target="https://poe.com/RekaFlash" TargetMode="External"/><Relationship Id="rId1000" Type="http://schemas.openxmlformats.org/officeDocument/2006/relationships/hyperlink" Target="https://qtransformer.github.io/" TargetMode="External"/><Relationship Id="rId1242" Type="http://schemas.openxmlformats.org/officeDocument/2006/relationships/hyperlink" Target="https://studio.ai21.com/" TargetMode="External"/><Relationship Id="rId410" Type="http://schemas.openxmlformats.org/officeDocument/2006/relationships/hyperlink" Target="https://www.linkedin.com/blog/engineering/generative-ai/how-we-built-domain-adapted-foundation-genai-models-to-power-our-platform" TargetMode="External"/><Relationship Id="rId652" Type="http://schemas.openxmlformats.org/officeDocument/2006/relationships/hyperlink" Target="https://www.deepl.com/en/translator" TargetMode="External"/><Relationship Id="rId894" Type="http://schemas.openxmlformats.org/officeDocument/2006/relationships/hyperlink" Target="https://publications.reka.ai/reka-core-tech-report.pdf" TargetMode="External"/><Relationship Id="rId1001" Type="http://schemas.openxmlformats.org/officeDocument/2006/relationships/hyperlink" Target="https://qtransformer.github.io/assets/qtransformer.pdf" TargetMode="External"/><Relationship Id="rId1243" Type="http://schemas.openxmlformats.org/officeDocument/2006/relationships/hyperlink" Target="https://www.ai21.com/blog/introducing-j2" TargetMode="External"/><Relationship Id="rId651" Type="http://schemas.openxmlformats.org/officeDocument/2006/relationships/hyperlink" Target="https://arxiv.org/abs/2407.12327" TargetMode="External"/><Relationship Id="rId893" Type="http://schemas.openxmlformats.org/officeDocument/2006/relationships/hyperlink" Target="https://chat.reka.ai/" TargetMode="External"/><Relationship Id="rId1002" Type="http://schemas.openxmlformats.org/officeDocument/2006/relationships/hyperlink" Target="https://github.com/IEIT-Yuan/Yuan-2.0/blob/main/README-EN.md" TargetMode="External"/><Relationship Id="rId1244" Type="http://schemas.openxmlformats.org/officeDocument/2006/relationships/hyperlink" Target="https://huggingface.co/spaces/togethercomputer/OpenChatKit" TargetMode="External"/><Relationship Id="rId650" Type="http://schemas.openxmlformats.org/officeDocument/2006/relationships/hyperlink" Target="https://huggingface.co/SpectraSuite" TargetMode="External"/><Relationship Id="rId892" Type="http://schemas.openxmlformats.org/officeDocument/2006/relationships/hyperlink" Target="https://www.macrumors.com/2024/02/22/applecare-advisors-testing-new-ask-tool/" TargetMode="External"/><Relationship Id="rId1003" Type="http://schemas.openxmlformats.org/officeDocument/2006/relationships/hyperlink" Target="https://arxiv.org/abs/2311.15786" TargetMode="External"/><Relationship Id="rId1245" Type="http://schemas.openxmlformats.org/officeDocument/2006/relationships/hyperlink" Target="https://github.com/togethercomputer/OpenChatKit" TargetMode="External"/><Relationship Id="rId1037" Type="http://schemas.openxmlformats.org/officeDocument/2006/relationships/hyperlink" Target="https://x.ai/model-card/" TargetMode="External"/><Relationship Id="rId1279" Type="http://schemas.openxmlformats.org/officeDocument/2006/relationships/hyperlink" Target="https://galactica.org/" TargetMode="External"/><Relationship Id="rId1038" Type="http://schemas.openxmlformats.org/officeDocument/2006/relationships/hyperlink" Target="https://huggingface.co/01-ai/Yi-34B" TargetMode="External"/><Relationship Id="rId1039" Type="http://schemas.openxmlformats.org/officeDocument/2006/relationships/hyperlink" Target="https://huggingface.co/01-ai/Yi-34B" TargetMode="External"/><Relationship Id="rId206" Type="http://schemas.openxmlformats.org/officeDocument/2006/relationships/hyperlink" Target="https://www.prnewswire.com/news-releases/baidu-launches-ernie-4-5-turbo-ernie-x1-turbo-and-new-suite-of-ai-tools-to-empower-developers-and-supercharge-ai-innovation-302438584.html" TargetMode="External"/><Relationship Id="rId448" Type="http://schemas.openxmlformats.org/officeDocument/2006/relationships/hyperlink" Target="https://qwenlm.github.io/blog/qwen2.5/" TargetMode="External"/><Relationship Id="rId205" Type="http://schemas.openxmlformats.org/officeDocument/2006/relationships/hyperlink" Target="https://huggingface.co/spaces/PaddlePaddle/ernie_x1_turbo_demo" TargetMode="External"/><Relationship Id="rId447" Type="http://schemas.openxmlformats.org/officeDocument/2006/relationships/hyperlink" Target="https://qwenlm.github.io/blog/qwen2.5/" TargetMode="External"/><Relationship Id="rId689" Type="http://schemas.openxmlformats.org/officeDocument/2006/relationships/hyperlink" Target="https://www.huaweicentral.com/huawei-cloud-unveils-pangu-large-model-5-0/" TargetMode="External"/><Relationship Id="rId204" Type="http://schemas.openxmlformats.org/officeDocument/2006/relationships/hyperlink" Target="https://github.com/QwenLM/Qwen3/blob/main/Qwen3_Technical_Report.pdf" TargetMode="External"/><Relationship Id="rId446" Type="http://schemas.openxmlformats.org/officeDocument/2006/relationships/hyperlink" Target="https://huggingface.co/spaces/OpenGVLab/InternVL" TargetMode="External"/><Relationship Id="rId688" Type="http://schemas.openxmlformats.org/officeDocument/2006/relationships/hyperlink" Target="https://www.huaweicloud.com/intl/en-us/product/modelarts.html" TargetMode="External"/><Relationship Id="rId203" Type="http://schemas.openxmlformats.org/officeDocument/2006/relationships/hyperlink" Target="https://huggingface.co/Qwen/Qwen3-235B-A22B" TargetMode="External"/><Relationship Id="rId445" Type="http://schemas.openxmlformats.org/officeDocument/2006/relationships/hyperlink" Target="https://cerebras.ai/press-release/cerebras-demonstrates-trillion-parameter-model-training-on-a-single-cs-3-system" TargetMode="External"/><Relationship Id="rId687" Type="http://schemas.openxmlformats.org/officeDocument/2006/relationships/hyperlink" Target="https://www.evolutionaryscale.ai/blog/esm3-release" TargetMode="External"/><Relationship Id="rId209" Type="http://schemas.openxmlformats.org/officeDocument/2006/relationships/hyperlink" Target="https://huggingface.co/spaces/PaddlePaddle/ernie_4.5_turbo_demo" TargetMode="External"/><Relationship Id="rId208" Type="http://schemas.openxmlformats.org/officeDocument/2006/relationships/hyperlink" Target="https://x.com/Baidu_Inc/status/1915603080336597310" TargetMode="External"/><Relationship Id="rId207" Type="http://schemas.openxmlformats.org/officeDocument/2006/relationships/hyperlink" Target="https://www.prnewswire.com/news-releases/baidu-launches-ernie-4-5-turbo-ernie-x1-turbo-and-new-suite-of-ai-tools-to-empower-developers-and-supercharge-ai-innovation-302438584.html" TargetMode="External"/><Relationship Id="rId449" Type="http://schemas.openxmlformats.org/officeDocument/2006/relationships/hyperlink" Target="https://qwenlm.github.io/blog/qwen2.5/" TargetMode="External"/><Relationship Id="rId1270" Type="http://schemas.openxmlformats.org/officeDocument/2006/relationships/hyperlink" Target="https://arxiv.org/abs/2310.17680" TargetMode="External"/><Relationship Id="rId440" Type="http://schemas.openxmlformats.org/officeDocument/2006/relationships/hyperlink" Target="https://cloud.google.com/vertex-ai/generative-ai/docs/gemini-v2" TargetMode="External"/><Relationship Id="rId682" Type="http://schemas.openxmlformats.org/officeDocument/2006/relationships/hyperlink" Target="https://openai.com/index/finding-gpt4s-mistakes-with-gpt-4/" TargetMode="External"/><Relationship Id="rId1271" Type="http://schemas.openxmlformats.org/officeDocument/2006/relationships/hyperlink" Target="https://openai.com/blog/chatgpt" TargetMode="External"/><Relationship Id="rId681" Type="http://schemas.openxmlformats.org/officeDocument/2006/relationships/hyperlink" Target="https://cdn.openai.com/llm-critics-help-catch-llm-bugs-paper.pdf" TargetMode="External"/><Relationship Id="rId1030" Type="http://schemas.openxmlformats.org/officeDocument/2006/relationships/hyperlink" Target="https://koreajoongangdaily.joins.com/news/2023-11-08/business/tech/Samsung-unveils-generative-AI-model-Gauss/1908889" TargetMode="External"/><Relationship Id="rId1272" Type="http://schemas.openxmlformats.org/officeDocument/2006/relationships/hyperlink" Target="https://chat.openai.com/" TargetMode="External"/><Relationship Id="rId680" Type="http://schemas.openxmlformats.org/officeDocument/2006/relationships/hyperlink" Target="https://blog.google/technology/developers/google-gemma-2/" TargetMode="External"/><Relationship Id="rId1031" Type="http://schemas.openxmlformats.org/officeDocument/2006/relationships/hyperlink" Target="https://grok.x.ai/" TargetMode="External"/><Relationship Id="rId1273" Type="http://schemas.openxmlformats.org/officeDocument/2006/relationships/hyperlink" Target="https://openai.com/blog/chatgpt" TargetMode="External"/><Relationship Id="rId1032" Type="http://schemas.openxmlformats.org/officeDocument/2006/relationships/hyperlink" Target="https://github.com/xai-org/grok-1" TargetMode="External"/><Relationship Id="rId1274" Type="http://schemas.openxmlformats.org/officeDocument/2006/relationships/hyperlink" Target="https://huggingface.co/spaces/togethercomputer/GPT-JT" TargetMode="External"/><Relationship Id="rId202" Type="http://schemas.openxmlformats.org/officeDocument/2006/relationships/hyperlink" Target="https://huggingface.co/blog/ibm-ai-platform/bamba-9b-v2" TargetMode="External"/><Relationship Id="rId444" Type="http://schemas.openxmlformats.org/officeDocument/2006/relationships/hyperlink" Target="https://cerebras.ai/press-release/cerebras-demonstrates-trillion-parameter-model-training-on-a-single-cs-3-system" TargetMode="External"/><Relationship Id="rId686" Type="http://schemas.openxmlformats.org/officeDocument/2006/relationships/hyperlink" Target="https://github.com/evolutionaryscale/esm" TargetMode="External"/><Relationship Id="rId1033" Type="http://schemas.openxmlformats.org/officeDocument/2006/relationships/hyperlink" Target="https://github.com/xai-org/grok-1" TargetMode="External"/><Relationship Id="rId1275" Type="http://schemas.openxmlformats.org/officeDocument/2006/relationships/hyperlink" Target="https://www.together.xyz/blog/releasing-v1-of-gpt-jt-powered-by-open-source-ai" TargetMode="External"/><Relationship Id="rId201" Type="http://schemas.openxmlformats.org/officeDocument/2006/relationships/hyperlink" Target="https://huggingface.co/ibm-ai-platform/Bamba-9B-v2" TargetMode="External"/><Relationship Id="rId443" Type="http://schemas.openxmlformats.org/officeDocument/2006/relationships/hyperlink" Target="https://arxiv.org/abs/2412.06845" TargetMode="External"/><Relationship Id="rId685" Type="http://schemas.openxmlformats.org/officeDocument/2006/relationships/hyperlink" Target="https://4m.epfl.ch/" TargetMode="External"/><Relationship Id="rId1034" Type="http://schemas.openxmlformats.org/officeDocument/2006/relationships/hyperlink" Target="https://twitter.com/TobyPhln/status/1721053802235621734" TargetMode="External"/><Relationship Id="rId1276" Type="http://schemas.openxmlformats.org/officeDocument/2006/relationships/hyperlink" Target="https://huggingface.co/BlinkDL" TargetMode="External"/><Relationship Id="rId200" Type="http://schemas.openxmlformats.org/officeDocument/2006/relationships/hyperlink" Target="https://arxiv.org/abs/2504.21318" TargetMode="External"/><Relationship Id="rId442" Type="http://schemas.openxmlformats.org/officeDocument/2006/relationships/hyperlink" Target="https://github.com/moxin-org/Moxin-LLM" TargetMode="External"/><Relationship Id="rId684" Type="http://schemas.openxmlformats.org/officeDocument/2006/relationships/hyperlink" Target="https://arxiv.org/abs/2406.09406" TargetMode="External"/><Relationship Id="rId1035" Type="http://schemas.openxmlformats.org/officeDocument/2006/relationships/hyperlink" Target="https://grok.x.ai/" TargetMode="External"/><Relationship Id="rId1277" Type="http://schemas.openxmlformats.org/officeDocument/2006/relationships/hyperlink" Target="https://github.com/BlinkDL/RWKV-LM" TargetMode="External"/><Relationship Id="rId441" Type="http://schemas.openxmlformats.org/officeDocument/2006/relationships/hyperlink" Target="https://blog.google/technology/google-deepmind/google-gemini-ai-update-december-2024/" TargetMode="External"/><Relationship Id="rId683" Type="http://schemas.openxmlformats.org/officeDocument/2006/relationships/hyperlink" Target="https://github.com/apple/ml-4m/" TargetMode="External"/><Relationship Id="rId1036" Type="http://schemas.openxmlformats.org/officeDocument/2006/relationships/hyperlink" Target="https://web.archive.org/web/20231105051542/https://x.ai/" TargetMode="External"/><Relationship Id="rId1278" Type="http://schemas.openxmlformats.org/officeDocument/2006/relationships/hyperlink" Target="https://www.reddit.com/r/MachineLearning/comments/yxt8sa/r_rwkv4_7b_release_an_attentionfree_rnn_language/" TargetMode="External"/><Relationship Id="rId1026" Type="http://schemas.openxmlformats.org/officeDocument/2006/relationships/hyperlink" Target="https://arxiv.org/abs/2311.05698" TargetMode="External"/><Relationship Id="rId1268" Type="http://schemas.openxmlformats.org/officeDocument/2006/relationships/hyperlink" Target="https://robotics-transformer.github.io/assets/rt1.pdf" TargetMode="External"/><Relationship Id="rId1027" Type="http://schemas.openxmlformats.org/officeDocument/2006/relationships/hyperlink" Target="https://github.com/Luodian/Otter" TargetMode="External"/><Relationship Id="rId1269" Type="http://schemas.openxmlformats.org/officeDocument/2006/relationships/hyperlink" Target="https://chat.openai.com/" TargetMode="External"/><Relationship Id="rId1028" Type="http://schemas.openxmlformats.org/officeDocument/2006/relationships/hyperlink" Target="https://arxiv.org/abs/2311.04219" TargetMode="External"/><Relationship Id="rId1029" Type="http://schemas.openxmlformats.org/officeDocument/2006/relationships/hyperlink" Target="https://koreajoongangdaily.joins.com/news/2023-11-08/business/tech/Samsung-unveils-generative-AI-model-Gauss/1908889" TargetMode="External"/><Relationship Id="rId437" Type="http://schemas.openxmlformats.org/officeDocument/2006/relationships/hyperlink" Target="https://huggingface.co/unsloth/phi-4-GGUF" TargetMode="External"/><Relationship Id="rId679" Type="http://schemas.openxmlformats.org/officeDocument/2006/relationships/hyperlink" Target="https://storage.googleapis.com/deepmind-media/gemma/gemma-2-report.pdf" TargetMode="External"/><Relationship Id="rId436" Type="http://schemas.openxmlformats.org/officeDocument/2006/relationships/hyperlink" Target="https://arxiv.org/abs/2412.08905" TargetMode="External"/><Relationship Id="rId678" Type="http://schemas.openxmlformats.org/officeDocument/2006/relationships/hyperlink" Target="https://huggingface.co/google/gemma-2-27b-it" TargetMode="External"/><Relationship Id="rId435" Type="http://schemas.openxmlformats.org/officeDocument/2006/relationships/hyperlink" Target="https://huggingface.co/microsoft/phi-4" TargetMode="External"/><Relationship Id="rId677" Type="http://schemas.openxmlformats.org/officeDocument/2006/relationships/hyperlink" Target="https://www.reuters.com/technology/artificial-intelligence/baidu-launches-upgraded-ai-model-says-user-base-hits-300-mln-2024-06-28/" TargetMode="External"/><Relationship Id="rId434" Type="http://schemas.openxmlformats.org/officeDocument/2006/relationships/hyperlink" Target="https://ai.meta.com/research/publications/large-concept-models-language-modeling-in-a-sentence-representation-space/" TargetMode="External"/><Relationship Id="rId676" Type="http://schemas.openxmlformats.org/officeDocument/2006/relationships/hyperlink" Target="https://yiyan.baidu.com/" TargetMode="External"/><Relationship Id="rId439" Type="http://schemas.openxmlformats.org/officeDocument/2006/relationships/hyperlink" Target="https://artificialanalysis.ai/models/gemini-2-0-flash-experimental/providers" TargetMode="External"/><Relationship Id="rId438" Type="http://schemas.openxmlformats.org/officeDocument/2006/relationships/hyperlink" Target="https://console.cloud.google.com/vertex-ai/generative/multimodal/create/text?model=gemini-2.0-flash-exp" TargetMode="External"/><Relationship Id="rId671" Type="http://schemas.openxmlformats.org/officeDocument/2006/relationships/hyperlink" Target="https://github.com/InternLM/InternLM/blob/main/model_cards/internlm2.5_7b.md" TargetMode="External"/><Relationship Id="rId1260" Type="http://schemas.openxmlformats.org/officeDocument/2006/relationships/hyperlink" Target="https://github.com/amazon-science/mm-cot" TargetMode="External"/><Relationship Id="rId670" Type="http://schemas.openxmlformats.org/officeDocument/2006/relationships/hyperlink" Target="https://huggingface.co/internlm/internlm2_5-20b-chat" TargetMode="External"/><Relationship Id="rId1261" Type="http://schemas.openxmlformats.org/officeDocument/2006/relationships/hyperlink" Target="https://arxiv.org/abs/2302.00923" TargetMode="External"/><Relationship Id="rId1020" Type="http://schemas.openxmlformats.org/officeDocument/2006/relationships/hyperlink" Target="https://arxiv.org/abs/2305.15717" TargetMode="External"/><Relationship Id="rId1262" Type="http://schemas.openxmlformats.org/officeDocument/2006/relationships/hyperlink" Target="https://arxiv.org/abs/2301.13779" TargetMode="External"/><Relationship Id="rId1021" Type="http://schemas.openxmlformats.org/officeDocument/2006/relationships/hyperlink" Target="https://replicate.com/lucataco/phi-2" TargetMode="External"/><Relationship Id="rId1263" Type="http://schemas.openxmlformats.org/officeDocument/2006/relationships/hyperlink" Target="https://arxiv.org/abs/2212.13138" TargetMode="External"/><Relationship Id="rId433" Type="http://schemas.openxmlformats.org/officeDocument/2006/relationships/hyperlink" Target="https://github.com/facebookresearch/large_concept_model?tab=readme-ov-file" TargetMode="External"/><Relationship Id="rId675" Type="http://schemas.openxmlformats.org/officeDocument/2006/relationships/hyperlink" Target="https://arxiv.org/abs/2406.19853" TargetMode="External"/><Relationship Id="rId1022" Type="http://schemas.openxmlformats.org/officeDocument/2006/relationships/hyperlink" Target="https://huggingface.co/microsoft/phi-2" TargetMode="External"/><Relationship Id="rId1264" Type="http://schemas.openxmlformats.org/officeDocument/2006/relationships/hyperlink" Target="https://github.com/facebookresearch/metaseq/tree/main/projects/OPT-IML" TargetMode="External"/><Relationship Id="rId432" Type="http://schemas.openxmlformats.org/officeDocument/2006/relationships/hyperlink" Target="https://ai.meta.com/research/publications/byte-latent-transformer-patches-scale-better-than-tokens/" TargetMode="External"/><Relationship Id="rId674" Type="http://schemas.openxmlformats.org/officeDocument/2006/relationships/hyperlink" Target="https://github-com.translate.goog/RUC-GSAI/YuLan-Chat?_x_tr_sl=zh-CN&amp;_x_tr_tl=en&amp;_x_tr_hl=en&amp;_x_tr_pto=sc" TargetMode="External"/><Relationship Id="rId1023" Type="http://schemas.openxmlformats.org/officeDocument/2006/relationships/hyperlink" Target="https://twitter.com/SebastienBubeck/status/1724854157004190095" TargetMode="External"/><Relationship Id="rId1265" Type="http://schemas.openxmlformats.org/officeDocument/2006/relationships/hyperlink" Target="https://arxiv.org/abs/2212.12017" TargetMode="External"/><Relationship Id="rId431" Type="http://schemas.openxmlformats.org/officeDocument/2006/relationships/hyperlink" Target="https://github.com/facebookresearch/blt" TargetMode="External"/><Relationship Id="rId673" Type="http://schemas.openxmlformats.org/officeDocument/2006/relationships/hyperlink" Target="https://arxiv.org/abs/2407.02783" TargetMode="External"/><Relationship Id="rId1024" Type="http://schemas.openxmlformats.org/officeDocument/2006/relationships/hyperlink" Target="https://huggingface.co/microsoft/Florence-2-large" TargetMode="External"/><Relationship Id="rId1266" Type="http://schemas.openxmlformats.org/officeDocument/2006/relationships/hyperlink" Target="https://arxiv.org/abs/2212.08073" TargetMode="External"/><Relationship Id="rId430" Type="http://schemas.openxmlformats.org/officeDocument/2006/relationships/hyperlink" Target="https://arxiv.org/abs/2412.07112" TargetMode="External"/><Relationship Id="rId672" Type="http://schemas.openxmlformats.org/officeDocument/2006/relationships/hyperlink" Target="https://huggingface.co/CofeAI/Tele-FLM-1T" TargetMode="External"/><Relationship Id="rId1025" Type="http://schemas.openxmlformats.org/officeDocument/2006/relationships/hyperlink" Target="https://arxiv.org/abs/2311.06242" TargetMode="External"/><Relationship Id="rId1267" Type="http://schemas.openxmlformats.org/officeDocument/2006/relationships/hyperlink" Target="https://arxiv.org/abs/2212.06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z.ai" TargetMode="External"/><Relationship Id="rId2" Type="http://schemas.openxmlformats.org/officeDocument/2006/relationships/hyperlink" Target="http://lifearchitect.ai/models-table" TargetMode="External"/><Relationship Id="rId3" Type="http://schemas.openxmlformats.org/officeDocument/2006/relationships/hyperlink" Target="http://lifearchitect.ai/models-table" TargetMode="External"/><Relationship Id="rId4" Type="http://schemas.openxmlformats.org/officeDocument/2006/relationships/hyperlink" Target="http://lifearchitect.ai/models-table" TargetMode="External"/><Relationship Id="rId9" Type="http://schemas.openxmlformats.org/officeDocument/2006/relationships/table" Target="../tables/table2.xml"/><Relationship Id="rId5" Type="http://schemas.openxmlformats.org/officeDocument/2006/relationships/hyperlink" Target="http://lifearchitect.ai/models-table" TargetMode="External"/><Relationship Id="rId6" Type="http://schemas.openxmlformats.org/officeDocument/2006/relationships/drawing" Target="../drawings/drawing2.xml"/><Relationship Id="rId10"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hyperlink" Target="http://lifearchitect.ai/" TargetMode="External"/><Relationship Id="rId2" Type="http://schemas.openxmlformats.org/officeDocument/2006/relationships/hyperlink" Target="https://lifearchitect.ai/models-table/" TargetMode="External"/><Relationship Id="rId3" Type="http://schemas.openxmlformats.org/officeDocument/2006/relationships/hyperlink" Target="https://lifearchitect.ai/" TargetMode="External"/><Relationship Id="rId4" Type="http://schemas.openxmlformats.org/officeDocument/2006/relationships/hyperlink" Target="https://lifearchitect.ai/calcs/" TargetMode="External"/><Relationship Id="rId9" Type="http://schemas.openxmlformats.org/officeDocument/2006/relationships/hyperlink" Target="https://onlinetexttools.com/join-text" TargetMode="External"/><Relationship Id="rId5" Type="http://schemas.openxmlformats.org/officeDocument/2006/relationships/hyperlink" Target="https://lifearchitect.ai/memo/" TargetMode="External"/><Relationship Id="rId6" Type="http://schemas.openxmlformats.org/officeDocument/2006/relationships/hyperlink" Target="https://arxiv.org/abs/2009.03300" TargetMode="External"/><Relationship Id="rId7" Type="http://schemas.openxmlformats.org/officeDocument/2006/relationships/hyperlink" Target="https://lifearchitect.ai/timeline/" TargetMode="External"/><Relationship Id="rId8" Type="http://schemas.openxmlformats.org/officeDocument/2006/relationships/hyperlink" Target="https://arxiv.org/abs/2406.01574" TargetMode="External"/><Relationship Id="rId20" Type="http://schemas.openxmlformats.org/officeDocument/2006/relationships/hyperlink" Target="https://docs.google.com/spreadsheets/d/1kT4or6b0Fedd-W_jMwYpb63e1ZR3aePczz3zlbJW-Y4/edit" TargetMode="External"/><Relationship Id="rId22" Type="http://schemas.openxmlformats.org/officeDocument/2006/relationships/hyperlink" Target="https://docs.google.com/spreadsheets/d/1gc6yse74XCwBx028HV_cvdxwXkmXejVjkO-Mz2uwE0k/edit" TargetMode="External"/><Relationship Id="rId21" Type="http://schemas.openxmlformats.org/officeDocument/2006/relationships/hyperlink" Target="https://twitter.com/AdeenaY8/status/1679435164747960320" TargetMode="External"/><Relationship Id="rId24" Type="http://schemas.openxmlformats.org/officeDocument/2006/relationships/drawing" Target="../drawings/drawing3.xml"/><Relationship Id="rId23" Type="http://schemas.openxmlformats.org/officeDocument/2006/relationships/hyperlink" Target="https://docs.google.com/spreadsheets/d/1AAIebjNsnJj_uKALHbXNfn3_YsT6sHXtCU0q7OIPuc4/edit" TargetMode="External"/><Relationship Id="rId26" Type="http://schemas.openxmlformats.org/officeDocument/2006/relationships/table" Target="../tables/table4.xml"/><Relationship Id="rId11" Type="http://schemas.openxmlformats.org/officeDocument/2006/relationships/hyperlink" Target="https://poe.com/TheMemoModelsBot" TargetMode="External"/><Relationship Id="rId10" Type="http://schemas.openxmlformats.org/officeDocument/2006/relationships/hyperlink" Target="https://arxiv.org/abs/2311.12022" TargetMode="External"/><Relationship Id="rId13" Type="http://schemas.openxmlformats.org/officeDocument/2006/relationships/hyperlink" Target="https://poe.com/TheMemoNewModelsSum" TargetMode="External"/><Relationship Id="rId12" Type="http://schemas.openxmlformats.org/officeDocument/2006/relationships/hyperlink" Target="https://arxiv.org/abs/2501.14249" TargetMode="External"/><Relationship Id="rId15" Type="http://schemas.openxmlformats.org/officeDocument/2006/relationships/hyperlink" Target="https://www.aitracker.org/" TargetMode="External"/><Relationship Id="rId14" Type="http://schemas.openxmlformats.org/officeDocument/2006/relationships/hyperlink" Target="https://informationisbeautiful.net/visualizations/the-rise-of-generative-ai-large-language-models-llms-like-chatgpt/" TargetMode="External"/><Relationship Id="rId17" Type="http://schemas.openxmlformats.org/officeDocument/2006/relationships/hyperlink" Target="https://docs.google.com/spreadsheets/d/1ikqqIaptv2P4_15Ytzro46YysCldKY7Ub2wcX5H1jCQ/edit" TargetMode="External"/><Relationship Id="rId16" Type="http://schemas.openxmlformats.org/officeDocument/2006/relationships/hyperlink" Target="https://docs.google.com/spreadsheets/d/1beiholXkLpiYoeyDL64bOHLI-mXZ-_8ZnY1Ed6Sfjh0/edit" TargetMode="External"/><Relationship Id="rId19" Type="http://schemas.openxmlformats.org/officeDocument/2006/relationships/hyperlink" Target="https://arxiv.org/abs/2303.18223" TargetMode="External"/><Relationship Id="rId18" Type="http://schemas.openxmlformats.org/officeDocument/2006/relationships/hyperlink" Target="https://chat.lmsys.org/?leaderboar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ifearchitect.ai/datasets-table/" TargetMode="External"/><Relationship Id="rId2" Type="http://schemas.openxmlformats.org/officeDocument/2006/relationships/hyperlink" Target="https://lifearchitect.ai/whats-in-my-ai/" TargetMode="External"/><Relationship Id="rId3" Type="http://schemas.openxmlformats.org/officeDocument/2006/relationships/hyperlink" Target="https://lifearchitect.ai/memo" TargetMode="External"/><Relationship Id="rId4" Type="http://schemas.openxmlformats.org/officeDocument/2006/relationships/hyperlink" Target="https://research.nvidia.com/publication/2025-01_cosmos-world-foundation-model-platform-physical-ai" TargetMode="External"/><Relationship Id="rId9" Type="http://schemas.openxmlformats.org/officeDocument/2006/relationships/hyperlink" Target="https://arxiv.org/abs/2406.11794" TargetMode="External"/><Relationship Id="rId5" Type="http://schemas.openxmlformats.org/officeDocument/2006/relationships/hyperlink" Target="https://nvidianews.nvidia.com/news/nvidia-launches-cosmos-world-foundation-model-platform-to-accelerate-physical-ai-development" TargetMode="External"/><Relationship Id="rId6" Type="http://schemas.openxmlformats.org/officeDocument/2006/relationships/hyperlink" Target="https://lifearchitect.ai/cosmos/" TargetMode="External"/><Relationship Id="rId7" Type="http://schemas.openxmlformats.org/officeDocument/2006/relationships/hyperlink" Target="https://www.jiuyangongshe.com/a/1h4gq724su0" TargetMode="External"/><Relationship Id="rId8" Type="http://schemas.openxmlformats.org/officeDocument/2006/relationships/hyperlink" Target="https://www.jiuyangongshe.com/a/1h4gq724su0" TargetMode="External"/><Relationship Id="rId40" Type="http://schemas.openxmlformats.org/officeDocument/2006/relationships/hyperlink" Target="https://github.com/PolymathicAI/the_well" TargetMode="External"/><Relationship Id="rId42" Type="http://schemas.openxmlformats.org/officeDocument/2006/relationships/hyperlink" Target="https://huggingface.co/datasets/mlfoundations/dclm-baseline-1.0" TargetMode="External"/><Relationship Id="rId41" Type="http://schemas.openxmlformats.org/officeDocument/2006/relationships/hyperlink" Target="https://arxiv.org/abs/2406.11794" TargetMode="External"/><Relationship Id="rId44" Type="http://schemas.openxmlformats.org/officeDocument/2006/relationships/hyperlink" Target="https://huggingface.co/datasets/HuggingFaceFW/finepdfs" TargetMode="External"/><Relationship Id="rId43" Type="http://schemas.openxmlformats.org/officeDocument/2006/relationships/hyperlink" Target="https://lifearchitect.ai/bard/" TargetMode="External"/><Relationship Id="rId46" Type="http://schemas.openxmlformats.org/officeDocument/2006/relationships/hyperlink" Target="https://lifearchitect.ai/bard/" TargetMode="External"/><Relationship Id="rId45" Type="http://schemas.openxmlformats.org/officeDocument/2006/relationships/hyperlink" Target="https://arxiv.org/abs/2402.00159" TargetMode="External"/><Relationship Id="rId48" Type="http://schemas.openxmlformats.org/officeDocument/2006/relationships/hyperlink" Target="https://huggingface.co/datasets/allenai/MADLAD-400" TargetMode="External"/><Relationship Id="rId47" Type="http://schemas.openxmlformats.org/officeDocument/2006/relationships/hyperlink" Target="https://arxiv.org/abs/2309.04662" TargetMode="External"/><Relationship Id="rId49" Type="http://schemas.openxmlformats.org/officeDocument/2006/relationships/hyperlink" Target="https://arxiv.org/pdf/2306.01116.pdf" TargetMode="External"/><Relationship Id="rId31" Type="http://schemas.openxmlformats.org/officeDocument/2006/relationships/hyperlink" Target="https://huggingface.co/datasets/uonlp/CulturaX" TargetMode="External"/><Relationship Id="rId30" Type="http://schemas.openxmlformats.org/officeDocument/2006/relationships/hyperlink" Target="https://arxiv.org/abs/2309.09400" TargetMode="External"/><Relationship Id="rId33" Type="http://schemas.openxmlformats.org/officeDocument/2006/relationships/hyperlink" Target="https://arxiv.org/pdf/2306.01116.pdf" TargetMode="External"/><Relationship Id="rId32" Type="http://schemas.openxmlformats.org/officeDocument/2006/relationships/hyperlink" Target="https://arxiv.org/abs/2403.14009" TargetMode="External"/><Relationship Id="rId35" Type="http://schemas.openxmlformats.org/officeDocument/2006/relationships/hyperlink" Target="https://arxiv.org/pdf/2405.19327" TargetMode="External"/><Relationship Id="rId34" Type="http://schemas.openxmlformats.org/officeDocument/2006/relationships/hyperlink" Target="https://lifearchitect.ai/gpt-4/" TargetMode="External"/><Relationship Id="rId37" Type="http://schemas.openxmlformats.org/officeDocument/2006/relationships/hyperlink" Target="https://huggingface.co/papers/2506.20920" TargetMode="External"/><Relationship Id="rId36" Type="http://schemas.openxmlformats.org/officeDocument/2006/relationships/hyperlink" Target="https://cdn-uploads.huggingface.co/production/uploads/654907a4a1faff97850c4eff/1FWMF_t_Mhy0UQmu65Bb1.png" TargetMode="External"/><Relationship Id="rId39" Type="http://schemas.openxmlformats.org/officeDocument/2006/relationships/hyperlink" Target="https://www.ontocord.ai/blog/cultura-y" TargetMode="External"/><Relationship Id="rId38" Type="http://schemas.openxmlformats.org/officeDocument/2006/relationships/hyperlink" Target="https://github.com/huggingface/fineweb-2" TargetMode="External"/><Relationship Id="rId20" Type="http://schemas.openxmlformats.org/officeDocument/2006/relationships/hyperlink" Target="https://lifearchitect.ai/auroragpt/" TargetMode="External"/><Relationship Id="rId22" Type="http://schemas.openxmlformats.org/officeDocument/2006/relationships/hyperlink" Target="https://www.anthropic.com/news/claude-3-5-sonnet" TargetMode="External"/><Relationship Id="rId21" Type="http://schemas.openxmlformats.org/officeDocument/2006/relationships/hyperlink" Target="https://www.youtubetranscript.com/?v=1K-hi-QjJiQ&amp;t=604" TargetMode="External"/><Relationship Id="rId24" Type="http://schemas.openxmlformats.org/officeDocument/2006/relationships/hyperlink" Target="https://huggingface.co/datasets/HuggingFaceFW/fineweb" TargetMode="External"/><Relationship Id="rId23" Type="http://schemas.openxmlformats.org/officeDocument/2006/relationships/hyperlink" Target="https://archive.md/iH4vg" TargetMode="External"/><Relationship Id="rId26" Type="http://schemas.openxmlformats.org/officeDocument/2006/relationships/hyperlink" Target="https://arxiv.org/abs/2403.14009" TargetMode="External"/><Relationship Id="rId25" Type="http://schemas.openxmlformats.org/officeDocument/2006/relationships/hyperlink" Target="https://lifearchitect.ai/gpt-4/" TargetMode="External"/><Relationship Id="rId28" Type="http://schemas.openxmlformats.org/officeDocument/2006/relationships/hyperlink" Target="https://huggingface.co/collections/nvidia/nemotron-pre-training-dataset-689d9de36f84279d83786b35" TargetMode="External"/><Relationship Id="rId27" Type="http://schemas.openxmlformats.org/officeDocument/2006/relationships/hyperlink" Target="https://hplt-project.org/datasets/v2.0" TargetMode="External"/><Relationship Id="rId29" Type="http://schemas.openxmlformats.org/officeDocument/2006/relationships/hyperlink" Target="https://huggingface.co/datasets/HuggingFaceFW/fineweb-edu-score-2" TargetMode="External"/><Relationship Id="rId11" Type="http://schemas.openxmlformats.org/officeDocument/2006/relationships/hyperlink" Target="https://www.datacomp.ai/dclm/" TargetMode="External"/><Relationship Id="rId10" Type="http://schemas.openxmlformats.org/officeDocument/2006/relationships/hyperlink" Target="https://arxiv.org/abs/2406.11794" TargetMode="External"/><Relationship Id="rId13" Type="http://schemas.openxmlformats.org/officeDocument/2006/relationships/hyperlink" Target="https://lifearchitect.ai/whats-in-gpt-5/" TargetMode="External"/><Relationship Id="rId12" Type="http://schemas.openxmlformats.org/officeDocument/2006/relationships/hyperlink" Target="https://lifearchitect.ai/whats-in-gpt-5/" TargetMode="External"/><Relationship Id="rId15" Type="http://schemas.openxmlformats.org/officeDocument/2006/relationships/hyperlink" Target="https://huggingface.co/meta-llama/Llama-4-Scout-17B-16E" TargetMode="External"/><Relationship Id="rId14" Type="http://schemas.openxmlformats.org/officeDocument/2006/relationships/hyperlink" Target="https://qwenlm.github.io/blog/qwen3/" TargetMode="External"/><Relationship Id="rId17" Type="http://schemas.openxmlformats.org/officeDocument/2006/relationships/hyperlink" Target="https://dl.acm.org/doi/pdf/10.1145/2854146" TargetMode="External"/><Relationship Id="rId16" Type="http://schemas.openxmlformats.org/officeDocument/2006/relationships/hyperlink" Target="https://together.ai/blog/redpajama-data-v2" TargetMode="External"/><Relationship Id="rId19" Type="http://schemas.openxmlformats.org/officeDocument/2006/relationships/hyperlink" Target="https://mnbvc.253874.net/" TargetMode="External"/><Relationship Id="rId18" Type="http://schemas.openxmlformats.org/officeDocument/2006/relationships/hyperlink" Target="https://github.com/esbatmop/MNBVC" TargetMode="External"/><Relationship Id="rId82" Type="http://schemas.openxmlformats.org/officeDocument/2006/relationships/table" Target="../tables/table6.xml"/><Relationship Id="rId81" Type="http://schemas.openxmlformats.org/officeDocument/2006/relationships/table" Target="../tables/table5.xml"/><Relationship Id="rId73" Type="http://schemas.openxmlformats.org/officeDocument/2006/relationships/hyperlink" Target="https://lifearchitect.ai/bard/" TargetMode="External"/><Relationship Id="rId72" Type="http://schemas.openxmlformats.org/officeDocument/2006/relationships/hyperlink" Target="https://huggingface.co/datasets/bigcode/the-stack-dedup" TargetMode="External"/><Relationship Id="rId75" Type="http://schemas.openxmlformats.org/officeDocument/2006/relationships/hyperlink" Target="https://huggingface.co/datasets/PleIAs/YouTube-Commons" TargetMode="External"/><Relationship Id="rId74" Type="http://schemas.openxmlformats.org/officeDocument/2006/relationships/hyperlink" Target="https://huggingface.co/datasets/HuggingFaceTB/cosmopedia" TargetMode="External"/><Relationship Id="rId77" Type="http://schemas.openxmlformats.org/officeDocument/2006/relationships/hyperlink" Target="https://huggingface.co/blog/cosmopedia" TargetMode="External"/><Relationship Id="rId76" Type="http://schemas.openxmlformats.org/officeDocument/2006/relationships/hyperlink" Target="https://huggingface.co/blog/smollm" TargetMode="External"/><Relationship Id="rId78" Type="http://schemas.openxmlformats.org/officeDocument/2006/relationships/drawing" Target="../drawings/drawing4.xml"/><Relationship Id="rId71" Type="http://schemas.openxmlformats.org/officeDocument/2006/relationships/hyperlink" Target="https://arxiv.org/abs/2211.15533" TargetMode="External"/><Relationship Id="rId70" Type="http://schemas.openxmlformats.org/officeDocument/2006/relationships/hyperlink" Target="https://arxiv.org/abs/2305.06161" TargetMode="External"/><Relationship Id="rId62" Type="http://schemas.openxmlformats.org/officeDocument/2006/relationships/hyperlink" Target="https://huggingface.co/collections/PleIAs/common-corpus-65d46e3ea3980fdcd66a5613" TargetMode="External"/><Relationship Id="rId61" Type="http://schemas.openxmlformats.org/officeDocument/2006/relationships/hyperlink" Target="https://www.cerebras.net/blog/slimpajama-a-627b-token-cleaned-and-deduplicated-version-of-redpajama" TargetMode="External"/><Relationship Id="rId64" Type="http://schemas.openxmlformats.org/officeDocument/2006/relationships/hyperlink" Target="https://arxiv.org/abs/2303.03915" TargetMode="External"/><Relationship Id="rId63" Type="http://schemas.openxmlformats.org/officeDocument/2006/relationships/hyperlink" Target="https://arxiv.org/abs/2406.11794" TargetMode="External"/><Relationship Id="rId66" Type="http://schemas.openxmlformats.org/officeDocument/2006/relationships/hyperlink" Target="https://arxiv.org/abs/2506.08300" TargetMode="External"/><Relationship Id="rId65" Type="http://schemas.openxmlformats.org/officeDocument/2006/relationships/hyperlink" Target="https://x.com/Vaishaal/status/1803198069888229817/photo/1" TargetMode="External"/><Relationship Id="rId68" Type="http://schemas.openxmlformats.org/officeDocument/2006/relationships/hyperlink" Target="https://archive.md/xhJvc" TargetMode="External"/><Relationship Id="rId67" Type="http://schemas.openxmlformats.org/officeDocument/2006/relationships/hyperlink" Target="https://huggingface.co/datasets/institutional/institutional-books-1.0" TargetMode="External"/><Relationship Id="rId60" Type="http://schemas.openxmlformats.org/officeDocument/2006/relationships/hyperlink" Target="https://huggingface.co/datasets/cerebras/SlimPajama-627B" TargetMode="External"/><Relationship Id="rId69" Type="http://schemas.openxmlformats.org/officeDocument/2006/relationships/hyperlink" Target="https://huggingface.co/datasets/bigcode/starcoderdata" TargetMode="External"/><Relationship Id="rId51" Type="http://schemas.openxmlformats.org/officeDocument/2006/relationships/hyperlink" Target="https://huggingface.co/blog/stellaathena/common-pile" TargetMode="External"/><Relationship Id="rId50" Type="http://schemas.openxmlformats.org/officeDocument/2006/relationships/hyperlink" Target="https://arxiv.org/abs/2506.05209" TargetMode="External"/><Relationship Id="rId53" Type="http://schemas.openxmlformats.org/officeDocument/2006/relationships/hyperlink" Target="https://huggingface.co/datasets/PleIAs/common_corpus" TargetMode="External"/><Relationship Id="rId52" Type="http://schemas.openxmlformats.org/officeDocument/2006/relationships/hyperlink" Target="https://huggingface.co/blog/Pclanglais/two-trillion-tokens-open" TargetMode="External"/><Relationship Id="rId55" Type="http://schemas.openxmlformats.org/officeDocument/2006/relationships/hyperlink" Target="https://www.zyphra.com/zyda" TargetMode="External"/><Relationship Id="rId54" Type="http://schemas.openxmlformats.org/officeDocument/2006/relationships/hyperlink" Target="https://huggingface.co/datasets/HuggingFaceFW/fineweb-edu" TargetMode="External"/><Relationship Id="rId57" Type="http://schemas.openxmlformats.org/officeDocument/2006/relationships/hyperlink" Target="https://arxiv.org/abs/2411.12372v1" TargetMode="External"/><Relationship Id="rId56" Type="http://schemas.openxmlformats.org/officeDocument/2006/relationships/hyperlink" Target="https://arxiv.org/pdf/2405.19327" TargetMode="External"/><Relationship Id="rId59" Type="http://schemas.openxmlformats.org/officeDocument/2006/relationships/hyperlink" Target="https://huggingface.co/datasets/bigcode/the-stack-v2" TargetMode="External"/><Relationship Id="rId58" Type="http://schemas.openxmlformats.org/officeDocument/2006/relationships/hyperlink" Target="https://arxiv.org/abs/2402.1917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rxiv.org/abs/2507.02954" TargetMode="External"/><Relationship Id="rId2" Type="http://schemas.openxmlformats.org/officeDocument/2006/relationships/hyperlink" Target="https://arxiv.org/abs/2506.13798" TargetMode="External"/><Relationship Id="rId3" Type="http://schemas.openxmlformats.org/officeDocument/2006/relationships/hyperlink" Target="https://www.medrxiv.org/content/10.1101/2025.06.13.25329541v1" TargetMode="External"/><Relationship Id="rId4" Type="http://schemas.openxmlformats.org/officeDocument/2006/relationships/hyperlink" Target="https://arxiv.org/abs/2412.10849" TargetMode="External"/><Relationship Id="rId9" Type="http://schemas.openxmlformats.org/officeDocument/2006/relationships/hyperlink" Target="https://www.livescience.com/technology/artificial-intelligence/people-find-ai-more-compassionate-than-mental-health-experts-study-finds-what-could-this-mean-for-future-counseling" TargetMode="External"/><Relationship Id="rId5" Type="http://schemas.openxmlformats.org/officeDocument/2006/relationships/hyperlink" Target="https://www.nature.com/articles/s44271-025-00258-x" TargetMode="External"/><Relationship Id="rId6" Type="http://schemas.openxmlformats.org/officeDocument/2006/relationships/hyperlink" Target="https://regmedia.co.uk/2025/04/29/supplied_can_ai_change_your_view.pdf" TargetMode="External"/><Relationship Id="rId7" Type="http://schemas.openxmlformats.org/officeDocument/2006/relationships/hyperlink" Target="https://arxiv.org/abs/2503.23674" TargetMode="External"/><Relationship Id="rId8" Type="http://schemas.openxmlformats.org/officeDocument/2006/relationships/hyperlink" Target="https://www.nature.com/articles/s44271-024-00182-6" TargetMode="External"/><Relationship Id="rId40" Type="http://schemas.openxmlformats.org/officeDocument/2006/relationships/hyperlink" Target="https://www.linkedin.com/pulse/bing-chat-achieves-top-score-spanish-medical-examination-julian-isla/" TargetMode="External"/><Relationship Id="rId42" Type="http://schemas.openxmlformats.org/officeDocument/2006/relationships/hyperlink" Target="https://bwpeople.businessworld.in/article/CS-India-Decides-To-Appoint-ChatGPT-As-Its-New-CEO/09-02-2023-465005/" TargetMode="External"/><Relationship Id="rId41" Type="http://schemas.openxmlformats.org/officeDocument/2006/relationships/hyperlink" Target="https://time.com/6255952/ai-impact-chatgpt-microsoft-google/" TargetMode="External"/><Relationship Id="rId44" Type="http://schemas.openxmlformats.org/officeDocument/2006/relationships/hyperlink" Target="https://www.pcmag.com/news/chatgpt-passes-google-coding-interview-for-level-3-engineer-with-183k-salary" TargetMode="External"/><Relationship Id="rId43" Type="http://schemas.openxmlformats.org/officeDocument/2006/relationships/hyperlink" Target="https://www.pcmag.com/news/chatgpt-passes-google-coding-interview-for-level-3-engineer-with-183k-salary" TargetMode="External"/><Relationship Id="rId46" Type="http://schemas.openxmlformats.org/officeDocument/2006/relationships/hyperlink" Target="https://interestingengineering.com/innovation/chatgpt-makes-humane-decision-columbia" TargetMode="External"/><Relationship Id="rId45" Type="http://schemas.openxmlformats.org/officeDocument/2006/relationships/hyperlink" Target="https://interestingengineering.com/innovation/chatgpt-makes-humane-decision-columbia" TargetMode="External"/><Relationship Id="rId48" Type="http://schemas.openxmlformats.org/officeDocument/2006/relationships/hyperlink" Target="https://malegislature.gov/Bills/193/SD1827" TargetMode="External"/><Relationship Id="rId47" Type="http://schemas.openxmlformats.org/officeDocument/2006/relationships/hyperlink" Target="https://malegislature.gov/Bills/193/SD1827" TargetMode="External"/><Relationship Id="rId49" Type="http://schemas.openxmlformats.org/officeDocument/2006/relationships/hyperlink" Target="https://mackinstitute.wharton.upenn.edu/wp-content/uploads/2023/01/Christian-Terwiesch-Chat-GTP.pdf" TargetMode="External"/><Relationship Id="rId31" Type="http://schemas.openxmlformats.org/officeDocument/2006/relationships/hyperlink" Target="https://twitter.com/andrewwhite01/status/1670794000398184451" TargetMode="External"/><Relationship Id="rId30" Type="http://schemas.openxmlformats.org/officeDocument/2006/relationships/hyperlink" Target="https://www.longmontleader.com/local-news/ai-creates-colorado-matrimony-ceremony-chatgpt-officiates-wedding-7204052" TargetMode="External"/><Relationship Id="rId33" Type="http://schemas.openxmlformats.org/officeDocument/2006/relationships/hyperlink" Target="https://arxiv.org/abs/2305.13243" TargetMode="External"/><Relationship Id="rId32" Type="http://schemas.openxmlformats.org/officeDocument/2006/relationships/hyperlink" Target="https://www.tomshardware.com/news/conversation-with-chatgpt-was-enough-to-develop-part-of-a-cpu" TargetMode="External"/><Relationship Id="rId35" Type="http://schemas.openxmlformats.org/officeDocument/2006/relationships/hyperlink" Target="https://sea.mashable.com/life/22983/lucky-guy-apparently-wins-lottery-with-numbers-provided-by-chatgpt" TargetMode="External"/><Relationship Id="rId34" Type="http://schemas.openxmlformats.org/officeDocument/2006/relationships/hyperlink" Target="https://app.box.com/s/rz1vjgjj23mrczayv9889v94527vdvdr" TargetMode="External"/><Relationship Id="rId37" Type="http://schemas.openxmlformats.org/officeDocument/2006/relationships/hyperlink" Target="https://scottaaronson.blog/?p=7209" TargetMode="External"/><Relationship Id="rId36" Type="http://schemas.openxmlformats.org/officeDocument/2006/relationships/hyperlink" Target="https://scottaaronson.blog/?p=7209" TargetMode="External"/><Relationship Id="rId39" Type="http://schemas.openxmlformats.org/officeDocument/2006/relationships/hyperlink" Target="https://osf.io/5uxra/" TargetMode="External"/><Relationship Id="rId38" Type="http://schemas.openxmlformats.org/officeDocument/2006/relationships/hyperlink" Target="https://nypost.com/2023/03/29/judge-asks-chatgpt-for-decision-in-murder-trial/" TargetMode="External"/><Relationship Id="rId20" Type="http://schemas.openxmlformats.org/officeDocument/2006/relationships/hyperlink" Target="https://doi.org/10.3389/fpsyg.2024.1353022" TargetMode="External"/><Relationship Id="rId22" Type="http://schemas.openxmlformats.org/officeDocument/2006/relationships/hyperlink" Target="https://ai.nejm.org/doi/full/10.1056/AIdbp2300192" TargetMode="External"/><Relationship Id="rId21" Type="http://schemas.openxmlformats.org/officeDocument/2006/relationships/hyperlink" Target="https://www.psypost.org/chatgpt-4-outperforms-human-psychologists-in-test-of-social-intelligence-study-finds/" TargetMode="External"/><Relationship Id="rId24" Type="http://schemas.openxmlformats.org/officeDocument/2006/relationships/hyperlink" Target="https://arxiv.org/abs/2403.14380" TargetMode="External"/><Relationship Id="rId23" Type="http://schemas.openxmlformats.org/officeDocument/2006/relationships/hyperlink" Target="https://arxiv.org/abs/2404.00018" TargetMode="External"/><Relationship Id="rId26" Type="http://schemas.openxmlformats.org/officeDocument/2006/relationships/hyperlink" Target="https://www.rbth.com/science-and-tech/337165-russian-programmer-chatgpt-dating" TargetMode="External"/><Relationship Id="rId25" Type="http://schemas.openxmlformats.org/officeDocument/2006/relationships/hyperlink" Target="https://arxiv.org/abs/2403.16645v1" TargetMode="External"/><Relationship Id="rId28" Type="http://schemas.openxmlformats.org/officeDocument/2006/relationships/hyperlink" Target="https://www.eurekalert.org/news-releases/1003232" TargetMode="External"/><Relationship Id="rId27" Type="http://schemas.openxmlformats.org/officeDocument/2006/relationships/hyperlink" Target="https://www.nature.com/articles/s41598-023-45644-9" TargetMode="External"/><Relationship Id="rId29" Type="http://schemas.openxmlformats.org/officeDocument/2006/relationships/hyperlink" Target="https://www.eurekalert.org/news-releases/1003232" TargetMode="External"/><Relationship Id="rId11" Type="http://schemas.openxmlformats.org/officeDocument/2006/relationships/hyperlink" Target="https://www.researchgate.net/publication/384071542_System_2_thinking_in_OpenAI's_o1-preview_model_Near-perfect_performance_on_a_mathematics_exam" TargetMode="External"/><Relationship Id="rId10" Type="http://schemas.openxmlformats.org/officeDocument/2006/relationships/hyperlink" Target="https://arxiv.org/abs/2501.11433" TargetMode="External"/><Relationship Id="rId13" Type="http://schemas.openxmlformats.org/officeDocument/2006/relationships/hyperlink" Target="https://arxiv.org/abs/2408.11841" TargetMode="External"/><Relationship Id="rId12" Type="http://schemas.openxmlformats.org/officeDocument/2006/relationships/hyperlink" Target="https://www.nature.com/articles/s41598-024-69021-2" TargetMode="External"/><Relationship Id="rId15" Type="http://schemas.openxmlformats.org/officeDocument/2006/relationships/hyperlink" Target="https://adamunikowsky.substack.com/p/in-ai-we-trust-part-ii" TargetMode="External"/><Relationship Id="rId14" Type="http://schemas.openxmlformats.org/officeDocument/2006/relationships/hyperlink" Target="https://journals.plos.org/plosone/article?id=10.1371/journal.pone.0305364" TargetMode="External"/><Relationship Id="rId17" Type="http://schemas.openxmlformats.org/officeDocument/2006/relationships/hyperlink" Target="https://news.ycombinator.com/item?id=40493026" TargetMode="External"/><Relationship Id="rId16" Type="http://schemas.openxmlformats.org/officeDocument/2006/relationships/hyperlink" Target="https://papers.ssrn.com/sol3/papers.cfm?abstract_id=4835311" TargetMode="External"/><Relationship Id="rId19" Type="http://schemas.openxmlformats.org/officeDocument/2006/relationships/hyperlink" Target="https://arxiv.org/abs/2404.08144" TargetMode="External"/><Relationship Id="rId18" Type="http://schemas.openxmlformats.org/officeDocument/2006/relationships/hyperlink" Target="https://news.ycombinator.com/item?id=40493026" TargetMode="External"/><Relationship Id="rId62" Type="http://schemas.openxmlformats.org/officeDocument/2006/relationships/hyperlink" Target="https://lifearchitect.ai/iq-testing-ai/" TargetMode="External"/><Relationship Id="rId61" Type="http://schemas.openxmlformats.org/officeDocument/2006/relationships/hyperlink" Target="https://arxiv.org/abs/2005.14165" TargetMode="External"/><Relationship Id="rId63" Type="http://schemas.openxmlformats.org/officeDocument/2006/relationships/drawing" Target="../drawings/drawing5.xml"/><Relationship Id="rId65" Type="http://schemas.openxmlformats.org/officeDocument/2006/relationships/table" Target="../tables/table7.xml"/><Relationship Id="rId60" Type="http://schemas.openxmlformats.org/officeDocument/2006/relationships/hyperlink" Target="https://www.watercoolertrivia.com/blog/gpt-3-vs-water-cooler-trivia-participants-a-human-vs-robot-showdown" TargetMode="External"/><Relationship Id="rId51" Type="http://schemas.openxmlformats.org/officeDocument/2006/relationships/hyperlink" Target="https://arxiv.org/abs/2212.14402" TargetMode="External"/><Relationship Id="rId50" Type="http://schemas.openxmlformats.org/officeDocument/2006/relationships/hyperlink" Target="https://arxiv.org/abs/2301.04408" TargetMode="External"/><Relationship Id="rId53" Type="http://schemas.openxmlformats.org/officeDocument/2006/relationships/hyperlink" Target="https://arxiv.org/abs/2212.09196v1" TargetMode="External"/><Relationship Id="rId52" Type="http://schemas.openxmlformats.org/officeDocument/2006/relationships/hyperlink" Target="https://www.medrxiv.org/content/10.1101/2022.12.19.22283643v1" TargetMode="External"/><Relationship Id="rId55" Type="http://schemas.openxmlformats.org/officeDocument/2006/relationships/hyperlink" Target="https://mobile.twitter.com/StephaneMaarek/status/1600864604220964871" TargetMode="External"/><Relationship Id="rId54" Type="http://schemas.openxmlformats.org/officeDocument/2006/relationships/hyperlink" Target="https://lifearchitect.ai/ravens/" TargetMode="External"/><Relationship Id="rId57" Type="http://schemas.openxmlformats.org/officeDocument/2006/relationships/hyperlink" Target="https://twitter.com/teddynpc/status/1598767389390573569" TargetMode="External"/><Relationship Id="rId56" Type="http://schemas.openxmlformats.org/officeDocument/2006/relationships/hyperlink" Target="https://davidrozado.substack.com/p/what-is-the-iq-of-chatgpt" TargetMode="External"/><Relationship Id="rId59" Type="http://schemas.openxmlformats.org/officeDocument/2006/relationships/hyperlink" Target="https://youtu.be/BDTm9lrx8Uw" TargetMode="External"/><Relationship Id="rId58" Type="http://schemas.openxmlformats.org/officeDocument/2006/relationships/hyperlink" Target="https://lifearchitect.ai/wats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abs/2005.14165" TargetMode="External"/><Relationship Id="rId2" Type="http://schemas.openxmlformats.org/officeDocument/2006/relationships/hyperlink" Target="https://web.archive.org/web/20200611063415/https://lambdalabs.com/service/gpu-cloud" TargetMode="External"/><Relationship Id="rId3" Type="http://schemas.openxmlformats.org/officeDocument/2006/relationships/hyperlink" Target="https://arxiv.org/pdf/2204.05149.pdf" TargetMode="External"/><Relationship Id="rId4" Type="http://schemas.openxmlformats.org/officeDocument/2006/relationships/hyperlink" Target="https://www.top500.org/news/google-expands-its-gpu-cloud-options/" TargetMode="External"/><Relationship Id="rId9" Type="http://schemas.openxmlformats.org/officeDocument/2006/relationships/hyperlink" Target="https://github.com/facebookresearch/llama/blob/main/MODEL_CARD.md" TargetMode="External"/><Relationship Id="rId5" Type="http://schemas.openxmlformats.org/officeDocument/2006/relationships/hyperlink" Target="https://www.lesswrong.com/posts/tJAD2LG9uweeEfjwq/estimating-efficiency-improvements-in-llm-pre-training" TargetMode="External"/><Relationship Id="rId6" Type="http://schemas.openxmlformats.org/officeDocument/2006/relationships/hyperlink" Target="https://gpus.llm-utils.org/a100-gpu-cloud-availability-and-pricing/" TargetMode="External"/><Relationship Id="rId7" Type="http://schemas.openxmlformats.org/officeDocument/2006/relationships/hyperlink" Target="https://arxiv.org/abs/2302.13971" TargetMode="External"/><Relationship Id="rId8" Type="http://schemas.openxmlformats.org/officeDocument/2006/relationships/hyperlink" Target="https://web.archive.org/web/20240108002155/https://coreweave.com/gpu-cloud-pricing" TargetMode="External"/><Relationship Id="rId20" Type="http://schemas.openxmlformats.org/officeDocument/2006/relationships/hyperlink" Target="https://blogs.nvidia.com/blog/meta-llama3-inference-acceleration/" TargetMode="External"/><Relationship Id="rId22" Type="http://schemas.openxmlformats.org/officeDocument/2006/relationships/hyperlink" Target="https://www.datacenterdynamics.com/en/news/elon-musk-xais-grok-2-requires-20000-nvidia-h100-gpus-grok-3-may-need-100000/" TargetMode="External"/><Relationship Id="rId21" Type="http://schemas.openxmlformats.org/officeDocument/2006/relationships/hyperlink" Target="https://github.com/meta-llama/llama3/blob/main/MODEL_CARD.md" TargetMode="External"/><Relationship Id="rId24" Type="http://schemas.openxmlformats.org/officeDocument/2006/relationships/drawing" Target="../drawings/drawing6.xml"/><Relationship Id="rId23" Type="http://schemas.openxmlformats.org/officeDocument/2006/relationships/hyperlink" Target="https://www.datacenterdynamics.com/en/news/elon-musk-xais-grok-2-requires-20000-nvidia-h100-gpus-grok-3-may-need-100000/" TargetMode="External"/><Relationship Id="rId26" Type="http://schemas.openxmlformats.org/officeDocument/2006/relationships/table" Target="../tables/table8.xml"/><Relationship Id="rId11" Type="http://schemas.openxmlformats.org/officeDocument/2006/relationships/hyperlink" Target="https://www.reddit.com/r/LocalLLaMA/comments/1hn8ams/deepseek_v3_was_trained_on_811x_less_the_normal/" TargetMode="External"/><Relationship Id="rId10" Type="http://schemas.openxmlformats.org/officeDocument/2006/relationships/hyperlink" Target="https://web.archive.org/web/20240105115832/https://cloud.google.com/tpu/pricing" TargetMode="External"/><Relationship Id="rId13" Type="http://schemas.openxmlformats.org/officeDocument/2006/relationships/hyperlink" Target="https://importai.substack.com/p/import-ai-365-wmd-benchmark-amazon" TargetMode="External"/><Relationship Id="rId12" Type="http://schemas.openxmlformats.org/officeDocument/2006/relationships/hyperlink" Target="https://web.archive.org/web/20240105115832/https://cloud.google.com/tpu/pricing" TargetMode="External"/><Relationship Id="rId15" Type="http://schemas.openxmlformats.org/officeDocument/2006/relationships/hyperlink" Target="https://aws.amazon.com/blogs/aws/build-rag-and-agent-based-generative-ai-applications-with-new-amazon-titan-text-premier-model-available-in-amazon-bedrock/" TargetMode="External"/><Relationship Id="rId14" Type="http://schemas.openxmlformats.org/officeDocument/2006/relationships/hyperlink" Target="https://web.archive.org/web/20240105115832/https://cloud.google.com/tpu/pricing" TargetMode="External"/><Relationship Id="rId17" Type="http://schemas.openxmlformats.org/officeDocument/2006/relationships/hyperlink" Target="https://www.lesswrong.com/posts/tJAD2LG9uweeEfjwq/estimating-efficiency-improvements-in-llm-pre-training" TargetMode="External"/><Relationship Id="rId16" Type="http://schemas.openxmlformats.org/officeDocument/2006/relationships/hyperlink" Target="https://arxiv.org/abs/2312.11805" TargetMode="External"/><Relationship Id="rId19" Type="http://schemas.openxmlformats.org/officeDocument/2006/relationships/hyperlink" Target="https://lifearchitect.ai/gpt-5/" TargetMode="External"/><Relationship Id="rId18" Type="http://schemas.openxmlformats.org/officeDocument/2006/relationships/hyperlink" Target="https://www.lesswrong.com/posts/tJAD2LG9uweeEfjwq/estimating-efficiency-improvements-in-llm-pre-trainin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reddit.com/r/singularity/comments/1g4hqm7/chinese_robotics_company_robot_era_put_two_star1/" TargetMode="External"/><Relationship Id="rId2" Type="http://schemas.openxmlformats.org/officeDocument/2006/relationships/hyperlink" Target="https://www.1x.tech/neo" TargetMode="External"/><Relationship Id="rId3" Type="http://schemas.openxmlformats.org/officeDocument/2006/relationships/hyperlink" Target="https://youtu.be/bUrLuUxv9gE" TargetMode="External"/><Relationship Id="rId4" Type="http://schemas.openxmlformats.org/officeDocument/2006/relationships/hyperlink" Target="https://www.figure.ai/" TargetMode="External"/><Relationship Id="rId9" Type="http://schemas.openxmlformats.org/officeDocument/2006/relationships/hyperlink" Target="https://youtu.be/SHPxcRBlXN0" TargetMode="External"/><Relationship Id="rId5" Type="http://schemas.openxmlformats.org/officeDocument/2006/relationships/hyperlink" Target="https://youtu.be/9sHUggKsWTk" TargetMode="External"/><Relationship Id="rId6" Type="http://schemas.openxmlformats.org/officeDocument/2006/relationships/hyperlink" Target="https://www.figure.ai/" TargetMode="External"/><Relationship Id="rId7" Type="http://schemas.openxmlformats.org/officeDocument/2006/relationships/hyperlink" Target="https://youtu.be/0SRVJaOg9Co" TargetMode="External"/><Relationship Id="rId8" Type="http://schemas.openxmlformats.org/officeDocument/2006/relationships/hyperlink" Target="https://robots.fourierintelligence.com/" TargetMode="External"/><Relationship Id="rId40" Type="http://schemas.openxmlformats.org/officeDocument/2006/relationships/drawing" Target="../drawings/drawing7.xml"/><Relationship Id="rId42" Type="http://schemas.openxmlformats.org/officeDocument/2006/relationships/table" Target="../tables/table9.xml"/><Relationship Id="rId31" Type="http://schemas.openxmlformats.org/officeDocument/2006/relationships/hyperlink" Target="https://youtu.be/ilwG5zkNOz8" TargetMode="External"/><Relationship Id="rId30" Type="http://schemas.openxmlformats.org/officeDocument/2006/relationships/hyperlink" Target="https://technode.com/2024/07/05/qinglong-chinas-first-full-sized-general-purpose-humanoid-robot-unveiled-at-world-artificial-intelligence-conference-2024/" TargetMode="External"/><Relationship Id="rId33" Type="http://schemas.openxmlformats.org/officeDocument/2006/relationships/hyperlink" Target="https://youtu.be/6X-s4Qsn1z4" TargetMode="External"/><Relationship Id="rId32" Type="http://schemas.openxmlformats.org/officeDocument/2006/relationships/hyperlink" Target="https://astribot.com/" TargetMode="External"/><Relationship Id="rId35" Type="http://schemas.openxmlformats.org/officeDocument/2006/relationships/hyperlink" Target="https://youtu.be/CbA9wA9etGA" TargetMode="External"/><Relationship Id="rId34" Type="http://schemas.openxmlformats.org/officeDocument/2006/relationships/hyperlink" Target="https://www.pudurobotics.com/it/news/917" TargetMode="External"/><Relationship Id="rId37" Type="http://schemas.openxmlformats.org/officeDocument/2006/relationships/hyperlink" Target="https://robotsguide.com/robots?category=humanoids" TargetMode="External"/><Relationship Id="rId36" Type="http://schemas.openxmlformats.org/officeDocument/2006/relationships/hyperlink" Target="https://twitter.com/CernBasher/status/1780700653335335137" TargetMode="External"/><Relationship Id="rId39" Type="http://schemas.openxmlformats.org/officeDocument/2006/relationships/hyperlink" Target="https://lifearchitect.ai/humanoids/" TargetMode="External"/><Relationship Id="rId38" Type="http://schemas.openxmlformats.org/officeDocument/2006/relationships/hyperlink" Target="https://twitter.com/leeron/status/1770047411827933455" TargetMode="External"/><Relationship Id="rId20" Type="http://schemas.openxmlformats.org/officeDocument/2006/relationships/hyperlink" Target="https://www.unitree.com/en/h1/" TargetMode="External"/><Relationship Id="rId22" Type="http://schemas.openxmlformats.org/officeDocument/2006/relationships/hyperlink" Target="https://apptronik.com/product-page" TargetMode="External"/><Relationship Id="rId21" Type="http://schemas.openxmlformats.org/officeDocument/2006/relationships/hyperlink" Target="https://youtu.be/GtPs_ygfaEA" TargetMode="External"/><Relationship Id="rId24" Type="http://schemas.openxmlformats.org/officeDocument/2006/relationships/hyperlink" Target="https://www.gotokepler.com/home" TargetMode="External"/><Relationship Id="rId23" Type="http://schemas.openxmlformats.org/officeDocument/2006/relationships/hyperlink" Target="https://youtu.be/pymvNott6nw" TargetMode="External"/><Relationship Id="rId26" Type="http://schemas.openxmlformats.org/officeDocument/2006/relationships/hyperlink" Target="https://www.limxdynamics.com/en" TargetMode="External"/><Relationship Id="rId25" Type="http://schemas.openxmlformats.org/officeDocument/2006/relationships/hyperlink" Target="https://youtu.be/A5vshTgDbKE" TargetMode="External"/><Relationship Id="rId28" Type="http://schemas.openxmlformats.org/officeDocument/2006/relationships/hyperlink" Target="https://www.menteebot.com/bot/" TargetMode="External"/><Relationship Id="rId27" Type="http://schemas.openxmlformats.org/officeDocument/2006/relationships/hyperlink" Target="https://youtu.be/sihIDeJ4Hmk" TargetMode="External"/><Relationship Id="rId29" Type="http://schemas.openxmlformats.org/officeDocument/2006/relationships/hyperlink" Target="https://youtu.be/Z3T9S1Arbdk" TargetMode="External"/><Relationship Id="rId11" Type="http://schemas.openxmlformats.org/officeDocument/2006/relationships/hyperlink" Target="https://youtu.be/XiQkeWOFwmk" TargetMode="External"/><Relationship Id="rId10" Type="http://schemas.openxmlformats.org/officeDocument/2006/relationships/hyperlink" Target="https://archive.md/QNvx9" TargetMode="External"/><Relationship Id="rId13" Type="http://schemas.openxmlformats.org/officeDocument/2006/relationships/hyperlink" Target="https://www.youtube.com/watch?v=fPeGPf7jvEQ" TargetMode="External"/><Relationship Id="rId12" Type="http://schemas.openxmlformats.org/officeDocument/2006/relationships/hyperlink" Target="https://archive.md/mEWsJ" TargetMode="External"/><Relationship Id="rId15" Type="http://schemas.openxmlformats.org/officeDocument/2006/relationships/hyperlink" Target="https://youtu.be/-e1_QhJ1EhQ" TargetMode="External"/><Relationship Id="rId14" Type="http://schemas.openxmlformats.org/officeDocument/2006/relationships/hyperlink" Target="https://www.bostondynamics.com/atlas" TargetMode="External"/><Relationship Id="rId17" Type="http://schemas.openxmlformats.org/officeDocument/2006/relationships/hyperlink" Target="https://youtu.be/k2GhgO7SnZQ" TargetMode="External"/><Relationship Id="rId16" Type="http://schemas.openxmlformats.org/officeDocument/2006/relationships/hyperlink" Target="https://sanctuary.ai/resources/news/sanctuary-ai-unveils-phoenix-a-humanoid-general-purpose-robot-designed-for-work/" TargetMode="External"/><Relationship Id="rId19" Type="http://schemas.openxmlformats.org/officeDocument/2006/relationships/hyperlink" Target="https://youtu.be/rnFZAB9ogEE" TargetMode="External"/><Relationship Id="rId18" Type="http://schemas.openxmlformats.org/officeDocument/2006/relationships/hyperlink" Target="https://agilityrobotics.com/robot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spreadsheets/d/18WTt3bmLAad5rJZi6eRtDhj4vehK7-u4xTpkho4X-4U/edit" TargetMode="External"/><Relationship Id="rId2" Type="http://schemas.openxmlformats.org/officeDocument/2006/relationships/hyperlink" Target="https://docs.google.com/spreadsheets/d/18WTt3bmLAad5rJZi6eRtDhj4vehK7-u4xTpkho4X-4U/edit" TargetMode="External"/><Relationship Id="rId3" Type="http://schemas.openxmlformats.org/officeDocument/2006/relationships/hyperlink" Target="https://docs.google.com/spreadsheets/d/18WTt3bmLAad5rJZi6eRtDhj4vehK7-u4xTpkho4X-4U/edit" TargetMode="External"/><Relationship Id="rId4" Type="http://schemas.openxmlformats.org/officeDocument/2006/relationships/hyperlink" Target="https://docs.google.com/spreadsheets/d/18WTt3bmLAad5rJZi6eRtDhj4vehK7-u4xTpkho4X-4U/edit" TargetMode="External"/><Relationship Id="rId9" Type="http://schemas.openxmlformats.org/officeDocument/2006/relationships/hyperlink" Target="https://docs.google.com/spreadsheets/d/18WTt3bmLAad5rJZi6eRtDhj4vehK7-u4xTpkho4X-4U/edit" TargetMode="External"/><Relationship Id="rId5" Type="http://schemas.openxmlformats.org/officeDocument/2006/relationships/hyperlink" Target="https://docs.google.com/spreadsheets/d/18WTt3bmLAad5rJZi6eRtDhj4vehK7-u4xTpkho4X-4U/edit" TargetMode="External"/><Relationship Id="rId6" Type="http://schemas.openxmlformats.org/officeDocument/2006/relationships/hyperlink" Target="https://docs.google.com/spreadsheets/d/18WTt3bmLAad5rJZi6eRtDhj4vehK7-u4xTpkho4X-4U/edit" TargetMode="External"/><Relationship Id="rId7" Type="http://schemas.openxmlformats.org/officeDocument/2006/relationships/hyperlink" Target="https://docs.google.com/spreadsheets/d/18WTt3bmLAad5rJZi6eRtDhj4vehK7-u4xTpkho4X-4U/edit" TargetMode="External"/><Relationship Id="rId8" Type="http://schemas.openxmlformats.org/officeDocument/2006/relationships/hyperlink" Target="https://docs.google.com/spreadsheets/d/18WTt3bmLAad5rJZi6eRtDhj4vehK7-u4xTpkho4X-4U/edit" TargetMode="External"/><Relationship Id="rId20" Type="http://schemas.openxmlformats.org/officeDocument/2006/relationships/hyperlink" Target="https://docs.google.com/spreadsheets/d/18WTt3bmLAad5rJZi6eRtDhj4vehK7-u4xTpkho4X-4U/edit?gid=1959437915" TargetMode="External"/><Relationship Id="rId22" Type="http://schemas.openxmlformats.org/officeDocument/2006/relationships/drawing" Target="../drawings/drawing8.xml"/><Relationship Id="rId21" Type="http://schemas.openxmlformats.org/officeDocument/2006/relationships/hyperlink" Target="https://docs.google.com/spreadsheets/d/18WTt3bmLAad5rJZi6eRtDhj4vehK7-u4xTpkho4X-4U/edit?gid=1643756094" TargetMode="External"/><Relationship Id="rId24" Type="http://schemas.openxmlformats.org/officeDocument/2006/relationships/table" Target="../tables/table10.xml"/><Relationship Id="rId11" Type="http://schemas.openxmlformats.org/officeDocument/2006/relationships/hyperlink" Target="https://docs.google.com/spreadsheets/d/18WTt3bmLAad5rJZi6eRtDhj4vehK7-u4xTpkho4X-4U/edit" TargetMode="External"/><Relationship Id="rId10" Type="http://schemas.openxmlformats.org/officeDocument/2006/relationships/hyperlink" Target="https://docs.google.com/spreadsheets/d/18WTt3bmLAad5rJZi6eRtDhj4vehK7-u4xTpkho4X-4U/edit" TargetMode="External"/><Relationship Id="rId13" Type="http://schemas.openxmlformats.org/officeDocument/2006/relationships/hyperlink" Target="https://docs.google.com/spreadsheets/d/18WTt3bmLAad5rJZi6eRtDhj4vehK7-u4xTpkho4X-4U/edit" TargetMode="External"/><Relationship Id="rId12" Type="http://schemas.openxmlformats.org/officeDocument/2006/relationships/hyperlink" Target="https://docs.google.com/spreadsheets/d/18WTt3bmLAad5rJZi6eRtDhj4vehK7-u4xTpkho4X-4U/edit" TargetMode="External"/><Relationship Id="rId15" Type="http://schemas.openxmlformats.org/officeDocument/2006/relationships/hyperlink" Target="https://docs.google.com/spreadsheets/d/18WTt3bmLAad5rJZi6eRtDhj4vehK7-u4xTpkho4X-4U/edit" TargetMode="External"/><Relationship Id="rId14" Type="http://schemas.openxmlformats.org/officeDocument/2006/relationships/hyperlink" Target="https://docs.google.com/spreadsheets/d/18WTt3bmLAad5rJZi6eRtDhj4vehK7-u4xTpkho4X-4U/edit" TargetMode="External"/><Relationship Id="rId17" Type="http://schemas.openxmlformats.org/officeDocument/2006/relationships/hyperlink" Target="https://docs.google.com/spreadsheets/d/18WTt3bmLAad5rJZi6eRtDhj4vehK7-u4xTpkho4X-4U/edit" TargetMode="External"/><Relationship Id="rId16" Type="http://schemas.openxmlformats.org/officeDocument/2006/relationships/hyperlink" Target="https://docs.google.com/spreadsheets/d/18WTt3bmLAad5rJZi6eRtDhj4vehK7-u4xTpkho4X-4U/edit" TargetMode="External"/><Relationship Id="rId19" Type="http://schemas.openxmlformats.org/officeDocument/2006/relationships/hyperlink" Target="https://docs.google.com/spreadsheets/d/18WTt3bmLAad5rJZi6eRtDhj4vehK7-u4xTpkho4X-4U/edit?gid=829046037" TargetMode="External"/><Relationship Id="rId18" Type="http://schemas.openxmlformats.org/officeDocument/2006/relationships/hyperlink" Target="https://docs.google.com/spreadsheets/d/18WTt3bmLAad5rJZi6eRtDhj4vehK7-u4xTpkho4X-4U/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1.25"/>
    <col customWidth="1" min="2" max="2" width="18.25"/>
    <col customWidth="1" min="3" max="3" width="12.25"/>
    <col customWidth="1" min="4" max="4" width="12.63"/>
    <col customWidth="1" min="5" max="5" width="11.25"/>
    <col customWidth="1" min="6" max="6" width="17.38"/>
    <col customWidth="1" min="7" max="7" width="8.38"/>
    <col customWidth="1" min="8" max="11" width="7.25"/>
    <col customWidth="1" min="12" max="12" width="16.88"/>
    <col customWidth="1" min="13" max="13" width="11.75"/>
    <col customWidth="1" min="14" max="14" width="10.25"/>
    <col customWidth="1" min="15" max="15" width="8.38"/>
    <col customWidth="1" min="16" max="16" width="6.88"/>
    <col customWidth="1" min="17" max="17" width="15.38"/>
    <col customWidth="1" min="18" max="18" width="83.13"/>
    <col customWidth="1" min="19" max="19" width="8.75"/>
  </cols>
  <sheetData>
    <row r="1">
      <c r="A1" s="1" t="str">
        <f>"("&amp;COUNTIFS(M3:M683, "&lt;&gt;TBA", M3:M683, "&lt;&gt;")&amp;") Permalink:"</f>
        <v>(672) Permalink:</v>
      </c>
      <c r="B1" s="2" t="s">
        <v>0</v>
      </c>
      <c r="C1" s="3"/>
      <c r="D1" s="4"/>
      <c r="E1" s="4" t="s">
        <v>1</v>
      </c>
      <c r="F1" s="5" t="s">
        <v>2</v>
      </c>
      <c r="G1" s="6"/>
      <c r="H1" s="7"/>
      <c r="I1" s="7"/>
      <c r="J1" s="8" t="s">
        <v>3</v>
      </c>
      <c r="K1" s="9" t="s">
        <v>4</v>
      </c>
      <c r="L1" s="10"/>
      <c r="M1" s="10"/>
      <c r="N1" s="10"/>
      <c r="O1" s="11"/>
      <c r="P1" s="12"/>
      <c r="Q1" s="11"/>
      <c r="R1" s="12"/>
      <c r="S1" s="13"/>
    </row>
    <row r="2" ht="39.0" customHeight="1">
      <c r="A2" s="14" t="s">
        <v>5</v>
      </c>
      <c r="B2" s="15" t="s">
        <v>6</v>
      </c>
      <c r="C2" s="14" t="s">
        <v>7</v>
      </c>
      <c r="D2" s="16" t="s">
        <v>8</v>
      </c>
      <c r="E2" s="17" t="s">
        <v>9</v>
      </c>
      <c r="F2" s="18" t="s">
        <v>10</v>
      </c>
      <c r="G2" s="19" t="s">
        <v>11</v>
      </c>
      <c r="H2" s="20" t="s">
        <v>12</v>
      </c>
      <c r="I2" s="20" t="s">
        <v>13</v>
      </c>
      <c r="J2" s="20" t="s">
        <v>14</v>
      </c>
      <c r="K2" s="20" t="s">
        <v>15</v>
      </c>
      <c r="L2" s="21" t="s">
        <v>16</v>
      </c>
      <c r="M2" s="17" t="s">
        <v>17</v>
      </c>
      <c r="N2" s="22" t="s">
        <v>18</v>
      </c>
      <c r="O2" s="23" t="s">
        <v>19</v>
      </c>
      <c r="P2" s="14" t="s">
        <v>20</v>
      </c>
      <c r="Q2" s="20" t="s">
        <v>21</v>
      </c>
      <c r="R2" s="24" t="s">
        <v>22</v>
      </c>
      <c r="S2" s="25" t="s">
        <v>23</v>
      </c>
    </row>
    <row r="3">
      <c r="A3" s="26" t="s">
        <v>24</v>
      </c>
      <c r="B3" s="27" t="s">
        <v>25</v>
      </c>
      <c r="C3" s="28" t="s">
        <v>26</v>
      </c>
      <c r="D3" s="29">
        <v>2000.0</v>
      </c>
      <c r="E3" s="30">
        <v>30000.0</v>
      </c>
      <c r="F3" s="31">
        <f t="shared" ref="F3:F6" si="1">IF(E3&lt;&gt;"", ROUNDUP(E3/D3,0),"")</f>
        <v>15</v>
      </c>
      <c r="G3" s="32"/>
      <c r="H3" s="33"/>
      <c r="I3" s="33"/>
      <c r="J3" s="33"/>
      <c r="K3" s="34"/>
      <c r="L3" s="35"/>
      <c r="M3" s="30" t="s">
        <v>27</v>
      </c>
      <c r="N3" s="36" t="s">
        <v>28</v>
      </c>
      <c r="O3" s="37"/>
      <c r="P3" s="38"/>
      <c r="Q3" s="39"/>
      <c r="R3" s="38" t="s">
        <v>29</v>
      </c>
      <c r="S3" s="40" t="s">
        <v>30</v>
      </c>
    </row>
    <row r="4">
      <c r="A4" s="27" t="s">
        <v>31</v>
      </c>
      <c r="B4" s="41" t="s">
        <v>32</v>
      </c>
      <c r="C4" s="42" t="s">
        <v>33</v>
      </c>
      <c r="D4" s="43">
        <v>1200.0</v>
      </c>
      <c r="E4" s="30">
        <v>130000.0</v>
      </c>
      <c r="F4" s="44">
        <f t="shared" si="1"/>
        <v>109</v>
      </c>
      <c r="G4" s="45">
        <f t="shared" ref="G4:G6" si="2">IF(E4&lt;&gt;"", (SQRT(D4*E4))/300, "")</f>
        <v>41.63331999</v>
      </c>
      <c r="H4" s="46"/>
      <c r="I4" s="46"/>
      <c r="J4" s="46"/>
      <c r="K4" s="34"/>
      <c r="L4" s="35"/>
      <c r="M4" s="30" t="s">
        <v>27</v>
      </c>
      <c r="N4" s="36" t="s">
        <v>34</v>
      </c>
      <c r="O4" s="28" t="s">
        <v>35</v>
      </c>
      <c r="P4" s="47" t="s">
        <v>36</v>
      </c>
      <c r="Q4" s="48" t="s">
        <v>37</v>
      </c>
      <c r="R4" s="49" t="s">
        <v>38</v>
      </c>
      <c r="S4" s="40" t="s">
        <v>39</v>
      </c>
    </row>
    <row r="5">
      <c r="A5" s="27" t="s">
        <v>40</v>
      </c>
      <c r="B5" s="50" t="s">
        <v>41</v>
      </c>
      <c r="C5" s="28" t="s">
        <v>42</v>
      </c>
      <c r="D5" s="30"/>
      <c r="E5" s="30"/>
      <c r="F5" s="44" t="str">
        <f t="shared" si="1"/>
        <v/>
      </c>
      <c r="G5" s="51" t="str">
        <f t="shared" si="2"/>
        <v/>
      </c>
      <c r="H5" s="52"/>
      <c r="I5" s="52"/>
      <c r="J5" s="52"/>
      <c r="K5" s="34"/>
      <c r="L5" s="35"/>
      <c r="M5" s="30" t="s">
        <v>27</v>
      </c>
      <c r="N5" s="53"/>
      <c r="O5" s="54"/>
      <c r="P5" s="55"/>
      <c r="Q5" s="56"/>
      <c r="R5" s="27"/>
      <c r="S5" s="57" t="s">
        <v>43</v>
      </c>
    </row>
    <row r="6">
      <c r="A6" s="26" t="s">
        <v>44</v>
      </c>
      <c r="B6" s="58" t="s">
        <v>45</v>
      </c>
      <c r="C6" s="42" t="s">
        <v>46</v>
      </c>
      <c r="D6" s="59">
        <v>2000.0</v>
      </c>
      <c r="E6" s="30">
        <v>30000.0</v>
      </c>
      <c r="F6" s="44">
        <f t="shared" si="1"/>
        <v>15</v>
      </c>
      <c r="G6" s="45">
        <f t="shared" si="2"/>
        <v>25.81988897</v>
      </c>
      <c r="H6" s="46"/>
      <c r="I6" s="46"/>
      <c r="J6" s="46"/>
      <c r="K6" s="34"/>
      <c r="L6" s="35"/>
      <c r="M6" s="30" t="s">
        <v>27</v>
      </c>
      <c r="N6" s="36"/>
      <c r="O6" s="60"/>
      <c r="P6" s="47"/>
      <c r="Q6" s="48"/>
      <c r="R6" s="47" t="s">
        <v>47</v>
      </c>
      <c r="S6" s="40" t="s">
        <v>48</v>
      </c>
    </row>
    <row r="7">
      <c r="A7" s="26" t="s">
        <v>49</v>
      </c>
      <c r="B7" s="61" t="s">
        <v>50</v>
      </c>
      <c r="C7" s="28" t="s">
        <v>51</v>
      </c>
      <c r="D7" s="30"/>
      <c r="E7" s="30"/>
      <c r="F7" s="62"/>
      <c r="G7" s="45"/>
      <c r="H7" s="46"/>
      <c r="I7" s="46"/>
      <c r="J7" s="46"/>
      <c r="K7" s="63"/>
      <c r="L7" s="64"/>
      <c r="M7" s="30" t="s">
        <v>27</v>
      </c>
      <c r="N7" s="53"/>
      <c r="O7" s="65"/>
      <c r="P7" s="47"/>
      <c r="Q7" s="48" t="s">
        <v>52</v>
      </c>
      <c r="R7" s="47" t="s">
        <v>53</v>
      </c>
      <c r="S7" s="40" t="s">
        <v>54</v>
      </c>
    </row>
    <row r="8">
      <c r="A8" s="27" t="s">
        <v>55</v>
      </c>
      <c r="B8" s="50" t="s">
        <v>56</v>
      </c>
      <c r="C8" s="66" t="s">
        <v>57</v>
      </c>
      <c r="D8" s="67"/>
      <c r="E8" s="68"/>
      <c r="F8" s="44" t="str">
        <f>IF(E8&lt;&gt;"", ROUNDUP(E8/D8,0),"")</f>
        <v/>
      </c>
      <c r="G8" s="32" t="str">
        <f>IF(E8&lt;&gt;"", (SQRT(D8*E8))/300, "")</f>
        <v/>
      </c>
      <c r="H8" s="69"/>
      <c r="I8" s="69"/>
      <c r="J8" s="69"/>
      <c r="K8" s="70"/>
      <c r="L8" s="70"/>
      <c r="M8" s="30" t="s">
        <v>27</v>
      </c>
      <c r="N8" s="53" t="s">
        <v>34</v>
      </c>
      <c r="O8" s="71" t="s">
        <v>57</v>
      </c>
      <c r="P8" s="72" t="s">
        <v>36</v>
      </c>
      <c r="Q8" s="48" t="s">
        <v>37</v>
      </c>
      <c r="R8" s="73" t="s">
        <v>58</v>
      </c>
      <c r="S8" s="74" t="s">
        <v>59</v>
      </c>
    </row>
    <row r="9">
      <c r="A9" s="26" t="s">
        <v>60</v>
      </c>
      <c r="B9" s="61" t="s">
        <v>50</v>
      </c>
      <c r="C9" s="42" t="s">
        <v>61</v>
      </c>
      <c r="D9" s="43"/>
      <c r="E9" s="30"/>
      <c r="F9" s="62"/>
      <c r="G9" s="45"/>
      <c r="H9" s="46"/>
      <c r="I9" s="46"/>
      <c r="J9" s="46"/>
      <c r="K9" s="34"/>
      <c r="L9" s="35"/>
      <c r="M9" s="30" t="s">
        <v>27</v>
      </c>
      <c r="N9" s="36"/>
      <c r="O9" s="60"/>
      <c r="P9" s="47"/>
      <c r="Q9" s="48" t="s">
        <v>37</v>
      </c>
      <c r="R9" s="47" t="s">
        <v>53</v>
      </c>
      <c r="S9" s="40" t="s">
        <v>62</v>
      </c>
    </row>
    <row r="10">
      <c r="A10" s="26" t="s">
        <v>63</v>
      </c>
      <c r="B10" s="61" t="s">
        <v>50</v>
      </c>
      <c r="C10" s="42" t="s">
        <v>64</v>
      </c>
      <c r="D10" s="43"/>
      <c r="E10" s="30"/>
      <c r="F10" s="62"/>
      <c r="G10" s="45"/>
      <c r="H10" s="46"/>
      <c r="I10" s="46"/>
      <c r="J10" s="46"/>
      <c r="K10" s="34"/>
      <c r="L10" s="35"/>
      <c r="M10" s="30" t="s">
        <v>27</v>
      </c>
      <c r="N10" s="36"/>
      <c r="O10" s="60"/>
      <c r="P10" s="47"/>
      <c r="Q10" s="48" t="s">
        <v>37</v>
      </c>
      <c r="R10" s="47" t="s">
        <v>65</v>
      </c>
      <c r="S10" s="40" t="s">
        <v>62</v>
      </c>
    </row>
    <row r="11">
      <c r="A11" s="75" t="s">
        <v>66</v>
      </c>
      <c r="B11" s="76" t="s">
        <v>67</v>
      </c>
      <c r="C11" s="77" t="s">
        <v>68</v>
      </c>
      <c r="D11" s="78">
        <v>1.7</v>
      </c>
      <c r="E11" s="78">
        <v>180.0</v>
      </c>
      <c r="F11" s="31">
        <f t="shared" ref="F11:F20" si="3">IF(E11&lt;&gt;"", ROUNDUP(E11/D11,0),"")</f>
        <v>106</v>
      </c>
      <c r="G11" s="79">
        <f t="shared" ref="G11:G20" si="4">IF(E11&lt;&gt;"", (SQRT(D11*E11))/300, "")</f>
        <v>0.05830951895</v>
      </c>
      <c r="H11" s="80"/>
      <c r="I11" s="81"/>
      <c r="J11" s="82"/>
      <c r="K11" s="83"/>
      <c r="L11" s="84" t="s">
        <v>69</v>
      </c>
      <c r="M11" s="85">
        <v>45931.0</v>
      </c>
      <c r="N11" s="86" t="s">
        <v>34</v>
      </c>
      <c r="O11" s="87" t="s">
        <v>70</v>
      </c>
      <c r="P11" s="88" t="s">
        <v>71</v>
      </c>
      <c r="Q11" s="89" t="s">
        <v>72</v>
      </c>
      <c r="R11" s="90" t="s">
        <v>73</v>
      </c>
      <c r="S11" s="91">
        <v>672.0</v>
      </c>
    </row>
    <row r="12">
      <c r="A12" s="92" t="s">
        <v>74</v>
      </c>
      <c r="B12" s="93" t="s">
        <v>75</v>
      </c>
      <c r="C12" s="94" t="s">
        <v>76</v>
      </c>
      <c r="D12" s="95">
        <v>32.0</v>
      </c>
      <c r="E12" s="96">
        <v>15000.0</v>
      </c>
      <c r="F12" s="97">
        <f t="shared" si="3"/>
        <v>469</v>
      </c>
      <c r="G12" s="98">
        <f t="shared" si="4"/>
        <v>2.309401077</v>
      </c>
      <c r="H12" s="99">
        <v>78.33</v>
      </c>
      <c r="I12" s="99">
        <v>55.47</v>
      </c>
      <c r="J12" s="100">
        <v>40.63</v>
      </c>
      <c r="K12" s="101"/>
      <c r="L12" s="84" t="s">
        <v>69</v>
      </c>
      <c r="M12" s="85">
        <v>45931.0</v>
      </c>
      <c r="N12" s="86" t="s">
        <v>34</v>
      </c>
      <c r="O12" s="102" t="s">
        <v>77</v>
      </c>
      <c r="P12" s="103" t="s">
        <v>36</v>
      </c>
      <c r="Q12" s="104" t="s">
        <v>78</v>
      </c>
      <c r="R12" s="105" t="s">
        <v>79</v>
      </c>
      <c r="S12" s="91">
        <v>671.0</v>
      </c>
    </row>
    <row r="13">
      <c r="A13" s="106" t="s">
        <v>80</v>
      </c>
      <c r="B13" s="107" t="s">
        <v>81</v>
      </c>
      <c r="C13" s="108" t="s">
        <v>82</v>
      </c>
      <c r="D13" s="109">
        <v>355.0</v>
      </c>
      <c r="E13" s="109">
        <v>22000.0</v>
      </c>
      <c r="F13" s="31">
        <f t="shared" si="3"/>
        <v>62</v>
      </c>
      <c r="G13" s="110">
        <f t="shared" si="4"/>
        <v>9.315459075</v>
      </c>
      <c r="H13" s="100"/>
      <c r="I13" s="100"/>
      <c r="J13" s="100">
        <v>82.9</v>
      </c>
      <c r="K13" s="83">
        <v>30.4</v>
      </c>
      <c r="L13" s="84" t="s">
        <v>69</v>
      </c>
      <c r="M13" s="111">
        <v>45901.0</v>
      </c>
      <c r="N13" s="112" t="s">
        <v>34</v>
      </c>
      <c r="O13" s="108" t="s">
        <v>83</v>
      </c>
      <c r="P13" s="103" t="s">
        <v>36</v>
      </c>
      <c r="Q13" s="113" t="s">
        <v>78</v>
      </c>
      <c r="R13" s="114" t="s">
        <v>84</v>
      </c>
      <c r="S13" s="91">
        <v>670.0</v>
      </c>
    </row>
    <row r="14">
      <c r="A14" s="106" t="s">
        <v>85</v>
      </c>
      <c r="B14" s="115" t="s">
        <v>86</v>
      </c>
      <c r="C14" s="108" t="s">
        <v>87</v>
      </c>
      <c r="D14" s="109">
        <v>1000.0</v>
      </c>
      <c r="E14" s="116">
        <v>20000.0</v>
      </c>
      <c r="F14" s="31">
        <f t="shared" si="3"/>
        <v>20</v>
      </c>
      <c r="G14" s="110">
        <f t="shared" si="4"/>
        <v>14.90711985</v>
      </c>
      <c r="H14" s="117"/>
      <c r="I14" s="117"/>
      <c r="J14" s="100"/>
      <c r="K14" s="118"/>
      <c r="L14" s="84" t="s">
        <v>69</v>
      </c>
      <c r="M14" s="111">
        <v>45901.0</v>
      </c>
      <c r="N14" s="112" t="s">
        <v>34</v>
      </c>
      <c r="O14" s="108" t="s">
        <v>87</v>
      </c>
      <c r="P14" s="103" t="s">
        <v>36</v>
      </c>
      <c r="Q14" s="113" t="s">
        <v>78</v>
      </c>
      <c r="R14" s="114" t="s">
        <v>88</v>
      </c>
      <c r="S14" s="91">
        <v>669.0</v>
      </c>
    </row>
    <row r="15">
      <c r="A15" s="106" t="s">
        <v>89</v>
      </c>
      <c r="B15" s="119" t="s">
        <v>90</v>
      </c>
      <c r="C15" s="108" t="s">
        <v>91</v>
      </c>
      <c r="D15" s="116">
        <v>400.0</v>
      </c>
      <c r="E15" s="116">
        <v>80000.0</v>
      </c>
      <c r="F15" s="31">
        <f t="shared" si="3"/>
        <v>200</v>
      </c>
      <c r="G15" s="110">
        <f t="shared" si="4"/>
        <v>18.85618083</v>
      </c>
      <c r="H15" s="117"/>
      <c r="I15" s="117"/>
      <c r="J15" s="100">
        <v>83.4</v>
      </c>
      <c r="K15" s="118"/>
      <c r="L15" s="84" t="s">
        <v>69</v>
      </c>
      <c r="M15" s="111">
        <v>45901.0</v>
      </c>
      <c r="N15" s="112" t="s">
        <v>34</v>
      </c>
      <c r="O15" s="108" t="s">
        <v>92</v>
      </c>
      <c r="P15" s="103" t="s">
        <v>36</v>
      </c>
      <c r="Q15" s="120" t="s">
        <v>37</v>
      </c>
      <c r="R15" s="121" t="s">
        <v>93</v>
      </c>
      <c r="S15" s="91">
        <v>668.0</v>
      </c>
    </row>
    <row r="16">
      <c r="A16" s="92" t="s">
        <v>94</v>
      </c>
      <c r="B16" s="122" t="s">
        <v>45</v>
      </c>
      <c r="C16" s="123"/>
      <c r="D16" s="124">
        <v>200.0</v>
      </c>
      <c r="E16" s="124">
        <v>20000.0</v>
      </c>
      <c r="F16" s="97">
        <f t="shared" si="3"/>
        <v>100</v>
      </c>
      <c r="G16" s="125">
        <f t="shared" si="4"/>
        <v>6.666666667</v>
      </c>
      <c r="H16" s="126"/>
      <c r="I16" s="126"/>
      <c r="J16" s="127">
        <v>59.6</v>
      </c>
      <c r="K16" s="128"/>
      <c r="L16" s="129" t="s">
        <v>69</v>
      </c>
      <c r="M16" s="111">
        <v>45901.0</v>
      </c>
      <c r="N16" s="130" t="s">
        <v>34</v>
      </c>
      <c r="O16" s="131" t="s">
        <v>95</v>
      </c>
      <c r="P16" s="132" t="s">
        <v>36</v>
      </c>
      <c r="Q16" s="133" t="s">
        <v>78</v>
      </c>
      <c r="R16" s="134" t="s">
        <v>96</v>
      </c>
      <c r="S16" s="91">
        <v>667.0</v>
      </c>
    </row>
    <row r="17">
      <c r="A17" s="92" t="s">
        <v>97</v>
      </c>
      <c r="B17" s="122" t="s">
        <v>45</v>
      </c>
      <c r="C17" s="135" t="s">
        <v>98</v>
      </c>
      <c r="D17" s="124">
        <v>30.0</v>
      </c>
      <c r="E17" s="124">
        <v>30000.0</v>
      </c>
      <c r="F17" s="97">
        <f t="shared" si="3"/>
        <v>1000</v>
      </c>
      <c r="G17" s="125">
        <f t="shared" si="4"/>
        <v>3.16227766</v>
      </c>
      <c r="H17" s="126"/>
      <c r="I17" s="126"/>
      <c r="J17" s="127">
        <v>83.3</v>
      </c>
      <c r="K17" s="128"/>
      <c r="L17" s="129" t="s">
        <v>69</v>
      </c>
      <c r="M17" s="111">
        <v>45901.0</v>
      </c>
      <c r="N17" s="130" t="s">
        <v>34</v>
      </c>
      <c r="O17" s="131" t="s">
        <v>95</v>
      </c>
      <c r="P17" s="132" t="s">
        <v>36</v>
      </c>
      <c r="Q17" s="133" t="s">
        <v>78</v>
      </c>
      <c r="R17" s="134" t="s">
        <v>99</v>
      </c>
      <c r="S17" s="91">
        <v>666.0</v>
      </c>
    </row>
    <row r="18">
      <c r="A18" s="136" t="s">
        <v>100</v>
      </c>
      <c r="B18" s="58" t="s">
        <v>101</v>
      </c>
      <c r="C18" s="137" t="s">
        <v>102</v>
      </c>
      <c r="D18" s="138">
        <v>0.2</v>
      </c>
      <c r="E18" s="138">
        <v>100.0</v>
      </c>
      <c r="F18" s="139">
        <f t="shared" si="3"/>
        <v>500</v>
      </c>
      <c r="G18" s="110">
        <f t="shared" si="4"/>
        <v>0.01490711985</v>
      </c>
      <c r="H18" s="140"/>
      <c r="I18" s="140"/>
      <c r="J18" s="140"/>
      <c r="K18" s="141"/>
      <c r="L18" s="142" t="s">
        <v>103</v>
      </c>
      <c r="M18" s="111">
        <v>45901.0</v>
      </c>
      <c r="N18" s="143" t="s">
        <v>28</v>
      </c>
      <c r="O18" s="144" t="s">
        <v>104</v>
      </c>
      <c r="P18" s="145" t="s">
        <v>71</v>
      </c>
      <c r="Q18" s="141"/>
      <c r="R18" s="146" t="s">
        <v>105</v>
      </c>
      <c r="S18" s="91">
        <v>665.0</v>
      </c>
    </row>
    <row r="19">
      <c r="A19" s="103" t="s">
        <v>106</v>
      </c>
      <c r="B19" s="147" t="s">
        <v>107</v>
      </c>
      <c r="C19" s="148" t="s">
        <v>108</v>
      </c>
      <c r="D19" s="149">
        <v>1000.0</v>
      </c>
      <c r="E19" s="149">
        <v>36000.0</v>
      </c>
      <c r="F19" s="31">
        <f t="shared" si="3"/>
        <v>36</v>
      </c>
      <c r="G19" s="150">
        <f t="shared" si="4"/>
        <v>20</v>
      </c>
      <c r="H19" s="151"/>
      <c r="I19" s="151"/>
      <c r="J19" s="152">
        <v>85.4</v>
      </c>
      <c r="K19" s="153"/>
      <c r="L19" s="154" t="s">
        <v>69</v>
      </c>
      <c r="M19" s="111">
        <v>45901.0</v>
      </c>
      <c r="N19" s="130" t="s">
        <v>34</v>
      </c>
      <c r="O19" s="155" t="s">
        <v>109</v>
      </c>
      <c r="P19" s="156" t="s">
        <v>36</v>
      </c>
      <c r="Q19" s="157" t="s">
        <v>78</v>
      </c>
      <c r="R19" s="158" t="s">
        <v>110</v>
      </c>
      <c r="S19" s="91">
        <v>664.0</v>
      </c>
    </row>
    <row r="20">
      <c r="A20" s="106" t="s">
        <v>111</v>
      </c>
      <c r="B20" s="159" t="s">
        <v>107</v>
      </c>
      <c r="C20" s="160" t="s">
        <v>112</v>
      </c>
      <c r="D20" s="109">
        <v>30.0</v>
      </c>
      <c r="E20" s="109">
        <v>17000.0</v>
      </c>
      <c r="F20" s="161">
        <f t="shared" si="3"/>
        <v>567</v>
      </c>
      <c r="G20" s="125">
        <f t="shared" si="4"/>
        <v>2.380476143</v>
      </c>
      <c r="H20" s="162">
        <v>88.8</v>
      </c>
      <c r="I20" s="163"/>
      <c r="J20" s="163">
        <v>73.1</v>
      </c>
      <c r="K20" s="164"/>
      <c r="L20" s="165" t="s">
        <v>69</v>
      </c>
      <c r="M20" s="85">
        <v>45901.0</v>
      </c>
      <c r="N20" s="112" t="s">
        <v>34</v>
      </c>
      <c r="O20" s="166" t="s">
        <v>113</v>
      </c>
      <c r="P20" s="145" t="s">
        <v>36</v>
      </c>
      <c r="Q20" s="157" t="s">
        <v>78</v>
      </c>
      <c r="R20" s="167" t="s">
        <v>114</v>
      </c>
      <c r="S20" s="91">
        <v>663.0</v>
      </c>
    </row>
    <row r="21">
      <c r="A21" s="103" t="s">
        <v>115</v>
      </c>
      <c r="B21" s="147" t="s">
        <v>32</v>
      </c>
      <c r="C21" s="168" t="s">
        <v>116</v>
      </c>
      <c r="D21" s="169">
        <v>685.0</v>
      </c>
      <c r="E21" s="149">
        <v>15640.0</v>
      </c>
      <c r="F21" s="31">
        <v>22.0</v>
      </c>
      <c r="G21" s="170">
        <v>10.61340870995009</v>
      </c>
      <c r="H21" s="171"/>
      <c r="I21" s="172">
        <v>85.0</v>
      </c>
      <c r="J21" s="173">
        <v>80.7</v>
      </c>
      <c r="K21" s="174">
        <v>21.7</v>
      </c>
      <c r="L21" s="175" t="s">
        <v>69</v>
      </c>
      <c r="M21" s="85">
        <v>45901.0</v>
      </c>
      <c r="N21" s="130" t="s">
        <v>34</v>
      </c>
      <c r="O21" s="176" t="s">
        <v>117</v>
      </c>
      <c r="P21" s="156" t="s">
        <v>36</v>
      </c>
      <c r="Q21" s="177" t="s">
        <v>118</v>
      </c>
      <c r="R21" s="178" t="s">
        <v>119</v>
      </c>
      <c r="S21" s="91">
        <v>662.0</v>
      </c>
    </row>
    <row r="22">
      <c r="A22" s="92" t="s">
        <v>120</v>
      </c>
      <c r="B22" s="179" t="s">
        <v>121</v>
      </c>
      <c r="C22" s="180" t="s">
        <v>122</v>
      </c>
      <c r="D22" s="181">
        <v>2.0</v>
      </c>
      <c r="E22" s="124">
        <v>2000.0</v>
      </c>
      <c r="F22" s="139">
        <f t="shared" ref="F22:F38" si="5">IF(E22&lt;&gt;"", ROUNDUP(E22/D22,0),"")</f>
        <v>1000</v>
      </c>
      <c r="G22" s="182">
        <f t="shared" ref="G22:G38" si="6">IF(E22&lt;&gt;"", (SQRT(D22*E22))/300, "")</f>
        <v>0.2108185107</v>
      </c>
      <c r="H22" s="183"/>
      <c r="I22" s="183"/>
      <c r="J22" s="184"/>
      <c r="K22" s="185"/>
      <c r="L22" s="186" t="s">
        <v>69</v>
      </c>
      <c r="M22" s="85">
        <v>45901.0</v>
      </c>
      <c r="N22" s="112" t="s">
        <v>34</v>
      </c>
      <c r="O22" s="180" t="s">
        <v>123</v>
      </c>
      <c r="P22" s="187" t="s">
        <v>71</v>
      </c>
      <c r="Q22" s="133"/>
      <c r="R22" s="188" t="s">
        <v>124</v>
      </c>
      <c r="S22" s="91">
        <v>661.0</v>
      </c>
    </row>
    <row r="23">
      <c r="A23" s="92" t="s">
        <v>125</v>
      </c>
      <c r="B23" s="189" t="s">
        <v>126</v>
      </c>
      <c r="C23" s="190" t="s">
        <v>127</v>
      </c>
      <c r="D23" s="191">
        <v>200.0</v>
      </c>
      <c r="E23" s="124">
        <v>20000.0</v>
      </c>
      <c r="F23" s="139">
        <f t="shared" si="5"/>
        <v>100</v>
      </c>
      <c r="G23" s="182">
        <f t="shared" si="6"/>
        <v>6.666666667</v>
      </c>
      <c r="H23" s="183"/>
      <c r="I23" s="183"/>
      <c r="J23" s="184">
        <v>85.7</v>
      </c>
      <c r="K23" s="185">
        <v>20.0</v>
      </c>
      <c r="L23" s="186" t="s">
        <v>69</v>
      </c>
      <c r="M23" s="85">
        <v>45901.0</v>
      </c>
      <c r="N23" s="112" t="s">
        <v>34</v>
      </c>
      <c r="O23" s="180" t="s">
        <v>128</v>
      </c>
      <c r="P23" s="192" t="s">
        <v>36</v>
      </c>
      <c r="Q23" s="133" t="s">
        <v>37</v>
      </c>
      <c r="R23" s="188" t="s">
        <v>129</v>
      </c>
      <c r="S23" s="91">
        <v>660.0</v>
      </c>
    </row>
    <row r="24">
      <c r="A24" s="92" t="s">
        <v>130</v>
      </c>
      <c r="B24" s="122" t="s">
        <v>45</v>
      </c>
      <c r="C24" s="193" t="s">
        <v>131</v>
      </c>
      <c r="D24" s="194">
        <v>1.0</v>
      </c>
      <c r="E24" s="124">
        <v>13000.0</v>
      </c>
      <c r="F24" s="97">
        <f t="shared" si="5"/>
        <v>13000</v>
      </c>
      <c r="G24" s="98">
        <f t="shared" si="6"/>
        <v>0.380058475</v>
      </c>
      <c r="H24" s="100"/>
      <c r="I24" s="100"/>
      <c r="J24" s="100"/>
      <c r="K24" s="83"/>
      <c r="L24" s="195" t="s">
        <v>132</v>
      </c>
      <c r="M24" s="85">
        <v>45901.0</v>
      </c>
      <c r="N24" s="86" t="s">
        <v>34</v>
      </c>
      <c r="O24" s="196" t="s">
        <v>133</v>
      </c>
      <c r="P24" s="197" t="s">
        <v>71</v>
      </c>
      <c r="Q24" s="198"/>
      <c r="R24" s="199" t="s">
        <v>134</v>
      </c>
      <c r="S24" s="200">
        <v>659.0</v>
      </c>
    </row>
    <row r="25">
      <c r="A25" s="106" t="s">
        <v>135</v>
      </c>
      <c r="B25" s="159" t="s">
        <v>107</v>
      </c>
      <c r="C25" s="160" t="s">
        <v>136</v>
      </c>
      <c r="D25" s="109">
        <v>80.0</v>
      </c>
      <c r="E25" s="109">
        <v>15000.0</v>
      </c>
      <c r="F25" s="161">
        <f t="shared" si="5"/>
        <v>188</v>
      </c>
      <c r="G25" s="125">
        <f t="shared" si="6"/>
        <v>3.651483717</v>
      </c>
      <c r="H25" s="163">
        <v>84.72</v>
      </c>
      <c r="I25" s="163">
        <v>66.05</v>
      </c>
      <c r="J25" s="163">
        <v>43.43</v>
      </c>
      <c r="K25" s="164"/>
      <c r="L25" s="165" t="s">
        <v>69</v>
      </c>
      <c r="M25" s="85">
        <v>45901.0</v>
      </c>
      <c r="N25" s="112" t="s">
        <v>34</v>
      </c>
      <c r="O25" s="166" t="s">
        <v>137</v>
      </c>
      <c r="P25" s="145" t="s">
        <v>36</v>
      </c>
      <c r="Q25" s="157" t="s">
        <v>78</v>
      </c>
      <c r="R25" s="167" t="s">
        <v>138</v>
      </c>
      <c r="S25" s="201">
        <v>658.0</v>
      </c>
    </row>
    <row r="26">
      <c r="A26" s="92" t="s">
        <v>139</v>
      </c>
      <c r="B26" s="202" t="s">
        <v>140</v>
      </c>
      <c r="C26" s="203" t="s">
        <v>141</v>
      </c>
      <c r="D26" s="194">
        <v>32.0</v>
      </c>
      <c r="E26" s="194">
        <v>18000.0</v>
      </c>
      <c r="F26" s="161">
        <f t="shared" si="5"/>
        <v>563</v>
      </c>
      <c r="G26" s="125">
        <f t="shared" si="6"/>
        <v>2.529822128</v>
      </c>
      <c r="H26" s="204"/>
      <c r="I26" s="126"/>
      <c r="J26" s="163">
        <v>71.08</v>
      </c>
      <c r="K26" s="128">
        <v>9.95</v>
      </c>
      <c r="L26" s="129" t="s">
        <v>69</v>
      </c>
      <c r="M26" s="85">
        <v>45901.0</v>
      </c>
      <c r="N26" s="86" t="s">
        <v>34</v>
      </c>
      <c r="O26" s="205" t="s">
        <v>142</v>
      </c>
      <c r="P26" s="197" t="s">
        <v>71</v>
      </c>
      <c r="Q26" s="206" t="s">
        <v>78</v>
      </c>
      <c r="R26" s="207" t="s">
        <v>143</v>
      </c>
      <c r="S26" s="200">
        <v>657.0</v>
      </c>
    </row>
    <row r="27">
      <c r="A27" s="92" t="s">
        <v>144</v>
      </c>
      <c r="B27" s="202" t="s">
        <v>145</v>
      </c>
      <c r="C27" s="203" t="s">
        <v>146</v>
      </c>
      <c r="D27" s="194">
        <v>0.307</v>
      </c>
      <c r="E27" s="194">
        <v>3000.0</v>
      </c>
      <c r="F27" s="161">
        <f t="shared" si="5"/>
        <v>9772</v>
      </c>
      <c r="G27" s="125">
        <f t="shared" si="6"/>
        <v>0.1011599394</v>
      </c>
      <c r="H27" s="204"/>
      <c r="I27" s="126"/>
      <c r="J27" s="204"/>
      <c r="K27" s="128"/>
      <c r="L27" s="129" t="s">
        <v>69</v>
      </c>
      <c r="M27" s="85">
        <v>45901.0</v>
      </c>
      <c r="N27" s="86" t="s">
        <v>34</v>
      </c>
      <c r="O27" s="205" t="s">
        <v>147</v>
      </c>
      <c r="P27" s="92" t="s">
        <v>71</v>
      </c>
      <c r="Q27" s="206"/>
      <c r="R27" s="207" t="s">
        <v>148</v>
      </c>
      <c r="S27" s="201">
        <v>656.0</v>
      </c>
    </row>
    <row r="28">
      <c r="A28" s="92" t="s">
        <v>149</v>
      </c>
      <c r="B28" s="122" t="s">
        <v>41</v>
      </c>
      <c r="C28" s="203" t="s">
        <v>150</v>
      </c>
      <c r="D28" s="124"/>
      <c r="E28" s="124"/>
      <c r="F28" s="161" t="str">
        <f t="shared" si="5"/>
        <v/>
      </c>
      <c r="G28" s="125" t="str">
        <f t="shared" si="6"/>
        <v/>
      </c>
      <c r="H28" s="204"/>
      <c r="I28" s="126"/>
      <c r="J28" s="204"/>
      <c r="K28" s="128"/>
      <c r="L28" s="129" t="s">
        <v>69</v>
      </c>
      <c r="M28" s="85">
        <v>45901.0</v>
      </c>
      <c r="N28" s="86" t="s">
        <v>34</v>
      </c>
      <c r="O28" s="205" t="s">
        <v>151</v>
      </c>
      <c r="P28" s="132" t="s">
        <v>36</v>
      </c>
      <c r="Q28" s="206" t="s">
        <v>78</v>
      </c>
      <c r="R28" s="207"/>
      <c r="S28" s="200">
        <v>655.0</v>
      </c>
    </row>
    <row r="29">
      <c r="A29" s="92" t="s">
        <v>152</v>
      </c>
      <c r="B29" s="122" t="s">
        <v>41</v>
      </c>
      <c r="C29" s="208" t="s">
        <v>153</v>
      </c>
      <c r="D29" s="194">
        <v>21.0</v>
      </c>
      <c r="E29" s="124">
        <v>15000.0</v>
      </c>
      <c r="F29" s="161">
        <f t="shared" si="5"/>
        <v>715</v>
      </c>
      <c r="G29" s="125">
        <f t="shared" si="6"/>
        <v>1.870828693</v>
      </c>
      <c r="H29" s="184"/>
      <c r="I29" s="184"/>
      <c r="J29" s="184"/>
      <c r="K29" s="185"/>
      <c r="L29" s="165" t="s">
        <v>69</v>
      </c>
      <c r="M29" s="85">
        <v>45901.0</v>
      </c>
      <c r="N29" s="112" t="s">
        <v>34</v>
      </c>
      <c r="O29" s="203" t="s">
        <v>153</v>
      </c>
      <c r="P29" s="145" t="s">
        <v>36</v>
      </c>
      <c r="Q29" s="209" t="s">
        <v>78</v>
      </c>
      <c r="R29" s="210"/>
      <c r="S29" s="201">
        <v>654.0</v>
      </c>
    </row>
    <row r="30">
      <c r="A30" s="92" t="s">
        <v>154</v>
      </c>
      <c r="B30" s="179" t="s">
        <v>155</v>
      </c>
      <c r="C30" s="208" t="s">
        <v>156</v>
      </c>
      <c r="D30" s="194">
        <v>46.0</v>
      </c>
      <c r="E30" s="194">
        <v>22000.0</v>
      </c>
      <c r="F30" s="161">
        <f t="shared" si="5"/>
        <v>479</v>
      </c>
      <c r="G30" s="125">
        <f t="shared" si="6"/>
        <v>3.353273691</v>
      </c>
      <c r="H30" s="184">
        <v>80.5</v>
      </c>
      <c r="I30" s="184">
        <v>57.6</v>
      </c>
      <c r="J30" s="184">
        <v>35.3</v>
      </c>
      <c r="K30" s="185"/>
      <c r="L30" s="165" t="s">
        <v>69</v>
      </c>
      <c r="M30" s="85">
        <v>45901.0</v>
      </c>
      <c r="N30" s="112" t="s">
        <v>34</v>
      </c>
      <c r="O30" s="203" t="s">
        <v>156</v>
      </c>
      <c r="P30" s="145" t="s">
        <v>36</v>
      </c>
      <c r="Q30" s="209"/>
      <c r="R30" s="210" t="s">
        <v>157</v>
      </c>
      <c r="S30" s="200">
        <v>653.0</v>
      </c>
    </row>
    <row r="31">
      <c r="A31" s="106" t="s">
        <v>158</v>
      </c>
      <c r="B31" s="211" t="s">
        <v>159</v>
      </c>
      <c r="C31" s="160" t="s">
        <v>160</v>
      </c>
      <c r="D31" s="109">
        <v>30.0</v>
      </c>
      <c r="E31" s="109">
        <v>2000.0</v>
      </c>
      <c r="F31" s="161">
        <f t="shared" si="5"/>
        <v>67</v>
      </c>
      <c r="G31" s="125">
        <f t="shared" si="6"/>
        <v>0.8164965809</v>
      </c>
      <c r="H31" s="212"/>
      <c r="I31" s="213"/>
      <c r="J31" s="162"/>
      <c r="K31" s="164"/>
      <c r="L31" s="165" t="s">
        <v>69</v>
      </c>
      <c r="M31" s="85">
        <v>45901.0</v>
      </c>
      <c r="N31" s="112" t="s">
        <v>34</v>
      </c>
      <c r="O31" s="166" t="s">
        <v>161</v>
      </c>
      <c r="P31" s="136" t="s">
        <v>71</v>
      </c>
      <c r="Q31" s="214"/>
      <c r="R31" s="167" t="s">
        <v>162</v>
      </c>
      <c r="S31" s="201">
        <v>652.0</v>
      </c>
    </row>
    <row r="32">
      <c r="A32" s="106" t="s">
        <v>163</v>
      </c>
      <c r="B32" s="159" t="s">
        <v>107</v>
      </c>
      <c r="C32" s="160" t="s">
        <v>108</v>
      </c>
      <c r="D32" s="116">
        <v>1000.0</v>
      </c>
      <c r="E32" s="215">
        <v>36000.0</v>
      </c>
      <c r="F32" s="161">
        <f t="shared" si="5"/>
        <v>36</v>
      </c>
      <c r="G32" s="125">
        <f t="shared" si="6"/>
        <v>20</v>
      </c>
      <c r="H32" s="212"/>
      <c r="I32" s="213"/>
      <c r="J32" s="162">
        <v>64.6</v>
      </c>
      <c r="K32" s="164"/>
      <c r="L32" s="165" t="s">
        <v>69</v>
      </c>
      <c r="M32" s="85">
        <v>45901.0</v>
      </c>
      <c r="N32" s="112" t="s">
        <v>34</v>
      </c>
      <c r="O32" s="166" t="s">
        <v>164</v>
      </c>
      <c r="P32" s="145" t="s">
        <v>36</v>
      </c>
      <c r="Q32" s="214"/>
      <c r="R32" s="167" t="s">
        <v>165</v>
      </c>
      <c r="S32" s="200">
        <v>651.0</v>
      </c>
    </row>
    <row r="33">
      <c r="A33" s="92" t="s">
        <v>166</v>
      </c>
      <c r="B33" s="189" t="s">
        <v>167</v>
      </c>
      <c r="C33" s="208" t="s">
        <v>168</v>
      </c>
      <c r="D33" s="194">
        <v>1000.0</v>
      </c>
      <c r="E33" s="194">
        <v>15500.0</v>
      </c>
      <c r="F33" s="161">
        <f t="shared" si="5"/>
        <v>16</v>
      </c>
      <c r="G33" s="125">
        <f t="shared" si="6"/>
        <v>13.12334646</v>
      </c>
      <c r="H33" s="184"/>
      <c r="I33" s="183"/>
      <c r="J33" s="184"/>
      <c r="K33" s="185"/>
      <c r="L33" s="165" t="s">
        <v>69</v>
      </c>
      <c r="M33" s="85">
        <v>45901.0</v>
      </c>
      <c r="N33" s="112" t="s">
        <v>34</v>
      </c>
      <c r="O33" s="203" t="s">
        <v>169</v>
      </c>
      <c r="P33" s="136" t="s">
        <v>36</v>
      </c>
      <c r="Q33" s="209" t="s">
        <v>37</v>
      </c>
      <c r="R33" s="210" t="s">
        <v>170</v>
      </c>
      <c r="S33" s="201">
        <v>650.0</v>
      </c>
    </row>
    <row r="34">
      <c r="A34" s="92" t="s">
        <v>171</v>
      </c>
      <c r="B34" s="179" t="s">
        <v>172</v>
      </c>
      <c r="C34" s="208" t="s">
        <v>173</v>
      </c>
      <c r="D34" s="194">
        <v>70.0</v>
      </c>
      <c r="E34" s="194">
        <v>15000.0</v>
      </c>
      <c r="F34" s="161">
        <f t="shared" si="5"/>
        <v>215</v>
      </c>
      <c r="G34" s="125">
        <f t="shared" si="6"/>
        <v>3.415650255</v>
      </c>
      <c r="H34" s="184">
        <v>65.2</v>
      </c>
      <c r="I34" s="183"/>
      <c r="J34" s="184">
        <v>30.6</v>
      </c>
      <c r="K34" s="216"/>
      <c r="L34" s="129" t="s">
        <v>69</v>
      </c>
      <c r="M34" s="85">
        <v>45901.0</v>
      </c>
      <c r="N34" s="112" t="s">
        <v>34</v>
      </c>
      <c r="O34" s="203" t="s">
        <v>174</v>
      </c>
      <c r="P34" s="136" t="s">
        <v>71</v>
      </c>
      <c r="Q34" s="209"/>
      <c r="R34" s="217" t="s">
        <v>175</v>
      </c>
      <c r="S34" s="200">
        <v>649.0</v>
      </c>
    </row>
    <row r="35">
      <c r="A35" s="92" t="s">
        <v>176</v>
      </c>
      <c r="B35" s="189" t="s">
        <v>177</v>
      </c>
      <c r="C35" s="208" t="s">
        <v>178</v>
      </c>
      <c r="D35" s="124">
        <v>500.0</v>
      </c>
      <c r="E35" s="124">
        <v>10000.0</v>
      </c>
      <c r="F35" s="161">
        <f t="shared" si="5"/>
        <v>20</v>
      </c>
      <c r="G35" s="125">
        <f t="shared" si="6"/>
        <v>7.453559925</v>
      </c>
      <c r="H35" s="183"/>
      <c r="I35" s="183"/>
      <c r="J35" s="183"/>
      <c r="K35" s="216"/>
      <c r="L35" s="129" t="s">
        <v>69</v>
      </c>
      <c r="M35" s="85">
        <v>45870.0</v>
      </c>
      <c r="N35" s="112" t="s">
        <v>34</v>
      </c>
      <c r="O35" s="203" t="s">
        <v>178</v>
      </c>
      <c r="P35" s="145" t="s">
        <v>36</v>
      </c>
      <c r="Q35" s="209"/>
      <c r="R35" s="210" t="s">
        <v>179</v>
      </c>
      <c r="S35" s="201">
        <v>648.0</v>
      </c>
    </row>
    <row r="36">
      <c r="A36" s="136" t="s">
        <v>180</v>
      </c>
      <c r="B36" s="146" t="s">
        <v>126</v>
      </c>
      <c r="C36" s="218" t="s">
        <v>181</v>
      </c>
      <c r="D36" s="219">
        <v>100.0</v>
      </c>
      <c r="E36" s="220">
        <v>10000.0</v>
      </c>
      <c r="F36" s="161">
        <f t="shared" si="5"/>
        <v>100</v>
      </c>
      <c r="G36" s="125">
        <f t="shared" si="6"/>
        <v>3.333333333</v>
      </c>
      <c r="H36" s="221"/>
      <c r="I36" s="222"/>
      <c r="J36" s="127"/>
      <c r="K36" s="128"/>
      <c r="L36" s="129" t="s">
        <v>69</v>
      </c>
      <c r="M36" s="85">
        <v>45870.0</v>
      </c>
      <c r="N36" s="112" t="s">
        <v>34</v>
      </c>
      <c r="O36" s="223" t="s">
        <v>182</v>
      </c>
      <c r="P36" s="146" t="s">
        <v>36</v>
      </c>
      <c r="Q36" s="206"/>
      <c r="R36" s="105" t="s">
        <v>183</v>
      </c>
      <c r="S36" s="200">
        <v>647.0</v>
      </c>
    </row>
    <row r="37">
      <c r="A37" s="136" t="s">
        <v>184</v>
      </c>
      <c r="B37" s="224" t="s">
        <v>185</v>
      </c>
      <c r="C37" s="218" t="s">
        <v>186</v>
      </c>
      <c r="D37" s="225">
        <v>405.0</v>
      </c>
      <c r="E37" s="226">
        <v>15656.0</v>
      </c>
      <c r="F37" s="227">
        <f t="shared" si="5"/>
        <v>39</v>
      </c>
      <c r="G37" s="228">
        <f t="shared" si="6"/>
        <v>8.393568967</v>
      </c>
      <c r="H37" s="221">
        <v>87.2</v>
      </c>
      <c r="I37" s="222">
        <v>80.5</v>
      </c>
      <c r="J37" s="127">
        <v>70.5</v>
      </c>
      <c r="K37" s="128"/>
      <c r="L37" s="129" t="s">
        <v>69</v>
      </c>
      <c r="M37" s="85">
        <v>45870.0</v>
      </c>
      <c r="N37" s="112" t="s">
        <v>34</v>
      </c>
      <c r="O37" s="223" t="s">
        <v>187</v>
      </c>
      <c r="P37" s="224" t="s">
        <v>71</v>
      </c>
      <c r="Q37" s="206" t="s">
        <v>78</v>
      </c>
      <c r="R37" s="105" t="s">
        <v>188</v>
      </c>
      <c r="S37" s="201">
        <v>646.0</v>
      </c>
    </row>
    <row r="38">
      <c r="A38" s="136" t="s">
        <v>189</v>
      </c>
      <c r="B38" s="229" t="s">
        <v>190</v>
      </c>
      <c r="C38" s="230" t="s">
        <v>191</v>
      </c>
      <c r="D38" s="225">
        <v>4.0</v>
      </c>
      <c r="E38" s="225">
        <v>400.0</v>
      </c>
      <c r="F38" s="31">
        <f t="shared" si="5"/>
        <v>100</v>
      </c>
      <c r="G38" s="231">
        <f t="shared" si="6"/>
        <v>0.1333333333</v>
      </c>
      <c r="H38" s="232">
        <v>65.2</v>
      </c>
      <c r="I38" s="222">
        <v>44.2</v>
      </c>
      <c r="J38" s="184"/>
      <c r="K38" s="140"/>
      <c r="L38" s="233" t="s">
        <v>69</v>
      </c>
      <c r="M38" s="85">
        <v>45870.0</v>
      </c>
      <c r="N38" s="112" t="s">
        <v>34</v>
      </c>
      <c r="O38" s="234" t="s">
        <v>192</v>
      </c>
      <c r="P38" s="145" t="s">
        <v>71</v>
      </c>
      <c r="Q38" s="235" t="s">
        <v>78</v>
      </c>
      <c r="R38" s="236" t="s">
        <v>193</v>
      </c>
      <c r="S38" s="200">
        <v>645.0</v>
      </c>
    </row>
    <row r="39">
      <c r="A39" s="136" t="s">
        <v>194</v>
      </c>
      <c r="B39" s="229" t="s">
        <v>32</v>
      </c>
      <c r="C39" s="230" t="s">
        <v>195</v>
      </c>
      <c r="D39" s="138">
        <v>685.0</v>
      </c>
      <c r="E39" s="219">
        <v>15640.0</v>
      </c>
      <c r="F39" s="31">
        <v>22.0</v>
      </c>
      <c r="G39" s="231">
        <v>10.61340870995009</v>
      </c>
      <c r="H39" s="232">
        <v>93.7</v>
      </c>
      <c r="I39" s="222">
        <v>84.8</v>
      </c>
      <c r="J39" s="184">
        <v>80.1</v>
      </c>
      <c r="K39" s="237">
        <v>29.8</v>
      </c>
      <c r="L39" s="233" t="s">
        <v>69</v>
      </c>
      <c r="M39" s="85">
        <v>45870.0</v>
      </c>
      <c r="N39" s="112" t="s">
        <v>34</v>
      </c>
      <c r="O39" s="234" t="s">
        <v>195</v>
      </c>
      <c r="P39" s="145" t="s">
        <v>36</v>
      </c>
      <c r="Q39" s="238" t="s">
        <v>118</v>
      </c>
      <c r="R39" s="199" t="s">
        <v>196</v>
      </c>
      <c r="S39" s="201">
        <v>644.0</v>
      </c>
    </row>
    <row r="40">
      <c r="A40" s="136" t="s">
        <v>197</v>
      </c>
      <c r="B40" s="229" t="s">
        <v>190</v>
      </c>
      <c r="C40" s="230" t="s">
        <v>198</v>
      </c>
      <c r="D40" s="225">
        <v>12.31</v>
      </c>
      <c r="E40" s="138">
        <v>20000.0</v>
      </c>
      <c r="F40" s="31">
        <f t="shared" ref="F40:F79" si="7">IF(E40&lt;&gt;"", ROUNDUP(E40/D40,0),"")</f>
        <v>1625</v>
      </c>
      <c r="G40" s="231">
        <f t="shared" ref="G40:G223" si="8">IF(E40&lt;&gt;"", (SQRT(D40*E40))/300, "")</f>
        <v>1.653951497</v>
      </c>
      <c r="H40" s="232">
        <v>78.24</v>
      </c>
      <c r="I40" s="222">
        <v>63.98</v>
      </c>
      <c r="J40" s="184">
        <v>64.48</v>
      </c>
      <c r="K40" s="140"/>
      <c r="L40" s="233" t="s">
        <v>69</v>
      </c>
      <c r="M40" s="85">
        <v>45870.0</v>
      </c>
      <c r="N40" s="112" t="s">
        <v>34</v>
      </c>
      <c r="O40" s="234" t="s">
        <v>199</v>
      </c>
      <c r="P40" s="145" t="s">
        <v>71</v>
      </c>
      <c r="Q40" s="235" t="s">
        <v>78</v>
      </c>
      <c r="R40" s="199" t="s">
        <v>200</v>
      </c>
      <c r="S40" s="200">
        <v>643.0</v>
      </c>
    </row>
    <row r="41">
      <c r="A41" s="92" t="s">
        <v>201</v>
      </c>
      <c r="B41" s="122" t="s">
        <v>45</v>
      </c>
      <c r="C41" s="193" t="s">
        <v>202</v>
      </c>
      <c r="D41" s="194">
        <v>0.27</v>
      </c>
      <c r="E41" s="194">
        <v>6000.0</v>
      </c>
      <c r="F41" s="97">
        <f t="shared" si="7"/>
        <v>22223</v>
      </c>
      <c r="G41" s="98">
        <f t="shared" si="8"/>
        <v>0.1341640786</v>
      </c>
      <c r="H41" s="100"/>
      <c r="I41" s="100"/>
      <c r="J41" s="100"/>
      <c r="K41" s="83"/>
      <c r="L41" s="195" t="s">
        <v>132</v>
      </c>
      <c r="M41" s="85">
        <v>45870.0</v>
      </c>
      <c r="N41" s="86" t="s">
        <v>34</v>
      </c>
      <c r="O41" s="196" t="s">
        <v>203</v>
      </c>
      <c r="P41" s="197" t="s">
        <v>71</v>
      </c>
      <c r="Q41" s="198"/>
      <c r="R41" s="236" t="s">
        <v>204</v>
      </c>
      <c r="S41" s="201">
        <v>642.0</v>
      </c>
    </row>
    <row r="42">
      <c r="A42" s="92" t="s">
        <v>205</v>
      </c>
      <c r="B42" s="61" t="s">
        <v>50</v>
      </c>
      <c r="C42" s="135" t="s">
        <v>206</v>
      </c>
      <c r="D42" s="239">
        <v>300.0</v>
      </c>
      <c r="E42" s="124">
        <v>114000.0</v>
      </c>
      <c r="F42" s="31">
        <f t="shared" si="7"/>
        <v>380</v>
      </c>
      <c r="G42" s="110">
        <f t="shared" si="8"/>
        <v>19.49358869</v>
      </c>
      <c r="H42" s="100">
        <v>91.0</v>
      </c>
      <c r="I42" s="184"/>
      <c r="J42" s="184">
        <v>89.4</v>
      </c>
      <c r="K42" s="240">
        <v>42.0</v>
      </c>
      <c r="L42" s="84" t="s">
        <v>69</v>
      </c>
      <c r="M42" s="85">
        <v>45870.0</v>
      </c>
      <c r="N42" s="112" t="s">
        <v>34</v>
      </c>
      <c r="O42" s="135" t="s">
        <v>207</v>
      </c>
      <c r="P42" s="188" t="s">
        <v>36</v>
      </c>
      <c r="Q42" s="133" t="s">
        <v>118</v>
      </c>
      <c r="R42" s="241" t="s">
        <v>208</v>
      </c>
      <c r="S42" s="200">
        <v>641.0</v>
      </c>
    </row>
    <row r="43">
      <c r="A43" s="106" t="s">
        <v>209</v>
      </c>
      <c r="B43" s="242" t="s">
        <v>50</v>
      </c>
      <c r="C43" s="108" t="s">
        <v>210</v>
      </c>
      <c r="D43" s="109">
        <v>120.0</v>
      </c>
      <c r="E43" s="116">
        <v>30000.0</v>
      </c>
      <c r="F43" s="31">
        <f t="shared" si="7"/>
        <v>250</v>
      </c>
      <c r="G43" s="110">
        <f t="shared" si="8"/>
        <v>6.32455532</v>
      </c>
      <c r="H43" s="100">
        <v>90.0</v>
      </c>
      <c r="I43" s="100"/>
      <c r="J43" s="100">
        <v>80.1</v>
      </c>
      <c r="K43" s="83">
        <v>19.0</v>
      </c>
      <c r="L43" s="84" t="s">
        <v>69</v>
      </c>
      <c r="M43" s="85">
        <v>45870.0</v>
      </c>
      <c r="N43" s="112" t="s">
        <v>34</v>
      </c>
      <c r="O43" s="108" t="s">
        <v>211</v>
      </c>
      <c r="P43" s="103" t="s">
        <v>36</v>
      </c>
      <c r="Q43" s="113" t="s">
        <v>37</v>
      </c>
      <c r="R43" s="121" t="s">
        <v>212</v>
      </c>
      <c r="S43" s="201">
        <v>640.0</v>
      </c>
    </row>
    <row r="44">
      <c r="A44" s="106" t="s">
        <v>213</v>
      </c>
      <c r="B44" s="242" t="s">
        <v>50</v>
      </c>
      <c r="C44" s="108" t="s">
        <v>214</v>
      </c>
      <c r="D44" s="109">
        <v>20.0</v>
      </c>
      <c r="E44" s="116">
        <v>13000.0</v>
      </c>
      <c r="F44" s="31">
        <f t="shared" si="7"/>
        <v>650</v>
      </c>
      <c r="G44" s="110">
        <f t="shared" si="8"/>
        <v>1.699673171</v>
      </c>
      <c r="H44" s="100">
        <v>85.3</v>
      </c>
      <c r="I44" s="100"/>
      <c r="J44" s="100">
        <v>71.5</v>
      </c>
      <c r="K44" s="83">
        <v>17.3</v>
      </c>
      <c r="L44" s="84" t="s">
        <v>69</v>
      </c>
      <c r="M44" s="85">
        <v>45870.0</v>
      </c>
      <c r="N44" s="112" t="s">
        <v>34</v>
      </c>
      <c r="O44" s="108" t="s">
        <v>211</v>
      </c>
      <c r="P44" s="103" t="s">
        <v>36</v>
      </c>
      <c r="Q44" s="113" t="s">
        <v>37</v>
      </c>
      <c r="R44" s="121" t="s">
        <v>215</v>
      </c>
      <c r="S44" s="91">
        <v>639.0</v>
      </c>
    </row>
    <row r="45">
      <c r="A45" s="106" t="s">
        <v>216</v>
      </c>
      <c r="B45" s="119" t="s">
        <v>90</v>
      </c>
      <c r="C45" s="108" t="s">
        <v>217</v>
      </c>
      <c r="D45" s="116">
        <v>2000.0</v>
      </c>
      <c r="E45" s="116">
        <v>100000.0</v>
      </c>
      <c r="F45" s="31">
        <f t="shared" si="7"/>
        <v>50</v>
      </c>
      <c r="G45" s="110">
        <f t="shared" si="8"/>
        <v>47.14045208</v>
      </c>
      <c r="H45" s="117"/>
      <c r="I45" s="117"/>
      <c r="J45" s="100">
        <v>80.9</v>
      </c>
      <c r="K45" s="118"/>
      <c r="L45" s="84" t="s">
        <v>69</v>
      </c>
      <c r="M45" s="85">
        <v>45870.0</v>
      </c>
      <c r="N45" s="112" t="s">
        <v>34</v>
      </c>
      <c r="O45" s="108" t="s">
        <v>218</v>
      </c>
      <c r="P45" s="103" t="s">
        <v>36</v>
      </c>
      <c r="Q45" s="120" t="s">
        <v>37</v>
      </c>
      <c r="R45" s="243"/>
      <c r="S45" s="201">
        <v>638.0</v>
      </c>
    </row>
    <row r="46">
      <c r="A46" s="106" t="s">
        <v>219</v>
      </c>
      <c r="B46" s="107" t="s">
        <v>81</v>
      </c>
      <c r="C46" s="108" t="s">
        <v>220</v>
      </c>
      <c r="D46" s="109">
        <v>355.0</v>
      </c>
      <c r="E46" s="109">
        <v>22000.0</v>
      </c>
      <c r="F46" s="31">
        <f t="shared" si="7"/>
        <v>62</v>
      </c>
      <c r="G46" s="110">
        <f t="shared" si="8"/>
        <v>9.315459075</v>
      </c>
      <c r="H46" s="100"/>
      <c r="I46" s="100">
        <v>84.6</v>
      </c>
      <c r="J46" s="100">
        <v>79.1</v>
      </c>
      <c r="K46" s="83">
        <v>14.4</v>
      </c>
      <c r="L46" s="84" t="s">
        <v>69</v>
      </c>
      <c r="M46" s="85">
        <v>45839.0</v>
      </c>
      <c r="N46" s="112" t="s">
        <v>34</v>
      </c>
      <c r="O46" s="108" t="s">
        <v>221</v>
      </c>
      <c r="P46" s="103" t="s">
        <v>36</v>
      </c>
      <c r="Q46" s="113" t="s">
        <v>78</v>
      </c>
      <c r="R46" s="114" t="s">
        <v>222</v>
      </c>
      <c r="S46" s="91">
        <v>637.0</v>
      </c>
    </row>
    <row r="47">
      <c r="A47" s="136" t="s">
        <v>223</v>
      </c>
      <c r="B47" s="115" t="s">
        <v>224</v>
      </c>
      <c r="C47" s="230" t="s">
        <v>225</v>
      </c>
      <c r="D47" s="138">
        <v>115.0</v>
      </c>
      <c r="E47" s="138">
        <v>10000.0</v>
      </c>
      <c r="F47" s="31">
        <f t="shared" si="7"/>
        <v>87</v>
      </c>
      <c r="G47" s="110">
        <f t="shared" si="8"/>
        <v>3.574601765</v>
      </c>
      <c r="H47" s="244"/>
      <c r="I47" s="140"/>
      <c r="J47" s="140"/>
      <c r="K47" s="141"/>
      <c r="L47" s="245" t="s">
        <v>132</v>
      </c>
      <c r="M47" s="85">
        <v>45839.0</v>
      </c>
      <c r="N47" s="112" t="s">
        <v>34</v>
      </c>
      <c r="O47" s="246" t="s">
        <v>226</v>
      </c>
      <c r="P47" s="145" t="s">
        <v>71</v>
      </c>
      <c r="Q47" s="247" t="s">
        <v>78</v>
      </c>
      <c r="R47" s="224"/>
      <c r="S47" s="201">
        <v>636.0</v>
      </c>
    </row>
    <row r="48">
      <c r="A48" s="136" t="s">
        <v>227</v>
      </c>
      <c r="B48" s="147" t="s">
        <v>228</v>
      </c>
      <c r="C48" s="248" t="s">
        <v>229</v>
      </c>
      <c r="D48" s="249">
        <v>235.0</v>
      </c>
      <c r="E48" s="96">
        <v>41000.0</v>
      </c>
      <c r="F48" s="31">
        <f t="shared" si="7"/>
        <v>175</v>
      </c>
      <c r="G48" s="110">
        <f t="shared" si="8"/>
        <v>10.34676546</v>
      </c>
      <c r="H48" s="250"/>
      <c r="I48" s="184">
        <v>83.5</v>
      </c>
      <c r="J48" s="251">
        <v>77.3</v>
      </c>
      <c r="K48" s="83"/>
      <c r="L48" s="129" t="s">
        <v>69</v>
      </c>
      <c r="M48" s="85">
        <v>45839.0</v>
      </c>
      <c r="N48" s="112" t="s">
        <v>34</v>
      </c>
      <c r="O48" s="230" t="s">
        <v>229</v>
      </c>
      <c r="P48" s="103" t="s">
        <v>36</v>
      </c>
      <c r="Q48" s="252" t="s">
        <v>37</v>
      </c>
      <c r="R48" s="253" t="s">
        <v>230</v>
      </c>
      <c r="S48" s="91">
        <v>635.0</v>
      </c>
    </row>
    <row r="49">
      <c r="A49" s="103" t="s">
        <v>231</v>
      </c>
      <c r="B49" s="254" t="s">
        <v>232</v>
      </c>
      <c r="C49" s="255" t="s">
        <v>233</v>
      </c>
      <c r="D49" s="226">
        <v>321.0</v>
      </c>
      <c r="E49" s="220">
        <v>18000.0</v>
      </c>
      <c r="F49" s="139">
        <f t="shared" si="7"/>
        <v>57</v>
      </c>
      <c r="G49" s="256">
        <f t="shared" si="8"/>
        <v>8.01249025</v>
      </c>
      <c r="H49" s="257"/>
      <c r="I49" s="100"/>
      <c r="J49" s="258">
        <v>72.9</v>
      </c>
      <c r="K49" s="83"/>
      <c r="L49" s="195" t="s">
        <v>132</v>
      </c>
      <c r="M49" s="85">
        <v>45839.0</v>
      </c>
      <c r="N49" s="130" t="s">
        <v>34</v>
      </c>
      <c r="O49" s="259" t="s">
        <v>234</v>
      </c>
      <c r="P49" s="103" t="s">
        <v>36</v>
      </c>
      <c r="Q49" s="260"/>
      <c r="R49" s="261" t="s">
        <v>235</v>
      </c>
      <c r="S49" s="201">
        <v>634.0</v>
      </c>
    </row>
    <row r="50">
      <c r="A50" s="136" t="s">
        <v>236</v>
      </c>
      <c r="B50" s="147" t="s">
        <v>107</v>
      </c>
      <c r="C50" s="248" t="s">
        <v>237</v>
      </c>
      <c r="D50" s="225">
        <v>235.0</v>
      </c>
      <c r="E50" s="194">
        <v>36000.0</v>
      </c>
      <c r="F50" s="139">
        <f t="shared" si="7"/>
        <v>154</v>
      </c>
      <c r="G50" s="262">
        <f t="shared" si="8"/>
        <v>9.695359715</v>
      </c>
      <c r="H50" s="263">
        <v>93.8</v>
      </c>
      <c r="I50" s="100">
        <v>84.4</v>
      </c>
      <c r="J50" s="258">
        <v>81.1</v>
      </c>
      <c r="K50" s="128"/>
      <c r="L50" s="129" t="s">
        <v>69</v>
      </c>
      <c r="M50" s="85">
        <v>45839.0</v>
      </c>
      <c r="N50" s="112" t="s">
        <v>34</v>
      </c>
      <c r="O50" s="248" t="s">
        <v>237</v>
      </c>
      <c r="P50" s="103" t="s">
        <v>36</v>
      </c>
      <c r="Q50" s="247" t="s">
        <v>78</v>
      </c>
      <c r="R50" s="264" t="s">
        <v>238</v>
      </c>
      <c r="S50" s="91">
        <v>633.0</v>
      </c>
    </row>
    <row r="51">
      <c r="A51" s="136" t="s">
        <v>239</v>
      </c>
      <c r="B51" s="265" t="s">
        <v>155</v>
      </c>
      <c r="C51" s="266"/>
      <c r="D51" s="225">
        <v>200.0</v>
      </c>
      <c r="E51" s="124">
        <v>10000.0</v>
      </c>
      <c r="F51" s="139">
        <f t="shared" si="7"/>
        <v>50</v>
      </c>
      <c r="G51" s="262">
        <f t="shared" si="8"/>
        <v>4.714045208</v>
      </c>
      <c r="I51" s="100">
        <v>82.3</v>
      </c>
      <c r="J51" s="258">
        <v>78.2</v>
      </c>
      <c r="K51" s="128"/>
      <c r="L51" s="129" t="s">
        <v>69</v>
      </c>
      <c r="M51" s="85">
        <v>45839.0</v>
      </c>
      <c r="N51" s="112" t="s">
        <v>28</v>
      </c>
      <c r="O51" s="267" t="s">
        <v>240</v>
      </c>
      <c r="P51" s="103" t="s">
        <v>36</v>
      </c>
      <c r="Q51" s="247" t="s">
        <v>78</v>
      </c>
      <c r="R51" s="264" t="s">
        <v>241</v>
      </c>
      <c r="S51" s="201">
        <v>632.0</v>
      </c>
    </row>
    <row r="52">
      <c r="A52" s="136" t="s">
        <v>242</v>
      </c>
      <c r="B52" s="265" t="s">
        <v>155</v>
      </c>
      <c r="C52" s="248" t="s">
        <v>243</v>
      </c>
      <c r="D52" s="225">
        <v>40.0</v>
      </c>
      <c r="E52" s="124">
        <v>10000.0</v>
      </c>
      <c r="F52" s="139">
        <f t="shared" si="7"/>
        <v>250</v>
      </c>
      <c r="G52" s="262">
        <f t="shared" si="8"/>
        <v>2.108185107</v>
      </c>
      <c r="H52" s="263"/>
      <c r="I52" s="100">
        <v>77.8</v>
      </c>
      <c r="J52" s="258">
        <v>75.1</v>
      </c>
      <c r="K52" s="128"/>
      <c r="L52" s="129" t="s">
        <v>69</v>
      </c>
      <c r="M52" s="85">
        <v>45839.0</v>
      </c>
      <c r="N52" s="112" t="s">
        <v>34</v>
      </c>
      <c r="O52" s="267" t="s">
        <v>240</v>
      </c>
      <c r="P52" s="103" t="s">
        <v>71</v>
      </c>
      <c r="Q52" s="247" t="s">
        <v>78</v>
      </c>
      <c r="R52" s="264" t="s">
        <v>244</v>
      </c>
      <c r="S52" s="91">
        <v>631.0</v>
      </c>
    </row>
    <row r="53">
      <c r="A53" s="136" t="s">
        <v>245</v>
      </c>
      <c r="B53" s="147" t="s">
        <v>107</v>
      </c>
      <c r="C53" s="248" t="s">
        <v>246</v>
      </c>
      <c r="D53" s="225">
        <v>480.0</v>
      </c>
      <c r="E53" s="194">
        <v>36000.0</v>
      </c>
      <c r="F53" s="139">
        <f t="shared" si="7"/>
        <v>75</v>
      </c>
      <c r="G53" s="262">
        <f t="shared" si="8"/>
        <v>13.85640646</v>
      </c>
      <c r="H53" s="263"/>
      <c r="I53" s="100"/>
      <c r="J53" s="258"/>
      <c r="K53" s="128"/>
      <c r="L53" s="129" t="s">
        <v>69</v>
      </c>
      <c r="M53" s="85">
        <v>45839.0</v>
      </c>
      <c r="N53" s="112" t="s">
        <v>34</v>
      </c>
      <c r="O53" s="267" t="s">
        <v>247</v>
      </c>
      <c r="P53" s="103" t="s">
        <v>36</v>
      </c>
      <c r="Q53" s="247"/>
      <c r="R53" s="264" t="s">
        <v>248</v>
      </c>
      <c r="S53" s="201">
        <v>630.0</v>
      </c>
    </row>
    <row r="54">
      <c r="A54" s="136" t="s">
        <v>249</v>
      </c>
      <c r="B54" s="147" t="s">
        <v>107</v>
      </c>
      <c r="C54" s="248" t="s">
        <v>250</v>
      </c>
      <c r="D54" s="225">
        <v>235.0</v>
      </c>
      <c r="E54" s="194">
        <v>36000.0</v>
      </c>
      <c r="F54" s="139">
        <f t="shared" si="7"/>
        <v>154</v>
      </c>
      <c r="G54" s="262">
        <f t="shared" si="8"/>
        <v>9.695359715</v>
      </c>
      <c r="H54" s="263">
        <v>93.1</v>
      </c>
      <c r="I54" s="100">
        <v>83.0</v>
      </c>
      <c r="J54" s="258">
        <v>77.5</v>
      </c>
      <c r="K54" s="128"/>
      <c r="L54" s="129" t="s">
        <v>69</v>
      </c>
      <c r="M54" s="85">
        <v>45839.0</v>
      </c>
      <c r="N54" s="112" t="s">
        <v>34</v>
      </c>
      <c r="O54" s="267" t="s">
        <v>250</v>
      </c>
      <c r="P54" s="103" t="s">
        <v>36</v>
      </c>
      <c r="Q54" s="247" t="s">
        <v>52</v>
      </c>
      <c r="R54" s="264" t="s">
        <v>238</v>
      </c>
      <c r="S54" s="91">
        <v>629.0</v>
      </c>
    </row>
    <row r="55">
      <c r="A55" s="103" t="s">
        <v>251</v>
      </c>
      <c r="B55" s="268" t="s">
        <v>252</v>
      </c>
      <c r="C55" s="255" t="s">
        <v>253</v>
      </c>
      <c r="D55" s="226">
        <v>37.0</v>
      </c>
      <c r="E55" s="226">
        <v>4150.0</v>
      </c>
      <c r="F55" s="31">
        <f t="shared" si="7"/>
        <v>113</v>
      </c>
      <c r="G55" s="256">
        <f t="shared" si="8"/>
        <v>1.306181883</v>
      </c>
      <c r="H55" s="257">
        <v>60.4</v>
      </c>
      <c r="I55" s="269">
        <v>30.9</v>
      </c>
      <c r="J55" s="270"/>
      <c r="K55" s="128"/>
      <c r="L55" s="129" t="s">
        <v>69</v>
      </c>
      <c r="M55" s="85">
        <v>45839.0</v>
      </c>
      <c r="N55" s="130" t="s">
        <v>34</v>
      </c>
      <c r="O55" s="271" t="s">
        <v>254</v>
      </c>
      <c r="P55" s="103" t="s">
        <v>36</v>
      </c>
      <c r="Q55" s="272"/>
      <c r="R55" s="158" t="s">
        <v>255</v>
      </c>
      <c r="S55" s="201">
        <v>628.0</v>
      </c>
    </row>
    <row r="56">
      <c r="A56" s="103" t="s">
        <v>256</v>
      </c>
      <c r="B56" s="156" t="s">
        <v>257</v>
      </c>
      <c r="C56" s="259" t="s">
        <v>258</v>
      </c>
      <c r="D56" s="273">
        <v>32.0</v>
      </c>
      <c r="E56" s="226">
        <v>14000.0</v>
      </c>
      <c r="F56" s="31">
        <f t="shared" si="7"/>
        <v>438</v>
      </c>
      <c r="G56" s="182">
        <f t="shared" si="8"/>
        <v>2.231093404</v>
      </c>
      <c r="H56" s="274">
        <v>92.3</v>
      </c>
      <c r="I56" s="269">
        <v>81.8</v>
      </c>
      <c r="J56" s="275">
        <v>75.4</v>
      </c>
      <c r="K56" s="153"/>
      <c r="L56" s="276" t="s">
        <v>132</v>
      </c>
      <c r="M56" s="85">
        <v>45839.0</v>
      </c>
      <c r="N56" s="130" t="s">
        <v>34</v>
      </c>
      <c r="O56" s="277" t="s">
        <v>259</v>
      </c>
      <c r="P56" s="268" t="s">
        <v>71</v>
      </c>
      <c r="Q56" s="206" t="s">
        <v>78</v>
      </c>
      <c r="R56" s="103" t="s">
        <v>260</v>
      </c>
      <c r="S56" s="91">
        <v>627.0</v>
      </c>
    </row>
    <row r="57">
      <c r="A57" s="103" t="s">
        <v>261</v>
      </c>
      <c r="B57" s="147" t="s">
        <v>167</v>
      </c>
      <c r="C57" s="259" t="s">
        <v>262</v>
      </c>
      <c r="D57" s="226">
        <v>1000.0</v>
      </c>
      <c r="E57" s="226">
        <v>15500.0</v>
      </c>
      <c r="F57" s="31">
        <f t="shared" si="7"/>
        <v>16</v>
      </c>
      <c r="G57" s="278">
        <f t="shared" si="8"/>
        <v>13.12334646</v>
      </c>
      <c r="H57" s="279">
        <v>89.5</v>
      </c>
      <c r="I57" s="269">
        <v>81.1</v>
      </c>
      <c r="J57" s="269">
        <v>75.1</v>
      </c>
      <c r="K57" s="269">
        <v>4.7</v>
      </c>
      <c r="L57" s="154" t="s">
        <v>69</v>
      </c>
      <c r="M57" s="85">
        <v>45839.0</v>
      </c>
      <c r="N57" s="130" t="s">
        <v>34</v>
      </c>
      <c r="O57" s="280" t="s">
        <v>263</v>
      </c>
      <c r="P57" s="136" t="s">
        <v>36</v>
      </c>
      <c r="Q57" s="281" t="s">
        <v>37</v>
      </c>
      <c r="R57" s="103" t="s">
        <v>170</v>
      </c>
      <c r="S57" s="201">
        <v>626.0</v>
      </c>
    </row>
    <row r="58">
      <c r="A58" s="92" t="s">
        <v>264</v>
      </c>
      <c r="B58" s="189" t="s">
        <v>265</v>
      </c>
      <c r="C58" s="135" t="s">
        <v>266</v>
      </c>
      <c r="D58" s="194">
        <v>21.0</v>
      </c>
      <c r="E58" s="124">
        <v>5000.0</v>
      </c>
      <c r="F58" s="282">
        <f t="shared" si="7"/>
        <v>239</v>
      </c>
      <c r="G58" s="283">
        <f t="shared" si="8"/>
        <v>1.08012345</v>
      </c>
      <c r="H58" s="100"/>
      <c r="I58" s="100"/>
      <c r="J58" s="100"/>
      <c r="K58" s="83"/>
      <c r="L58" s="195" t="s">
        <v>132</v>
      </c>
      <c r="M58" s="85">
        <v>45839.0</v>
      </c>
      <c r="N58" s="99" t="s">
        <v>34</v>
      </c>
      <c r="O58" s="135" t="s">
        <v>267</v>
      </c>
      <c r="P58" s="103" t="s">
        <v>71</v>
      </c>
      <c r="Q58" s="206" t="s">
        <v>78</v>
      </c>
      <c r="R58" s="207"/>
      <c r="S58" s="91">
        <v>625.0</v>
      </c>
    </row>
    <row r="59">
      <c r="A59" s="103" t="s">
        <v>268</v>
      </c>
      <c r="B59" s="284" t="s">
        <v>269</v>
      </c>
      <c r="C59" s="285" t="s">
        <v>270</v>
      </c>
      <c r="D59" s="149">
        <v>50.0</v>
      </c>
      <c r="E59" s="149">
        <v>12000.0</v>
      </c>
      <c r="F59" s="31">
        <f t="shared" si="7"/>
        <v>240</v>
      </c>
      <c r="G59" s="286">
        <f t="shared" si="8"/>
        <v>2.581988897</v>
      </c>
      <c r="H59" s="151"/>
      <c r="I59" s="151"/>
      <c r="J59" s="287"/>
      <c r="K59" s="153"/>
      <c r="L59" s="175" t="s">
        <v>69</v>
      </c>
      <c r="M59" s="85">
        <v>45839.0</v>
      </c>
      <c r="N59" s="130" t="s">
        <v>34</v>
      </c>
      <c r="O59" s="277" t="s">
        <v>271</v>
      </c>
      <c r="P59" s="156" t="s">
        <v>71</v>
      </c>
      <c r="Q59" s="288"/>
      <c r="R59" s="289" t="s">
        <v>272</v>
      </c>
      <c r="S59" s="91">
        <v>624.0</v>
      </c>
    </row>
    <row r="60">
      <c r="A60" s="92" t="s">
        <v>273</v>
      </c>
      <c r="B60" s="189" t="s">
        <v>126</v>
      </c>
      <c r="C60" s="190" t="s">
        <v>127</v>
      </c>
      <c r="D60" s="191">
        <v>600.0</v>
      </c>
      <c r="E60" s="124">
        <v>80000.0</v>
      </c>
      <c r="F60" s="139">
        <f t="shared" si="7"/>
        <v>134</v>
      </c>
      <c r="G60" s="182">
        <f t="shared" si="8"/>
        <v>23.09401077</v>
      </c>
      <c r="H60" s="183"/>
      <c r="I60" s="183"/>
      <c r="J60" s="184">
        <v>88.9</v>
      </c>
      <c r="K60" s="185">
        <v>44.4</v>
      </c>
      <c r="L60" s="186" t="s">
        <v>69</v>
      </c>
      <c r="M60" s="85">
        <v>45839.0</v>
      </c>
      <c r="N60" s="112" t="s">
        <v>34</v>
      </c>
      <c r="O60" s="180" t="s">
        <v>274</v>
      </c>
      <c r="P60" s="192" t="s">
        <v>36</v>
      </c>
      <c r="Q60" s="133" t="s">
        <v>37</v>
      </c>
      <c r="R60" s="188" t="s">
        <v>275</v>
      </c>
      <c r="S60" s="91">
        <v>623.0</v>
      </c>
    </row>
    <row r="61">
      <c r="A61" s="136" t="s">
        <v>276</v>
      </c>
      <c r="B61" s="290" t="s">
        <v>177</v>
      </c>
      <c r="C61" s="230" t="s">
        <v>277</v>
      </c>
      <c r="D61" s="225">
        <v>3.8</v>
      </c>
      <c r="E61" s="225">
        <v>5150.0</v>
      </c>
      <c r="F61" s="139">
        <f t="shared" si="7"/>
        <v>1356</v>
      </c>
      <c r="G61" s="182">
        <f t="shared" si="8"/>
        <v>0.466309387</v>
      </c>
      <c r="H61" s="140"/>
      <c r="I61" s="291"/>
      <c r="J61" s="292"/>
      <c r="K61" s="141"/>
      <c r="L61" s="186" t="s">
        <v>69</v>
      </c>
      <c r="M61" s="85">
        <v>45839.0</v>
      </c>
      <c r="N61" s="112" t="s">
        <v>34</v>
      </c>
      <c r="O61" s="196" t="s">
        <v>278</v>
      </c>
      <c r="P61" s="145" t="s">
        <v>71</v>
      </c>
      <c r="Q61" s="141"/>
      <c r="R61" s="136" t="s">
        <v>279</v>
      </c>
      <c r="S61" s="91">
        <v>622.0</v>
      </c>
    </row>
    <row r="62">
      <c r="A62" s="92" t="s">
        <v>280</v>
      </c>
      <c r="B62" s="122" t="s">
        <v>45</v>
      </c>
      <c r="C62" s="193" t="s">
        <v>281</v>
      </c>
      <c r="D62" s="194">
        <v>9.0</v>
      </c>
      <c r="E62" s="194">
        <v>10000.0</v>
      </c>
      <c r="F62" s="97">
        <f t="shared" si="7"/>
        <v>1112</v>
      </c>
      <c r="G62" s="98">
        <f t="shared" si="8"/>
        <v>1</v>
      </c>
      <c r="H62" s="100">
        <v>76.7</v>
      </c>
      <c r="I62" s="100">
        <v>55.7</v>
      </c>
      <c r="J62" s="100">
        <v>40.4</v>
      </c>
      <c r="K62" s="83"/>
      <c r="L62" s="195" t="s">
        <v>132</v>
      </c>
      <c r="M62" s="85">
        <v>45839.0</v>
      </c>
      <c r="N62" s="86" t="s">
        <v>34</v>
      </c>
      <c r="O62" s="196" t="s">
        <v>282</v>
      </c>
      <c r="P62" s="197" t="s">
        <v>71</v>
      </c>
      <c r="Q62" s="198"/>
      <c r="R62" s="199" t="s">
        <v>283</v>
      </c>
      <c r="S62" s="91">
        <v>621.0</v>
      </c>
    </row>
    <row r="63">
      <c r="A63" s="92" t="s">
        <v>284</v>
      </c>
      <c r="B63" s="122" t="s">
        <v>45</v>
      </c>
      <c r="C63" s="193" t="s">
        <v>285</v>
      </c>
      <c r="D63" s="293">
        <v>27.0</v>
      </c>
      <c r="E63" s="194">
        <v>14000.0</v>
      </c>
      <c r="F63" s="97">
        <f t="shared" si="7"/>
        <v>519</v>
      </c>
      <c r="G63" s="98">
        <f t="shared" si="8"/>
        <v>2.049390153</v>
      </c>
      <c r="H63" s="100">
        <v>87.0</v>
      </c>
      <c r="I63" s="100"/>
      <c r="J63" s="100"/>
      <c r="K63" s="83"/>
      <c r="L63" s="195" t="s">
        <v>132</v>
      </c>
      <c r="M63" s="85">
        <v>45839.0</v>
      </c>
      <c r="N63" s="86" t="s">
        <v>34</v>
      </c>
      <c r="O63" s="294" t="s">
        <v>286</v>
      </c>
      <c r="P63" s="197" t="s">
        <v>71</v>
      </c>
      <c r="Q63" s="198"/>
      <c r="R63" s="295" t="s">
        <v>287</v>
      </c>
      <c r="S63" s="91">
        <v>620.0</v>
      </c>
    </row>
    <row r="64">
      <c r="A64" s="136" t="s">
        <v>288</v>
      </c>
      <c r="B64" s="296" t="s">
        <v>289</v>
      </c>
      <c r="C64" s="230" t="s">
        <v>290</v>
      </c>
      <c r="D64" s="95">
        <v>685.0</v>
      </c>
      <c r="E64" s="95">
        <v>14800.0</v>
      </c>
      <c r="F64" s="31">
        <f t="shared" si="7"/>
        <v>22</v>
      </c>
      <c r="G64" s="110">
        <f t="shared" si="8"/>
        <v>10.61340871</v>
      </c>
      <c r="H64" s="297"/>
      <c r="I64" s="140"/>
      <c r="J64" s="140"/>
      <c r="K64" s="141"/>
      <c r="L64" s="154" t="s">
        <v>69</v>
      </c>
      <c r="M64" s="85">
        <v>45839.0</v>
      </c>
      <c r="N64" s="112" t="s">
        <v>34</v>
      </c>
      <c r="O64" s="196" t="s">
        <v>291</v>
      </c>
      <c r="P64" s="136" t="s">
        <v>36</v>
      </c>
      <c r="Q64" s="298"/>
      <c r="R64" s="299" t="s">
        <v>292</v>
      </c>
      <c r="S64" s="91">
        <v>619.0</v>
      </c>
    </row>
    <row r="65">
      <c r="A65" s="136" t="s">
        <v>293</v>
      </c>
      <c r="B65" s="296" t="s">
        <v>294</v>
      </c>
      <c r="C65" s="230"/>
      <c r="D65" s="225">
        <v>3.6</v>
      </c>
      <c r="E65" s="225">
        <v>1200.0</v>
      </c>
      <c r="F65" s="31">
        <f t="shared" si="7"/>
        <v>334</v>
      </c>
      <c r="G65" s="110">
        <f t="shared" si="8"/>
        <v>0.219089023</v>
      </c>
      <c r="H65" s="297">
        <v>36.12</v>
      </c>
      <c r="I65" s="140"/>
      <c r="J65" s="140"/>
      <c r="K65" s="141"/>
      <c r="L65" s="154" t="s">
        <v>69</v>
      </c>
      <c r="M65" s="111">
        <v>45809.0</v>
      </c>
      <c r="N65" s="112" t="s">
        <v>34</v>
      </c>
      <c r="O65" s="196" t="s">
        <v>295</v>
      </c>
      <c r="P65" s="145" t="s">
        <v>71</v>
      </c>
      <c r="Q65" s="298"/>
      <c r="R65" s="146" t="s">
        <v>296</v>
      </c>
      <c r="S65" s="91">
        <v>618.0</v>
      </c>
    </row>
    <row r="66">
      <c r="A66" s="136" t="s">
        <v>297</v>
      </c>
      <c r="B66" s="300" t="s">
        <v>298</v>
      </c>
      <c r="C66" s="230" t="s">
        <v>299</v>
      </c>
      <c r="D66" s="225">
        <v>7.0</v>
      </c>
      <c r="E66" s="225">
        <v>5630.0</v>
      </c>
      <c r="F66" s="31">
        <f t="shared" si="7"/>
        <v>805</v>
      </c>
      <c r="G66" s="110">
        <f t="shared" si="8"/>
        <v>0.6617317348</v>
      </c>
      <c r="H66" s="140"/>
      <c r="I66" s="140"/>
      <c r="J66" s="140"/>
      <c r="K66" s="141"/>
      <c r="L66" s="301" t="s">
        <v>300</v>
      </c>
      <c r="M66" s="111">
        <v>45809.0</v>
      </c>
      <c r="N66" s="112" t="s">
        <v>34</v>
      </c>
      <c r="O66" s="196" t="s">
        <v>301</v>
      </c>
      <c r="P66" s="145" t="s">
        <v>71</v>
      </c>
      <c r="Q66" s="298" t="s">
        <v>72</v>
      </c>
      <c r="R66" s="146" t="s">
        <v>302</v>
      </c>
      <c r="S66" s="91">
        <v>617.0</v>
      </c>
    </row>
    <row r="67">
      <c r="A67" s="103" t="s">
        <v>303</v>
      </c>
      <c r="B67" s="147" t="s">
        <v>304</v>
      </c>
      <c r="C67" s="259" t="s">
        <v>305</v>
      </c>
      <c r="D67" s="302">
        <v>80.0</v>
      </c>
      <c r="E67" s="149">
        <v>7000.0</v>
      </c>
      <c r="F67" s="31">
        <f t="shared" si="7"/>
        <v>88</v>
      </c>
      <c r="G67" s="303">
        <f t="shared" si="8"/>
        <v>2.494438258</v>
      </c>
      <c r="H67" s="297">
        <v>88.17</v>
      </c>
      <c r="I67" s="304">
        <v>67.23</v>
      </c>
      <c r="J67" s="305">
        <v>71.2</v>
      </c>
      <c r="K67" s="153"/>
      <c r="L67" s="154" t="s">
        <v>69</v>
      </c>
      <c r="M67" s="111">
        <v>45809.0</v>
      </c>
      <c r="N67" s="130" t="s">
        <v>34</v>
      </c>
      <c r="O67" s="277" t="s">
        <v>305</v>
      </c>
      <c r="P67" s="156" t="s">
        <v>36</v>
      </c>
      <c r="Q67" s="153"/>
      <c r="R67" s="103" t="s">
        <v>306</v>
      </c>
      <c r="S67" s="91">
        <v>616.0</v>
      </c>
    </row>
    <row r="68">
      <c r="A68" s="92" t="s">
        <v>307</v>
      </c>
      <c r="B68" s="306" t="s">
        <v>308</v>
      </c>
      <c r="C68" s="307" t="s">
        <v>309</v>
      </c>
      <c r="D68" s="124">
        <v>90.0</v>
      </c>
      <c r="E68" s="124">
        <v>8000.0</v>
      </c>
      <c r="F68" s="31">
        <f t="shared" si="7"/>
        <v>89</v>
      </c>
      <c r="G68" s="308">
        <f t="shared" si="8"/>
        <v>2.828427125</v>
      </c>
      <c r="H68" s="184"/>
      <c r="I68" s="184">
        <v>69.0</v>
      </c>
      <c r="J68" s="184">
        <v>51.0</v>
      </c>
      <c r="K68" s="128">
        <v>3.4</v>
      </c>
      <c r="L68" s="129" t="s">
        <v>69</v>
      </c>
      <c r="M68" s="111">
        <v>45809.0</v>
      </c>
      <c r="N68" s="130" t="s">
        <v>34</v>
      </c>
      <c r="O68" s="309" t="s">
        <v>310</v>
      </c>
      <c r="P68" s="310" t="s">
        <v>71</v>
      </c>
      <c r="Q68" s="311" t="s">
        <v>72</v>
      </c>
      <c r="R68" s="236" t="s">
        <v>311</v>
      </c>
      <c r="S68" s="91">
        <v>615.0</v>
      </c>
    </row>
    <row r="69">
      <c r="A69" s="103" t="s">
        <v>312</v>
      </c>
      <c r="B69" s="312" t="s">
        <v>177</v>
      </c>
      <c r="C69" s="259" t="s">
        <v>313</v>
      </c>
      <c r="D69" s="194">
        <v>0.5</v>
      </c>
      <c r="E69" s="124">
        <v>500.0</v>
      </c>
      <c r="F69" s="313">
        <f t="shared" si="7"/>
        <v>1000</v>
      </c>
      <c r="G69" s="303">
        <f t="shared" si="8"/>
        <v>0.05270462767</v>
      </c>
      <c r="H69" s="151"/>
      <c r="I69" s="244"/>
      <c r="J69" s="314"/>
      <c r="K69" s="315"/>
      <c r="L69" s="84" t="s">
        <v>69</v>
      </c>
      <c r="M69" s="111">
        <v>45809.0</v>
      </c>
      <c r="N69" s="130" t="s">
        <v>34</v>
      </c>
      <c r="O69" s="176" t="s">
        <v>314</v>
      </c>
      <c r="P69" s="158" t="s">
        <v>71</v>
      </c>
      <c r="Q69" s="288"/>
      <c r="R69" s="316" t="s">
        <v>315</v>
      </c>
      <c r="S69" s="91">
        <v>614.0</v>
      </c>
    </row>
    <row r="70">
      <c r="A70" s="103" t="s">
        <v>316</v>
      </c>
      <c r="B70" s="58" t="s">
        <v>45</v>
      </c>
      <c r="C70" s="259" t="s">
        <v>317</v>
      </c>
      <c r="D70" s="124">
        <v>20.0</v>
      </c>
      <c r="E70" s="124">
        <v>10000.0</v>
      </c>
      <c r="F70" s="313">
        <f t="shared" si="7"/>
        <v>500</v>
      </c>
      <c r="G70" s="303">
        <f t="shared" si="8"/>
        <v>1.490711985</v>
      </c>
      <c r="H70" s="151"/>
      <c r="I70" s="244"/>
      <c r="J70" s="314"/>
      <c r="K70" s="315"/>
      <c r="L70" s="84" t="s">
        <v>69</v>
      </c>
      <c r="M70" s="111">
        <v>45809.0</v>
      </c>
      <c r="N70" s="130" t="s">
        <v>34</v>
      </c>
      <c r="O70" s="176" t="s">
        <v>318</v>
      </c>
      <c r="P70" s="158" t="s">
        <v>36</v>
      </c>
      <c r="Q70" s="288"/>
      <c r="R70" s="317" t="s">
        <v>319</v>
      </c>
      <c r="S70" s="91">
        <v>613.0</v>
      </c>
    </row>
    <row r="71">
      <c r="A71" s="103" t="s">
        <v>320</v>
      </c>
      <c r="B71" s="115" t="s">
        <v>321</v>
      </c>
      <c r="C71" s="259" t="s">
        <v>322</v>
      </c>
      <c r="D71" s="226">
        <v>88.0</v>
      </c>
      <c r="E71" s="318">
        <v>10000.0</v>
      </c>
      <c r="F71" s="313">
        <f t="shared" si="7"/>
        <v>114</v>
      </c>
      <c r="G71" s="303">
        <f t="shared" si="8"/>
        <v>3.12694384</v>
      </c>
      <c r="H71" s="151"/>
      <c r="I71" s="244"/>
      <c r="J71" s="314"/>
      <c r="K71" s="315"/>
      <c r="L71" s="84" t="s">
        <v>69</v>
      </c>
      <c r="M71" s="111">
        <v>45809.0</v>
      </c>
      <c r="N71" s="130" t="s">
        <v>34</v>
      </c>
      <c r="O71" s="319"/>
      <c r="P71" s="268" t="s">
        <v>36</v>
      </c>
      <c r="Q71" s="288"/>
      <c r="R71" s="158" t="s">
        <v>323</v>
      </c>
      <c r="S71" s="91">
        <v>612.0</v>
      </c>
    </row>
    <row r="72">
      <c r="A72" s="136" t="s">
        <v>324</v>
      </c>
      <c r="B72" s="115" t="s">
        <v>325</v>
      </c>
      <c r="C72" s="230" t="s">
        <v>326</v>
      </c>
      <c r="D72" s="138">
        <v>456.0</v>
      </c>
      <c r="E72" s="320">
        <v>7200.0</v>
      </c>
      <c r="F72" s="313">
        <f t="shared" si="7"/>
        <v>16</v>
      </c>
      <c r="G72" s="303">
        <f t="shared" si="8"/>
        <v>6.039867548</v>
      </c>
      <c r="H72" s="321"/>
      <c r="I72" s="322">
        <v>81.1</v>
      </c>
      <c r="J72" s="323">
        <v>70.0</v>
      </c>
      <c r="K72" s="83">
        <v>8.4</v>
      </c>
      <c r="L72" s="245" t="s">
        <v>132</v>
      </c>
      <c r="M72" s="324">
        <v>45809.0</v>
      </c>
      <c r="N72" s="112" t="s">
        <v>34</v>
      </c>
      <c r="O72" s="196" t="s">
        <v>327</v>
      </c>
      <c r="P72" s="224" t="s">
        <v>36</v>
      </c>
      <c r="Q72" s="325" t="s">
        <v>78</v>
      </c>
      <c r="R72" s="299" t="s">
        <v>328</v>
      </c>
      <c r="S72" s="91">
        <v>611.0</v>
      </c>
    </row>
    <row r="73">
      <c r="A73" s="136" t="s">
        <v>329</v>
      </c>
      <c r="B73" s="284" t="s">
        <v>269</v>
      </c>
      <c r="C73" s="326" t="s">
        <v>270</v>
      </c>
      <c r="D73" s="124">
        <v>50.0</v>
      </c>
      <c r="E73" s="124">
        <v>12000.0</v>
      </c>
      <c r="F73" s="31">
        <f t="shared" si="7"/>
        <v>240</v>
      </c>
      <c r="G73" s="308">
        <f t="shared" si="8"/>
        <v>2.581988897</v>
      </c>
      <c r="H73" s="327"/>
      <c r="I73" s="328"/>
      <c r="J73" s="329">
        <v>70.8</v>
      </c>
      <c r="K73" s="83"/>
      <c r="L73" s="84" t="s">
        <v>69</v>
      </c>
      <c r="M73" s="324">
        <v>45809.0</v>
      </c>
      <c r="N73" s="112" t="s">
        <v>34</v>
      </c>
      <c r="O73" s="223" t="s">
        <v>330</v>
      </c>
      <c r="P73" s="145" t="s">
        <v>71</v>
      </c>
      <c r="Q73" s="325" t="s">
        <v>78</v>
      </c>
      <c r="R73" s="330" t="s">
        <v>331</v>
      </c>
      <c r="S73" s="91">
        <v>610.0</v>
      </c>
    </row>
    <row r="74">
      <c r="A74" s="103" t="s">
        <v>332</v>
      </c>
      <c r="B74" s="268" t="s">
        <v>333</v>
      </c>
      <c r="C74" s="259" t="s">
        <v>334</v>
      </c>
      <c r="D74" s="226">
        <v>7.0</v>
      </c>
      <c r="E74" s="169">
        <v>2000.0</v>
      </c>
      <c r="F74" s="31">
        <f t="shared" si="7"/>
        <v>286</v>
      </c>
      <c r="G74" s="110">
        <f t="shared" si="8"/>
        <v>0.3944053189</v>
      </c>
      <c r="H74" s="323">
        <v>49.8</v>
      </c>
      <c r="I74" s="151"/>
      <c r="J74" s="151"/>
      <c r="K74" s="153"/>
      <c r="L74" s="276" t="s">
        <v>132</v>
      </c>
      <c r="M74" s="324">
        <v>45809.0</v>
      </c>
      <c r="N74" s="130" t="s">
        <v>34</v>
      </c>
      <c r="O74" s="280" t="s">
        <v>335</v>
      </c>
      <c r="P74" s="156" t="s">
        <v>71</v>
      </c>
      <c r="Q74" s="153"/>
      <c r="R74" s="331" t="s">
        <v>336</v>
      </c>
      <c r="S74" s="91">
        <v>609.0</v>
      </c>
    </row>
    <row r="75">
      <c r="A75" s="136" t="s">
        <v>337</v>
      </c>
      <c r="B75" s="332" t="s">
        <v>338</v>
      </c>
      <c r="C75" s="223" t="s">
        <v>339</v>
      </c>
      <c r="D75" s="194">
        <v>142.0</v>
      </c>
      <c r="E75" s="194">
        <v>11200.0</v>
      </c>
      <c r="F75" s="31">
        <f t="shared" si="7"/>
        <v>79</v>
      </c>
      <c r="G75" s="278">
        <f t="shared" si="8"/>
        <v>4.203702072</v>
      </c>
      <c r="H75" s="100">
        <v>83.2</v>
      </c>
      <c r="I75" s="333">
        <v>61.9</v>
      </c>
      <c r="J75" s="172">
        <v>52.6</v>
      </c>
      <c r="K75" s="334"/>
      <c r="L75" s="335" t="s">
        <v>132</v>
      </c>
      <c r="M75" s="324">
        <v>45809.0</v>
      </c>
      <c r="N75" s="112" t="s">
        <v>34</v>
      </c>
      <c r="O75" s="144" t="s">
        <v>340</v>
      </c>
      <c r="P75" s="136" t="s">
        <v>36</v>
      </c>
      <c r="Q75" s="298"/>
      <c r="R75" s="331" t="s">
        <v>341</v>
      </c>
      <c r="S75" s="91">
        <v>608.0</v>
      </c>
    </row>
    <row r="76">
      <c r="A76" s="136" t="s">
        <v>342</v>
      </c>
      <c r="B76" s="58" t="s">
        <v>45</v>
      </c>
      <c r="C76" s="223" t="s">
        <v>343</v>
      </c>
      <c r="D76" s="124">
        <v>400.0</v>
      </c>
      <c r="E76" s="124">
        <v>80000.0</v>
      </c>
      <c r="F76" s="31">
        <f t="shared" si="7"/>
        <v>200</v>
      </c>
      <c r="G76" s="278">
        <f t="shared" si="8"/>
        <v>18.85618083</v>
      </c>
      <c r="H76" s="263"/>
      <c r="I76" s="140"/>
      <c r="J76" s="172">
        <v>86.4</v>
      </c>
      <c r="K76" s="334">
        <v>21.6</v>
      </c>
      <c r="L76" s="186" t="s">
        <v>69</v>
      </c>
      <c r="M76" s="324">
        <v>45809.0</v>
      </c>
      <c r="N76" s="112" t="s">
        <v>34</v>
      </c>
      <c r="O76" s="336" t="s">
        <v>344</v>
      </c>
      <c r="P76" s="136" t="s">
        <v>71</v>
      </c>
      <c r="Q76" s="298" t="s">
        <v>37</v>
      </c>
      <c r="R76" s="331" t="s">
        <v>345</v>
      </c>
      <c r="S76" s="91">
        <v>607.0</v>
      </c>
    </row>
    <row r="77">
      <c r="A77" s="103" t="s">
        <v>346</v>
      </c>
      <c r="B77" s="337" t="s">
        <v>347</v>
      </c>
      <c r="C77" s="255" t="s">
        <v>348</v>
      </c>
      <c r="D77" s="225">
        <v>7.0</v>
      </c>
      <c r="E77" s="225">
        <v>25000.0</v>
      </c>
      <c r="F77" s="31">
        <f t="shared" si="7"/>
        <v>3572</v>
      </c>
      <c r="G77" s="308">
        <f t="shared" si="8"/>
        <v>1.394433378</v>
      </c>
      <c r="H77" s="338"/>
      <c r="I77" s="333">
        <v>58.6</v>
      </c>
      <c r="J77" s="100">
        <v>60.6</v>
      </c>
      <c r="K77" s="128"/>
      <c r="L77" s="129" t="s">
        <v>69</v>
      </c>
      <c r="M77" s="324">
        <v>45778.0</v>
      </c>
      <c r="N77" s="130" t="s">
        <v>34</v>
      </c>
      <c r="O77" s="309" t="s">
        <v>349</v>
      </c>
      <c r="P77" s="145" t="s">
        <v>71</v>
      </c>
      <c r="Q77" s="206" t="s">
        <v>78</v>
      </c>
      <c r="R77" s="207" t="s">
        <v>350</v>
      </c>
      <c r="S77" s="91">
        <v>606.0</v>
      </c>
    </row>
    <row r="78">
      <c r="A78" s="136" t="s">
        <v>351</v>
      </c>
      <c r="B78" s="58" t="s">
        <v>45</v>
      </c>
      <c r="C78" s="339"/>
      <c r="D78" s="225">
        <v>1.3</v>
      </c>
      <c r="E78" s="225">
        <v>100.0</v>
      </c>
      <c r="F78" s="31">
        <f t="shared" si="7"/>
        <v>77</v>
      </c>
      <c r="G78" s="278">
        <f t="shared" si="8"/>
        <v>0.0380058475</v>
      </c>
      <c r="H78" s="263"/>
      <c r="I78" s="140"/>
      <c r="J78" s="172"/>
      <c r="K78" s="334"/>
      <c r="L78" s="186" t="s">
        <v>69</v>
      </c>
      <c r="M78" s="324">
        <v>45778.0</v>
      </c>
      <c r="N78" s="112" t="s">
        <v>28</v>
      </c>
      <c r="O78" s="144" t="s">
        <v>352</v>
      </c>
      <c r="P78" s="136" t="s">
        <v>71</v>
      </c>
      <c r="Q78" s="298"/>
      <c r="R78" s="331" t="s">
        <v>353</v>
      </c>
      <c r="S78" s="91">
        <v>605.0</v>
      </c>
    </row>
    <row r="79">
      <c r="A79" s="136" t="s">
        <v>354</v>
      </c>
      <c r="B79" s="58" t="s">
        <v>45</v>
      </c>
      <c r="C79" s="339"/>
      <c r="D79" s="225">
        <v>1.3</v>
      </c>
      <c r="E79" s="225">
        <v>100.0</v>
      </c>
      <c r="F79" s="31">
        <f t="shared" si="7"/>
        <v>77</v>
      </c>
      <c r="G79" s="278">
        <f t="shared" si="8"/>
        <v>0.0380058475</v>
      </c>
      <c r="H79" s="263"/>
      <c r="I79" s="140"/>
      <c r="J79" s="172"/>
      <c r="K79" s="334"/>
      <c r="L79" s="186" t="s">
        <v>69</v>
      </c>
      <c r="M79" s="324">
        <v>45778.0</v>
      </c>
      <c r="N79" s="112" t="s">
        <v>28</v>
      </c>
      <c r="O79" s="144" t="s">
        <v>352</v>
      </c>
      <c r="P79" s="136" t="s">
        <v>71</v>
      </c>
      <c r="Q79" s="298"/>
      <c r="R79" s="331" t="s">
        <v>353</v>
      </c>
      <c r="S79" s="91">
        <v>604.0</v>
      </c>
    </row>
    <row r="80">
      <c r="A80" s="103" t="s">
        <v>355</v>
      </c>
      <c r="B80" s="147" t="s">
        <v>32</v>
      </c>
      <c r="C80" s="259" t="s">
        <v>356</v>
      </c>
      <c r="D80" s="340">
        <v>685.0</v>
      </c>
      <c r="E80" s="340">
        <v>14800.0</v>
      </c>
      <c r="F80" s="31">
        <v>22.0</v>
      </c>
      <c r="G80" s="341">
        <f t="shared" si="8"/>
        <v>10.61340871</v>
      </c>
      <c r="H80" s="152">
        <v>93.4</v>
      </c>
      <c r="I80" s="333">
        <v>85.0</v>
      </c>
      <c r="J80" s="342">
        <v>81.0</v>
      </c>
      <c r="K80" s="343">
        <v>17.7</v>
      </c>
      <c r="L80" s="129" t="s">
        <v>69</v>
      </c>
      <c r="M80" s="324">
        <v>45778.0</v>
      </c>
      <c r="N80" s="130" t="s">
        <v>34</v>
      </c>
      <c r="O80" s="277" t="s">
        <v>357</v>
      </c>
      <c r="P80" s="156" t="s">
        <v>36</v>
      </c>
      <c r="Q80" s="344" t="s">
        <v>37</v>
      </c>
      <c r="R80" s="103" t="s">
        <v>358</v>
      </c>
      <c r="S80" s="91">
        <v>603.0</v>
      </c>
    </row>
    <row r="81">
      <c r="A81" s="75" t="s">
        <v>359</v>
      </c>
      <c r="B81" s="345" t="s">
        <v>360</v>
      </c>
      <c r="C81" s="346" t="s">
        <v>361</v>
      </c>
      <c r="D81" s="78">
        <v>14.0</v>
      </c>
      <c r="E81" s="95">
        <v>18000.0</v>
      </c>
      <c r="F81" s="31">
        <f t="shared" ref="F81:F174" si="9">IF(E81&lt;&gt;"", ROUNDUP(E81/D81,0),"")</f>
        <v>1286</v>
      </c>
      <c r="G81" s="347">
        <f t="shared" si="8"/>
        <v>1.673320053</v>
      </c>
      <c r="H81" s="348"/>
      <c r="I81" s="349"/>
      <c r="J81" s="350">
        <v>66.16</v>
      </c>
      <c r="K81" s="128"/>
      <c r="L81" s="129" t="s">
        <v>69</v>
      </c>
      <c r="M81" s="324">
        <v>45778.0</v>
      </c>
      <c r="N81" s="351" t="s">
        <v>34</v>
      </c>
      <c r="O81" s="352" t="s">
        <v>361</v>
      </c>
      <c r="P81" s="88" t="s">
        <v>71</v>
      </c>
      <c r="Q81" s="206" t="s">
        <v>78</v>
      </c>
      <c r="R81" s="207" t="s">
        <v>362</v>
      </c>
      <c r="S81" s="91">
        <v>602.0</v>
      </c>
    </row>
    <row r="82">
      <c r="A82" s="75" t="s">
        <v>363</v>
      </c>
      <c r="B82" s="147" t="s">
        <v>107</v>
      </c>
      <c r="C82" s="248" t="s">
        <v>364</v>
      </c>
      <c r="D82" s="225">
        <v>32.0</v>
      </c>
      <c r="E82" s="95">
        <v>18000.0</v>
      </c>
      <c r="F82" s="139">
        <f t="shared" si="9"/>
        <v>563</v>
      </c>
      <c r="G82" s="262">
        <f t="shared" si="8"/>
        <v>2.529822128</v>
      </c>
      <c r="H82" s="100"/>
      <c r="I82" s="100"/>
      <c r="J82" s="258"/>
      <c r="K82" s="128"/>
      <c r="L82" s="129" t="s">
        <v>69</v>
      </c>
      <c r="M82" s="324">
        <v>45778.0</v>
      </c>
      <c r="N82" s="112" t="s">
        <v>34</v>
      </c>
      <c r="O82" s="267" t="s">
        <v>365</v>
      </c>
      <c r="P82" s="88" t="s">
        <v>71</v>
      </c>
      <c r="Q82" s="247" t="s">
        <v>78</v>
      </c>
      <c r="R82" s="264" t="s">
        <v>366</v>
      </c>
      <c r="S82" s="91">
        <v>601.0</v>
      </c>
    </row>
    <row r="83">
      <c r="A83" s="75" t="s">
        <v>367</v>
      </c>
      <c r="B83" s="353" t="s">
        <v>90</v>
      </c>
      <c r="C83" s="354" t="s">
        <v>368</v>
      </c>
      <c r="D83" s="355">
        <v>6000.0</v>
      </c>
      <c r="E83" s="355">
        <v>100000.0</v>
      </c>
      <c r="F83" s="31">
        <f t="shared" si="9"/>
        <v>17</v>
      </c>
      <c r="G83" s="347">
        <f t="shared" si="8"/>
        <v>81.64965809</v>
      </c>
      <c r="H83" s="348"/>
      <c r="I83" s="349"/>
      <c r="J83" s="350">
        <v>83.3</v>
      </c>
      <c r="K83" s="128"/>
      <c r="L83" s="129" t="s">
        <v>69</v>
      </c>
      <c r="M83" s="324">
        <v>45778.0</v>
      </c>
      <c r="N83" s="351" t="s">
        <v>34</v>
      </c>
      <c r="O83" s="352" t="s">
        <v>369</v>
      </c>
      <c r="P83" s="88" t="s">
        <v>71</v>
      </c>
      <c r="Q83" s="206" t="s">
        <v>37</v>
      </c>
      <c r="R83" s="207" t="s">
        <v>370</v>
      </c>
      <c r="S83" s="91">
        <v>600.0</v>
      </c>
    </row>
    <row r="84">
      <c r="A84" s="92" t="s">
        <v>371</v>
      </c>
      <c r="B84" s="179" t="s">
        <v>372</v>
      </c>
      <c r="C84" s="135" t="s">
        <v>373</v>
      </c>
      <c r="D84" s="194">
        <v>34.0</v>
      </c>
      <c r="E84" s="194">
        <v>18000.0</v>
      </c>
      <c r="F84" s="161">
        <f t="shared" si="9"/>
        <v>530</v>
      </c>
      <c r="G84" s="356">
        <f t="shared" si="8"/>
        <v>2.607680962</v>
      </c>
      <c r="H84" s="127">
        <v>84.05</v>
      </c>
      <c r="I84" s="127">
        <v>58.73</v>
      </c>
      <c r="J84" s="127">
        <v>49.66</v>
      </c>
      <c r="K84" s="240"/>
      <c r="L84" s="357" t="s">
        <v>69</v>
      </c>
      <c r="M84" s="324">
        <v>45778.0</v>
      </c>
      <c r="N84" s="86" t="s">
        <v>34</v>
      </c>
      <c r="O84" s="358" t="s">
        <v>374</v>
      </c>
      <c r="P84" s="92" t="s">
        <v>71</v>
      </c>
      <c r="Q84" s="359"/>
      <c r="R84" s="360" t="s">
        <v>375</v>
      </c>
      <c r="S84" s="91">
        <v>599.0</v>
      </c>
    </row>
    <row r="85">
      <c r="A85" s="136" t="s">
        <v>376</v>
      </c>
      <c r="B85" s="58" t="s">
        <v>45</v>
      </c>
      <c r="C85" s="223" t="s">
        <v>343</v>
      </c>
      <c r="D85" s="219">
        <v>40.0</v>
      </c>
      <c r="E85" s="219">
        <v>16000.0</v>
      </c>
      <c r="F85" s="31">
        <f t="shared" si="9"/>
        <v>400</v>
      </c>
      <c r="G85" s="278">
        <f t="shared" si="8"/>
        <v>2.666666667</v>
      </c>
      <c r="H85" s="263"/>
      <c r="I85" s="140"/>
      <c r="J85" s="172">
        <v>40.4</v>
      </c>
      <c r="K85" s="334"/>
      <c r="L85" s="186" t="s">
        <v>69</v>
      </c>
      <c r="M85" s="324">
        <v>45778.0</v>
      </c>
      <c r="N85" s="112" t="s">
        <v>34</v>
      </c>
      <c r="O85" s="144" t="s">
        <v>343</v>
      </c>
      <c r="P85" s="136" t="s">
        <v>71</v>
      </c>
      <c r="Q85" s="298" t="s">
        <v>72</v>
      </c>
      <c r="R85" s="331" t="s">
        <v>377</v>
      </c>
      <c r="S85" s="91">
        <v>598.0</v>
      </c>
    </row>
    <row r="86">
      <c r="A86" s="136" t="s">
        <v>378</v>
      </c>
      <c r="B86" s="58" t="s">
        <v>45</v>
      </c>
      <c r="C86" s="223" t="s">
        <v>379</v>
      </c>
      <c r="D86" s="225">
        <v>4.0</v>
      </c>
      <c r="E86" s="219">
        <v>8000.0</v>
      </c>
      <c r="F86" s="31">
        <f t="shared" si="9"/>
        <v>2000</v>
      </c>
      <c r="G86" s="278">
        <f t="shared" si="8"/>
        <v>0.596284794</v>
      </c>
      <c r="H86" s="263">
        <v>62.1</v>
      </c>
      <c r="I86" s="140"/>
      <c r="J86" s="172"/>
      <c r="K86" s="334"/>
      <c r="L86" s="186" t="s">
        <v>69</v>
      </c>
      <c r="M86" s="324">
        <v>45778.0</v>
      </c>
      <c r="N86" s="112" t="s">
        <v>34</v>
      </c>
      <c r="O86" s="144" t="s">
        <v>380</v>
      </c>
      <c r="P86" s="136" t="s">
        <v>381</v>
      </c>
      <c r="Q86" s="298"/>
      <c r="R86" s="331" t="s">
        <v>382</v>
      </c>
      <c r="S86" s="91">
        <v>597.0</v>
      </c>
    </row>
    <row r="87">
      <c r="A87" s="136" t="s">
        <v>383</v>
      </c>
      <c r="B87" s="147" t="s">
        <v>107</v>
      </c>
      <c r="C87" s="248" t="s">
        <v>384</v>
      </c>
      <c r="D87" s="225">
        <v>4.7</v>
      </c>
      <c r="E87" s="194">
        <v>1000.0</v>
      </c>
      <c r="F87" s="139">
        <f t="shared" si="9"/>
        <v>213</v>
      </c>
      <c r="G87" s="262">
        <f t="shared" si="8"/>
        <v>0.22852182</v>
      </c>
      <c r="H87" s="100">
        <v>35.1</v>
      </c>
      <c r="I87" s="100"/>
      <c r="J87" s="258"/>
      <c r="K87" s="128"/>
      <c r="L87" s="129" t="s">
        <v>69</v>
      </c>
      <c r="M87" s="324">
        <v>45778.0</v>
      </c>
      <c r="N87" s="112" t="s">
        <v>34</v>
      </c>
      <c r="O87" s="267" t="s">
        <v>385</v>
      </c>
      <c r="P87" s="103" t="s">
        <v>71</v>
      </c>
      <c r="Q87" s="247"/>
      <c r="R87" s="264" t="s">
        <v>386</v>
      </c>
      <c r="S87" s="91">
        <v>596.0</v>
      </c>
    </row>
    <row r="88">
      <c r="A88" s="103" t="s">
        <v>387</v>
      </c>
      <c r="B88" s="361" t="s">
        <v>50</v>
      </c>
      <c r="C88" s="309" t="s">
        <v>388</v>
      </c>
      <c r="D88" s="362">
        <v>600.0</v>
      </c>
      <c r="E88" s="362">
        <v>100000.0</v>
      </c>
      <c r="F88" s="31">
        <f t="shared" si="9"/>
        <v>167</v>
      </c>
      <c r="G88" s="363">
        <f t="shared" si="8"/>
        <v>25.81988897</v>
      </c>
      <c r="H88" s="183"/>
      <c r="I88" s="151"/>
      <c r="J88" s="364"/>
      <c r="K88" s="83"/>
      <c r="L88" s="154" t="s">
        <v>69</v>
      </c>
      <c r="M88" s="324">
        <v>45778.0</v>
      </c>
      <c r="N88" s="365" t="s">
        <v>34</v>
      </c>
      <c r="O88" s="280" t="s">
        <v>389</v>
      </c>
      <c r="P88" s="268" t="s">
        <v>36</v>
      </c>
      <c r="Q88" s="344" t="s">
        <v>37</v>
      </c>
      <c r="R88" s="366" t="s">
        <v>390</v>
      </c>
      <c r="S88" s="91">
        <v>595.0</v>
      </c>
    </row>
    <row r="89">
      <c r="A89" s="92" t="s">
        <v>391</v>
      </c>
      <c r="B89" s="179" t="s">
        <v>372</v>
      </c>
      <c r="C89" s="135" t="s">
        <v>392</v>
      </c>
      <c r="D89" s="194">
        <v>3.0</v>
      </c>
      <c r="E89" s="194">
        <v>1500.0</v>
      </c>
      <c r="F89" s="161">
        <f t="shared" si="9"/>
        <v>500</v>
      </c>
      <c r="G89" s="356">
        <f t="shared" si="8"/>
        <v>0.2236067977</v>
      </c>
      <c r="H89" s="127">
        <v>55.7</v>
      </c>
      <c r="I89" s="127">
        <v>27.16</v>
      </c>
      <c r="J89" s="127">
        <v>23.59</v>
      </c>
      <c r="K89" s="240"/>
      <c r="L89" s="357" t="s">
        <v>69</v>
      </c>
      <c r="M89" s="324">
        <v>45778.0</v>
      </c>
      <c r="N89" s="86" t="s">
        <v>34</v>
      </c>
      <c r="O89" s="135" t="s">
        <v>393</v>
      </c>
      <c r="P89" s="92" t="s">
        <v>71</v>
      </c>
      <c r="Q89" s="359"/>
      <c r="R89" s="360" t="s">
        <v>394</v>
      </c>
      <c r="S89" s="91">
        <v>594.0</v>
      </c>
    </row>
    <row r="90">
      <c r="A90" s="92" t="s">
        <v>395</v>
      </c>
      <c r="B90" s="179" t="s">
        <v>396</v>
      </c>
      <c r="C90" s="135" t="s">
        <v>397</v>
      </c>
      <c r="D90" s="124">
        <v>50.0</v>
      </c>
      <c r="E90" s="124">
        <v>8000.0</v>
      </c>
      <c r="F90" s="161">
        <f t="shared" si="9"/>
        <v>160</v>
      </c>
      <c r="G90" s="356">
        <f t="shared" si="8"/>
        <v>2.108185107</v>
      </c>
      <c r="H90" s="127"/>
      <c r="I90" s="127"/>
      <c r="J90" s="127"/>
      <c r="K90" s="240"/>
      <c r="L90" s="357" t="s">
        <v>69</v>
      </c>
      <c r="M90" s="324">
        <v>45778.0</v>
      </c>
      <c r="N90" s="86" t="s">
        <v>34</v>
      </c>
      <c r="O90" s="135" t="s">
        <v>397</v>
      </c>
      <c r="P90" s="367" t="s">
        <v>71</v>
      </c>
      <c r="Q90" s="359"/>
      <c r="R90" s="360" t="s">
        <v>398</v>
      </c>
      <c r="S90" s="91">
        <v>593.0</v>
      </c>
    </row>
    <row r="91">
      <c r="A91" s="92" t="s">
        <v>399</v>
      </c>
      <c r="B91" s="179" t="s">
        <v>400</v>
      </c>
      <c r="C91" s="135" t="s">
        <v>401</v>
      </c>
      <c r="D91" s="194">
        <v>32.0</v>
      </c>
      <c r="E91" s="194">
        <v>18000.0</v>
      </c>
      <c r="F91" s="161">
        <f t="shared" si="9"/>
        <v>563</v>
      </c>
      <c r="G91" s="356">
        <f t="shared" si="8"/>
        <v>2.529822128</v>
      </c>
      <c r="H91" s="127"/>
      <c r="I91" s="127"/>
      <c r="J91" s="127">
        <v>66.8</v>
      </c>
      <c r="K91" s="240"/>
      <c r="L91" s="335" t="s">
        <v>132</v>
      </c>
      <c r="M91" s="324">
        <v>45778.0</v>
      </c>
      <c r="N91" s="86" t="s">
        <v>34</v>
      </c>
      <c r="O91" s="135" t="s">
        <v>402</v>
      </c>
      <c r="P91" s="92" t="s">
        <v>71</v>
      </c>
      <c r="Q91" s="359" t="s">
        <v>78</v>
      </c>
      <c r="R91" s="368" t="s">
        <v>403</v>
      </c>
      <c r="S91" s="91">
        <v>592.0</v>
      </c>
    </row>
    <row r="92">
      <c r="A92" s="75" t="s">
        <v>404</v>
      </c>
      <c r="B92" s="147" t="s">
        <v>405</v>
      </c>
      <c r="C92" s="271" t="s">
        <v>406</v>
      </c>
      <c r="D92" s="78">
        <v>718.0</v>
      </c>
      <c r="E92" s="355">
        <v>13000.0</v>
      </c>
      <c r="F92" s="31">
        <f t="shared" si="9"/>
        <v>19</v>
      </c>
      <c r="G92" s="369">
        <f t="shared" si="8"/>
        <v>10.18386523</v>
      </c>
      <c r="H92" s="370">
        <v>91.5</v>
      </c>
      <c r="I92" s="333">
        <v>83.5</v>
      </c>
      <c r="J92" s="371">
        <v>75.3</v>
      </c>
      <c r="K92" s="372"/>
      <c r="L92" s="357" t="s">
        <v>69</v>
      </c>
      <c r="M92" s="324">
        <v>45778.0</v>
      </c>
      <c r="N92" s="112" t="s">
        <v>28</v>
      </c>
      <c r="O92" s="373" t="s">
        <v>407</v>
      </c>
      <c r="P92" s="75" t="s">
        <v>36</v>
      </c>
      <c r="Q92" s="359" t="s">
        <v>78</v>
      </c>
      <c r="R92" s="374" t="s">
        <v>408</v>
      </c>
      <c r="S92" s="91">
        <v>591.0</v>
      </c>
    </row>
    <row r="93">
      <c r="A93" s="136" t="s">
        <v>409</v>
      </c>
      <c r="B93" s="284" t="s">
        <v>269</v>
      </c>
      <c r="C93" s="326" t="s">
        <v>270</v>
      </c>
      <c r="D93" s="124">
        <v>50.0</v>
      </c>
      <c r="E93" s="124">
        <v>12000.0</v>
      </c>
      <c r="F93" s="31">
        <f t="shared" si="9"/>
        <v>240</v>
      </c>
      <c r="G93" s="308">
        <f t="shared" si="8"/>
        <v>2.581988897</v>
      </c>
      <c r="H93" s="327"/>
      <c r="I93" s="328">
        <v>77.2</v>
      </c>
      <c r="J93" s="329">
        <v>57.1</v>
      </c>
      <c r="K93" s="83"/>
      <c r="L93" s="84" t="s">
        <v>69</v>
      </c>
      <c r="M93" s="324">
        <v>45778.0</v>
      </c>
      <c r="N93" s="112" t="s">
        <v>34</v>
      </c>
      <c r="O93" s="223" t="s">
        <v>410</v>
      </c>
      <c r="P93" s="145" t="s">
        <v>71</v>
      </c>
      <c r="Q93" s="325"/>
      <c r="R93" s="375" t="s">
        <v>411</v>
      </c>
      <c r="S93" s="91">
        <v>590.0</v>
      </c>
    </row>
    <row r="94">
      <c r="A94" s="92" t="s">
        <v>412</v>
      </c>
      <c r="B94" s="93" t="s">
        <v>75</v>
      </c>
      <c r="C94" s="94" t="s">
        <v>413</v>
      </c>
      <c r="D94" s="95">
        <v>7.0</v>
      </c>
      <c r="E94" s="249">
        <v>2500.0</v>
      </c>
      <c r="F94" s="97">
        <f t="shared" si="9"/>
        <v>358</v>
      </c>
      <c r="G94" s="98">
        <f t="shared" si="8"/>
        <v>0.4409585518</v>
      </c>
      <c r="H94" s="99">
        <v>60.4</v>
      </c>
      <c r="I94" s="376"/>
      <c r="J94" s="376"/>
      <c r="K94" s="101"/>
      <c r="L94" s="84" t="s">
        <v>69</v>
      </c>
      <c r="M94" s="324">
        <v>45778.0</v>
      </c>
      <c r="N94" s="86" t="s">
        <v>34</v>
      </c>
      <c r="O94" s="102" t="s">
        <v>414</v>
      </c>
      <c r="P94" s="103" t="s">
        <v>36</v>
      </c>
      <c r="Q94" s="104" t="s">
        <v>78</v>
      </c>
      <c r="R94" s="92" t="s">
        <v>415</v>
      </c>
      <c r="S94" s="91">
        <v>589.0</v>
      </c>
    </row>
    <row r="95">
      <c r="A95" s="103" t="s">
        <v>416</v>
      </c>
      <c r="B95" s="290" t="s">
        <v>177</v>
      </c>
      <c r="C95" s="255" t="s">
        <v>417</v>
      </c>
      <c r="D95" s="226">
        <v>14.0</v>
      </c>
      <c r="E95" s="226">
        <v>10016.0</v>
      </c>
      <c r="F95" s="31">
        <f t="shared" si="9"/>
        <v>716</v>
      </c>
      <c r="G95" s="256">
        <f t="shared" si="8"/>
        <v>1.248216505</v>
      </c>
      <c r="H95" s="377"/>
      <c r="I95" s="378">
        <v>76.0</v>
      </c>
      <c r="J95" s="379">
        <v>69.3</v>
      </c>
      <c r="K95" s="128"/>
      <c r="L95" s="129" t="s">
        <v>69</v>
      </c>
      <c r="M95" s="324">
        <v>45748.0</v>
      </c>
      <c r="N95" s="130" t="s">
        <v>34</v>
      </c>
      <c r="O95" s="168" t="s">
        <v>418</v>
      </c>
      <c r="P95" s="156" t="s">
        <v>71</v>
      </c>
      <c r="Q95" s="380"/>
      <c r="R95" s="366" t="s">
        <v>419</v>
      </c>
      <c r="S95" s="91">
        <v>588.0</v>
      </c>
    </row>
    <row r="96">
      <c r="A96" s="136" t="s">
        <v>420</v>
      </c>
      <c r="B96" s="146" t="s">
        <v>75</v>
      </c>
      <c r="C96" s="230" t="s">
        <v>421</v>
      </c>
      <c r="D96" s="138">
        <v>9.0</v>
      </c>
      <c r="E96" s="225">
        <v>3000.0</v>
      </c>
      <c r="F96" s="31">
        <f t="shared" si="9"/>
        <v>334</v>
      </c>
      <c r="G96" s="110">
        <f t="shared" si="8"/>
        <v>0.5477225575</v>
      </c>
      <c r="H96" s="381">
        <v>67.92</v>
      </c>
      <c r="I96" s="382">
        <v>25.41</v>
      </c>
      <c r="J96" s="379">
        <v>5.93</v>
      </c>
      <c r="K96" s="141"/>
      <c r="L96" s="129" t="s">
        <v>69</v>
      </c>
      <c r="M96" s="324">
        <v>45748.0</v>
      </c>
      <c r="N96" s="112" t="s">
        <v>34</v>
      </c>
      <c r="O96" s="144" t="s">
        <v>422</v>
      </c>
      <c r="P96" s="145" t="s">
        <v>71</v>
      </c>
      <c r="Q96" s="141"/>
      <c r="R96" s="146" t="s">
        <v>423</v>
      </c>
      <c r="S96" s="91">
        <v>587.0</v>
      </c>
    </row>
    <row r="97">
      <c r="A97" s="136" t="s">
        <v>424</v>
      </c>
      <c r="B97" s="147" t="s">
        <v>107</v>
      </c>
      <c r="C97" s="248" t="s">
        <v>425</v>
      </c>
      <c r="D97" s="225">
        <v>235.0</v>
      </c>
      <c r="E97" s="383">
        <v>36000.0</v>
      </c>
      <c r="F97" s="139">
        <f t="shared" si="9"/>
        <v>154</v>
      </c>
      <c r="G97" s="262">
        <f t="shared" si="8"/>
        <v>9.695359715</v>
      </c>
      <c r="H97" s="100">
        <v>87.81</v>
      </c>
      <c r="I97" s="100">
        <v>68.18</v>
      </c>
      <c r="J97" s="258">
        <v>47.47</v>
      </c>
      <c r="K97" s="128"/>
      <c r="L97" s="129" t="s">
        <v>69</v>
      </c>
      <c r="M97" s="324">
        <v>45748.0</v>
      </c>
      <c r="N97" s="112" t="s">
        <v>34</v>
      </c>
      <c r="O97" s="267" t="s">
        <v>426</v>
      </c>
      <c r="P97" s="103" t="s">
        <v>36</v>
      </c>
      <c r="Q97" s="247" t="s">
        <v>78</v>
      </c>
      <c r="R97" s="264" t="s">
        <v>427</v>
      </c>
      <c r="S97" s="91">
        <v>586.0</v>
      </c>
    </row>
    <row r="98">
      <c r="A98" s="92" t="s">
        <v>428</v>
      </c>
      <c r="B98" s="122" t="s">
        <v>41</v>
      </c>
      <c r="C98" s="203" t="s">
        <v>429</v>
      </c>
      <c r="D98" s="124"/>
      <c r="E98" s="124"/>
      <c r="F98" s="97" t="str">
        <f t="shared" si="9"/>
        <v/>
      </c>
      <c r="G98" s="384" t="str">
        <f t="shared" si="8"/>
        <v/>
      </c>
      <c r="I98" s="126"/>
      <c r="J98" s="385">
        <v>69.0</v>
      </c>
      <c r="K98" s="128"/>
      <c r="L98" s="129" t="s">
        <v>69</v>
      </c>
      <c r="M98" s="324">
        <v>45748.0</v>
      </c>
      <c r="N98" s="86" t="s">
        <v>34</v>
      </c>
      <c r="O98" s="205" t="s">
        <v>430</v>
      </c>
      <c r="P98" s="132" t="s">
        <v>36</v>
      </c>
      <c r="Q98" s="206" t="s">
        <v>78</v>
      </c>
      <c r="R98" s="105" t="s">
        <v>431</v>
      </c>
      <c r="S98" s="91">
        <v>585.0</v>
      </c>
    </row>
    <row r="99">
      <c r="A99" s="92" t="s">
        <v>432</v>
      </c>
      <c r="B99" s="122" t="s">
        <v>41</v>
      </c>
      <c r="C99" s="203" t="s">
        <v>433</v>
      </c>
      <c r="D99" s="124"/>
      <c r="E99" s="124"/>
      <c r="F99" s="97" t="str">
        <f t="shared" si="9"/>
        <v/>
      </c>
      <c r="G99" s="384" t="str">
        <f t="shared" si="8"/>
        <v/>
      </c>
      <c r="H99" s="386">
        <v>90.0</v>
      </c>
      <c r="I99" s="126"/>
      <c r="K99" s="128"/>
      <c r="L99" s="129" t="s">
        <v>69</v>
      </c>
      <c r="M99" s="324">
        <v>45748.0</v>
      </c>
      <c r="N99" s="86" t="s">
        <v>34</v>
      </c>
      <c r="O99" s="205" t="s">
        <v>430</v>
      </c>
      <c r="P99" s="132" t="s">
        <v>36</v>
      </c>
      <c r="Q99" s="206"/>
      <c r="R99" s="105" t="s">
        <v>434</v>
      </c>
      <c r="S99" s="91">
        <v>584.0</v>
      </c>
    </row>
    <row r="100">
      <c r="A100" s="136" t="s">
        <v>435</v>
      </c>
      <c r="B100" s="290" t="s">
        <v>177</v>
      </c>
      <c r="C100" s="223" t="s">
        <v>436</v>
      </c>
      <c r="D100" s="95">
        <v>685.0</v>
      </c>
      <c r="E100" s="95">
        <v>14800.0</v>
      </c>
      <c r="F100" s="31">
        <f t="shared" si="9"/>
        <v>22</v>
      </c>
      <c r="G100" s="278">
        <f t="shared" si="8"/>
        <v>10.61340871</v>
      </c>
      <c r="H100" s="183">
        <v>86.8</v>
      </c>
      <c r="I100" s="140"/>
      <c r="J100" s="172"/>
      <c r="K100" s="334"/>
      <c r="L100" s="186" t="s">
        <v>69</v>
      </c>
      <c r="M100" s="324">
        <v>45748.0</v>
      </c>
      <c r="N100" s="112" t="s">
        <v>34</v>
      </c>
      <c r="O100" s="144" t="s">
        <v>437</v>
      </c>
      <c r="P100" s="145" t="s">
        <v>36</v>
      </c>
      <c r="Q100" s="298" t="s">
        <v>78</v>
      </c>
      <c r="R100" s="331" t="s">
        <v>438</v>
      </c>
      <c r="S100" s="91">
        <v>583.0</v>
      </c>
    </row>
    <row r="101">
      <c r="A101" s="136" t="s">
        <v>439</v>
      </c>
      <c r="B101" s="58" t="s">
        <v>45</v>
      </c>
      <c r="C101" s="223" t="s">
        <v>440</v>
      </c>
      <c r="D101" s="219">
        <v>80.0</v>
      </c>
      <c r="E101" s="387">
        <v>20000.0</v>
      </c>
      <c r="F101" s="31">
        <f t="shared" si="9"/>
        <v>250</v>
      </c>
      <c r="G101" s="278">
        <f t="shared" si="8"/>
        <v>4.216370214</v>
      </c>
      <c r="H101" s="140"/>
      <c r="I101" s="140"/>
      <c r="J101" s="172">
        <v>78.3</v>
      </c>
      <c r="K101" s="334">
        <v>12.1</v>
      </c>
      <c r="L101" s="186" t="s">
        <v>69</v>
      </c>
      <c r="M101" s="324">
        <v>45748.0</v>
      </c>
      <c r="N101" s="112" t="s">
        <v>34</v>
      </c>
      <c r="O101" s="144" t="s">
        <v>441</v>
      </c>
      <c r="P101" s="310" t="s">
        <v>36</v>
      </c>
      <c r="Q101" s="298" t="s">
        <v>78</v>
      </c>
      <c r="R101" s="299" t="s">
        <v>442</v>
      </c>
      <c r="S101" s="91">
        <v>582.0</v>
      </c>
    </row>
    <row r="102">
      <c r="A102" s="103" t="s">
        <v>443</v>
      </c>
      <c r="B102" s="361" t="s">
        <v>50</v>
      </c>
      <c r="C102" s="168" t="s">
        <v>444</v>
      </c>
      <c r="D102" s="318">
        <v>200.0</v>
      </c>
      <c r="E102" s="318">
        <v>40000.0</v>
      </c>
      <c r="F102" s="31">
        <f t="shared" si="9"/>
        <v>200</v>
      </c>
      <c r="G102" s="363">
        <f t="shared" si="8"/>
        <v>9.428090416</v>
      </c>
      <c r="H102" s="183">
        <v>88.0</v>
      </c>
      <c r="I102" s="151"/>
      <c r="J102" s="364">
        <v>81.4</v>
      </c>
      <c r="K102" s="83">
        <v>14.28</v>
      </c>
      <c r="L102" s="154" t="s">
        <v>69</v>
      </c>
      <c r="M102" s="324">
        <v>45748.0</v>
      </c>
      <c r="N102" s="365" t="s">
        <v>34</v>
      </c>
      <c r="O102" s="280" t="s">
        <v>445</v>
      </c>
      <c r="P102" s="268" t="s">
        <v>36</v>
      </c>
      <c r="Q102" s="344" t="s">
        <v>37</v>
      </c>
      <c r="R102" s="317" t="s">
        <v>446</v>
      </c>
      <c r="S102" s="91">
        <v>581.0</v>
      </c>
    </row>
    <row r="103">
      <c r="A103" s="103" t="s">
        <v>447</v>
      </c>
      <c r="B103" s="361" t="s">
        <v>50</v>
      </c>
      <c r="C103" s="168" t="s">
        <v>448</v>
      </c>
      <c r="D103" s="362">
        <v>600.0</v>
      </c>
      <c r="E103" s="362">
        <v>100000.0</v>
      </c>
      <c r="F103" s="31">
        <f t="shared" si="9"/>
        <v>167</v>
      </c>
      <c r="G103" s="363">
        <f t="shared" si="8"/>
        <v>25.81988897</v>
      </c>
      <c r="H103" s="183">
        <v>91.2</v>
      </c>
      <c r="I103" s="151"/>
      <c r="J103" s="364">
        <v>83.3</v>
      </c>
      <c r="K103" s="83">
        <v>24.9</v>
      </c>
      <c r="L103" s="154" t="s">
        <v>69</v>
      </c>
      <c r="M103" s="324">
        <v>45748.0</v>
      </c>
      <c r="N103" s="365" t="s">
        <v>34</v>
      </c>
      <c r="O103" s="280" t="s">
        <v>445</v>
      </c>
      <c r="P103" s="268" t="s">
        <v>36</v>
      </c>
      <c r="Q103" s="344" t="s">
        <v>37</v>
      </c>
      <c r="R103" s="388" t="s">
        <v>449</v>
      </c>
      <c r="S103" s="91">
        <v>580.0</v>
      </c>
    </row>
    <row r="104">
      <c r="A104" s="103" t="s">
        <v>450</v>
      </c>
      <c r="B104" s="290" t="s">
        <v>177</v>
      </c>
      <c r="C104" s="389" t="s">
        <v>451</v>
      </c>
      <c r="D104" s="226">
        <v>2.0</v>
      </c>
      <c r="E104" s="226">
        <v>4000.0</v>
      </c>
      <c r="F104" s="31">
        <f t="shared" si="9"/>
        <v>2000</v>
      </c>
      <c r="G104" s="390">
        <f t="shared" si="8"/>
        <v>0.298142397</v>
      </c>
      <c r="H104" s="99">
        <v>53.17</v>
      </c>
      <c r="I104" s="151"/>
      <c r="J104" s="151"/>
      <c r="K104" s="153"/>
      <c r="L104" s="154" t="s">
        <v>69</v>
      </c>
      <c r="M104" s="324">
        <v>45748.0</v>
      </c>
      <c r="N104" s="130" t="s">
        <v>34</v>
      </c>
      <c r="O104" s="277" t="s">
        <v>452</v>
      </c>
      <c r="P104" s="156" t="s">
        <v>71</v>
      </c>
      <c r="Q104" s="153"/>
      <c r="R104" s="158" t="s">
        <v>453</v>
      </c>
      <c r="S104" s="91">
        <v>579.0</v>
      </c>
    </row>
    <row r="105">
      <c r="A105" s="92" t="s">
        <v>454</v>
      </c>
      <c r="B105" s="93" t="s">
        <v>75</v>
      </c>
      <c r="C105" s="94" t="s">
        <v>455</v>
      </c>
      <c r="D105" s="95">
        <v>8.0</v>
      </c>
      <c r="E105" s="320">
        <v>12000.0</v>
      </c>
      <c r="F105" s="97">
        <f t="shared" si="9"/>
        <v>1500</v>
      </c>
      <c r="G105" s="98">
        <f t="shared" si="8"/>
        <v>1.032795559</v>
      </c>
      <c r="H105" s="99">
        <v>65.54</v>
      </c>
      <c r="I105" s="376"/>
      <c r="J105" s="376"/>
      <c r="K105" s="101"/>
      <c r="L105" s="84" t="s">
        <v>69</v>
      </c>
      <c r="M105" s="324">
        <v>45748.0</v>
      </c>
      <c r="N105" s="86" t="s">
        <v>34</v>
      </c>
      <c r="O105" s="391" t="s">
        <v>456</v>
      </c>
      <c r="P105" s="197" t="s">
        <v>71</v>
      </c>
      <c r="Q105" s="104" t="s">
        <v>78</v>
      </c>
      <c r="R105" s="92" t="s">
        <v>457</v>
      </c>
      <c r="S105" s="91">
        <v>578.0</v>
      </c>
    </row>
    <row r="106">
      <c r="A106" s="106" t="s">
        <v>458</v>
      </c>
      <c r="B106" s="61" t="s">
        <v>459</v>
      </c>
      <c r="C106" s="108" t="s">
        <v>460</v>
      </c>
      <c r="D106" s="109">
        <v>32.0</v>
      </c>
      <c r="E106" s="109">
        <v>15000.0</v>
      </c>
      <c r="F106" s="392">
        <f t="shared" si="9"/>
        <v>469</v>
      </c>
      <c r="G106" s="283">
        <f t="shared" si="8"/>
        <v>2.309401077</v>
      </c>
      <c r="H106" s="100"/>
      <c r="I106" s="117"/>
      <c r="J106" s="100">
        <v>66.1</v>
      </c>
      <c r="K106" s="83"/>
      <c r="L106" s="84" t="s">
        <v>69</v>
      </c>
      <c r="M106" s="324">
        <v>45748.0</v>
      </c>
      <c r="N106" s="112" t="s">
        <v>34</v>
      </c>
      <c r="O106" s="108" t="s">
        <v>461</v>
      </c>
      <c r="P106" s="103" t="s">
        <v>71</v>
      </c>
      <c r="Q106" s="113" t="s">
        <v>78</v>
      </c>
      <c r="R106" s="114" t="s">
        <v>462</v>
      </c>
      <c r="S106" s="91">
        <v>577.0</v>
      </c>
    </row>
    <row r="107">
      <c r="A107" s="92" t="s">
        <v>463</v>
      </c>
      <c r="B107" s="179" t="s">
        <v>464</v>
      </c>
      <c r="C107" s="208" t="s">
        <v>465</v>
      </c>
      <c r="D107" s="194">
        <v>70.0</v>
      </c>
      <c r="E107" s="109">
        <v>15000.0</v>
      </c>
      <c r="F107" s="161">
        <f t="shared" si="9"/>
        <v>215</v>
      </c>
      <c r="G107" s="125">
        <f t="shared" si="8"/>
        <v>3.415650255</v>
      </c>
      <c r="H107" s="184"/>
      <c r="I107" s="393">
        <v>72.04</v>
      </c>
      <c r="J107" s="183"/>
      <c r="K107" s="83"/>
      <c r="L107" s="84" t="s">
        <v>69</v>
      </c>
      <c r="M107" s="324">
        <v>45748.0</v>
      </c>
      <c r="N107" s="351" t="s">
        <v>34</v>
      </c>
      <c r="O107" s="223" t="s">
        <v>466</v>
      </c>
      <c r="P107" s="136" t="s">
        <v>71</v>
      </c>
      <c r="Q107" s="311" t="s">
        <v>78</v>
      </c>
      <c r="R107" s="236" t="s">
        <v>467</v>
      </c>
      <c r="S107" s="91">
        <v>576.0</v>
      </c>
    </row>
    <row r="108">
      <c r="A108" s="92" t="s">
        <v>468</v>
      </c>
      <c r="B108" s="61" t="s">
        <v>50</v>
      </c>
      <c r="C108" s="135" t="s">
        <v>469</v>
      </c>
      <c r="D108" s="239">
        <v>300.0</v>
      </c>
      <c r="E108" s="124">
        <v>20000.0</v>
      </c>
      <c r="F108" s="97">
        <f t="shared" si="9"/>
        <v>67</v>
      </c>
      <c r="G108" s="125">
        <f t="shared" si="8"/>
        <v>8.164965809</v>
      </c>
      <c r="H108" s="184">
        <v>90.2</v>
      </c>
      <c r="I108" s="184"/>
      <c r="J108" s="184">
        <v>66.3</v>
      </c>
      <c r="K108" s="240">
        <v>5.4</v>
      </c>
      <c r="L108" s="84" t="s">
        <v>69</v>
      </c>
      <c r="M108" s="324">
        <v>45748.0</v>
      </c>
      <c r="N108" s="394" t="s">
        <v>34</v>
      </c>
      <c r="O108" s="135" t="s">
        <v>470</v>
      </c>
      <c r="P108" s="188" t="s">
        <v>36</v>
      </c>
      <c r="Q108" s="133" t="s">
        <v>52</v>
      </c>
      <c r="R108" s="188" t="s">
        <v>471</v>
      </c>
      <c r="S108" s="91">
        <v>575.0</v>
      </c>
    </row>
    <row r="109">
      <c r="A109" s="103" t="s">
        <v>472</v>
      </c>
      <c r="B109" s="58" t="s">
        <v>45</v>
      </c>
      <c r="C109" s="259" t="s">
        <v>473</v>
      </c>
      <c r="D109" s="226">
        <v>0.4</v>
      </c>
      <c r="E109" s="220">
        <v>2000.0</v>
      </c>
      <c r="F109" s="31">
        <f t="shared" si="9"/>
        <v>5000</v>
      </c>
      <c r="G109" s="278">
        <f t="shared" si="8"/>
        <v>0.09428090416</v>
      </c>
      <c r="H109" s="151"/>
      <c r="I109" s="151"/>
      <c r="J109" s="395"/>
      <c r="K109" s="396"/>
      <c r="L109" s="154" t="s">
        <v>69</v>
      </c>
      <c r="M109" s="324">
        <v>45748.0</v>
      </c>
      <c r="N109" s="130" t="s">
        <v>34</v>
      </c>
      <c r="O109" s="397" t="s">
        <v>473</v>
      </c>
      <c r="P109" s="103" t="s">
        <v>71</v>
      </c>
      <c r="Q109" s="153"/>
      <c r="R109" s="158" t="s">
        <v>474</v>
      </c>
      <c r="S109" s="91">
        <v>574.0</v>
      </c>
    </row>
    <row r="110">
      <c r="A110" s="92" t="s">
        <v>475</v>
      </c>
      <c r="B110" s="179" t="s">
        <v>476</v>
      </c>
      <c r="C110" s="398" t="s">
        <v>477</v>
      </c>
      <c r="D110" s="194">
        <v>5.0</v>
      </c>
      <c r="E110" s="194">
        <v>4500.0</v>
      </c>
      <c r="F110" s="399">
        <f t="shared" si="9"/>
        <v>900</v>
      </c>
      <c r="G110" s="110">
        <f t="shared" si="8"/>
        <v>0.5</v>
      </c>
      <c r="H110" s="100">
        <v>61.3</v>
      </c>
      <c r="I110" s="100">
        <v>29.19</v>
      </c>
      <c r="J110" s="100">
        <v>28.36</v>
      </c>
      <c r="K110" s="83"/>
      <c r="L110" s="154" t="s">
        <v>69</v>
      </c>
      <c r="M110" s="324">
        <v>45748.0</v>
      </c>
      <c r="N110" s="112" t="s">
        <v>34</v>
      </c>
      <c r="O110" s="131" t="s">
        <v>477</v>
      </c>
      <c r="P110" s="103" t="s">
        <v>71</v>
      </c>
      <c r="Q110" s="400"/>
      <c r="R110" s="92" t="s">
        <v>478</v>
      </c>
      <c r="S110" s="91">
        <v>573.0</v>
      </c>
    </row>
    <row r="111">
      <c r="A111" s="103" t="s">
        <v>479</v>
      </c>
      <c r="B111" s="147" t="s">
        <v>480</v>
      </c>
      <c r="C111" s="259" t="s">
        <v>481</v>
      </c>
      <c r="D111" s="226">
        <v>200.0</v>
      </c>
      <c r="E111" s="220">
        <v>15000.0</v>
      </c>
      <c r="F111" s="31">
        <f t="shared" si="9"/>
        <v>75</v>
      </c>
      <c r="G111" s="401">
        <f t="shared" si="8"/>
        <v>5.773502692</v>
      </c>
      <c r="H111" s="151"/>
      <c r="I111" s="127">
        <v>87.0</v>
      </c>
      <c r="J111" s="127">
        <v>77.3</v>
      </c>
      <c r="K111" s="153"/>
      <c r="L111" s="154" t="s">
        <v>69</v>
      </c>
      <c r="M111" s="324">
        <v>45748.0</v>
      </c>
      <c r="N111" s="130" t="s">
        <v>34</v>
      </c>
      <c r="O111" s="277" t="s">
        <v>481</v>
      </c>
      <c r="P111" s="188" t="s">
        <v>36</v>
      </c>
      <c r="Q111" s="206" t="s">
        <v>78</v>
      </c>
      <c r="R111" s="103" t="s">
        <v>482</v>
      </c>
      <c r="S111" s="91">
        <v>572.0</v>
      </c>
    </row>
    <row r="112">
      <c r="A112" s="103" t="s">
        <v>483</v>
      </c>
      <c r="B112" s="158" t="s">
        <v>405</v>
      </c>
      <c r="C112" s="259" t="s">
        <v>484</v>
      </c>
      <c r="D112" s="226">
        <v>7.0</v>
      </c>
      <c r="E112" s="226">
        <v>580.0</v>
      </c>
      <c r="F112" s="31">
        <f t="shared" si="9"/>
        <v>83</v>
      </c>
      <c r="G112" s="402">
        <f t="shared" si="8"/>
        <v>0.2123937643</v>
      </c>
      <c r="H112" s="127">
        <v>69.5</v>
      </c>
      <c r="I112" s="127">
        <v>43.3</v>
      </c>
      <c r="J112" s="127">
        <v>33.0</v>
      </c>
      <c r="K112" s="153"/>
      <c r="L112" s="276" t="s">
        <v>132</v>
      </c>
      <c r="M112" s="324">
        <v>45748.0</v>
      </c>
      <c r="N112" s="130" t="s">
        <v>34</v>
      </c>
      <c r="O112" s="277" t="s">
        <v>485</v>
      </c>
      <c r="P112" s="156" t="s">
        <v>71</v>
      </c>
      <c r="Q112" s="206" t="s">
        <v>72</v>
      </c>
      <c r="R112" s="158" t="s">
        <v>486</v>
      </c>
      <c r="S112" s="91">
        <v>571.0</v>
      </c>
    </row>
    <row r="113">
      <c r="A113" s="92" t="s">
        <v>487</v>
      </c>
      <c r="B113" s="229" t="s">
        <v>190</v>
      </c>
      <c r="C113" s="398" t="s">
        <v>488</v>
      </c>
      <c r="D113" s="194">
        <v>8.0</v>
      </c>
      <c r="E113" s="194">
        <v>15000.0</v>
      </c>
      <c r="F113" s="399">
        <f t="shared" si="9"/>
        <v>1875</v>
      </c>
      <c r="G113" s="110">
        <f t="shared" si="8"/>
        <v>1.154700538</v>
      </c>
      <c r="H113" s="100">
        <v>67.31</v>
      </c>
      <c r="I113" s="100">
        <v>43.28</v>
      </c>
      <c r="J113" s="100"/>
      <c r="K113" s="83"/>
      <c r="L113" s="154" t="s">
        <v>69</v>
      </c>
      <c r="M113" s="324">
        <v>45748.0</v>
      </c>
      <c r="N113" s="112" t="s">
        <v>34</v>
      </c>
      <c r="O113" s="131" t="s">
        <v>489</v>
      </c>
      <c r="P113" s="103" t="s">
        <v>71</v>
      </c>
      <c r="Q113" s="400"/>
      <c r="R113" s="92" t="s">
        <v>490</v>
      </c>
      <c r="S113" s="91">
        <v>570.0</v>
      </c>
    </row>
    <row r="114">
      <c r="A114" s="103" t="s">
        <v>491</v>
      </c>
      <c r="B114" s="268" t="s">
        <v>492</v>
      </c>
      <c r="C114" s="259" t="s">
        <v>493</v>
      </c>
      <c r="D114" s="226">
        <v>14.0</v>
      </c>
      <c r="E114" s="220">
        <v>14800.0</v>
      </c>
      <c r="F114" s="31">
        <f t="shared" si="9"/>
        <v>1058</v>
      </c>
      <c r="G114" s="402">
        <f t="shared" si="8"/>
        <v>1.517307557</v>
      </c>
      <c r="H114" s="151"/>
      <c r="I114" s="151"/>
      <c r="J114" s="151"/>
      <c r="K114" s="153"/>
      <c r="L114" s="276" t="s">
        <v>132</v>
      </c>
      <c r="M114" s="324">
        <v>45748.0</v>
      </c>
      <c r="N114" s="130" t="s">
        <v>34</v>
      </c>
      <c r="O114" s="277" t="s">
        <v>493</v>
      </c>
      <c r="P114" s="156" t="s">
        <v>71</v>
      </c>
      <c r="Q114" s="206" t="s">
        <v>78</v>
      </c>
      <c r="R114" s="158" t="s">
        <v>494</v>
      </c>
      <c r="S114" s="91">
        <v>569.0</v>
      </c>
    </row>
    <row r="115">
      <c r="A115" s="92" t="s">
        <v>495</v>
      </c>
      <c r="B115" s="306" t="s">
        <v>405</v>
      </c>
      <c r="C115" s="94" t="s">
        <v>496</v>
      </c>
      <c r="D115" s="194">
        <v>135.0</v>
      </c>
      <c r="E115" s="194">
        <v>13200.0</v>
      </c>
      <c r="F115" s="97">
        <f t="shared" si="9"/>
        <v>98</v>
      </c>
      <c r="G115" s="98">
        <f t="shared" si="8"/>
        <v>4.449719092</v>
      </c>
      <c r="H115" s="127">
        <v>85.4</v>
      </c>
      <c r="I115" s="127">
        <v>84.4</v>
      </c>
      <c r="J115" s="127">
        <v>74.2</v>
      </c>
      <c r="K115" s="101"/>
      <c r="L115" s="403" t="s">
        <v>69</v>
      </c>
      <c r="M115" s="324">
        <v>45748.0</v>
      </c>
      <c r="N115" s="86" t="s">
        <v>34</v>
      </c>
      <c r="O115" s="391" t="s">
        <v>497</v>
      </c>
      <c r="P115" s="197" t="s">
        <v>71</v>
      </c>
      <c r="Q115" s="206"/>
      <c r="R115" s="306" t="s">
        <v>498</v>
      </c>
      <c r="S115" s="91">
        <v>568.0</v>
      </c>
    </row>
    <row r="116">
      <c r="A116" s="136" t="s">
        <v>499</v>
      </c>
      <c r="B116" s="229" t="s">
        <v>190</v>
      </c>
      <c r="C116" s="223" t="s">
        <v>500</v>
      </c>
      <c r="D116" s="225">
        <v>56.0</v>
      </c>
      <c r="E116" s="225">
        <v>20000.0</v>
      </c>
      <c r="F116" s="31">
        <f t="shared" si="9"/>
        <v>358</v>
      </c>
      <c r="G116" s="278">
        <f t="shared" si="8"/>
        <v>3.527668415</v>
      </c>
      <c r="H116" s="404">
        <v>84.2</v>
      </c>
      <c r="I116" s="404">
        <v>60.5</v>
      </c>
      <c r="J116" s="184"/>
      <c r="K116" s="141"/>
      <c r="L116" s="186" t="s">
        <v>69</v>
      </c>
      <c r="M116" s="405">
        <v>45748.0</v>
      </c>
      <c r="N116" s="112" t="s">
        <v>34</v>
      </c>
      <c r="O116" s="196" t="s">
        <v>501</v>
      </c>
      <c r="P116" s="145" t="s">
        <v>71</v>
      </c>
      <c r="Q116" s="406" t="s">
        <v>78</v>
      </c>
      <c r="R116" s="407" t="s">
        <v>502</v>
      </c>
      <c r="S116" s="91">
        <v>567.0</v>
      </c>
    </row>
    <row r="117">
      <c r="A117" s="75" t="s">
        <v>503</v>
      </c>
      <c r="B117" s="229" t="s">
        <v>190</v>
      </c>
      <c r="C117" s="77" t="s">
        <v>504</v>
      </c>
      <c r="D117" s="78">
        <v>253.0</v>
      </c>
      <c r="E117" s="226">
        <v>15600.0</v>
      </c>
      <c r="F117" s="31">
        <f t="shared" si="9"/>
        <v>62</v>
      </c>
      <c r="G117" s="402">
        <f t="shared" si="8"/>
        <v>6.622184937</v>
      </c>
      <c r="H117" s="408"/>
      <c r="I117" s="184">
        <v>76.01</v>
      </c>
      <c r="J117" s="184"/>
      <c r="K117" s="83"/>
      <c r="L117" s="129" t="s">
        <v>69</v>
      </c>
      <c r="M117" s="324">
        <v>45748.0</v>
      </c>
      <c r="N117" s="351" t="s">
        <v>34</v>
      </c>
      <c r="O117" s="352" t="s">
        <v>505</v>
      </c>
      <c r="P117" s="88" t="s">
        <v>71</v>
      </c>
      <c r="Q117" s="206" t="s">
        <v>78</v>
      </c>
      <c r="R117" s="207" t="s">
        <v>506</v>
      </c>
      <c r="S117" s="91">
        <v>566.0</v>
      </c>
    </row>
    <row r="118">
      <c r="A118" s="92" t="s">
        <v>507</v>
      </c>
      <c r="B118" s="122" t="s">
        <v>56</v>
      </c>
      <c r="C118" s="409" t="s">
        <v>508</v>
      </c>
      <c r="D118" s="194">
        <v>2000.0</v>
      </c>
      <c r="E118" s="194">
        <v>30000.0</v>
      </c>
      <c r="F118" s="97">
        <f t="shared" si="9"/>
        <v>15</v>
      </c>
      <c r="G118" s="125">
        <f t="shared" si="8"/>
        <v>25.81988897</v>
      </c>
      <c r="H118" s="127"/>
      <c r="I118" s="184">
        <v>82.2</v>
      </c>
      <c r="J118" s="184">
        <v>73.7</v>
      </c>
      <c r="K118" s="216"/>
      <c r="L118" s="129" t="s">
        <v>69</v>
      </c>
      <c r="M118" s="324">
        <v>45748.0</v>
      </c>
      <c r="N118" s="112" t="s">
        <v>28</v>
      </c>
      <c r="O118" s="203" t="s">
        <v>57</v>
      </c>
      <c r="P118" s="188" t="s">
        <v>36</v>
      </c>
      <c r="Q118" s="410" t="s">
        <v>52</v>
      </c>
      <c r="R118" s="210" t="s">
        <v>509</v>
      </c>
      <c r="S118" s="91">
        <v>565.0</v>
      </c>
    </row>
    <row r="119">
      <c r="A119" s="92" t="s">
        <v>510</v>
      </c>
      <c r="B119" s="122" t="s">
        <v>56</v>
      </c>
      <c r="C119" s="180" t="s">
        <v>57</v>
      </c>
      <c r="D119" s="194">
        <v>400.0</v>
      </c>
      <c r="E119" s="411">
        <v>22000.0</v>
      </c>
      <c r="F119" s="97">
        <f t="shared" si="9"/>
        <v>55</v>
      </c>
      <c r="G119" s="125">
        <f t="shared" si="8"/>
        <v>9.888264649</v>
      </c>
      <c r="H119" s="127"/>
      <c r="I119" s="184">
        <v>80.5</v>
      </c>
      <c r="J119" s="184">
        <v>69.8</v>
      </c>
      <c r="K119" s="216"/>
      <c r="L119" s="129" t="s">
        <v>69</v>
      </c>
      <c r="M119" s="324">
        <v>45748.0</v>
      </c>
      <c r="N119" s="86" t="s">
        <v>34</v>
      </c>
      <c r="O119" s="203" t="s">
        <v>57</v>
      </c>
      <c r="P119" s="188" t="s">
        <v>36</v>
      </c>
      <c r="Q119" s="410" t="s">
        <v>52</v>
      </c>
      <c r="R119" s="210" t="s">
        <v>511</v>
      </c>
      <c r="S119" s="91">
        <v>564.0</v>
      </c>
    </row>
    <row r="120">
      <c r="A120" s="136" t="s">
        <v>512</v>
      </c>
      <c r="B120" s="412" t="s">
        <v>56</v>
      </c>
      <c r="C120" s="413" t="s">
        <v>57</v>
      </c>
      <c r="D120" s="225">
        <v>109.0</v>
      </c>
      <c r="E120" s="414">
        <v>40000.0</v>
      </c>
      <c r="F120" s="31">
        <f t="shared" si="9"/>
        <v>367</v>
      </c>
      <c r="G120" s="341">
        <f t="shared" si="8"/>
        <v>6.960204339</v>
      </c>
      <c r="H120" s="140"/>
      <c r="I120" s="244"/>
      <c r="J120" s="314"/>
      <c r="K120" s="141"/>
      <c r="L120" s="186" t="s">
        <v>69</v>
      </c>
      <c r="M120" s="405">
        <v>45748.0</v>
      </c>
      <c r="N120" s="112" t="s">
        <v>34</v>
      </c>
      <c r="O120" s="246" t="s">
        <v>57</v>
      </c>
      <c r="P120" s="224" t="s">
        <v>36</v>
      </c>
      <c r="Q120" s="415"/>
      <c r="R120" s="146" t="s">
        <v>513</v>
      </c>
      <c r="S120" s="91">
        <v>563.0</v>
      </c>
    </row>
    <row r="121">
      <c r="A121" s="103" t="s">
        <v>514</v>
      </c>
      <c r="B121" s="58" t="s">
        <v>45</v>
      </c>
      <c r="C121" s="259" t="s">
        <v>515</v>
      </c>
      <c r="D121" s="220">
        <v>400.0</v>
      </c>
      <c r="E121" s="149">
        <v>20000.0</v>
      </c>
      <c r="F121" s="31">
        <f t="shared" si="9"/>
        <v>50</v>
      </c>
      <c r="G121" s="278">
        <f t="shared" si="8"/>
        <v>9.428090416</v>
      </c>
      <c r="H121" s="151"/>
      <c r="I121" s="151"/>
      <c r="J121" s="395"/>
      <c r="K121" s="396"/>
      <c r="L121" s="154" t="s">
        <v>69</v>
      </c>
      <c r="M121" s="324">
        <v>45748.0</v>
      </c>
      <c r="N121" s="130" t="s">
        <v>34</v>
      </c>
      <c r="O121" s="277" t="s">
        <v>515</v>
      </c>
      <c r="P121" s="416" t="s">
        <v>36</v>
      </c>
      <c r="Q121" s="153"/>
      <c r="R121" s="158" t="s">
        <v>516</v>
      </c>
      <c r="S121" s="91">
        <v>562.0</v>
      </c>
    </row>
    <row r="122">
      <c r="A122" s="92" t="s">
        <v>517</v>
      </c>
      <c r="B122" s="61" t="s">
        <v>32</v>
      </c>
      <c r="C122" s="417" t="s">
        <v>518</v>
      </c>
      <c r="D122" s="293">
        <v>27.0</v>
      </c>
      <c r="E122" s="194">
        <v>14000.0</v>
      </c>
      <c r="F122" s="97">
        <f t="shared" si="9"/>
        <v>519</v>
      </c>
      <c r="G122" s="98">
        <f t="shared" si="8"/>
        <v>2.049390153</v>
      </c>
      <c r="H122" s="100"/>
      <c r="I122" s="100">
        <v>68.1</v>
      </c>
      <c r="J122" s="100">
        <v>56.9</v>
      </c>
      <c r="K122" s="83"/>
      <c r="L122" s="195" t="s">
        <v>132</v>
      </c>
      <c r="M122" s="324">
        <v>45748.0</v>
      </c>
      <c r="N122" s="86" t="s">
        <v>34</v>
      </c>
      <c r="O122" s="135" t="s">
        <v>519</v>
      </c>
      <c r="P122" s="197" t="s">
        <v>71</v>
      </c>
      <c r="Q122" s="198" t="s">
        <v>52</v>
      </c>
      <c r="R122" s="295" t="s">
        <v>520</v>
      </c>
      <c r="S122" s="91">
        <v>561.0</v>
      </c>
    </row>
    <row r="123">
      <c r="A123" s="92" t="s">
        <v>521</v>
      </c>
      <c r="B123" s="306" t="s">
        <v>522</v>
      </c>
      <c r="C123" s="135" t="s">
        <v>523</v>
      </c>
      <c r="D123" s="194">
        <v>72.0</v>
      </c>
      <c r="E123" s="109">
        <v>18000.0</v>
      </c>
      <c r="F123" s="97">
        <f t="shared" si="9"/>
        <v>250</v>
      </c>
      <c r="G123" s="125">
        <f t="shared" si="8"/>
        <v>3.794733192</v>
      </c>
      <c r="H123" s="127">
        <v>77.46</v>
      </c>
      <c r="I123" s="127"/>
      <c r="J123" s="127"/>
      <c r="K123" s="128"/>
      <c r="L123" s="129" t="s">
        <v>69</v>
      </c>
      <c r="M123" s="324">
        <v>45748.0</v>
      </c>
      <c r="N123" s="86" t="s">
        <v>34</v>
      </c>
      <c r="O123" s="131" t="s">
        <v>524</v>
      </c>
      <c r="P123" s="88" t="s">
        <v>71</v>
      </c>
      <c r="Q123" s="133"/>
      <c r="R123" s="134" t="s">
        <v>525</v>
      </c>
      <c r="S123" s="91">
        <v>560.0</v>
      </c>
    </row>
    <row r="124">
      <c r="A124" s="92" t="s">
        <v>526</v>
      </c>
      <c r="B124" s="418" t="s">
        <v>527</v>
      </c>
      <c r="C124" s="135" t="s">
        <v>528</v>
      </c>
      <c r="D124" s="194">
        <v>70.0</v>
      </c>
      <c r="E124" s="194">
        <v>15000.0</v>
      </c>
      <c r="F124" s="97">
        <f t="shared" si="9"/>
        <v>215</v>
      </c>
      <c r="G124" s="125">
        <f t="shared" si="8"/>
        <v>3.415650255</v>
      </c>
      <c r="H124" s="127">
        <v>91.0</v>
      </c>
      <c r="I124" s="127">
        <v>78.47</v>
      </c>
      <c r="J124" s="127">
        <v>60.61</v>
      </c>
      <c r="K124" s="128"/>
      <c r="L124" s="129" t="s">
        <v>69</v>
      </c>
      <c r="M124" s="324">
        <v>45748.0</v>
      </c>
      <c r="N124" s="86" t="s">
        <v>34</v>
      </c>
      <c r="O124" s="131" t="s">
        <v>529</v>
      </c>
      <c r="P124" s="88" t="s">
        <v>71</v>
      </c>
      <c r="Q124" s="133"/>
      <c r="R124" s="134" t="s">
        <v>530</v>
      </c>
      <c r="S124" s="91">
        <v>559.0</v>
      </c>
    </row>
    <row r="125">
      <c r="A125" s="92" t="s">
        <v>531</v>
      </c>
      <c r="B125" s="122" t="s">
        <v>45</v>
      </c>
      <c r="C125" s="135" t="s">
        <v>532</v>
      </c>
      <c r="D125" s="124">
        <v>400.0</v>
      </c>
      <c r="E125" s="124">
        <v>20000.0</v>
      </c>
      <c r="F125" s="97">
        <f t="shared" si="9"/>
        <v>50</v>
      </c>
      <c r="G125" s="125">
        <f t="shared" si="8"/>
        <v>9.428090416</v>
      </c>
      <c r="H125" s="127"/>
      <c r="I125" s="127"/>
      <c r="J125" s="127">
        <v>62.4</v>
      </c>
      <c r="K125" s="128">
        <v>14.5</v>
      </c>
      <c r="L125" s="129" t="s">
        <v>69</v>
      </c>
      <c r="M125" s="324">
        <v>45717.0</v>
      </c>
      <c r="N125" s="86" t="s">
        <v>34</v>
      </c>
      <c r="O125" s="131" t="s">
        <v>533</v>
      </c>
      <c r="P125" s="132" t="s">
        <v>36</v>
      </c>
      <c r="Q125" s="133"/>
      <c r="R125" s="134" t="s">
        <v>534</v>
      </c>
      <c r="S125" s="91">
        <v>558.0</v>
      </c>
    </row>
    <row r="126">
      <c r="A126" s="92" t="s">
        <v>535</v>
      </c>
      <c r="B126" s="122" t="s">
        <v>45</v>
      </c>
      <c r="C126" s="135" t="s">
        <v>536</v>
      </c>
      <c r="D126" s="194">
        <v>27.0</v>
      </c>
      <c r="E126" s="194">
        <v>14000.0</v>
      </c>
      <c r="F126" s="97">
        <f t="shared" si="9"/>
        <v>519</v>
      </c>
      <c r="G126" s="125">
        <f t="shared" si="8"/>
        <v>2.049390153</v>
      </c>
      <c r="H126" s="127"/>
      <c r="I126" s="127"/>
      <c r="J126" s="127"/>
      <c r="K126" s="128"/>
      <c r="L126" s="129" t="s">
        <v>69</v>
      </c>
      <c r="M126" s="324">
        <v>45717.0</v>
      </c>
      <c r="N126" s="86" t="s">
        <v>34</v>
      </c>
      <c r="O126" s="131" t="s">
        <v>533</v>
      </c>
      <c r="P126" s="132" t="s">
        <v>36</v>
      </c>
      <c r="Q126" s="133" t="s">
        <v>78</v>
      </c>
      <c r="R126" s="134" t="s">
        <v>537</v>
      </c>
      <c r="S126" s="91">
        <v>557.0</v>
      </c>
    </row>
    <row r="127">
      <c r="A127" s="92" t="s">
        <v>538</v>
      </c>
      <c r="B127" s="122" t="s">
        <v>45</v>
      </c>
      <c r="C127" s="135" t="s">
        <v>539</v>
      </c>
      <c r="D127" s="124">
        <v>400.0</v>
      </c>
      <c r="E127" s="124">
        <v>80000.0</v>
      </c>
      <c r="F127" s="97">
        <f t="shared" si="9"/>
        <v>200</v>
      </c>
      <c r="G127" s="125">
        <f t="shared" si="8"/>
        <v>18.85618083</v>
      </c>
      <c r="H127" s="127"/>
      <c r="I127" s="127"/>
      <c r="J127" s="127">
        <v>84.0</v>
      </c>
      <c r="K127" s="128">
        <v>18.8</v>
      </c>
      <c r="L127" s="129" t="s">
        <v>69</v>
      </c>
      <c r="M127" s="324">
        <v>45717.0</v>
      </c>
      <c r="N127" s="86" t="s">
        <v>34</v>
      </c>
      <c r="O127" s="131" t="s">
        <v>540</v>
      </c>
      <c r="P127" s="132" t="s">
        <v>36</v>
      </c>
      <c r="Q127" s="133" t="s">
        <v>37</v>
      </c>
      <c r="R127" s="419" t="s">
        <v>541</v>
      </c>
      <c r="S127" s="91">
        <v>556.0</v>
      </c>
    </row>
    <row r="128">
      <c r="A128" s="103" t="s">
        <v>542</v>
      </c>
      <c r="B128" s="147" t="s">
        <v>32</v>
      </c>
      <c r="C128" s="285" t="s">
        <v>356</v>
      </c>
      <c r="D128" s="169">
        <v>685.0</v>
      </c>
      <c r="E128" s="169">
        <v>14800.0</v>
      </c>
      <c r="F128" s="31">
        <f t="shared" si="9"/>
        <v>22</v>
      </c>
      <c r="G128" s="420">
        <f t="shared" si="8"/>
        <v>10.61340871</v>
      </c>
      <c r="H128" s="421"/>
      <c r="I128" s="422">
        <v>81.2</v>
      </c>
      <c r="J128" s="423">
        <v>68.4</v>
      </c>
      <c r="K128" s="424"/>
      <c r="L128" s="154" t="s">
        <v>69</v>
      </c>
      <c r="M128" s="324">
        <v>45717.0</v>
      </c>
      <c r="N128" s="130" t="s">
        <v>34</v>
      </c>
      <c r="O128" s="280" t="s">
        <v>543</v>
      </c>
      <c r="P128" s="156" t="s">
        <v>36</v>
      </c>
      <c r="Q128" s="425" t="s">
        <v>52</v>
      </c>
      <c r="R128" s="158" t="s">
        <v>544</v>
      </c>
      <c r="S128" s="91">
        <v>555.0</v>
      </c>
    </row>
    <row r="129">
      <c r="A129" s="75" t="s">
        <v>545</v>
      </c>
      <c r="B129" s="229" t="s">
        <v>190</v>
      </c>
      <c r="C129" s="77" t="s">
        <v>546</v>
      </c>
      <c r="D129" s="78">
        <v>49.0</v>
      </c>
      <c r="E129" s="124">
        <v>15040.0</v>
      </c>
      <c r="F129" s="31">
        <f t="shared" si="9"/>
        <v>307</v>
      </c>
      <c r="G129" s="402">
        <f t="shared" si="8"/>
        <v>2.861545814</v>
      </c>
      <c r="H129" s="408"/>
      <c r="I129" s="82"/>
      <c r="J129" s="184">
        <v>66.67</v>
      </c>
      <c r="K129" s="83"/>
      <c r="L129" s="195" t="s">
        <v>132</v>
      </c>
      <c r="M129" s="324">
        <v>45717.0</v>
      </c>
      <c r="N129" s="351" t="s">
        <v>34</v>
      </c>
      <c r="O129" s="352" t="s">
        <v>547</v>
      </c>
      <c r="P129" s="88" t="s">
        <v>71</v>
      </c>
      <c r="Q129" s="206" t="s">
        <v>78</v>
      </c>
      <c r="R129" s="207" t="s">
        <v>548</v>
      </c>
      <c r="S129" s="91">
        <v>554.0</v>
      </c>
    </row>
    <row r="130">
      <c r="A130" s="92" t="s">
        <v>549</v>
      </c>
      <c r="B130" s="92" t="s">
        <v>257</v>
      </c>
      <c r="C130" s="135" t="s">
        <v>550</v>
      </c>
      <c r="D130" s="181">
        <v>32.0</v>
      </c>
      <c r="E130" s="194">
        <v>6500.0</v>
      </c>
      <c r="F130" s="161">
        <f t="shared" si="9"/>
        <v>204</v>
      </c>
      <c r="G130" s="98">
        <f t="shared" si="8"/>
        <v>1.5202339</v>
      </c>
      <c r="H130" s="184">
        <v>83.0</v>
      </c>
      <c r="I130" s="426">
        <v>74.0</v>
      </c>
      <c r="J130" s="184">
        <v>66.1</v>
      </c>
      <c r="K130" s="83"/>
      <c r="L130" s="195" t="s">
        <v>132</v>
      </c>
      <c r="M130" s="324">
        <v>45717.0</v>
      </c>
      <c r="N130" s="99" t="s">
        <v>34</v>
      </c>
      <c r="O130" s="135" t="s">
        <v>551</v>
      </c>
      <c r="P130" s="134" t="s">
        <v>71</v>
      </c>
      <c r="Q130" s="206" t="s">
        <v>78</v>
      </c>
      <c r="R130" s="105" t="s">
        <v>552</v>
      </c>
      <c r="S130" s="91">
        <v>553.0</v>
      </c>
    </row>
    <row r="131">
      <c r="A131" s="136" t="s">
        <v>553</v>
      </c>
      <c r="B131" s="284" t="s">
        <v>269</v>
      </c>
      <c r="C131" s="326" t="s">
        <v>554</v>
      </c>
      <c r="D131" s="138">
        <v>24.0</v>
      </c>
      <c r="E131" s="387">
        <v>8000.0</v>
      </c>
      <c r="F131" s="31">
        <f t="shared" si="9"/>
        <v>334</v>
      </c>
      <c r="G131" s="308">
        <f t="shared" si="8"/>
        <v>1.460593487</v>
      </c>
      <c r="H131" s="327">
        <v>81.01</v>
      </c>
      <c r="I131" s="328">
        <v>56.03</v>
      </c>
      <c r="J131" s="329">
        <v>37.5</v>
      </c>
      <c r="K131" s="83"/>
      <c r="L131" s="195" t="s">
        <v>132</v>
      </c>
      <c r="M131" s="324">
        <v>45717.0</v>
      </c>
      <c r="N131" s="112" t="s">
        <v>34</v>
      </c>
      <c r="O131" s="230" t="s">
        <v>555</v>
      </c>
      <c r="P131" s="145" t="s">
        <v>71</v>
      </c>
      <c r="Q131" s="325"/>
      <c r="R131" s="375" t="s">
        <v>556</v>
      </c>
      <c r="S131" s="91">
        <v>552.0</v>
      </c>
    </row>
    <row r="132">
      <c r="A132" s="92" t="s">
        <v>557</v>
      </c>
      <c r="B132" s="122" t="s">
        <v>41</v>
      </c>
      <c r="C132" s="203" t="s">
        <v>558</v>
      </c>
      <c r="D132" s="194">
        <v>424.0</v>
      </c>
      <c r="E132" s="124">
        <v>16000.0</v>
      </c>
      <c r="F132" s="97">
        <f t="shared" si="9"/>
        <v>38</v>
      </c>
      <c r="G132" s="98">
        <f t="shared" si="8"/>
        <v>8.682037651</v>
      </c>
      <c r="H132" s="204"/>
      <c r="I132" s="126">
        <v>79.0</v>
      </c>
      <c r="J132" s="126">
        <v>55.0</v>
      </c>
      <c r="K132" s="128"/>
      <c r="L132" s="129" t="s">
        <v>69</v>
      </c>
      <c r="M132" s="324">
        <v>45717.0</v>
      </c>
      <c r="N132" s="86" t="s">
        <v>34</v>
      </c>
      <c r="O132" s="205" t="s">
        <v>559</v>
      </c>
      <c r="P132" s="197" t="s">
        <v>36</v>
      </c>
      <c r="Q132" s="206" t="s">
        <v>78</v>
      </c>
      <c r="R132" s="105" t="s">
        <v>560</v>
      </c>
      <c r="S132" s="91">
        <v>551.0</v>
      </c>
    </row>
    <row r="133">
      <c r="A133" s="92" t="s">
        <v>561</v>
      </c>
      <c r="B133" s="122" t="s">
        <v>41</v>
      </c>
      <c r="C133" s="203" t="s">
        <v>562</v>
      </c>
      <c r="D133" s="124"/>
      <c r="E133" s="124"/>
      <c r="F133" s="97" t="str">
        <f t="shared" si="9"/>
        <v/>
      </c>
      <c r="G133" s="384" t="str">
        <f t="shared" si="8"/>
        <v/>
      </c>
      <c r="H133" s="204"/>
      <c r="I133" s="126"/>
      <c r="J133" s="204"/>
      <c r="K133" s="128"/>
      <c r="L133" s="129" t="s">
        <v>69</v>
      </c>
      <c r="M133" s="324">
        <v>45717.0</v>
      </c>
      <c r="N133" s="86" t="s">
        <v>34</v>
      </c>
      <c r="O133" s="205" t="s">
        <v>559</v>
      </c>
      <c r="P133" s="132" t="s">
        <v>36</v>
      </c>
      <c r="Q133" s="206" t="s">
        <v>78</v>
      </c>
      <c r="R133" s="207"/>
      <c r="S133" s="91">
        <v>550.0</v>
      </c>
    </row>
    <row r="134">
      <c r="A134" s="103" t="s">
        <v>563</v>
      </c>
      <c r="B134" s="268" t="s">
        <v>252</v>
      </c>
      <c r="C134" s="427" t="s">
        <v>564</v>
      </c>
      <c r="D134" s="226">
        <v>32.0</v>
      </c>
      <c r="E134" s="226">
        <v>6400.0</v>
      </c>
      <c r="F134" s="31">
        <f t="shared" si="9"/>
        <v>200</v>
      </c>
      <c r="G134" s="256">
        <f t="shared" si="8"/>
        <v>1.508494467</v>
      </c>
      <c r="H134" s="257">
        <v>78.0</v>
      </c>
      <c r="I134" s="270"/>
      <c r="J134" s="270"/>
      <c r="K134" s="128"/>
      <c r="L134" s="129" t="s">
        <v>69</v>
      </c>
      <c r="M134" s="324">
        <v>45717.0</v>
      </c>
      <c r="N134" s="130" t="s">
        <v>34</v>
      </c>
      <c r="O134" s="271" t="s">
        <v>565</v>
      </c>
      <c r="P134" s="156" t="s">
        <v>71</v>
      </c>
      <c r="Q134" s="272"/>
      <c r="R134" s="158" t="s">
        <v>566</v>
      </c>
      <c r="S134" s="91">
        <v>549.0</v>
      </c>
    </row>
    <row r="135">
      <c r="A135" s="136" t="s">
        <v>567</v>
      </c>
      <c r="B135" s="224" t="s">
        <v>568</v>
      </c>
      <c r="C135" s="218" t="s">
        <v>569</v>
      </c>
      <c r="D135" s="225">
        <v>111.0</v>
      </c>
      <c r="E135" s="219">
        <v>8000.0</v>
      </c>
      <c r="F135" s="31">
        <f t="shared" si="9"/>
        <v>73</v>
      </c>
      <c r="G135" s="428">
        <f t="shared" si="8"/>
        <v>3.141125064</v>
      </c>
      <c r="H135" s="429">
        <v>85.0</v>
      </c>
      <c r="I135" s="430"/>
      <c r="J135" s="431"/>
      <c r="K135" s="128"/>
      <c r="L135" s="129" t="s">
        <v>69</v>
      </c>
      <c r="M135" s="324">
        <v>45717.0</v>
      </c>
      <c r="N135" s="112" t="s">
        <v>34</v>
      </c>
      <c r="O135" s="267" t="s">
        <v>570</v>
      </c>
      <c r="P135" s="145" t="s">
        <v>71</v>
      </c>
      <c r="Q135" s="325"/>
      <c r="R135" s="375" t="s">
        <v>571</v>
      </c>
      <c r="S135" s="91">
        <v>548.0</v>
      </c>
    </row>
    <row r="136">
      <c r="A136" s="92" t="s">
        <v>572</v>
      </c>
      <c r="B136" s="122" t="s">
        <v>45</v>
      </c>
      <c r="C136" s="123"/>
      <c r="D136" s="124">
        <v>200.0</v>
      </c>
      <c r="E136" s="124">
        <v>20000.0</v>
      </c>
      <c r="F136" s="97">
        <f t="shared" si="9"/>
        <v>100</v>
      </c>
      <c r="G136" s="125">
        <f t="shared" si="8"/>
        <v>6.666666667</v>
      </c>
      <c r="H136" s="126"/>
      <c r="I136" s="126">
        <v>79.1</v>
      </c>
      <c r="J136" s="126">
        <v>64.7</v>
      </c>
      <c r="K136" s="128"/>
      <c r="L136" s="129" t="s">
        <v>69</v>
      </c>
      <c r="M136" s="324">
        <v>45717.0</v>
      </c>
      <c r="N136" s="112" t="s">
        <v>28</v>
      </c>
      <c r="O136" s="131" t="s">
        <v>573</v>
      </c>
      <c r="P136" s="132" t="s">
        <v>36</v>
      </c>
      <c r="Q136" s="133"/>
      <c r="R136" s="134" t="s">
        <v>574</v>
      </c>
      <c r="S136" s="91">
        <v>547.0</v>
      </c>
    </row>
    <row r="137">
      <c r="A137" s="92" t="s">
        <v>575</v>
      </c>
      <c r="B137" s="122" t="s">
        <v>45</v>
      </c>
      <c r="C137" s="123"/>
      <c r="D137" s="124">
        <v>30.0</v>
      </c>
      <c r="E137" s="124">
        <v>30000.0</v>
      </c>
      <c r="F137" s="97">
        <f t="shared" si="9"/>
        <v>1000</v>
      </c>
      <c r="G137" s="125">
        <f t="shared" si="8"/>
        <v>3.16227766</v>
      </c>
      <c r="H137" s="432">
        <v>87.0</v>
      </c>
      <c r="I137" s="433">
        <v>76.4</v>
      </c>
      <c r="J137" s="433">
        <v>62.1</v>
      </c>
      <c r="K137" s="128"/>
      <c r="L137" s="129" t="s">
        <v>69</v>
      </c>
      <c r="M137" s="324">
        <v>45717.0</v>
      </c>
      <c r="N137" s="112" t="s">
        <v>28</v>
      </c>
      <c r="O137" s="131" t="s">
        <v>573</v>
      </c>
      <c r="P137" s="132" t="s">
        <v>36</v>
      </c>
      <c r="Q137" s="133"/>
      <c r="R137" s="134" t="s">
        <v>576</v>
      </c>
      <c r="S137" s="91">
        <v>546.0</v>
      </c>
    </row>
    <row r="138">
      <c r="A138" s="92" t="s">
        <v>577</v>
      </c>
      <c r="B138" s="122" t="s">
        <v>45</v>
      </c>
      <c r="C138" s="193" t="s">
        <v>578</v>
      </c>
      <c r="D138" s="293">
        <v>27.0</v>
      </c>
      <c r="E138" s="194">
        <v>14000.0</v>
      </c>
      <c r="F138" s="97">
        <f t="shared" si="9"/>
        <v>519</v>
      </c>
      <c r="G138" s="98">
        <f t="shared" si="8"/>
        <v>2.049390153</v>
      </c>
      <c r="H138" s="100">
        <v>78.6</v>
      </c>
      <c r="I138" s="100">
        <v>67.5</v>
      </c>
      <c r="J138" s="100">
        <v>42.4</v>
      </c>
      <c r="K138" s="83"/>
      <c r="L138" s="195" t="s">
        <v>132</v>
      </c>
      <c r="M138" s="324">
        <v>45717.0</v>
      </c>
      <c r="N138" s="86" t="s">
        <v>34</v>
      </c>
      <c r="O138" s="294" t="s">
        <v>579</v>
      </c>
      <c r="P138" s="197" t="s">
        <v>71</v>
      </c>
      <c r="Q138" s="198"/>
      <c r="R138" s="295" t="s">
        <v>580</v>
      </c>
      <c r="S138" s="91">
        <v>545.0</v>
      </c>
    </row>
    <row r="139">
      <c r="A139" s="92" t="s">
        <v>581</v>
      </c>
      <c r="B139" s="189" t="s">
        <v>265</v>
      </c>
      <c r="C139" s="135" t="s">
        <v>582</v>
      </c>
      <c r="D139" s="194">
        <v>21.0</v>
      </c>
      <c r="E139" s="124">
        <v>5000.0</v>
      </c>
      <c r="F139" s="282">
        <f t="shared" si="9"/>
        <v>239</v>
      </c>
      <c r="G139" s="283">
        <f t="shared" si="8"/>
        <v>1.08012345</v>
      </c>
      <c r="H139" s="100"/>
      <c r="I139" s="100">
        <v>65.0</v>
      </c>
      <c r="J139" s="100">
        <v>61.1</v>
      </c>
      <c r="K139" s="83"/>
      <c r="L139" s="195" t="s">
        <v>132</v>
      </c>
      <c r="M139" s="324">
        <v>45717.0</v>
      </c>
      <c r="N139" s="99" t="s">
        <v>34</v>
      </c>
      <c r="O139" s="135" t="s">
        <v>267</v>
      </c>
      <c r="P139" s="103" t="s">
        <v>71</v>
      </c>
      <c r="Q139" s="206" t="s">
        <v>78</v>
      </c>
      <c r="R139" s="207" t="s">
        <v>583</v>
      </c>
      <c r="S139" s="91">
        <v>544.0</v>
      </c>
    </row>
    <row r="140">
      <c r="A140" s="103" t="s">
        <v>584</v>
      </c>
      <c r="B140" s="147" t="s">
        <v>107</v>
      </c>
      <c r="C140" s="255" t="s">
        <v>585</v>
      </c>
      <c r="D140" s="226">
        <v>32.0</v>
      </c>
      <c r="E140" s="226">
        <v>18000.0</v>
      </c>
      <c r="F140" s="31">
        <f t="shared" si="9"/>
        <v>563</v>
      </c>
      <c r="G140" s="308">
        <f t="shared" si="8"/>
        <v>2.529822128</v>
      </c>
      <c r="H140" s="338"/>
      <c r="I140" s="270"/>
      <c r="J140" s="100"/>
      <c r="K140" s="128"/>
      <c r="L140" s="129" t="s">
        <v>69</v>
      </c>
      <c r="M140" s="324">
        <v>45717.0</v>
      </c>
      <c r="N140" s="130" t="s">
        <v>34</v>
      </c>
      <c r="O140" s="309" t="s">
        <v>586</v>
      </c>
      <c r="P140" s="145" t="s">
        <v>71</v>
      </c>
      <c r="Q140" s="206" t="s">
        <v>78</v>
      </c>
      <c r="R140" s="207" t="s">
        <v>587</v>
      </c>
      <c r="S140" s="91">
        <v>543.0</v>
      </c>
    </row>
    <row r="141">
      <c r="A141" s="136" t="s">
        <v>588</v>
      </c>
      <c r="B141" s="434" t="s">
        <v>589</v>
      </c>
      <c r="C141" s="218" t="s">
        <v>590</v>
      </c>
      <c r="D141" s="435">
        <v>398.0</v>
      </c>
      <c r="E141" s="320">
        <v>8000.0</v>
      </c>
      <c r="F141" s="31">
        <f t="shared" si="9"/>
        <v>21</v>
      </c>
      <c r="G141" s="436">
        <f t="shared" si="8"/>
        <v>5.94792214</v>
      </c>
      <c r="H141" s="437">
        <v>81.2</v>
      </c>
      <c r="I141" s="438">
        <v>53.5</v>
      </c>
      <c r="J141" s="439">
        <v>36.9</v>
      </c>
      <c r="K141" s="83"/>
      <c r="L141" s="195" t="s">
        <v>132</v>
      </c>
      <c r="M141" s="324">
        <v>45717.0</v>
      </c>
      <c r="N141" s="112" t="s">
        <v>34</v>
      </c>
      <c r="O141" s="223" t="s">
        <v>590</v>
      </c>
      <c r="P141" s="440" t="s">
        <v>36</v>
      </c>
      <c r="Q141" s="325"/>
      <c r="R141" s="375" t="s">
        <v>591</v>
      </c>
      <c r="S141" s="91">
        <v>542.0</v>
      </c>
    </row>
    <row r="142">
      <c r="A142" s="103" t="s">
        <v>592</v>
      </c>
      <c r="B142" s="268" t="s">
        <v>593</v>
      </c>
      <c r="C142" s="255" t="s">
        <v>594</v>
      </c>
      <c r="D142" s="226">
        <v>3.0</v>
      </c>
      <c r="E142" s="226">
        <v>4160.0</v>
      </c>
      <c r="F142" s="139">
        <f t="shared" si="9"/>
        <v>1387</v>
      </c>
      <c r="G142" s="441">
        <f t="shared" si="8"/>
        <v>0.3723797345</v>
      </c>
      <c r="H142" s="350">
        <v>58.31</v>
      </c>
      <c r="I142" s="270"/>
      <c r="J142" s="350">
        <v>30.13</v>
      </c>
      <c r="K142" s="83"/>
      <c r="L142" s="195" t="s">
        <v>132</v>
      </c>
      <c r="M142" s="324">
        <v>45717.0</v>
      </c>
      <c r="N142" s="130" t="s">
        <v>34</v>
      </c>
      <c r="O142" s="309" t="s">
        <v>595</v>
      </c>
      <c r="P142" s="156" t="s">
        <v>71</v>
      </c>
      <c r="Q142" s="272"/>
      <c r="R142" s="158" t="s">
        <v>596</v>
      </c>
      <c r="S142" s="91">
        <v>541.0</v>
      </c>
    </row>
    <row r="143">
      <c r="A143" s="103" t="s">
        <v>597</v>
      </c>
      <c r="B143" s="147" t="s">
        <v>107</v>
      </c>
      <c r="C143" s="255" t="s">
        <v>598</v>
      </c>
      <c r="D143" s="225">
        <v>83.0</v>
      </c>
      <c r="E143" s="219">
        <v>15000.0</v>
      </c>
      <c r="F143" s="31">
        <f t="shared" si="9"/>
        <v>181</v>
      </c>
      <c r="G143" s="308">
        <f t="shared" si="8"/>
        <v>3.719318934</v>
      </c>
      <c r="H143" s="338"/>
      <c r="I143" s="270"/>
      <c r="J143" s="100"/>
      <c r="K143" s="128"/>
      <c r="L143" s="129" t="s">
        <v>69</v>
      </c>
      <c r="M143" s="324">
        <v>45717.0</v>
      </c>
      <c r="N143" s="130" t="s">
        <v>34</v>
      </c>
      <c r="O143" s="309" t="s">
        <v>599</v>
      </c>
      <c r="P143" s="145" t="s">
        <v>71</v>
      </c>
      <c r="Q143" s="206"/>
      <c r="R143" s="207" t="s">
        <v>600</v>
      </c>
      <c r="S143" s="91">
        <v>540.0</v>
      </c>
    </row>
    <row r="144">
      <c r="A144" s="103" t="s">
        <v>601</v>
      </c>
      <c r="B144" s="268" t="s">
        <v>75</v>
      </c>
      <c r="C144" s="255" t="s">
        <v>602</v>
      </c>
      <c r="D144" s="273">
        <v>8.0</v>
      </c>
      <c r="E144" s="320">
        <v>12000.0</v>
      </c>
      <c r="F144" s="139">
        <f t="shared" si="9"/>
        <v>1500</v>
      </c>
      <c r="G144" s="442">
        <f t="shared" si="8"/>
        <v>1.032795559</v>
      </c>
      <c r="H144" s="443">
        <v>66.79</v>
      </c>
      <c r="I144" s="270"/>
      <c r="J144" s="270"/>
      <c r="K144" s="83"/>
      <c r="L144" s="195" t="s">
        <v>132</v>
      </c>
      <c r="M144" s="324">
        <v>45689.0</v>
      </c>
      <c r="N144" s="130" t="s">
        <v>34</v>
      </c>
      <c r="O144" s="259" t="s">
        <v>603</v>
      </c>
      <c r="P144" s="156" t="s">
        <v>71</v>
      </c>
      <c r="Q144" s="206" t="s">
        <v>78</v>
      </c>
      <c r="R144" s="207" t="s">
        <v>604</v>
      </c>
      <c r="S144" s="91">
        <v>539.0</v>
      </c>
    </row>
    <row r="145">
      <c r="A145" s="136" t="s">
        <v>605</v>
      </c>
      <c r="B145" s="224" t="s">
        <v>568</v>
      </c>
      <c r="C145" s="218" t="s">
        <v>606</v>
      </c>
      <c r="D145" s="138">
        <v>7.0</v>
      </c>
      <c r="E145" s="387">
        <v>2000.0</v>
      </c>
      <c r="F145" s="31">
        <f t="shared" si="9"/>
        <v>286</v>
      </c>
      <c r="G145" s="428">
        <f t="shared" si="8"/>
        <v>0.3944053189</v>
      </c>
      <c r="H145" s="444"/>
      <c r="I145" s="445">
        <v>29.4</v>
      </c>
      <c r="J145" s="446">
        <v>7.9</v>
      </c>
      <c r="K145" s="83"/>
      <c r="L145" s="195" t="s">
        <v>132</v>
      </c>
      <c r="M145" s="324">
        <v>45689.0</v>
      </c>
      <c r="N145" s="112" t="s">
        <v>34</v>
      </c>
      <c r="O145" s="267" t="s">
        <v>606</v>
      </c>
      <c r="P145" s="145" t="s">
        <v>71</v>
      </c>
      <c r="Q145" s="447"/>
      <c r="R145" s="289" t="s">
        <v>607</v>
      </c>
      <c r="S145" s="91">
        <v>538.0</v>
      </c>
    </row>
    <row r="146">
      <c r="A146" s="92" t="s">
        <v>608</v>
      </c>
      <c r="B146" s="122" t="s">
        <v>50</v>
      </c>
      <c r="C146" s="135" t="s">
        <v>609</v>
      </c>
      <c r="D146" s="448">
        <v>3000.0</v>
      </c>
      <c r="E146" s="449">
        <v>114000.0</v>
      </c>
      <c r="F146" s="97">
        <f t="shared" si="9"/>
        <v>38</v>
      </c>
      <c r="G146" s="98">
        <f t="shared" si="8"/>
        <v>61.64414003</v>
      </c>
      <c r="H146" s="127">
        <v>89.6</v>
      </c>
      <c r="I146" s="204"/>
      <c r="J146" s="350">
        <v>71.4</v>
      </c>
      <c r="K146" s="128">
        <v>6.4</v>
      </c>
      <c r="L146" s="129" t="s">
        <v>69</v>
      </c>
      <c r="M146" s="324">
        <v>45689.0</v>
      </c>
      <c r="N146" s="86" t="s">
        <v>34</v>
      </c>
      <c r="O146" s="450" t="s">
        <v>610</v>
      </c>
      <c r="P146" s="93" t="s">
        <v>36</v>
      </c>
      <c r="Q146" s="133" t="s">
        <v>52</v>
      </c>
      <c r="R146" s="419" t="s">
        <v>611</v>
      </c>
      <c r="S146" s="91">
        <v>537.0</v>
      </c>
    </row>
    <row r="147">
      <c r="A147" s="103" t="s">
        <v>612</v>
      </c>
      <c r="B147" s="147" t="s">
        <v>304</v>
      </c>
      <c r="C147" s="255" t="s">
        <v>613</v>
      </c>
      <c r="D147" s="451">
        <v>389.0</v>
      </c>
      <c r="E147" s="116">
        <v>7000.0</v>
      </c>
      <c r="F147" s="31">
        <f t="shared" si="9"/>
        <v>18</v>
      </c>
      <c r="G147" s="452">
        <f t="shared" si="8"/>
        <v>5.500505027</v>
      </c>
      <c r="H147" s="453"/>
      <c r="I147" s="454">
        <v>87.2</v>
      </c>
      <c r="J147" s="327">
        <v>69.3</v>
      </c>
      <c r="K147" s="128"/>
      <c r="L147" s="129" t="s">
        <v>69</v>
      </c>
      <c r="M147" s="324">
        <v>45689.0</v>
      </c>
      <c r="N147" s="130" t="s">
        <v>34</v>
      </c>
      <c r="O147" s="259" t="s">
        <v>614</v>
      </c>
      <c r="P147" s="156" t="s">
        <v>36</v>
      </c>
      <c r="Q147" s="447" t="s">
        <v>78</v>
      </c>
      <c r="R147" s="289" t="s">
        <v>615</v>
      </c>
      <c r="S147" s="91">
        <v>536.0</v>
      </c>
    </row>
    <row r="148">
      <c r="A148" s="103" t="s">
        <v>616</v>
      </c>
      <c r="B148" s="147" t="s">
        <v>304</v>
      </c>
      <c r="C148" s="255" t="s">
        <v>613</v>
      </c>
      <c r="D148" s="451">
        <v>389.0</v>
      </c>
      <c r="E148" s="116">
        <v>7000.0</v>
      </c>
      <c r="F148" s="31">
        <f t="shared" si="9"/>
        <v>18</v>
      </c>
      <c r="G148" s="452">
        <f t="shared" si="8"/>
        <v>5.500505027</v>
      </c>
      <c r="H148" s="453">
        <v>89.5</v>
      </c>
      <c r="I148" s="454">
        <v>79.0</v>
      </c>
      <c r="J148" s="327">
        <v>57.5</v>
      </c>
      <c r="K148" s="128"/>
      <c r="L148" s="129" t="s">
        <v>69</v>
      </c>
      <c r="M148" s="324">
        <v>45689.0</v>
      </c>
      <c r="N148" s="130" t="s">
        <v>34</v>
      </c>
      <c r="O148" s="259" t="s">
        <v>614</v>
      </c>
      <c r="P148" s="156" t="s">
        <v>36</v>
      </c>
      <c r="Q148" s="206"/>
      <c r="R148" s="207" t="s">
        <v>617</v>
      </c>
      <c r="S148" s="91">
        <v>535.0</v>
      </c>
    </row>
    <row r="149">
      <c r="A149" s="103" t="s">
        <v>618</v>
      </c>
      <c r="B149" s="290" t="s">
        <v>177</v>
      </c>
      <c r="C149" s="255" t="s">
        <v>619</v>
      </c>
      <c r="D149" s="226">
        <v>5.6</v>
      </c>
      <c r="E149" s="226">
        <v>6100.0</v>
      </c>
      <c r="F149" s="31">
        <f t="shared" si="9"/>
        <v>1090</v>
      </c>
      <c r="G149" s="256">
        <f t="shared" si="8"/>
        <v>0.6160808028</v>
      </c>
      <c r="H149" s="377"/>
      <c r="I149" s="455"/>
      <c r="J149" s="270"/>
      <c r="K149" s="128"/>
      <c r="L149" s="129" t="s">
        <v>69</v>
      </c>
      <c r="M149" s="324">
        <v>45689.0</v>
      </c>
      <c r="N149" s="130" t="s">
        <v>34</v>
      </c>
      <c r="O149" s="168" t="s">
        <v>620</v>
      </c>
      <c r="P149" s="156" t="s">
        <v>71</v>
      </c>
      <c r="Q149" s="380"/>
      <c r="R149" s="388" t="s">
        <v>621</v>
      </c>
      <c r="S149" s="91">
        <v>534.0</v>
      </c>
    </row>
    <row r="150">
      <c r="A150" s="136" t="s">
        <v>622</v>
      </c>
      <c r="B150" s="290" t="s">
        <v>177</v>
      </c>
      <c r="C150" s="248" t="s">
        <v>623</v>
      </c>
      <c r="D150" s="225">
        <v>3.8</v>
      </c>
      <c r="E150" s="225">
        <v>5000.0</v>
      </c>
      <c r="F150" s="139">
        <f t="shared" si="9"/>
        <v>1316</v>
      </c>
      <c r="G150" s="428">
        <f t="shared" si="8"/>
        <v>0.4594682917</v>
      </c>
      <c r="H150" s="456">
        <v>67.3</v>
      </c>
      <c r="I150" s="457">
        <v>52.8</v>
      </c>
      <c r="J150" s="350">
        <v>30.4</v>
      </c>
      <c r="K150" s="128"/>
      <c r="L150" s="129" t="s">
        <v>69</v>
      </c>
      <c r="M150" s="324">
        <v>45689.0</v>
      </c>
      <c r="N150" s="112" t="s">
        <v>34</v>
      </c>
      <c r="O150" s="267" t="s">
        <v>620</v>
      </c>
      <c r="P150" s="145" t="s">
        <v>71</v>
      </c>
      <c r="Q150" s="252"/>
      <c r="R150" s="458" t="s">
        <v>624</v>
      </c>
      <c r="S150" s="91">
        <v>533.0</v>
      </c>
    </row>
    <row r="151">
      <c r="A151" s="92" t="s">
        <v>625</v>
      </c>
      <c r="B151" s="306" t="s">
        <v>308</v>
      </c>
      <c r="C151" s="307" t="s">
        <v>309</v>
      </c>
      <c r="D151" s="124">
        <v>40.0</v>
      </c>
      <c r="E151" s="124">
        <v>5000.0</v>
      </c>
      <c r="F151" s="31">
        <f t="shared" si="9"/>
        <v>125</v>
      </c>
      <c r="G151" s="308">
        <f t="shared" si="8"/>
        <v>1.490711985</v>
      </c>
      <c r="H151" s="184"/>
      <c r="I151" s="183"/>
      <c r="J151" s="183"/>
      <c r="K151" s="128"/>
      <c r="L151" s="129" t="s">
        <v>69</v>
      </c>
      <c r="M151" s="324">
        <v>45689.0</v>
      </c>
      <c r="N151" s="130" t="s">
        <v>34</v>
      </c>
      <c r="O151" s="309" t="s">
        <v>626</v>
      </c>
      <c r="P151" s="310" t="s">
        <v>71</v>
      </c>
      <c r="Q151" s="311" t="s">
        <v>72</v>
      </c>
      <c r="R151" s="199" t="s">
        <v>627</v>
      </c>
      <c r="S151" s="91">
        <v>532.0</v>
      </c>
    </row>
    <row r="152">
      <c r="A152" s="103" t="s">
        <v>628</v>
      </c>
      <c r="B152" s="147" t="s">
        <v>107</v>
      </c>
      <c r="C152" s="255" t="s">
        <v>108</v>
      </c>
      <c r="D152" s="225">
        <v>325.0</v>
      </c>
      <c r="E152" s="225">
        <v>20000.0</v>
      </c>
      <c r="F152" s="31">
        <f t="shared" si="9"/>
        <v>62</v>
      </c>
      <c r="G152" s="308">
        <f t="shared" si="8"/>
        <v>8.498365856</v>
      </c>
      <c r="H152" s="338"/>
      <c r="I152" s="270"/>
      <c r="J152" s="100"/>
      <c r="K152" s="128"/>
      <c r="L152" s="129" t="s">
        <v>69</v>
      </c>
      <c r="M152" s="324">
        <v>45689.0</v>
      </c>
      <c r="N152" s="130" t="s">
        <v>34</v>
      </c>
      <c r="O152" s="309" t="s">
        <v>629</v>
      </c>
      <c r="P152" s="145" t="s">
        <v>71</v>
      </c>
      <c r="Q152" s="206" t="s">
        <v>78</v>
      </c>
      <c r="R152" s="105" t="s">
        <v>630</v>
      </c>
      <c r="S152" s="91">
        <v>531.0</v>
      </c>
    </row>
    <row r="153">
      <c r="A153" s="75" t="s">
        <v>631</v>
      </c>
      <c r="B153" s="353" t="s">
        <v>90</v>
      </c>
      <c r="C153" s="354" t="s">
        <v>368</v>
      </c>
      <c r="D153" s="459">
        <v>175.0</v>
      </c>
      <c r="E153" s="459">
        <v>20000.0</v>
      </c>
      <c r="F153" s="31">
        <f t="shared" si="9"/>
        <v>115</v>
      </c>
      <c r="G153" s="347">
        <f t="shared" si="8"/>
        <v>6.236095645</v>
      </c>
      <c r="H153" s="348"/>
      <c r="I153" s="349">
        <v>82.7</v>
      </c>
      <c r="J153" s="350">
        <v>84.8</v>
      </c>
      <c r="K153" s="128">
        <v>8.9</v>
      </c>
      <c r="L153" s="129" t="s">
        <v>69</v>
      </c>
      <c r="M153" s="324">
        <v>45689.0</v>
      </c>
      <c r="N153" s="351" t="s">
        <v>34</v>
      </c>
      <c r="O153" s="352" t="s">
        <v>632</v>
      </c>
      <c r="P153" s="88" t="s">
        <v>71</v>
      </c>
      <c r="Q153" s="206" t="s">
        <v>37</v>
      </c>
      <c r="R153" s="105" t="s">
        <v>633</v>
      </c>
      <c r="S153" s="91">
        <v>530.0</v>
      </c>
    </row>
    <row r="154">
      <c r="A154" s="103" t="s">
        <v>634</v>
      </c>
      <c r="B154" s="189" t="s">
        <v>167</v>
      </c>
      <c r="C154" s="255" t="s">
        <v>635</v>
      </c>
      <c r="D154" s="226">
        <v>16.0</v>
      </c>
      <c r="E154" s="225">
        <v>5700.0</v>
      </c>
      <c r="F154" s="97">
        <f t="shared" si="9"/>
        <v>357</v>
      </c>
      <c r="G154" s="110">
        <f t="shared" si="8"/>
        <v>1.006644591</v>
      </c>
      <c r="H154" s="100">
        <v>70.0</v>
      </c>
      <c r="I154" s="100">
        <v>42.4</v>
      </c>
      <c r="J154" s="263"/>
      <c r="K154" s="128"/>
      <c r="L154" s="129" t="s">
        <v>69</v>
      </c>
      <c r="M154" s="324">
        <v>45689.0</v>
      </c>
      <c r="N154" s="112" t="s">
        <v>34</v>
      </c>
      <c r="O154" s="131" t="s">
        <v>636</v>
      </c>
      <c r="P154" s="103" t="s">
        <v>36</v>
      </c>
      <c r="Q154" s="206"/>
      <c r="R154" s="105" t="s">
        <v>637</v>
      </c>
      <c r="S154" s="91">
        <v>529.0</v>
      </c>
    </row>
    <row r="155">
      <c r="A155" s="92" t="s">
        <v>638</v>
      </c>
      <c r="B155" s="306" t="s">
        <v>639</v>
      </c>
      <c r="C155" s="123"/>
      <c r="D155" s="95">
        <v>7.0</v>
      </c>
      <c r="E155" s="448">
        <v>2000.0</v>
      </c>
      <c r="F155" s="460">
        <f t="shared" si="9"/>
        <v>286</v>
      </c>
      <c r="G155" s="283">
        <f t="shared" si="8"/>
        <v>0.3944053189</v>
      </c>
      <c r="H155" s="127"/>
      <c r="I155" s="184"/>
      <c r="J155" s="127"/>
      <c r="K155" s="128"/>
      <c r="L155" s="129" t="s">
        <v>69</v>
      </c>
      <c r="M155" s="324">
        <v>45689.0</v>
      </c>
      <c r="N155" s="112" t="s">
        <v>28</v>
      </c>
      <c r="O155" s="131" t="s">
        <v>640</v>
      </c>
      <c r="P155" s="145" t="s">
        <v>71</v>
      </c>
      <c r="Q155" s="206"/>
      <c r="R155" s="207" t="s">
        <v>641</v>
      </c>
      <c r="S155" s="91">
        <v>528.0</v>
      </c>
    </row>
    <row r="156">
      <c r="A156" s="92" t="s">
        <v>642</v>
      </c>
      <c r="B156" s="306" t="s">
        <v>639</v>
      </c>
      <c r="C156" s="123"/>
      <c r="D156" s="95">
        <v>0.08</v>
      </c>
      <c r="E156" s="448">
        <v>1.0</v>
      </c>
      <c r="F156" s="460">
        <f t="shared" si="9"/>
        <v>13</v>
      </c>
      <c r="G156" s="283">
        <f t="shared" si="8"/>
        <v>0.0009428090416</v>
      </c>
      <c r="H156" s="127"/>
      <c r="I156" s="184"/>
      <c r="J156" s="127"/>
      <c r="K156" s="461"/>
      <c r="L156" s="462" t="s">
        <v>103</v>
      </c>
      <c r="M156" s="324">
        <v>45689.0</v>
      </c>
      <c r="N156" s="112" t="s">
        <v>28</v>
      </c>
      <c r="O156" s="131" t="s">
        <v>640</v>
      </c>
      <c r="P156" s="145" t="s">
        <v>71</v>
      </c>
      <c r="Q156" s="206"/>
      <c r="R156" s="207" t="s">
        <v>643</v>
      </c>
      <c r="S156" s="91">
        <v>527.0</v>
      </c>
    </row>
    <row r="157">
      <c r="A157" s="103" t="s">
        <v>644</v>
      </c>
      <c r="B157" s="147" t="s">
        <v>645</v>
      </c>
      <c r="C157" s="255" t="s">
        <v>646</v>
      </c>
      <c r="D157" s="302">
        <v>14.0</v>
      </c>
      <c r="E157" s="302">
        <v>20000.0</v>
      </c>
      <c r="F157" s="31">
        <f t="shared" si="9"/>
        <v>1429</v>
      </c>
      <c r="G157" s="463">
        <f t="shared" si="8"/>
        <v>1.763834207</v>
      </c>
      <c r="H157" s="270"/>
      <c r="I157" s="270"/>
      <c r="J157" s="270"/>
      <c r="K157" s="128"/>
      <c r="L157" s="129" t="s">
        <v>69</v>
      </c>
      <c r="M157" s="324">
        <v>45689.0</v>
      </c>
      <c r="N157" s="130" t="s">
        <v>34</v>
      </c>
      <c r="O157" s="259" t="s">
        <v>647</v>
      </c>
      <c r="P157" s="156" t="s">
        <v>71</v>
      </c>
      <c r="Q157" s="464"/>
      <c r="R157" s="103" t="s">
        <v>648</v>
      </c>
      <c r="S157" s="91">
        <v>526.0</v>
      </c>
    </row>
    <row r="158">
      <c r="A158" s="92" t="s">
        <v>649</v>
      </c>
      <c r="B158" s="306" t="s">
        <v>650</v>
      </c>
      <c r="C158" s="135" t="s">
        <v>651</v>
      </c>
      <c r="D158" s="95">
        <v>40.0</v>
      </c>
      <c r="E158" s="95">
        <v>8800.0</v>
      </c>
      <c r="F158" s="460">
        <f t="shared" si="9"/>
        <v>220</v>
      </c>
      <c r="G158" s="283">
        <f t="shared" si="8"/>
        <v>1.97765293</v>
      </c>
      <c r="H158" s="127"/>
      <c r="I158" s="184"/>
      <c r="J158" s="127"/>
      <c r="K158" s="461"/>
      <c r="L158" s="462" t="s">
        <v>103</v>
      </c>
      <c r="M158" s="324">
        <v>45689.0</v>
      </c>
      <c r="N158" s="86" t="s">
        <v>34</v>
      </c>
      <c r="O158" s="131" t="s">
        <v>651</v>
      </c>
      <c r="P158" s="145" t="s">
        <v>71</v>
      </c>
      <c r="Q158" s="206"/>
      <c r="R158" s="207" t="s">
        <v>652</v>
      </c>
      <c r="S158" s="91">
        <v>525.0</v>
      </c>
    </row>
    <row r="159">
      <c r="A159" s="92" t="s">
        <v>653</v>
      </c>
      <c r="B159" s="306" t="s">
        <v>654</v>
      </c>
      <c r="C159" s="135" t="s">
        <v>655</v>
      </c>
      <c r="D159" s="95">
        <v>685.0</v>
      </c>
      <c r="E159" s="95">
        <v>14800.0</v>
      </c>
      <c r="F159" s="460">
        <f t="shared" si="9"/>
        <v>22</v>
      </c>
      <c r="G159" s="283">
        <f t="shared" si="8"/>
        <v>10.61340871</v>
      </c>
      <c r="H159" s="127">
        <v>90.5</v>
      </c>
      <c r="I159" s="184"/>
      <c r="J159" s="127"/>
      <c r="K159" s="465">
        <v>8.6</v>
      </c>
      <c r="L159" s="129" t="s">
        <v>69</v>
      </c>
      <c r="M159" s="324">
        <v>45689.0</v>
      </c>
      <c r="N159" s="86" t="s">
        <v>34</v>
      </c>
      <c r="O159" s="131" t="s">
        <v>656</v>
      </c>
      <c r="P159" s="92" t="s">
        <v>36</v>
      </c>
      <c r="Q159" s="206" t="s">
        <v>78</v>
      </c>
      <c r="R159" s="207" t="s">
        <v>657</v>
      </c>
      <c r="S159" s="91">
        <v>524.0</v>
      </c>
    </row>
    <row r="160">
      <c r="A160" s="92" t="s">
        <v>658</v>
      </c>
      <c r="B160" s="189" t="s">
        <v>126</v>
      </c>
      <c r="C160" s="208" t="s">
        <v>127</v>
      </c>
      <c r="D160" s="191">
        <v>928.0</v>
      </c>
      <c r="E160" s="124">
        <v>36200.0</v>
      </c>
      <c r="F160" s="97">
        <f t="shared" si="9"/>
        <v>40</v>
      </c>
      <c r="G160" s="98">
        <f t="shared" si="8"/>
        <v>19.3199954</v>
      </c>
      <c r="H160" s="183"/>
      <c r="I160" s="184">
        <v>79.9</v>
      </c>
      <c r="J160" s="184">
        <v>84.6</v>
      </c>
      <c r="K160" s="128"/>
      <c r="L160" s="129" t="s">
        <v>69</v>
      </c>
      <c r="M160" s="324">
        <v>45689.0</v>
      </c>
      <c r="N160" s="86" t="s">
        <v>34</v>
      </c>
      <c r="O160" s="203" t="s">
        <v>659</v>
      </c>
      <c r="P160" s="192" t="s">
        <v>36</v>
      </c>
      <c r="Q160" s="206" t="s">
        <v>37</v>
      </c>
      <c r="R160" s="105" t="s">
        <v>660</v>
      </c>
      <c r="S160" s="91">
        <v>523.0</v>
      </c>
    </row>
    <row r="161">
      <c r="A161" s="136" t="s">
        <v>661</v>
      </c>
      <c r="B161" s="284" t="s">
        <v>269</v>
      </c>
      <c r="C161" s="218" t="s">
        <v>662</v>
      </c>
      <c r="D161" s="138">
        <v>24.0</v>
      </c>
      <c r="E161" s="387">
        <v>8000.0</v>
      </c>
      <c r="F161" s="31">
        <f t="shared" si="9"/>
        <v>334</v>
      </c>
      <c r="G161" s="308">
        <f t="shared" si="8"/>
        <v>1.460593487</v>
      </c>
      <c r="H161" s="466">
        <v>81.0</v>
      </c>
      <c r="I161" s="467"/>
      <c r="J161" s="468"/>
      <c r="K161" s="83"/>
      <c r="L161" s="195" t="s">
        <v>132</v>
      </c>
      <c r="M161" s="324">
        <v>45689.0</v>
      </c>
      <c r="N161" s="112" t="s">
        <v>34</v>
      </c>
      <c r="O161" s="230" t="s">
        <v>663</v>
      </c>
      <c r="P161" s="145" t="s">
        <v>71</v>
      </c>
      <c r="Q161" s="325"/>
      <c r="R161" s="375" t="s">
        <v>664</v>
      </c>
      <c r="S161" s="91">
        <v>522.0</v>
      </c>
    </row>
    <row r="162">
      <c r="A162" s="136" t="s">
        <v>665</v>
      </c>
      <c r="B162" s="146" t="s">
        <v>666</v>
      </c>
      <c r="C162" s="218" t="s">
        <v>667</v>
      </c>
      <c r="D162" s="225">
        <v>40.0</v>
      </c>
      <c r="E162" s="225">
        <v>9000.0</v>
      </c>
      <c r="F162" s="227">
        <f t="shared" si="9"/>
        <v>225</v>
      </c>
      <c r="G162" s="228">
        <f t="shared" si="8"/>
        <v>2</v>
      </c>
      <c r="H162" s="469"/>
      <c r="I162" s="444"/>
      <c r="J162" s="127"/>
      <c r="K162" s="83"/>
      <c r="L162" s="195" t="s">
        <v>132</v>
      </c>
      <c r="M162" s="324">
        <v>45689.0</v>
      </c>
      <c r="N162" s="112" t="s">
        <v>34</v>
      </c>
      <c r="O162" s="223" t="s">
        <v>668</v>
      </c>
      <c r="P162" s="224" t="s">
        <v>71</v>
      </c>
      <c r="Q162" s="206"/>
      <c r="R162" s="207" t="s">
        <v>669</v>
      </c>
      <c r="S162" s="91">
        <v>521.0</v>
      </c>
    </row>
    <row r="163">
      <c r="A163" s="136" t="s">
        <v>670</v>
      </c>
      <c r="B163" s="224" t="s">
        <v>185</v>
      </c>
      <c r="C163" s="218" t="s">
        <v>671</v>
      </c>
      <c r="D163" s="225">
        <v>8.0</v>
      </c>
      <c r="E163" s="225">
        <v>15200.0</v>
      </c>
      <c r="F163" s="227">
        <f t="shared" si="9"/>
        <v>1900</v>
      </c>
      <c r="G163" s="228">
        <f t="shared" si="8"/>
        <v>1.162373052</v>
      </c>
      <c r="H163" s="469"/>
      <c r="I163" s="444"/>
      <c r="J163" s="127">
        <v>38.0</v>
      </c>
      <c r="K163" s="128"/>
      <c r="L163" s="129" t="s">
        <v>69</v>
      </c>
      <c r="M163" s="324">
        <v>45689.0</v>
      </c>
      <c r="N163" s="112" t="s">
        <v>34</v>
      </c>
      <c r="O163" s="223" t="s">
        <v>671</v>
      </c>
      <c r="P163" s="224" t="s">
        <v>71</v>
      </c>
      <c r="Q163" s="206" t="s">
        <v>78</v>
      </c>
      <c r="R163" s="105" t="s">
        <v>672</v>
      </c>
      <c r="S163" s="91">
        <v>520.0</v>
      </c>
    </row>
    <row r="164">
      <c r="A164" s="136" t="s">
        <v>673</v>
      </c>
      <c r="B164" s="147" t="s">
        <v>228</v>
      </c>
      <c r="C164" s="248" t="s">
        <v>674</v>
      </c>
      <c r="D164" s="249">
        <v>32.0</v>
      </c>
      <c r="E164" s="96">
        <v>4000.0</v>
      </c>
      <c r="F164" s="31">
        <f t="shared" si="9"/>
        <v>125</v>
      </c>
      <c r="G164" s="110">
        <f t="shared" si="8"/>
        <v>1.192569588</v>
      </c>
      <c r="H164" s="250"/>
      <c r="I164" s="184"/>
      <c r="J164" s="251"/>
      <c r="K164" s="128"/>
      <c r="L164" s="129" t="s">
        <v>69</v>
      </c>
      <c r="M164" s="324">
        <v>45689.0</v>
      </c>
      <c r="N164" s="112" t="s">
        <v>34</v>
      </c>
      <c r="O164" s="223" t="s">
        <v>675</v>
      </c>
      <c r="P164" s="145" t="s">
        <v>71</v>
      </c>
      <c r="Q164" s="206" t="s">
        <v>78</v>
      </c>
      <c r="R164" s="207" t="s">
        <v>676</v>
      </c>
      <c r="S164" s="91">
        <v>519.0</v>
      </c>
    </row>
    <row r="165">
      <c r="A165" s="92" t="s">
        <v>677</v>
      </c>
      <c r="B165" s="122" t="s">
        <v>45</v>
      </c>
      <c r="C165" s="135" t="s">
        <v>539</v>
      </c>
      <c r="D165" s="124">
        <v>200.0</v>
      </c>
      <c r="E165" s="124">
        <v>20000.0</v>
      </c>
      <c r="F165" s="97">
        <f t="shared" si="9"/>
        <v>100</v>
      </c>
      <c r="G165" s="125">
        <f t="shared" si="8"/>
        <v>6.666666667</v>
      </c>
      <c r="H165" s="127"/>
      <c r="I165" s="127">
        <v>79.1</v>
      </c>
      <c r="J165" s="127">
        <v>64.7</v>
      </c>
      <c r="K165" s="128"/>
      <c r="L165" s="129" t="s">
        <v>69</v>
      </c>
      <c r="M165" s="324">
        <v>45689.0</v>
      </c>
      <c r="N165" s="86" t="s">
        <v>34</v>
      </c>
      <c r="O165" s="131" t="s">
        <v>678</v>
      </c>
      <c r="P165" s="132" t="s">
        <v>36</v>
      </c>
      <c r="Q165" s="133"/>
      <c r="R165" s="419" t="s">
        <v>679</v>
      </c>
      <c r="S165" s="91">
        <v>518.0</v>
      </c>
    </row>
    <row r="166">
      <c r="A166" s="92" t="s">
        <v>680</v>
      </c>
      <c r="B166" s="179" t="s">
        <v>681</v>
      </c>
      <c r="C166" s="203" t="s">
        <v>682</v>
      </c>
      <c r="D166" s="470">
        <v>32.0</v>
      </c>
      <c r="E166" s="470">
        <v>18000.0</v>
      </c>
      <c r="F166" s="471">
        <f t="shared" si="9"/>
        <v>563</v>
      </c>
      <c r="G166" s="472">
        <f t="shared" si="8"/>
        <v>2.529822128</v>
      </c>
      <c r="H166" s="127"/>
      <c r="I166" s="183"/>
      <c r="J166" s="127">
        <v>59.6</v>
      </c>
      <c r="K166" s="128"/>
      <c r="L166" s="129" t="s">
        <v>69</v>
      </c>
      <c r="M166" s="324">
        <v>45689.0</v>
      </c>
      <c r="N166" s="473" t="s">
        <v>34</v>
      </c>
      <c r="O166" s="474" t="s">
        <v>683</v>
      </c>
      <c r="P166" s="197" t="s">
        <v>71</v>
      </c>
      <c r="Q166" s="206" t="s">
        <v>78</v>
      </c>
      <c r="R166" s="207" t="s">
        <v>684</v>
      </c>
      <c r="S166" s="91">
        <v>517.0</v>
      </c>
    </row>
    <row r="167">
      <c r="A167" s="92" t="s">
        <v>685</v>
      </c>
      <c r="B167" s="61" t="s">
        <v>50</v>
      </c>
      <c r="C167" s="203" t="s">
        <v>686</v>
      </c>
      <c r="D167" s="362">
        <v>20.0</v>
      </c>
      <c r="E167" s="362">
        <v>13000.0</v>
      </c>
      <c r="F167" s="471">
        <f t="shared" si="9"/>
        <v>650</v>
      </c>
      <c r="G167" s="472">
        <f t="shared" si="8"/>
        <v>1.699673171</v>
      </c>
      <c r="H167" s="127"/>
      <c r="I167" s="183"/>
      <c r="J167" s="258">
        <v>77.0</v>
      </c>
      <c r="K167" s="128">
        <v>14.0</v>
      </c>
      <c r="L167" s="129" t="s">
        <v>69</v>
      </c>
      <c r="M167" s="85">
        <v>45658.0</v>
      </c>
      <c r="N167" s="473" t="s">
        <v>34</v>
      </c>
      <c r="O167" s="474" t="s">
        <v>687</v>
      </c>
      <c r="P167" s="475" t="s">
        <v>71</v>
      </c>
      <c r="Q167" s="206" t="s">
        <v>78</v>
      </c>
      <c r="R167" s="207" t="s">
        <v>688</v>
      </c>
      <c r="S167" s="91">
        <v>516.0</v>
      </c>
    </row>
    <row r="168">
      <c r="A168" s="103" t="s">
        <v>689</v>
      </c>
      <c r="B168" s="284" t="s">
        <v>269</v>
      </c>
      <c r="C168" s="255" t="s">
        <v>690</v>
      </c>
      <c r="D168" s="226">
        <v>24.0</v>
      </c>
      <c r="E168" s="226">
        <v>8000.0</v>
      </c>
      <c r="F168" s="139">
        <f t="shared" si="9"/>
        <v>334</v>
      </c>
      <c r="G168" s="256">
        <f t="shared" si="8"/>
        <v>1.460593487</v>
      </c>
      <c r="H168" s="257">
        <v>80.73</v>
      </c>
      <c r="I168" s="100">
        <v>54.37</v>
      </c>
      <c r="J168" s="258">
        <v>45.3</v>
      </c>
      <c r="K168" s="83"/>
      <c r="L168" s="195" t="s">
        <v>132</v>
      </c>
      <c r="M168" s="85">
        <v>45658.0</v>
      </c>
      <c r="N168" s="130" t="s">
        <v>34</v>
      </c>
      <c r="O168" s="389" t="s">
        <v>690</v>
      </c>
      <c r="P168" s="156" t="s">
        <v>71</v>
      </c>
      <c r="Q168" s="447"/>
      <c r="R168" s="289" t="s">
        <v>691</v>
      </c>
      <c r="S168" s="91">
        <v>515.0</v>
      </c>
    </row>
    <row r="169">
      <c r="A169" s="103" t="s">
        <v>692</v>
      </c>
      <c r="B169" s="268" t="s">
        <v>252</v>
      </c>
      <c r="C169" s="476" t="s">
        <v>693</v>
      </c>
      <c r="D169" s="226">
        <v>405.0</v>
      </c>
      <c r="E169" s="226">
        <v>15600.0</v>
      </c>
      <c r="F169" s="31">
        <f t="shared" si="9"/>
        <v>39</v>
      </c>
      <c r="G169" s="477">
        <f t="shared" si="8"/>
        <v>8.378544026</v>
      </c>
      <c r="H169" s="478">
        <v>87.0</v>
      </c>
      <c r="I169" s="479"/>
      <c r="J169" s="468"/>
      <c r="K169" s="128"/>
      <c r="L169" s="129" t="s">
        <v>69</v>
      </c>
      <c r="M169" s="85">
        <v>45658.0</v>
      </c>
      <c r="N169" s="130" t="s">
        <v>34</v>
      </c>
      <c r="O169" s="389" t="s">
        <v>694</v>
      </c>
      <c r="P169" s="156" t="s">
        <v>71</v>
      </c>
      <c r="Q169" s="272"/>
      <c r="R169" s="158" t="s">
        <v>695</v>
      </c>
      <c r="S169" s="91">
        <v>514.0</v>
      </c>
    </row>
    <row r="170">
      <c r="A170" s="136" t="s">
        <v>696</v>
      </c>
      <c r="B170" s="147" t="s">
        <v>107</v>
      </c>
      <c r="C170" s="248" t="s">
        <v>697</v>
      </c>
      <c r="D170" s="225">
        <v>325.0</v>
      </c>
      <c r="E170" s="225">
        <v>20000.0</v>
      </c>
      <c r="F170" s="139">
        <f t="shared" si="9"/>
        <v>62</v>
      </c>
      <c r="G170" s="262">
        <f t="shared" si="8"/>
        <v>8.498365856</v>
      </c>
      <c r="H170" s="100">
        <v>87.9</v>
      </c>
      <c r="I170" s="100">
        <v>69.0</v>
      </c>
      <c r="J170" s="258">
        <v>60.1</v>
      </c>
      <c r="K170" s="128"/>
      <c r="L170" s="129" t="s">
        <v>69</v>
      </c>
      <c r="M170" s="85">
        <v>45658.0</v>
      </c>
      <c r="N170" s="112" t="s">
        <v>34</v>
      </c>
      <c r="O170" s="267" t="s">
        <v>698</v>
      </c>
      <c r="P170" s="103" t="s">
        <v>36</v>
      </c>
      <c r="Q170" s="247"/>
      <c r="R170" s="264" t="s">
        <v>699</v>
      </c>
      <c r="S170" s="91">
        <v>513.0</v>
      </c>
    </row>
    <row r="171">
      <c r="A171" s="136" t="s">
        <v>700</v>
      </c>
      <c r="B171" s="224" t="s">
        <v>701</v>
      </c>
      <c r="C171" s="218" t="s">
        <v>702</v>
      </c>
      <c r="D171" s="225">
        <v>6.5</v>
      </c>
      <c r="E171" s="225">
        <v>1500.0</v>
      </c>
      <c r="F171" s="313">
        <f t="shared" si="9"/>
        <v>231</v>
      </c>
      <c r="G171" s="480">
        <f t="shared" si="8"/>
        <v>0.3291402943</v>
      </c>
      <c r="H171" s="100">
        <v>50.6</v>
      </c>
      <c r="I171" s="444"/>
      <c r="J171" s="444"/>
      <c r="K171" s="83"/>
      <c r="L171" s="195" t="s">
        <v>132</v>
      </c>
      <c r="M171" s="85">
        <v>45658.0</v>
      </c>
      <c r="N171" s="112" t="s">
        <v>34</v>
      </c>
      <c r="O171" s="230" t="s">
        <v>703</v>
      </c>
      <c r="P171" s="103" t="s">
        <v>71</v>
      </c>
      <c r="Q171" s="481"/>
      <c r="R171" s="136" t="s">
        <v>704</v>
      </c>
      <c r="S171" s="91">
        <v>512.0</v>
      </c>
    </row>
    <row r="172">
      <c r="A172" s="103" t="s">
        <v>705</v>
      </c>
      <c r="B172" s="147" t="s">
        <v>480</v>
      </c>
      <c r="C172" s="255" t="s">
        <v>706</v>
      </c>
      <c r="D172" s="226">
        <v>72.0</v>
      </c>
      <c r="E172" s="220">
        <v>9000.0</v>
      </c>
      <c r="F172" s="227">
        <f t="shared" si="9"/>
        <v>125</v>
      </c>
      <c r="G172" s="482">
        <f t="shared" si="8"/>
        <v>2.683281573</v>
      </c>
      <c r="H172" s="100"/>
      <c r="I172" s="100"/>
      <c r="J172" s="100"/>
      <c r="K172" s="128"/>
      <c r="L172" s="129" t="s">
        <v>69</v>
      </c>
      <c r="M172" s="85">
        <v>45658.0</v>
      </c>
      <c r="N172" s="112" t="s">
        <v>34</v>
      </c>
      <c r="O172" s="259" t="s">
        <v>707</v>
      </c>
      <c r="P172" s="103" t="s">
        <v>71</v>
      </c>
      <c r="Q172" s="206"/>
      <c r="R172" s="207" t="s">
        <v>708</v>
      </c>
      <c r="S172" s="91">
        <v>511.0</v>
      </c>
    </row>
    <row r="173">
      <c r="A173" s="103" t="s">
        <v>709</v>
      </c>
      <c r="B173" s="147" t="s">
        <v>480</v>
      </c>
      <c r="C173" s="255" t="s">
        <v>710</v>
      </c>
      <c r="D173" s="220">
        <v>300.0</v>
      </c>
      <c r="E173" s="226">
        <v>9000.0</v>
      </c>
      <c r="F173" s="227">
        <f t="shared" si="9"/>
        <v>30</v>
      </c>
      <c r="G173" s="482">
        <f t="shared" si="8"/>
        <v>5.477225575</v>
      </c>
      <c r="H173" s="100">
        <v>88.6</v>
      </c>
      <c r="I173" s="100">
        <v>80.1</v>
      </c>
      <c r="J173" s="100">
        <v>65.0</v>
      </c>
      <c r="K173" s="128"/>
      <c r="L173" s="129" t="s">
        <v>69</v>
      </c>
      <c r="M173" s="85">
        <v>45658.0</v>
      </c>
      <c r="N173" s="112" t="s">
        <v>34</v>
      </c>
      <c r="O173" s="259" t="s">
        <v>711</v>
      </c>
      <c r="P173" s="103" t="s">
        <v>36</v>
      </c>
      <c r="Q173" s="206" t="s">
        <v>78</v>
      </c>
      <c r="R173" s="207" t="s">
        <v>712</v>
      </c>
      <c r="S173" s="91">
        <v>510.0</v>
      </c>
    </row>
    <row r="174">
      <c r="A174" s="103" t="s">
        <v>713</v>
      </c>
      <c r="B174" s="189" t="s">
        <v>167</v>
      </c>
      <c r="C174" s="255" t="s">
        <v>714</v>
      </c>
      <c r="D174" s="220">
        <v>500.0</v>
      </c>
      <c r="E174" s="219">
        <v>15000.0</v>
      </c>
      <c r="F174" s="97">
        <f t="shared" si="9"/>
        <v>30</v>
      </c>
      <c r="G174" s="110">
        <f t="shared" si="8"/>
        <v>9.128709292</v>
      </c>
      <c r="H174" s="100">
        <v>87.4</v>
      </c>
      <c r="I174" s="117"/>
      <c r="J174" s="263">
        <v>51.5</v>
      </c>
      <c r="K174" s="128"/>
      <c r="L174" s="129" t="s">
        <v>69</v>
      </c>
      <c r="M174" s="324">
        <v>45658.0</v>
      </c>
      <c r="N174" s="112" t="s">
        <v>34</v>
      </c>
      <c r="O174" s="474" t="s">
        <v>715</v>
      </c>
      <c r="P174" s="103" t="s">
        <v>71</v>
      </c>
      <c r="Q174" s="206" t="s">
        <v>78</v>
      </c>
      <c r="R174" s="207" t="s">
        <v>716</v>
      </c>
      <c r="S174" s="91">
        <v>509.0</v>
      </c>
    </row>
    <row r="175">
      <c r="A175" s="92" t="s">
        <v>717</v>
      </c>
      <c r="B175" s="93" t="s">
        <v>32</v>
      </c>
      <c r="C175" s="135" t="s">
        <v>356</v>
      </c>
      <c r="D175" s="448">
        <v>685.0</v>
      </c>
      <c r="E175" s="448">
        <v>14800.0</v>
      </c>
      <c r="F175" s="97">
        <v>22.0</v>
      </c>
      <c r="G175" s="125">
        <f t="shared" si="8"/>
        <v>10.61340871</v>
      </c>
      <c r="H175" s="127">
        <v>90.8</v>
      </c>
      <c r="I175" s="184">
        <v>84.0</v>
      </c>
      <c r="J175" s="127">
        <v>71.5</v>
      </c>
      <c r="K175" s="83">
        <v>8.6</v>
      </c>
      <c r="L175" s="195" t="s">
        <v>132</v>
      </c>
      <c r="M175" s="324">
        <v>45658.0</v>
      </c>
      <c r="N175" s="86" t="s">
        <v>34</v>
      </c>
      <c r="O175" s="131" t="s">
        <v>718</v>
      </c>
      <c r="P175" s="92" t="s">
        <v>36</v>
      </c>
      <c r="Q175" s="206" t="s">
        <v>37</v>
      </c>
      <c r="R175" s="207" t="s">
        <v>719</v>
      </c>
      <c r="S175" s="91">
        <v>508.0</v>
      </c>
    </row>
    <row r="176">
      <c r="A176" s="136" t="s">
        <v>720</v>
      </c>
      <c r="B176" s="483" t="s">
        <v>50</v>
      </c>
      <c r="C176" s="266"/>
      <c r="D176" s="96">
        <v>8.0</v>
      </c>
      <c r="E176" s="96">
        <v>4000.0</v>
      </c>
      <c r="F176" s="31">
        <f t="shared" ref="F176:F223" si="10">IF(E176&lt;&gt;"", ROUNDUP(E176/D176,0),"")</f>
        <v>500</v>
      </c>
      <c r="G176" s="110">
        <f t="shared" si="8"/>
        <v>0.596284794</v>
      </c>
      <c r="H176" s="250"/>
      <c r="I176" s="484"/>
      <c r="J176" s="251"/>
      <c r="K176" s="461"/>
      <c r="L176" s="485" t="s">
        <v>103</v>
      </c>
      <c r="M176" s="324">
        <v>45658.0</v>
      </c>
      <c r="N176" s="112" t="s">
        <v>28</v>
      </c>
      <c r="O176" s="223" t="s">
        <v>721</v>
      </c>
      <c r="P176" s="136" t="s">
        <v>71</v>
      </c>
      <c r="Q176" s="252"/>
      <c r="R176" s="458" t="s">
        <v>722</v>
      </c>
      <c r="S176" s="91">
        <v>507.0</v>
      </c>
    </row>
    <row r="177">
      <c r="A177" s="136" t="s">
        <v>723</v>
      </c>
      <c r="B177" s="486" t="s">
        <v>724</v>
      </c>
      <c r="C177" s="248" t="s">
        <v>725</v>
      </c>
      <c r="D177" s="249">
        <v>2.0</v>
      </c>
      <c r="E177" s="249">
        <v>2500.0</v>
      </c>
      <c r="F177" s="31">
        <f t="shared" si="10"/>
        <v>1250</v>
      </c>
      <c r="G177" s="110">
        <f t="shared" si="8"/>
        <v>0.2357022604</v>
      </c>
      <c r="H177" s="250">
        <v>51.2</v>
      </c>
      <c r="I177" s="184"/>
      <c r="J177" s="251"/>
      <c r="K177" s="83"/>
      <c r="L177" s="195" t="s">
        <v>132</v>
      </c>
      <c r="M177" s="324">
        <v>45658.0</v>
      </c>
      <c r="N177" s="112" t="s">
        <v>34</v>
      </c>
      <c r="O177" s="223" t="s">
        <v>726</v>
      </c>
      <c r="P177" s="145" t="s">
        <v>71</v>
      </c>
      <c r="Q177" s="252"/>
      <c r="R177" s="253" t="s">
        <v>727</v>
      </c>
      <c r="S177" s="91">
        <v>506.0</v>
      </c>
    </row>
    <row r="178">
      <c r="A178" s="136" t="s">
        <v>728</v>
      </c>
      <c r="B178" s="147" t="s">
        <v>228</v>
      </c>
      <c r="C178" s="248" t="s">
        <v>729</v>
      </c>
      <c r="D178" s="249">
        <v>8.0</v>
      </c>
      <c r="E178" s="249">
        <v>4000.0</v>
      </c>
      <c r="F178" s="31">
        <f t="shared" si="10"/>
        <v>500</v>
      </c>
      <c r="G178" s="110">
        <f t="shared" si="8"/>
        <v>0.596284794</v>
      </c>
      <c r="H178" s="250">
        <v>76.6</v>
      </c>
      <c r="I178" s="184">
        <v>57.6</v>
      </c>
      <c r="J178" s="251">
        <v>37.4</v>
      </c>
      <c r="K178" s="83"/>
      <c r="L178" s="195" t="s">
        <v>132</v>
      </c>
      <c r="M178" s="324">
        <v>45658.0</v>
      </c>
      <c r="N178" s="112" t="s">
        <v>34</v>
      </c>
      <c r="O178" s="230" t="s">
        <v>729</v>
      </c>
      <c r="P178" s="145" t="s">
        <v>71</v>
      </c>
      <c r="Q178" s="252"/>
      <c r="R178" s="458" t="s">
        <v>730</v>
      </c>
      <c r="S178" s="91">
        <v>505.0</v>
      </c>
    </row>
    <row r="179">
      <c r="A179" s="92" t="s">
        <v>731</v>
      </c>
      <c r="B179" s="115" t="s">
        <v>325</v>
      </c>
      <c r="C179" s="307" t="s">
        <v>732</v>
      </c>
      <c r="D179" s="194">
        <v>456.0</v>
      </c>
      <c r="E179" s="362">
        <v>7200.0</v>
      </c>
      <c r="F179" s="97">
        <f t="shared" si="10"/>
        <v>16</v>
      </c>
      <c r="G179" s="110">
        <f t="shared" si="8"/>
        <v>6.039867548</v>
      </c>
      <c r="H179" s="184">
        <v>88.5</v>
      </c>
      <c r="I179" s="184">
        <v>75.7</v>
      </c>
      <c r="J179" s="184">
        <v>54.4</v>
      </c>
      <c r="K179" s="83"/>
      <c r="L179" s="195" t="s">
        <v>132</v>
      </c>
      <c r="M179" s="324">
        <v>45658.0</v>
      </c>
      <c r="N179" s="86" t="s">
        <v>34</v>
      </c>
      <c r="O179" s="203" t="s">
        <v>733</v>
      </c>
      <c r="P179" s="188" t="s">
        <v>36</v>
      </c>
      <c r="Q179" s="133"/>
      <c r="R179" s="241" t="s">
        <v>734</v>
      </c>
      <c r="S179" s="91">
        <v>504.0</v>
      </c>
    </row>
    <row r="180">
      <c r="A180" s="92" t="s">
        <v>735</v>
      </c>
      <c r="B180" s="487" t="s">
        <v>736</v>
      </c>
      <c r="C180" s="307" t="s">
        <v>737</v>
      </c>
      <c r="D180" s="194">
        <v>32.0</v>
      </c>
      <c r="E180" s="470">
        <v>18000.0</v>
      </c>
      <c r="F180" s="97">
        <f t="shared" si="10"/>
        <v>563</v>
      </c>
      <c r="G180" s="110">
        <f t="shared" si="8"/>
        <v>2.529822128</v>
      </c>
      <c r="H180" s="184"/>
      <c r="I180" s="184"/>
      <c r="J180" s="184">
        <v>56.8</v>
      </c>
      <c r="K180" s="128"/>
      <c r="L180" s="129" t="s">
        <v>69</v>
      </c>
      <c r="M180" s="324">
        <v>45658.0</v>
      </c>
      <c r="N180" s="86" t="s">
        <v>34</v>
      </c>
      <c r="O180" s="203" t="s">
        <v>738</v>
      </c>
      <c r="P180" s="188" t="s">
        <v>71</v>
      </c>
      <c r="Q180" s="133"/>
      <c r="R180" s="188" t="s">
        <v>739</v>
      </c>
      <c r="S180" s="91">
        <v>503.0</v>
      </c>
    </row>
    <row r="181">
      <c r="A181" s="92" t="s">
        <v>740</v>
      </c>
      <c r="B181" s="229" t="s">
        <v>190</v>
      </c>
      <c r="C181" s="307" t="s">
        <v>741</v>
      </c>
      <c r="D181" s="194">
        <v>34.0</v>
      </c>
      <c r="E181" s="488">
        <v>400000.0</v>
      </c>
      <c r="F181" s="97">
        <f t="shared" si="10"/>
        <v>11765</v>
      </c>
      <c r="G181" s="110">
        <f t="shared" si="8"/>
        <v>12.29272594</v>
      </c>
      <c r="H181" s="184"/>
      <c r="I181" s="184"/>
      <c r="J181" s="184"/>
      <c r="K181" s="461"/>
      <c r="L181" s="485" t="s">
        <v>103</v>
      </c>
      <c r="M181" s="324">
        <v>45658.0</v>
      </c>
      <c r="N181" s="86" t="s">
        <v>34</v>
      </c>
      <c r="O181" s="203" t="s">
        <v>742</v>
      </c>
      <c r="P181" s="188" t="s">
        <v>71</v>
      </c>
      <c r="Q181" s="133"/>
      <c r="R181" s="241" t="s">
        <v>743</v>
      </c>
      <c r="S181" s="91">
        <v>502.0</v>
      </c>
    </row>
    <row r="182">
      <c r="A182" s="92" t="s">
        <v>744</v>
      </c>
      <c r="B182" s="229" t="s">
        <v>190</v>
      </c>
      <c r="C182" s="307" t="s">
        <v>745</v>
      </c>
      <c r="D182" s="194">
        <v>14.0</v>
      </c>
      <c r="E182" s="488">
        <v>400000.0</v>
      </c>
      <c r="F182" s="97">
        <f t="shared" si="10"/>
        <v>28572</v>
      </c>
      <c r="G182" s="110">
        <f t="shared" si="8"/>
        <v>7.888106377</v>
      </c>
      <c r="H182" s="184"/>
      <c r="I182" s="184"/>
      <c r="J182" s="184"/>
      <c r="K182" s="461"/>
      <c r="L182" s="485" t="s">
        <v>103</v>
      </c>
      <c r="M182" s="324">
        <v>45658.0</v>
      </c>
      <c r="N182" s="86" t="s">
        <v>34</v>
      </c>
      <c r="O182" s="203" t="s">
        <v>742</v>
      </c>
      <c r="P182" s="188" t="s">
        <v>71</v>
      </c>
      <c r="Q182" s="133"/>
      <c r="R182" s="241" t="s">
        <v>746</v>
      </c>
      <c r="S182" s="91">
        <v>501.0</v>
      </c>
    </row>
    <row r="183">
      <c r="A183" s="92" t="s">
        <v>747</v>
      </c>
      <c r="B183" s="179" t="s">
        <v>400</v>
      </c>
      <c r="C183" s="307" t="s">
        <v>748</v>
      </c>
      <c r="D183" s="194">
        <v>7.0</v>
      </c>
      <c r="E183" s="194">
        <v>370.0</v>
      </c>
      <c r="F183" s="97">
        <f t="shared" si="10"/>
        <v>53</v>
      </c>
      <c r="G183" s="110">
        <f t="shared" si="8"/>
        <v>0.169640142</v>
      </c>
      <c r="H183" s="184"/>
      <c r="I183" s="184"/>
      <c r="J183" s="184"/>
      <c r="K183" s="461"/>
      <c r="L183" s="485" t="s">
        <v>103</v>
      </c>
      <c r="M183" s="324">
        <v>45658.0</v>
      </c>
      <c r="N183" s="86" t="s">
        <v>34</v>
      </c>
      <c r="O183" s="203" t="s">
        <v>749</v>
      </c>
      <c r="P183" s="188" t="s">
        <v>71</v>
      </c>
      <c r="Q183" s="133"/>
      <c r="R183" s="188" t="s">
        <v>750</v>
      </c>
      <c r="S183" s="91">
        <v>500.0</v>
      </c>
    </row>
    <row r="184">
      <c r="A184" s="489" t="s">
        <v>751</v>
      </c>
      <c r="B184" s="490" t="s">
        <v>752</v>
      </c>
      <c r="C184" s="491" t="s">
        <v>753</v>
      </c>
      <c r="D184" s="492">
        <v>405.0</v>
      </c>
      <c r="E184" s="492">
        <v>15000.0</v>
      </c>
      <c r="F184" s="493">
        <f t="shared" si="10"/>
        <v>38</v>
      </c>
      <c r="G184" s="494">
        <f t="shared" si="8"/>
        <v>8.215838363</v>
      </c>
      <c r="H184" s="495">
        <v>90.15</v>
      </c>
      <c r="I184" s="495">
        <v>73.1</v>
      </c>
      <c r="J184" s="495">
        <v>67.3</v>
      </c>
      <c r="K184" s="496"/>
      <c r="L184" s="497" t="s">
        <v>132</v>
      </c>
      <c r="M184" s="498">
        <v>45658.0</v>
      </c>
      <c r="N184" s="499" t="s">
        <v>34</v>
      </c>
      <c r="O184" s="500" t="s">
        <v>754</v>
      </c>
      <c r="P184" s="489" t="s">
        <v>71</v>
      </c>
      <c r="Q184" s="501"/>
      <c r="R184" s="489" t="s">
        <v>755</v>
      </c>
      <c r="S184" s="91">
        <v>499.0</v>
      </c>
    </row>
    <row r="185">
      <c r="A185" s="136" t="s">
        <v>756</v>
      </c>
      <c r="B185" s="224" t="s">
        <v>757</v>
      </c>
      <c r="C185" s="218" t="s">
        <v>758</v>
      </c>
      <c r="D185" s="225">
        <v>2.4</v>
      </c>
      <c r="E185" s="225">
        <v>1080.0</v>
      </c>
      <c r="F185" s="31">
        <f t="shared" si="10"/>
        <v>450</v>
      </c>
      <c r="G185" s="502">
        <f t="shared" si="8"/>
        <v>0.1697056275</v>
      </c>
      <c r="H185" s="503">
        <v>51.79</v>
      </c>
      <c r="I185" s="444"/>
      <c r="J185" s="444"/>
      <c r="K185" s="83"/>
      <c r="L185" s="195" t="s">
        <v>132</v>
      </c>
      <c r="M185" s="324">
        <v>45627.0</v>
      </c>
      <c r="N185" s="112" t="s">
        <v>34</v>
      </c>
      <c r="O185" s="267" t="s">
        <v>759</v>
      </c>
      <c r="P185" s="145" t="s">
        <v>71</v>
      </c>
      <c r="Q185" s="481"/>
      <c r="R185" s="136" t="s">
        <v>760</v>
      </c>
      <c r="S185" s="91">
        <v>498.0</v>
      </c>
    </row>
    <row r="186">
      <c r="A186" s="92" t="s">
        <v>761</v>
      </c>
      <c r="B186" s="122" t="s">
        <v>32</v>
      </c>
      <c r="C186" s="135" t="s">
        <v>356</v>
      </c>
      <c r="D186" s="194">
        <v>685.0</v>
      </c>
      <c r="E186" s="194">
        <v>14800.0</v>
      </c>
      <c r="F186" s="471">
        <f t="shared" si="10"/>
        <v>22</v>
      </c>
      <c r="G186" s="125">
        <f t="shared" si="8"/>
        <v>10.61340871</v>
      </c>
      <c r="H186" s="127">
        <v>87.1</v>
      </c>
      <c r="I186" s="504">
        <v>64.4</v>
      </c>
      <c r="J186" s="127">
        <v>59.1</v>
      </c>
      <c r="K186" s="128"/>
      <c r="L186" s="129" t="s">
        <v>69</v>
      </c>
      <c r="M186" s="324">
        <v>45627.0</v>
      </c>
      <c r="N186" s="86" t="s">
        <v>34</v>
      </c>
      <c r="O186" s="474" t="s">
        <v>762</v>
      </c>
      <c r="P186" s="92" t="s">
        <v>36</v>
      </c>
      <c r="Q186" s="133" t="s">
        <v>52</v>
      </c>
      <c r="R186" s="419" t="s">
        <v>763</v>
      </c>
      <c r="S186" s="91">
        <v>497.0</v>
      </c>
    </row>
    <row r="187">
      <c r="A187" s="92" t="s">
        <v>764</v>
      </c>
      <c r="B187" s="505" t="s">
        <v>765</v>
      </c>
      <c r="C187" s="135" t="s">
        <v>766</v>
      </c>
      <c r="D187" s="194">
        <v>8.0</v>
      </c>
      <c r="E187" s="194">
        <v>15000.0</v>
      </c>
      <c r="F187" s="97">
        <f t="shared" si="10"/>
        <v>1875</v>
      </c>
      <c r="G187" s="125">
        <f t="shared" si="8"/>
        <v>1.154700538</v>
      </c>
      <c r="H187" s="127"/>
      <c r="I187" s="350"/>
      <c r="J187" s="127"/>
      <c r="K187" s="83"/>
      <c r="L187" s="195" t="s">
        <v>132</v>
      </c>
      <c r="M187" s="324">
        <v>45627.0</v>
      </c>
      <c r="N187" s="506" t="s">
        <v>28</v>
      </c>
      <c r="O187" s="474" t="s">
        <v>766</v>
      </c>
      <c r="P187" s="92" t="s">
        <v>71</v>
      </c>
      <c r="Q187" s="206"/>
      <c r="R187" s="207" t="s">
        <v>767</v>
      </c>
      <c r="S187" s="91">
        <v>496.0</v>
      </c>
    </row>
    <row r="188">
      <c r="A188" s="92" t="s">
        <v>768</v>
      </c>
      <c r="B188" s="61" t="s">
        <v>50</v>
      </c>
      <c r="C188" s="203" t="s">
        <v>769</v>
      </c>
      <c r="D188" s="362">
        <v>600.0</v>
      </c>
      <c r="E188" s="362">
        <v>100000.0</v>
      </c>
      <c r="F188" s="471">
        <f t="shared" si="10"/>
        <v>167</v>
      </c>
      <c r="G188" s="472">
        <f t="shared" si="8"/>
        <v>25.81988897</v>
      </c>
      <c r="H188" s="127"/>
      <c r="I188" s="183"/>
      <c r="J188" s="127">
        <v>87.7</v>
      </c>
      <c r="K188" s="128"/>
      <c r="L188" s="129" t="s">
        <v>69</v>
      </c>
      <c r="M188" s="324">
        <v>45627.0</v>
      </c>
      <c r="N188" s="473" t="s">
        <v>34</v>
      </c>
      <c r="O188" s="474" t="s">
        <v>769</v>
      </c>
      <c r="P188" s="507" t="s">
        <v>36</v>
      </c>
      <c r="Q188" s="206" t="s">
        <v>37</v>
      </c>
      <c r="R188" s="207" t="s">
        <v>770</v>
      </c>
      <c r="S188" s="91">
        <v>495.0</v>
      </c>
    </row>
    <row r="189">
      <c r="A189" s="136" t="s">
        <v>771</v>
      </c>
      <c r="B189" s="189" t="s">
        <v>772</v>
      </c>
      <c r="C189" s="218" t="s">
        <v>773</v>
      </c>
      <c r="D189" s="249">
        <v>0.4</v>
      </c>
      <c r="E189" s="225">
        <v>332.0</v>
      </c>
      <c r="F189" s="31">
        <f t="shared" si="10"/>
        <v>830</v>
      </c>
      <c r="G189" s="508">
        <f t="shared" si="8"/>
        <v>0.03841296078</v>
      </c>
      <c r="H189" s="509"/>
      <c r="I189" s="509"/>
      <c r="J189" s="509"/>
      <c r="K189" s="83"/>
      <c r="L189" s="195" t="s">
        <v>132</v>
      </c>
      <c r="M189" s="324">
        <v>45627.0</v>
      </c>
      <c r="N189" s="112" t="s">
        <v>34</v>
      </c>
      <c r="O189" s="230" t="s">
        <v>773</v>
      </c>
      <c r="P189" s="145" t="s">
        <v>71</v>
      </c>
      <c r="Q189" s="510"/>
      <c r="R189" s="511" t="s">
        <v>774</v>
      </c>
      <c r="S189" s="91">
        <v>494.0</v>
      </c>
    </row>
    <row r="190">
      <c r="A190" s="136" t="s">
        <v>775</v>
      </c>
      <c r="B190" s="306" t="s">
        <v>776</v>
      </c>
      <c r="C190" s="248" t="s">
        <v>777</v>
      </c>
      <c r="D190" s="225">
        <v>0.395</v>
      </c>
      <c r="E190" s="225">
        <v>2000.0</v>
      </c>
      <c r="F190" s="31">
        <f t="shared" si="10"/>
        <v>5064</v>
      </c>
      <c r="G190" s="308">
        <f t="shared" si="8"/>
        <v>0.09368979548</v>
      </c>
      <c r="H190" s="512"/>
      <c r="I190" s="513"/>
      <c r="J190" s="513"/>
      <c r="K190" s="83"/>
      <c r="L190" s="195" t="s">
        <v>132</v>
      </c>
      <c r="M190" s="324">
        <v>45627.0</v>
      </c>
      <c r="N190" s="86" t="s">
        <v>34</v>
      </c>
      <c r="O190" s="514" t="s">
        <v>778</v>
      </c>
      <c r="P190" s="145" t="s">
        <v>71</v>
      </c>
      <c r="Q190" s="515"/>
      <c r="R190" s="299" t="s">
        <v>779</v>
      </c>
      <c r="S190" s="91">
        <v>493.0</v>
      </c>
    </row>
    <row r="191">
      <c r="A191" s="136" t="s">
        <v>780</v>
      </c>
      <c r="B191" s="224" t="s">
        <v>75</v>
      </c>
      <c r="C191" s="218" t="s">
        <v>781</v>
      </c>
      <c r="D191" s="435">
        <v>8.0</v>
      </c>
      <c r="E191" s="435">
        <v>12000.0</v>
      </c>
      <c r="F191" s="139">
        <f t="shared" si="10"/>
        <v>1500</v>
      </c>
      <c r="G191" s="442">
        <f t="shared" si="8"/>
        <v>1.032795559</v>
      </c>
      <c r="H191" s="516"/>
      <c r="I191" s="517"/>
      <c r="J191" s="518"/>
      <c r="K191" s="83"/>
      <c r="L191" s="195" t="s">
        <v>132</v>
      </c>
      <c r="M191" s="324">
        <v>45627.0</v>
      </c>
      <c r="N191" s="112" t="s">
        <v>34</v>
      </c>
      <c r="O191" s="230" t="s">
        <v>782</v>
      </c>
      <c r="P191" s="145" t="s">
        <v>71</v>
      </c>
      <c r="Q191" s="519"/>
      <c r="R191" s="145"/>
      <c r="S191" s="91">
        <v>492.0</v>
      </c>
    </row>
    <row r="192">
      <c r="A192" s="136" t="s">
        <v>783</v>
      </c>
      <c r="B192" s="486" t="s">
        <v>75</v>
      </c>
      <c r="C192" s="218" t="s">
        <v>784</v>
      </c>
      <c r="D192" s="225">
        <v>9.0</v>
      </c>
      <c r="E192" s="225">
        <v>2200.0</v>
      </c>
      <c r="F192" s="31">
        <f t="shared" si="10"/>
        <v>245</v>
      </c>
      <c r="G192" s="308">
        <f t="shared" si="8"/>
        <v>0.469041576</v>
      </c>
      <c r="H192" s="512">
        <v>60.77</v>
      </c>
      <c r="I192" s="513">
        <v>17.53</v>
      </c>
      <c r="J192" s="513">
        <v>4.14</v>
      </c>
      <c r="K192" s="83"/>
      <c r="L192" s="195" t="s">
        <v>132</v>
      </c>
      <c r="M192" s="324">
        <v>45627.0</v>
      </c>
      <c r="N192" s="86" t="s">
        <v>34</v>
      </c>
      <c r="O192" s="514" t="s">
        <v>784</v>
      </c>
      <c r="P192" s="145" t="s">
        <v>71</v>
      </c>
      <c r="Q192" s="520"/>
      <c r="R192" s="146" t="s">
        <v>785</v>
      </c>
      <c r="S192" s="91">
        <v>491.0</v>
      </c>
    </row>
    <row r="193">
      <c r="A193" s="92" t="s">
        <v>786</v>
      </c>
      <c r="B193" s="189" t="s">
        <v>50</v>
      </c>
      <c r="C193" s="135" t="s">
        <v>787</v>
      </c>
      <c r="D193" s="521">
        <v>200.0</v>
      </c>
      <c r="E193" s="449">
        <v>20000.0</v>
      </c>
      <c r="F193" s="97">
        <f t="shared" si="10"/>
        <v>100</v>
      </c>
      <c r="G193" s="308">
        <f t="shared" si="8"/>
        <v>6.666666667</v>
      </c>
      <c r="H193" s="127">
        <v>91.8</v>
      </c>
      <c r="I193" s="127"/>
      <c r="J193" s="127">
        <v>75.7</v>
      </c>
      <c r="K193" s="83">
        <v>8.8</v>
      </c>
      <c r="L193" s="195" t="s">
        <v>132</v>
      </c>
      <c r="M193" s="324">
        <v>45627.0</v>
      </c>
      <c r="N193" s="99" t="s">
        <v>28</v>
      </c>
      <c r="O193" s="135" t="s">
        <v>788</v>
      </c>
      <c r="P193" s="507" t="s">
        <v>36</v>
      </c>
      <c r="Q193" s="522"/>
      <c r="R193" s="92" t="s">
        <v>789</v>
      </c>
      <c r="S193" s="91">
        <v>490.0</v>
      </c>
    </row>
    <row r="194">
      <c r="A194" s="136" t="s">
        <v>790</v>
      </c>
      <c r="B194" s="189" t="s">
        <v>372</v>
      </c>
      <c r="C194" s="248" t="s">
        <v>791</v>
      </c>
      <c r="D194" s="225">
        <v>10.0</v>
      </c>
      <c r="E194" s="225">
        <v>16000.0</v>
      </c>
      <c r="F194" s="31">
        <f t="shared" si="10"/>
        <v>1600</v>
      </c>
      <c r="G194" s="308">
        <f t="shared" si="8"/>
        <v>1.333333333</v>
      </c>
      <c r="H194" s="513">
        <v>73.1</v>
      </c>
      <c r="I194" s="513">
        <v>42.5</v>
      </c>
      <c r="J194" s="513">
        <v>34.1</v>
      </c>
      <c r="K194" s="128"/>
      <c r="L194" s="129" t="s">
        <v>69</v>
      </c>
      <c r="M194" s="324">
        <v>45627.0</v>
      </c>
      <c r="N194" s="112" t="s">
        <v>34</v>
      </c>
      <c r="O194" s="514" t="s">
        <v>792</v>
      </c>
      <c r="P194" s="145" t="s">
        <v>71</v>
      </c>
      <c r="Q194" s="481"/>
      <c r="R194" s="136" t="s">
        <v>793</v>
      </c>
      <c r="S194" s="91">
        <v>489.0</v>
      </c>
    </row>
    <row r="195">
      <c r="A195" s="136" t="s">
        <v>794</v>
      </c>
      <c r="B195" s="179" t="s">
        <v>568</v>
      </c>
      <c r="C195" s="248" t="s">
        <v>795</v>
      </c>
      <c r="D195" s="225">
        <v>7.0</v>
      </c>
      <c r="E195" s="219">
        <v>2000.0</v>
      </c>
      <c r="F195" s="31">
        <f t="shared" si="10"/>
        <v>286</v>
      </c>
      <c r="G195" s="308">
        <f t="shared" si="8"/>
        <v>0.3944053189</v>
      </c>
      <c r="H195" s="513"/>
      <c r="I195" s="513">
        <v>28.5</v>
      </c>
      <c r="J195" s="513">
        <v>7.7</v>
      </c>
      <c r="K195" s="83"/>
      <c r="L195" s="195" t="s">
        <v>132</v>
      </c>
      <c r="M195" s="324">
        <v>45627.0</v>
      </c>
      <c r="N195" s="112" t="s">
        <v>34</v>
      </c>
      <c r="O195" s="514" t="s">
        <v>796</v>
      </c>
      <c r="P195" s="136" t="s">
        <v>71</v>
      </c>
      <c r="Q195" s="481"/>
      <c r="R195" s="136"/>
      <c r="S195" s="91">
        <v>488.0</v>
      </c>
    </row>
    <row r="196">
      <c r="A196" s="136" t="s">
        <v>797</v>
      </c>
      <c r="B196" s="179" t="s">
        <v>568</v>
      </c>
      <c r="C196" s="248" t="s">
        <v>798</v>
      </c>
      <c r="D196" s="225">
        <v>8.0</v>
      </c>
      <c r="E196" s="219">
        <v>4800.0</v>
      </c>
      <c r="F196" s="31">
        <f t="shared" si="10"/>
        <v>600</v>
      </c>
      <c r="G196" s="308">
        <f t="shared" si="8"/>
        <v>0.6531972647</v>
      </c>
      <c r="H196" s="513"/>
      <c r="I196" s="513"/>
      <c r="J196" s="513"/>
      <c r="K196" s="128"/>
      <c r="L196" s="129" t="s">
        <v>69</v>
      </c>
      <c r="M196" s="324">
        <v>45627.0</v>
      </c>
      <c r="N196" s="112" t="s">
        <v>34</v>
      </c>
      <c r="O196" s="514" t="s">
        <v>799</v>
      </c>
      <c r="P196" s="136" t="s">
        <v>71</v>
      </c>
      <c r="Q196" s="481"/>
      <c r="R196" s="136" t="s">
        <v>800</v>
      </c>
      <c r="S196" s="91">
        <v>487.0</v>
      </c>
    </row>
    <row r="197">
      <c r="A197" s="92" t="s">
        <v>801</v>
      </c>
      <c r="B197" s="122" t="s">
        <v>56</v>
      </c>
      <c r="C197" s="135" t="s">
        <v>802</v>
      </c>
      <c r="D197" s="194">
        <v>8.0</v>
      </c>
      <c r="E197" s="194">
        <v>4500.0</v>
      </c>
      <c r="F197" s="97">
        <f t="shared" si="10"/>
        <v>563</v>
      </c>
      <c r="G197" s="308">
        <f t="shared" si="8"/>
        <v>0.632455532</v>
      </c>
      <c r="H197" s="523">
        <v>57.4</v>
      </c>
      <c r="I197" s="523"/>
      <c r="J197" s="523"/>
      <c r="K197" s="83"/>
      <c r="L197" s="195" t="s">
        <v>132</v>
      </c>
      <c r="M197" s="324">
        <v>45627.0</v>
      </c>
      <c r="N197" s="86" t="s">
        <v>34</v>
      </c>
      <c r="O197" s="474" t="s">
        <v>803</v>
      </c>
      <c r="P197" s="197" t="s">
        <v>71</v>
      </c>
      <c r="Q197" s="133"/>
      <c r="R197" s="134" t="s">
        <v>804</v>
      </c>
      <c r="S197" s="91">
        <v>486.0</v>
      </c>
    </row>
    <row r="198">
      <c r="A198" s="92" t="s">
        <v>805</v>
      </c>
      <c r="B198" s="189" t="s">
        <v>56</v>
      </c>
      <c r="C198" s="135" t="s">
        <v>806</v>
      </c>
      <c r="D198" s="194">
        <v>7.0</v>
      </c>
      <c r="E198" s="194">
        <v>2700.0</v>
      </c>
      <c r="F198" s="97">
        <f t="shared" si="10"/>
        <v>386</v>
      </c>
      <c r="G198" s="308">
        <f t="shared" si="8"/>
        <v>0.4582575695</v>
      </c>
      <c r="H198" s="127"/>
      <c r="I198" s="127"/>
      <c r="J198" s="127"/>
      <c r="K198" s="83"/>
      <c r="L198" s="195" t="s">
        <v>132</v>
      </c>
      <c r="M198" s="324">
        <v>45627.0</v>
      </c>
      <c r="N198" s="86" t="s">
        <v>34</v>
      </c>
      <c r="O198" s="474" t="s">
        <v>807</v>
      </c>
      <c r="P198" s="197" t="s">
        <v>71</v>
      </c>
      <c r="Q198" s="522"/>
      <c r="R198" s="92" t="s">
        <v>808</v>
      </c>
      <c r="S198" s="91">
        <v>485.0</v>
      </c>
    </row>
    <row r="199">
      <c r="A199" s="92" t="s">
        <v>809</v>
      </c>
      <c r="B199" s="189" t="s">
        <v>177</v>
      </c>
      <c r="C199" s="135" t="s">
        <v>810</v>
      </c>
      <c r="D199" s="194">
        <v>14.0</v>
      </c>
      <c r="E199" s="194">
        <v>10000.0</v>
      </c>
      <c r="F199" s="97">
        <f t="shared" si="10"/>
        <v>715</v>
      </c>
      <c r="G199" s="125">
        <f t="shared" si="8"/>
        <v>1.247219129</v>
      </c>
      <c r="H199" s="127">
        <v>84.8</v>
      </c>
      <c r="I199" s="127">
        <v>70.4</v>
      </c>
      <c r="J199" s="127">
        <v>56.1</v>
      </c>
      <c r="K199" s="128"/>
      <c r="L199" s="129" t="s">
        <v>69</v>
      </c>
      <c r="M199" s="324">
        <v>45627.0</v>
      </c>
      <c r="N199" s="86" t="s">
        <v>34</v>
      </c>
      <c r="O199" s="474" t="s">
        <v>811</v>
      </c>
      <c r="P199" s="92" t="s">
        <v>71</v>
      </c>
      <c r="Q199" s="206" t="s">
        <v>52</v>
      </c>
      <c r="R199" s="105" t="s">
        <v>812</v>
      </c>
      <c r="S199" s="91">
        <v>484.0</v>
      </c>
    </row>
    <row r="200">
      <c r="A200" s="92" t="s">
        <v>813</v>
      </c>
      <c r="B200" s="122" t="s">
        <v>45</v>
      </c>
      <c r="C200" s="135" t="s">
        <v>814</v>
      </c>
      <c r="D200" s="124">
        <v>30.0</v>
      </c>
      <c r="E200" s="124">
        <v>30000.0</v>
      </c>
      <c r="F200" s="97">
        <f t="shared" si="10"/>
        <v>1000</v>
      </c>
      <c r="G200" s="125">
        <f t="shared" si="8"/>
        <v>3.16227766</v>
      </c>
      <c r="H200" s="524">
        <v>87.0</v>
      </c>
      <c r="I200" s="127">
        <v>76.4</v>
      </c>
      <c r="J200" s="127">
        <v>62.1</v>
      </c>
      <c r="K200" s="128"/>
      <c r="L200" s="129" t="s">
        <v>69</v>
      </c>
      <c r="M200" s="324">
        <v>45627.0</v>
      </c>
      <c r="N200" s="86" t="s">
        <v>34</v>
      </c>
      <c r="O200" s="131" t="s">
        <v>815</v>
      </c>
      <c r="P200" s="197" t="s">
        <v>36</v>
      </c>
      <c r="Q200" s="133" t="s">
        <v>52</v>
      </c>
      <c r="R200" s="419" t="s">
        <v>816</v>
      </c>
      <c r="S200" s="91">
        <v>483.0</v>
      </c>
    </row>
    <row r="201">
      <c r="A201" s="92" t="s">
        <v>817</v>
      </c>
      <c r="B201" s="306" t="s">
        <v>776</v>
      </c>
      <c r="C201" s="135" t="s">
        <v>818</v>
      </c>
      <c r="D201" s="194">
        <v>7.0</v>
      </c>
      <c r="E201" s="194">
        <v>2000.0</v>
      </c>
      <c r="F201" s="460">
        <f t="shared" si="10"/>
        <v>286</v>
      </c>
      <c r="G201" s="308">
        <f t="shared" si="8"/>
        <v>0.3944053189</v>
      </c>
      <c r="H201" s="525">
        <v>60.97</v>
      </c>
      <c r="I201" s="526"/>
      <c r="J201" s="527"/>
      <c r="K201" s="83"/>
      <c r="L201" s="195" t="s">
        <v>132</v>
      </c>
      <c r="M201" s="324">
        <v>45627.0</v>
      </c>
      <c r="N201" s="86" t="s">
        <v>34</v>
      </c>
      <c r="O201" s="474" t="s">
        <v>819</v>
      </c>
      <c r="P201" s="134" t="s">
        <v>71</v>
      </c>
      <c r="Q201" s="206"/>
      <c r="R201" s="207" t="s">
        <v>820</v>
      </c>
      <c r="S201" s="91">
        <v>482.0</v>
      </c>
    </row>
    <row r="202">
      <c r="A202" s="75" t="s">
        <v>821</v>
      </c>
      <c r="B202" s="189" t="s">
        <v>822</v>
      </c>
      <c r="C202" s="346" t="s">
        <v>823</v>
      </c>
      <c r="D202" s="78">
        <v>1000.0</v>
      </c>
      <c r="E202" s="355">
        <v>20000.0</v>
      </c>
      <c r="F202" s="31">
        <f t="shared" si="10"/>
        <v>20</v>
      </c>
      <c r="G202" s="528">
        <f t="shared" si="8"/>
        <v>14.90711985</v>
      </c>
      <c r="H202" s="513"/>
      <c r="I202" s="509"/>
      <c r="J202" s="513"/>
      <c r="K202" s="83"/>
      <c r="L202" s="195" t="s">
        <v>132</v>
      </c>
      <c r="M202" s="324">
        <v>45627.0</v>
      </c>
      <c r="N202" s="365" t="s">
        <v>28</v>
      </c>
      <c r="O202" s="271" t="s">
        <v>823</v>
      </c>
      <c r="P202" s="529" t="s">
        <v>71</v>
      </c>
      <c r="Q202" s="530"/>
      <c r="R202" s="531" t="s">
        <v>824</v>
      </c>
      <c r="S202" s="91">
        <v>481.0</v>
      </c>
    </row>
    <row r="203">
      <c r="A203" s="92" t="s">
        <v>825</v>
      </c>
      <c r="B203" s="337" t="s">
        <v>228</v>
      </c>
      <c r="C203" s="135" t="s">
        <v>826</v>
      </c>
      <c r="D203" s="194">
        <v>78.0</v>
      </c>
      <c r="E203" s="194">
        <v>18120.0</v>
      </c>
      <c r="F203" s="460">
        <f t="shared" si="10"/>
        <v>233</v>
      </c>
      <c r="G203" s="283">
        <f t="shared" si="8"/>
        <v>3.962827274</v>
      </c>
      <c r="H203" s="532">
        <v>86.1</v>
      </c>
      <c r="I203" s="533">
        <v>71.1</v>
      </c>
      <c r="J203" s="534">
        <v>49.0</v>
      </c>
      <c r="K203" s="128"/>
      <c r="L203" s="129" t="s">
        <v>69</v>
      </c>
      <c r="M203" s="324">
        <v>45627.0</v>
      </c>
      <c r="N203" s="99" t="s">
        <v>34</v>
      </c>
      <c r="O203" s="474" t="s">
        <v>827</v>
      </c>
      <c r="P203" s="134" t="s">
        <v>71</v>
      </c>
      <c r="Q203" s="206" t="s">
        <v>78</v>
      </c>
      <c r="R203" s="105" t="s">
        <v>828</v>
      </c>
      <c r="S203" s="91">
        <v>480.0</v>
      </c>
    </row>
    <row r="204">
      <c r="A204" s="92" t="s">
        <v>829</v>
      </c>
      <c r="B204" s="122" t="s">
        <v>56</v>
      </c>
      <c r="C204" s="135" t="s">
        <v>830</v>
      </c>
      <c r="D204" s="194">
        <v>70.0</v>
      </c>
      <c r="E204" s="194">
        <v>15000.0</v>
      </c>
      <c r="F204" s="97">
        <f t="shared" si="10"/>
        <v>215</v>
      </c>
      <c r="G204" s="98">
        <f t="shared" si="8"/>
        <v>3.415650255</v>
      </c>
      <c r="H204" s="523">
        <v>86.0</v>
      </c>
      <c r="I204" s="523">
        <v>68.9</v>
      </c>
      <c r="J204" s="523">
        <v>50.5</v>
      </c>
      <c r="K204" s="128"/>
      <c r="L204" s="129" t="s">
        <v>69</v>
      </c>
      <c r="M204" s="324">
        <v>45627.0</v>
      </c>
      <c r="N204" s="86" t="s">
        <v>34</v>
      </c>
      <c r="O204" s="474" t="s">
        <v>831</v>
      </c>
      <c r="P204" s="197" t="s">
        <v>71</v>
      </c>
      <c r="Q204" s="133" t="s">
        <v>52</v>
      </c>
      <c r="R204" s="134" t="s">
        <v>832</v>
      </c>
      <c r="S204" s="91">
        <v>479.0</v>
      </c>
    </row>
    <row r="205">
      <c r="A205" s="92" t="s">
        <v>833</v>
      </c>
      <c r="B205" s="92" t="s">
        <v>257</v>
      </c>
      <c r="C205" s="135" t="s">
        <v>834</v>
      </c>
      <c r="D205" s="181">
        <v>32.0</v>
      </c>
      <c r="E205" s="194">
        <v>6500.0</v>
      </c>
      <c r="F205" s="161">
        <f t="shared" si="10"/>
        <v>204</v>
      </c>
      <c r="G205" s="98">
        <f t="shared" si="8"/>
        <v>1.5202339</v>
      </c>
      <c r="H205" s="184">
        <v>78.3</v>
      </c>
      <c r="I205" s="535"/>
      <c r="J205" s="184">
        <v>39.7</v>
      </c>
      <c r="K205" s="83"/>
      <c r="L205" s="195" t="s">
        <v>132</v>
      </c>
      <c r="M205" s="324">
        <v>45627.0</v>
      </c>
      <c r="N205" s="99" t="s">
        <v>34</v>
      </c>
      <c r="O205" s="135" t="s">
        <v>835</v>
      </c>
      <c r="P205" s="134" t="s">
        <v>71</v>
      </c>
      <c r="Q205" s="206"/>
      <c r="R205" s="207" t="s">
        <v>836</v>
      </c>
      <c r="S205" s="91">
        <v>478.0</v>
      </c>
    </row>
    <row r="206">
      <c r="A206" s="92" t="s">
        <v>837</v>
      </c>
      <c r="B206" s="92" t="s">
        <v>838</v>
      </c>
      <c r="C206" s="135" t="s">
        <v>839</v>
      </c>
      <c r="D206" s="181">
        <v>8.0</v>
      </c>
      <c r="E206" s="194">
        <v>15000.0</v>
      </c>
      <c r="F206" s="161">
        <f t="shared" si="10"/>
        <v>1875</v>
      </c>
      <c r="G206" s="98">
        <f t="shared" si="8"/>
        <v>1.154700538</v>
      </c>
      <c r="H206" s="484"/>
      <c r="I206" s="535"/>
      <c r="J206" s="184"/>
      <c r="K206" s="83"/>
      <c r="L206" s="195" t="s">
        <v>132</v>
      </c>
      <c r="M206" s="324">
        <v>45627.0</v>
      </c>
      <c r="N206" s="99" t="s">
        <v>34</v>
      </c>
      <c r="O206" s="135" t="s">
        <v>840</v>
      </c>
      <c r="P206" s="134" t="s">
        <v>71</v>
      </c>
      <c r="Q206" s="206" t="s">
        <v>78</v>
      </c>
      <c r="R206" s="207" t="s">
        <v>841</v>
      </c>
      <c r="S206" s="91">
        <v>477.0</v>
      </c>
    </row>
    <row r="207">
      <c r="A207" s="106" t="s">
        <v>842</v>
      </c>
      <c r="B207" s="189" t="s">
        <v>843</v>
      </c>
      <c r="C207" s="326" t="s">
        <v>844</v>
      </c>
      <c r="D207" s="109">
        <v>20.0</v>
      </c>
      <c r="E207" s="109">
        <v>18510.0</v>
      </c>
      <c r="F207" s="161">
        <f t="shared" si="10"/>
        <v>926</v>
      </c>
      <c r="G207" s="125">
        <f t="shared" si="8"/>
        <v>2.028135433</v>
      </c>
      <c r="H207" s="536"/>
      <c r="I207" s="536"/>
      <c r="J207" s="536"/>
      <c r="K207" s="83"/>
      <c r="L207" s="195" t="s">
        <v>132</v>
      </c>
      <c r="M207" s="324">
        <v>45627.0</v>
      </c>
      <c r="N207" s="394" t="s">
        <v>34</v>
      </c>
      <c r="O207" s="537" t="s">
        <v>845</v>
      </c>
      <c r="P207" s="538" t="s">
        <v>71</v>
      </c>
      <c r="Q207" s="539"/>
      <c r="R207" s="540" t="s">
        <v>846</v>
      </c>
      <c r="S207" s="91">
        <v>476.0</v>
      </c>
    </row>
    <row r="208">
      <c r="A208" s="92" t="s">
        <v>847</v>
      </c>
      <c r="B208" s="179" t="s">
        <v>848</v>
      </c>
      <c r="C208" s="135" t="s">
        <v>849</v>
      </c>
      <c r="D208" s="181">
        <v>3.0</v>
      </c>
      <c r="E208" s="194">
        <v>1086.0</v>
      </c>
      <c r="F208" s="161">
        <f t="shared" si="10"/>
        <v>362</v>
      </c>
      <c r="G208" s="98">
        <f t="shared" si="8"/>
        <v>0.1902629759</v>
      </c>
      <c r="H208" s="484"/>
      <c r="I208" s="535"/>
      <c r="J208" s="184"/>
      <c r="K208" s="128"/>
      <c r="L208" s="129" t="s">
        <v>69</v>
      </c>
      <c r="M208" s="324">
        <v>45627.0</v>
      </c>
      <c r="N208" s="99" t="s">
        <v>34</v>
      </c>
      <c r="O208" s="135" t="s">
        <v>850</v>
      </c>
      <c r="P208" s="134" t="s">
        <v>71</v>
      </c>
      <c r="Q208" s="133"/>
      <c r="R208" s="134" t="s">
        <v>851</v>
      </c>
      <c r="S208" s="91">
        <v>475.0</v>
      </c>
    </row>
    <row r="209">
      <c r="A209" s="92" t="s">
        <v>852</v>
      </c>
      <c r="B209" s="189" t="s">
        <v>50</v>
      </c>
      <c r="C209" s="135" t="s">
        <v>853</v>
      </c>
      <c r="D209" s="521">
        <v>200.0</v>
      </c>
      <c r="E209" s="449">
        <v>20000.0</v>
      </c>
      <c r="F209" s="161">
        <f t="shared" si="10"/>
        <v>100</v>
      </c>
      <c r="G209" s="98">
        <f t="shared" si="8"/>
        <v>6.666666667</v>
      </c>
      <c r="H209" s="484">
        <v>92.3</v>
      </c>
      <c r="I209" s="535">
        <v>91.0</v>
      </c>
      <c r="J209" s="184">
        <v>79.0</v>
      </c>
      <c r="K209" s="83">
        <v>8.8</v>
      </c>
      <c r="L209" s="195" t="s">
        <v>132</v>
      </c>
      <c r="M209" s="324">
        <v>45627.0</v>
      </c>
      <c r="N209" s="86" t="s">
        <v>34</v>
      </c>
      <c r="O209" s="135" t="s">
        <v>854</v>
      </c>
      <c r="P209" s="507" t="s">
        <v>36</v>
      </c>
      <c r="Q209" s="206" t="s">
        <v>37</v>
      </c>
      <c r="R209" s="105" t="s">
        <v>855</v>
      </c>
      <c r="S209" s="91">
        <v>474.0</v>
      </c>
    </row>
    <row r="210">
      <c r="A210" s="92" t="s">
        <v>856</v>
      </c>
      <c r="B210" s="179" t="s">
        <v>857</v>
      </c>
      <c r="C210" s="135" t="s">
        <v>858</v>
      </c>
      <c r="D210" s="541">
        <v>90.0</v>
      </c>
      <c r="E210" s="116">
        <v>10000.0</v>
      </c>
      <c r="F210" s="161">
        <f t="shared" si="10"/>
        <v>112</v>
      </c>
      <c r="G210" s="125">
        <f t="shared" si="8"/>
        <v>3.16227766</v>
      </c>
      <c r="H210" s="184">
        <v>85.9</v>
      </c>
      <c r="I210" s="212"/>
      <c r="J210" s="184">
        <v>46.9</v>
      </c>
      <c r="K210" s="83"/>
      <c r="L210" s="195" t="s">
        <v>132</v>
      </c>
      <c r="M210" s="324">
        <v>45627.0</v>
      </c>
      <c r="N210" s="99" t="s">
        <v>34</v>
      </c>
      <c r="O210" s="135" t="s">
        <v>859</v>
      </c>
      <c r="P210" s="134" t="s">
        <v>71</v>
      </c>
      <c r="Q210" s="133"/>
      <c r="R210" s="419" t="s">
        <v>860</v>
      </c>
      <c r="S210" s="91">
        <v>473.0</v>
      </c>
    </row>
    <row r="211">
      <c r="A211" s="92" t="s">
        <v>861</v>
      </c>
      <c r="B211" s="189" t="s">
        <v>185</v>
      </c>
      <c r="C211" s="135" t="s">
        <v>862</v>
      </c>
      <c r="D211" s="109">
        <v>15.0</v>
      </c>
      <c r="E211" s="109">
        <v>100.0</v>
      </c>
      <c r="F211" s="161">
        <f t="shared" si="10"/>
        <v>7</v>
      </c>
      <c r="G211" s="125">
        <f t="shared" si="8"/>
        <v>0.1290994449</v>
      </c>
      <c r="H211" s="184">
        <v>23.48</v>
      </c>
      <c r="I211" s="212"/>
      <c r="J211" s="184"/>
      <c r="K211" s="83"/>
      <c r="L211" s="195" t="s">
        <v>132</v>
      </c>
      <c r="M211" s="324">
        <v>45627.0</v>
      </c>
      <c r="N211" s="99" t="s">
        <v>34</v>
      </c>
      <c r="O211" s="135" t="s">
        <v>863</v>
      </c>
      <c r="P211" s="134" t="s">
        <v>71</v>
      </c>
      <c r="Q211" s="133"/>
      <c r="R211" s="419" t="s">
        <v>864</v>
      </c>
      <c r="S211" s="91">
        <v>472.0</v>
      </c>
    </row>
    <row r="212">
      <c r="A212" s="92" t="s">
        <v>865</v>
      </c>
      <c r="B212" s="179" t="s">
        <v>400</v>
      </c>
      <c r="C212" s="307" t="s">
        <v>866</v>
      </c>
      <c r="D212" s="194">
        <v>10.0</v>
      </c>
      <c r="E212" s="194">
        <v>1000.0</v>
      </c>
      <c r="F212" s="97">
        <f t="shared" si="10"/>
        <v>100</v>
      </c>
      <c r="G212" s="98">
        <f t="shared" si="8"/>
        <v>0.3333333333</v>
      </c>
      <c r="H212" s="184">
        <v>49.89</v>
      </c>
      <c r="I212" s="184"/>
      <c r="J212" s="184">
        <v>28.32</v>
      </c>
      <c r="K212" s="83"/>
      <c r="L212" s="195" t="s">
        <v>132</v>
      </c>
      <c r="M212" s="542">
        <v>45597.0</v>
      </c>
      <c r="N212" s="86" t="s">
        <v>34</v>
      </c>
      <c r="O212" s="203" t="s">
        <v>867</v>
      </c>
      <c r="P212" s="188" t="s">
        <v>71</v>
      </c>
      <c r="Q212" s="133"/>
      <c r="R212" s="188" t="s">
        <v>868</v>
      </c>
      <c r="S212" s="91">
        <v>471.0</v>
      </c>
    </row>
    <row r="213">
      <c r="A213" s="103" t="s">
        <v>869</v>
      </c>
      <c r="B213" s="147" t="s">
        <v>107</v>
      </c>
      <c r="C213" s="255" t="s">
        <v>870</v>
      </c>
      <c r="D213" s="226">
        <v>32.0</v>
      </c>
      <c r="E213" s="226">
        <v>18000.0</v>
      </c>
      <c r="F213" s="31">
        <f t="shared" si="10"/>
        <v>563</v>
      </c>
      <c r="G213" s="308">
        <f t="shared" si="8"/>
        <v>2.529822128</v>
      </c>
      <c r="H213" s="338"/>
      <c r="I213" s="270"/>
      <c r="J213" s="100">
        <v>65.2</v>
      </c>
      <c r="K213" s="128"/>
      <c r="L213" s="129" t="s">
        <v>69</v>
      </c>
      <c r="M213" s="111">
        <v>45597.0</v>
      </c>
      <c r="N213" s="130" t="s">
        <v>34</v>
      </c>
      <c r="O213" s="309" t="s">
        <v>871</v>
      </c>
      <c r="P213" s="145" t="s">
        <v>71</v>
      </c>
      <c r="Q213" s="206" t="s">
        <v>78</v>
      </c>
      <c r="R213" s="207" t="s">
        <v>872</v>
      </c>
      <c r="S213" s="91">
        <v>470.0</v>
      </c>
    </row>
    <row r="214">
      <c r="A214" s="136" t="s">
        <v>873</v>
      </c>
      <c r="B214" s="146" t="s">
        <v>874</v>
      </c>
      <c r="C214" s="248" t="s">
        <v>875</v>
      </c>
      <c r="D214" s="225">
        <v>7.0</v>
      </c>
      <c r="E214" s="225">
        <v>4000.0</v>
      </c>
      <c r="F214" s="31">
        <f t="shared" si="10"/>
        <v>572</v>
      </c>
      <c r="G214" s="502">
        <f t="shared" si="8"/>
        <v>0.557773351</v>
      </c>
      <c r="H214" s="350">
        <v>50.0</v>
      </c>
      <c r="I214" s="444"/>
      <c r="J214" s="444"/>
      <c r="K214" s="128"/>
      <c r="L214" s="129" t="s">
        <v>69</v>
      </c>
      <c r="M214" s="405">
        <v>45597.0</v>
      </c>
      <c r="N214" s="112" t="s">
        <v>34</v>
      </c>
      <c r="O214" s="223" t="s">
        <v>876</v>
      </c>
      <c r="P214" s="145" t="s">
        <v>71</v>
      </c>
      <c r="Q214" s="515"/>
      <c r="R214" s="299" t="s">
        <v>877</v>
      </c>
      <c r="S214" s="91">
        <v>469.0</v>
      </c>
    </row>
    <row r="215">
      <c r="A215" s="106" t="s">
        <v>878</v>
      </c>
      <c r="B215" s="543" t="s">
        <v>252</v>
      </c>
      <c r="C215" s="326" t="s">
        <v>879</v>
      </c>
      <c r="D215" s="109">
        <v>13.0</v>
      </c>
      <c r="E215" s="109">
        <v>5600.0</v>
      </c>
      <c r="F215" s="161">
        <f t="shared" si="10"/>
        <v>431</v>
      </c>
      <c r="G215" s="125">
        <f t="shared" si="8"/>
        <v>0.8993825042</v>
      </c>
      <c r="H215" s="350">
        <v>68.6</v>
      </c>
      <c r="I215" s="544"/>
      <c r="J215" s="544"/>
      <c r="K215" s="128"/>
      <c r="L215" s="129" t="s">
        <v>69</v>
      </c>
      <c r="M215" s="545">
        <v>45597.0</v>
      </c>
      <c r="N215" s="394" t="s">
        <v>34</v>
      </c>
      <c r="O215" s="131" t="s">
        <v>880</v>
      </c>
      <c r="P215" s="538" t="s">
        <v>71</v>
      </c>
      <c r="Q215" s="539"/>
      <c r="R215" s="540" t="s">
        <v>881</v>
      </c>
      <c r="S215" s="91">
        <v>468.0</v>
      </c>
    </row>
    <row r="216">
      <c r="A216" s="136" t="s">
        <v>882</v>
      </c>
      <c r="B216" s="486" t="s">
        <v>883</v>
      </c>
      <c r="C216" s="218"/>
      <c r="D216" s="225">
        <v>2.7</v>
      </c>
      <c r="E216" s="225">
        <v>1260.0</v>
      </c>
      <c r="F216" s="31">
        <f t="shared" si="10"/>
        <v>467</v>
      </c>
      <c r="G216" s="308">
        <f t="shared" si="8"/>
        <v>0.194422221</v>
      </c>
      <c r="H216" s="338"/>
      <c r="I216" s="444"/>
      <c r="J216" s="444"/>
      <c r="K216" s="128"/>
      <c r="L216" s="129" t="s">
        <v>69</v>
      </c>
      <c r="M216" s="405">
        <v>45597.0</v>
      </c>
      <c r="N216" s="365" t="s">
        <v>28</v>
      </c>
      <c r="O216" s="514" t="s">
        <v>884</v>
      </c>
      <c r="P216" s="145" t="s">
        <v>71</v>
      </c>
      <c r="Q216" s="520"/>
      <c r="R216" s="146" t="s">
        <v>885</v>
      </c>
      <c r="S216" s="91">
        <v>467.0</v>
      </c>
    </row>
    <row r="217">
      <c r="A217" s="103" t="s">
        <v>886</v>
      </c>
      <c r="B217" s="546" t="s">
        <v>167</v>
      </c>
      <c r="C217" s="255" t="s">
        <v>887</v>
      </c>
      <c r="D217" s="226">
        <v>100.0</v>
      </c>
      <c r="E217" s="219">
        <v>2000.0</v>
      </c>
      <c r="F217" s="97">
        <f t="shared" si="10"/>
        <v>20</v>
      </c>
      <c r="G217" s="110">
        <f t="shared" si="8"/>
        <v>1.490711985</v>
      </c>
      <c r="H217" s="100"/>
      <c r="I217" s="117"/>
      <c r="J217" s="100"/>
      <c r="K217" s="83"/>
      <c r="L217" s="195" t="s">
        <v>132</v>
      </c>
      <c r="M217" s="405">
        <v>45597.0</v>
      </c>
      <c r="N217" s="112" t="s">
        <v>34</v>
      </c>
      <c r="O217" s="309" t="s">
        <v>888</v>
      </c>
      <c r="P217" s="103" t="s">
        <v>71</v>
      </c>
      <c r="Q217" s="206" t="s">
        <v>78</v>
      </c>
      <c r="R217" s="207" t="s">
        <v>889</v>
      </c>
      <c r="S217" s="91">
        <v>466.0</v>
      </c>
    </row>
    <row r="218">
      <c r="A218" s="136" t="s">
        <v>890</v>
      </c>
      <c r="B218" s="147" t="s">
        <v>107</v>
      </c>
      <c r="C218" s="218" t="s">
        <v>891</v>
      </c>
      <c r="D218" s="225">
        <v>7.0</v>
      </c>
      <c r="E218" s="225">
        <v>7000.0</v>
      </c>
      <c r="F218" s="31">
        <f t="shared" si="10"/>
        <v>1000</v>
      </c>
      <c r="G218" s="308">
        <f t="shared" si="8"/>
        <v>0.7378647874</v>
      </c>
      <c r="H218" s="338"/>
      <c r="I218" s="444"/>
      <c r="J218" s="444"/>
      <c r="K218" s="128"/>
      <c r="L218" s="129" t="s">
        <v>69</v>
      </c>
      <c r="M218" s="405">
        <v>45597.0</v>
      </c>
      <c r="N218" s="112" t="s">
        <v>34</v>
      </c>
      <c r="O218" s="514" t="s">
        <v>892</v>
      </c>
      <c r="P218" s="145" t="s">
        <v>71</v>
      </c>
      <c r="Q218" s="206" t="s">
        <v>78</v>
      </c>
      <c r="R218" s="306" t="s">
        <v>893</v>
      </c>
      <c r="S218" s="91">
        <v>465.0</v>
      </c>
    </row>
    <row r="219">
      <c r="A219" s="103" t="s">
        <v>894</v>
      </c>
      <c r="B219" s="268" t="s">
        <v>252</v>
      </c>
      <c r="C219" s="255" t="s">
        <v>693</v>
      </c>
      <c r="D219" s="169">
        <v>70.0</v>
      </c>
      <c r="E219" s="226">
        <v>15600.0</v>
      </c>
      <c r="F219" s="31">
        <f t="shared" si="10"/>
        <v>223</v>
      </c>
      <c r="G219" s="547">
        <f t="shared" si="8"/>
        <v>3.483293461</v>
      </c>
      <c r="H219" s="512">
        <v>83.1</v>
      </c>
      <c r="I219" s="100">
        <v>65.8</v>
      </c>
      <c r="J219" s="100">
        <v>45.1</v>
      </c>
      <c r="K219" s="128"/>
      <c r="L219" s="129" t="s">
        <v>69</v>
      </c>
      <c r="M219" s="324">
        <v>45597.0</v>
      </c>
      <c r="N219" s="130" t="s">
        <v>34</v>
      </c>
      <c r="O219" s="389" t="s">
        <v>895</v>
      </c>
      <c r="P219" s="156" t="s">
        <v>71</v>
      </c>
      <c r="Q219" s="272"/>
      <c r="R219" s="158" t="s">
        <v>896</v>
      </c>
      <c r="S219" s="91">
        <v>464.0</v>
      </c>
    </row>
    <row r="220">
      <c r="A220" s="136" t="s">
        <v>897</v>
      </c>
      <c r="B220" s="548" t="s">
        <v>50</v>
      </c>
      <c r="C220" s="248" t="s">
        <v>609</v>
      </c>
      <c r="D220" s="488">
        <v>200.0</v>
      </c>
      <c r="E220" s="488">
        <v>20000.0</v>
      </c>
      <c r="F220" s="549">
        <f t="shared" si="10"/>
        <v>100</v>
      </c>
      <c r="G220" s="550">
        <f t="shared" si="8"/>
        <v>6.666666667</v>
      </c>
      <c r="H220" s="512">
        <v>85.7</v>
      </c>
      <c r="I220" s="551"/>
      <c r="J220" s="100">
        <v>46.0</v>
      </c>
      <c r="K220" s="83">
        <v>3.1</v>
      </c>
      <c r="L220" s="195" t="s">
        <v>132</v>
      </c>
      <c r="M220" s="324">
        <v>45597.0</v>
      </c>
      <c r="N220" s="130" t="s">
        <v>34</v>
      </c>
      <c r="O220" s="474" t="s">
        <v>898</v>
      </c>
      <c r="P220" s="197" t="s">
        <v>36</v>
      </c>
      <c r="Q220" s="252"/>
      <c r="R220" s="458" t="s">
        <v>899</v>
      </c>
      <c r="S220" s="91">
        <v>463.0</v>
      </c>
    </row>
    <row r="221">
      <c r="A221" s="136" t="s">
        <v>900</v>
      </c>
      <c r="B221" s="147" t="s">
        <v>32</v>
      </c>
      <c r="C221" s="248" t="s">
        <v>356</v>
      </c>
      <c r="D221" s="116">
        <v>67.0</v>
      </c>
      <c r="E221" s="116">
        <v>2000.0</v>
      </c>
      <c r="F221" s="549">
        <f t="shared" si="10"/>
        <v>30</v>
      </c>
      <c r="G221" s="550">
        <f t="shared" si="8"/>
        <v>1.220200348</v>
      </c>
      <c r="H221" s="338"/>
      <c r="I221" s="551"/>
      <c r="J221" s="100">
        <v>58.5</v>
      </c>
      <c r="K221" s="83"/>
      <c r="L221" s="195" t="s">
        <v>132</v>
      </c>
      <c r="M221" s="324">
        <v>45597.0</v>
      </c>
      <c r="N221" s="130" t="s">
        <v>34</v>
      </c>
      <c r="O221" s="267" t="s">
        <v>901</v>
      </c>
      <c r="P221" s="103" t="s">
        <v>71</v>
      </c>
      <c r="Q221" s="206" t="s">
        <v>78</v>
      </c>
      <c r="R221" s="105" t="s">
        <v>902</v>
      </c>
      <c r="S221" s="91">
        <v>462.0</v>
      </c>
    </row>
    <row r="222">
      <c r="A222" s="103" t="s">
        <v>903</v>
      </c>
      <c r="B222" s="254" t="s">
        <v>904</v>
      </c>
      <c r="C222" s="255" t="s">
        <v>905</v>
      </c>
      <c r="D222" s="226">
        <v>1.1</v>
      </c>
      <c r="E222" s="226">
        <v>2064.0</v>
      </c>
      <c r="F222" s="139">
        <f t="shared" si="10"/>
        <v>1877</v>
      </c>
      <c r="G222" s="550">
        <f t="shared" si="8"/>
        <v>0.1588290486</v>
      </c>
      <c r="H222" s="257">
        <v>25.9</v>
      </c>
      <c r="I222" s="270"/>
      <c r="J222" s="270"/>
      <c r="K222" s="83"/>
      <c r="L222" s="195" t="s">
        <v>132</v>
      </c>
      <c r="M222" s="324">
        <v>45597.0</v>
      </c>
      <c r="N222" s="130" t="s">
        <v>34</v>
      </c>
      <c r="O222" s="259" t="s">
        <v>906</v>
      </c>
      <c r="P222" s="103" t="s">
        <v>71</v>
      </c>
      <c r="Q222" s="447"/>
      <c r="R222" s="289" t="s">
        <v>907</v>
      </c>
      <c r="S222" s="91">
        <v>461.0</v>
      </c>
    </row>
    <row r="223">
      <c r="A223" s="103" t="s">
        <v>908</v>
      </c>
      <c r="B223" s="284" t="s">
        <v>269</v>
      </c>
      <c r="C223" s="255" t="s">
        <v>909</v>
      </c>
      <c r="D223" s="226">
        <v>124.0</v>
      </c>
      <c r="E223" s="149">
        <v>6000.0</v>
      </c>
      <c r="F223" s="139">
        <f t="shared" si="10"/>
        <v>49</v>
      </c>
      <c r="G223" s="256">
        <f t="shared" si="8"/>
        <v>2.875181154</v>
      </c>
      <c r="H223" s="552"/>
      <c r="I223" s="270"/>
      <c r="J223" s="270"/>
      <c r="K223" s="83"/>
      <c r="L223" s="195" t="s">
        <v>132</v>
      </c>
      <c r="M223" s="324">
        <v>45597.0</v>
      </c>
      <c r="N223" s="130" t="s">
        <v>34</v>
      </c>
      <c r="O223" s="259" t="s">
        <v>910</v>
      </c>
      <c r="P223" s="156" t="s">
        <v>71</v>
      </c>
      <c r="Q223" s="447"/>
      <c r="R223" s="289" t="s">
        <v>911</v>
      </c>
      <c r="S223" s="91">
        <v>460.0</v>
      </c>
    </row>
    <row r="224">
      <c r="A224" s="106" t="s">
        <v>912</v>
      </c>
      <c r="B224" s="306" t="s">
        <v>913</v>
      </c>
      <c r="C224" s="203" t="s">
        <v>914</v>
      </c>
      <c r="D224" s="553"/>
      <c r="E224" s="109"/>
      <c r="F224" s="392"/>
      <c r="G224" s="110"/>
      <c r="H224" s="100"/>
      <c r="I224" s="100"/>
      <c r="J224" s="100">
        <v>42.4</v>
      </c>
      <c r="K224" s="83"/>
      <c r="L224" s="195" t="s">
        <v>132</v>
      </c>
      <c r="M224" s="324">
        <v>45597.0</v>
      </c>
      <c r="N224" s="112" t="s">
        <v>34</v>
      </c>
      <c r="O224" s="108" t="s">
        <v>915</v>
      </c>
      <c r="P224" s="103" t="s">
        <v>916</v>
      </c>
      <c r="Q224" s="113"/>
      <c r="R224" s="114" t="s">
        <v>917</v>
      </c>
      <c r="S224" s="91">
        <v>459.0</v>
      </c>
    </row>
    <row r="225">
      <c r="A225" s="136" t="s">
        <v>918</v>
      </c>
      <c r="B225" s="147" t="s">
        <v>107</v>
      </c>
      <c r="C225" s="248" t="s">
        <v>919</v>
      </c>
      <c r="D225" s="225">
        <v>32.5</v>
      </c>
      <c r="E225" s="225">
        <v>5500.0</v>
      </c>
      <c r="F225" s="31">
        <f t="shared" ref="F225:F351" si="11">IF(E225&lt;&gt;"", ROUNDUP(E225/D225,0),"")</f>
        <v>170</v>
      </c>
      <c r="G225" s="554">
        <f t="shared" ref="G225:G438" si="12">IF(E225&lt;&gt;"", (SQRT(D225*E225))/300, "")</f>
        <v>1.409294544</v>
      </c>
      <c r="H225" s="555">
        <v>79.1</v>
      </c>
      <c r="I225" s="378"/>
      <c r="J225" s="556"/>
      <c r="K225" s="128"/>
      <c r="L225" s="129" t="s">
        <v>69</v>
      </c>
      <c r="M225" s="324">
        <v>45597.0</v>
      </c>
      <c r="N225" s="112" t="s">
        <v>34</v>
      </c>
      <c r="O225" s="267" t="s">
        <v>920</v>
      </c>
      <c r="P225" s="145" t="s">
        <v>71</v>
      </c>
      <c r="Q225" s="515"/>
      <c r="R225" s="299" t="s">
        <v>921</v>
      </c>
      <c r="S225" s="91">
        <v>458.0</v>
      </c>
    </row>
    <row r="226">
      <c r="A226" s="106" t="s">
        <v>922</v>
      </c>
      <c r="B226" s="557" t="s">
        <v>923</v>
      </c>
      <c r="C226" s="108" t="s">
        <v>924</v>
      </c>
      <c r="D226" s="553">
        <v>1.6</v>
      </c>
      <c r="E226" s="109">
        <v>3005.0</v>
      </c>
      <c r="F226" s="392">
        <f t="shared" si="11"/>
        <v>1879</v>
      </c>
      <c r="G226" s="110">
        <f t="shared" si="12"/>
        <v>0.2311324776</v>
      </c>
      <c r="H226" s="100">
        <v>44.99</v>
      </c>
      <c r="I226" s="100"/>
      <c r="J226" s="100"/>
      <c r="K226" s="83"/>
      <c r="L226" s="195" t="s">
        <v>132</v>
      </c>
      <c r="M226" s="324">
        <v>45597.0</v>
      </c>
      <c r="N226" s="112" t="s">
        <v>34</v>
      </c>
      <c r="O226" s="108" t="s">
        <v>925</v>
      </c>
      <c r="P226" s="103" t="s">
        <v>71</v>
      </c>
      <c r="Q226" s="113"/>
      <c r="R226" s="114" t="s">
        <v>926</v>
      </c>
      <c r="S226" s="91">
        <v>457.0</v>
      </c>
    </row>
    <row r="227">
      <c r="A227" s="106" t="s">
        <v>927</v>
      </c>
      <c r="B227" s="61" t="s">
        <v>304</v>
      </c>
      <c r="C227" s="108" t="s">
        <v>928</v>
      </c>
      <c r="D227" s="553">
        <v>389.0</v>
      </c>
      <c r="E227" s="109">
        <v>7000.0</v>
      </c>
      <c r="F227" s="392">
        <f t="shared" si="11"/>
        <v>18</v>
      </c>
      <c r="G227" s="110">
        <f t="shared" si="12"/>
        <v>5.500505027</v>
      </c>
      <c r="H227" s="100">
        <v>89.9</v>
      </c>
      <c r="I227" s="100">
        <v>60.2</v>
      </c>
      <c r="J227" s="100">
        <v>42.4</v>
      </c>
      <c r="K227" s="128"/>
      <c r="L227" s="129" t="s">
        <v>69</v>
      </c>
      <c r="M227" s="324">
        <v>45597.0</v>
      </c>
      <c r="N227" s="112" t="s">
        <v>34</v>
      </c>
      <c r="O227" s="108" t="s">
        <v>929</v>
      </c>
      <c r="P227" s="103" t="s">
        <v>36</v>
      </c>
      <c r="Q227" s="113"/>
      <c r="R227" s="558" t="s">
        <v>930</v>
      </c>
      <c r="S227" s="91">
        <v>456.0</v>
      </c>
    </row>
    <row r="228">
      <c r="A228" s="92" t="s">
        <v>931</v>
      </c>
      <c r="B228" s="179" t="s">
        <v>464</v>
      </c>
      <c r="C228" s="208" t="s">
        <v>932</v>
      </c>
      <c r="D228" s="194">
        <v>9.24</v>
      </c>
      <c r="E228" s="194">
        <v>8200.0</v>
      </c>
      <c r="F228" s="161">
        <f t="shared" si="11"/>
        <v>888</v>
      </c>
      <c r="G228" s="125">
        <f t="shared" si="12"/>
        <v>0.917532924</v>
      </c>
      <c r="H228" s="184"/>
      <c r="I228" s="183"/>
      <c r="J228" s="183"/>
      <c r="K228" s="83"/>
      <c r="L228" s="195" t="s">
        <v>132</v>
      </c>
      <c r="M228" s="324">
        <v>45597.0</v>
      </c>
      <c r="N228" s="351" t="s">
        <v>34</v>
      </c>
      <c r="O228" s="559" t="s">
        <v>933</v>
      </c>
      <c r="P228" s="136" t="s">
        <v>71</v>
      </c>
      <c r="Q228" s="311"/>
      <c r="R228" s="560" t="s">
        <v>934</v>
      </c>
      <c r="S228" s="91">
        <v>455.0</v>
      </c>
    </row>
    <row r="229">
      <c r="A229" s="103" t="s">
        <v>935</v>
      </c>
      <c r="B229" s="268" t="s">
        <v>593</v>
      </c>
      <c r="C229" s="255" t="s">
        <v>936</v>
      </c>
      <c r="D229" s="226">
        <v>1.0</v>
      </c>
      <c r="E229" s="226">
        <v>1308.0</v>
      </c>
      <c r="F229" s="139">
        <f t="shared" si="11"/>
        <v>1308</v>
      </c>
      <c r="G229" s="441">
        <f t="shared" si="12"/>
        <v>0.1205542755</v>
      </c>
      <c r="H229" s="561">
        <v>30.52</v>
      </c>
      <c r="I229" s="270"/>
      <c r="J229" s="270"/>
      <c r="K229" s="83"/>
      <c r="L229" s="195" t="s">
        <v>132</v>
      </c>
      <c r="M229" s="324">
        <v>45597.0</v>
      </c>
      <c r="N229" s="130" t="s">
        <v>34</v>
      </c>
      <c r="O229" s="309" t="s">
        <v>937</v>
      </c>
      <c r="P229" s="156" t="s">
        <v>71</v>
      </c>
      <c r="Q229" s="272"/>
      <c r="R229" s="158" t="s">
        <v>938</v>
      </c>
      <c r="S229" s="91">
        <v>454.0</v>
      </c>
    </row>
    <row r="230">
      <c r="A230" s="136" t="s">
        <v>939</v>
      </c>
      <c r="B230" s="189" t="s">
        <v>940</v>
      </c>
      <c r="C230" s="248" t="s">
        <v>941</v>
      </c>
      <c r="D230" s="225">
        <v>1.7</v>
      </c>
      <c r="E230" s="219">
        <v>1000.0</v>
      </c>
      <c r="F230" s="139">
        <f t="shared" si="11"/>
        <v>589</v>
      </c>
      <c r="G230" s="562">
        <f t="shared" si="12"/>
        <v>0.1374368542</v>
      </c>
      <c r="H230" s="100">
        <v>42.3</v>
      </c>
      <c r="I230" s="444"/>
      <c r="J230" s="444"/>
      <c r="K230" s="128"/>
      <c r="L230" s="129" t="s">
        <v>69</v>
      </c>
      <c r="M230" s="324">
        <v>45597.0</v>
      </c>
      <c r="N230" s="112" t="s">
        <v>34</v>
      </c>
      <c r="O230" s="514" t="s">
        <v>941</v>
      </c>
      <c r="P230" s="145" t="s">
        <v>71</v>
      </c>
      <c r="Q230" s="252"/>
      <c r="R230" s="253" t="s">
        <v>942</v>
      </c>
      <c r="S230" s="91">
        <v>453.0</v>
      </c>
    </row>
    <row r="231">
      <c r="A231" s="103" t="s">
        <v>943</v>
      </c>
      <c r="B231" s="189" t="s">
        <v>568</v>
      </c>
      <c r="C231" s="255" t="s">
        <v>944</v>
      </c>
      <c r="D231" s="225">
        <v>32.0</v>
      </c>
      <c r="E231" s="124">
        <v>8000.0</v>
      </c>
      <c r="F231" s="31">
        <f t="shared" si="11"/>
        <v>250</v>
      </c>
      <c r="G231" s="563">
        <f t="shared" si="12"/>
        <v>1.686548085</v>
      </c>
      <c r="H231" s="117"/>
      <c r="I231" s="117"/>
      <c r="J231" s="117"/>
      <c r="K231" s="128"/>
      <c r="L231" s="129" t="s">
        <v>69</v>
      </c>
      <c r="M231" s="324">
        <v>45566.0</v>
      </c>
      <c r="N231" s="130" t="s">
        <v>34</v>
      </c>
      <c r="O231" s="309" t="s">
        <v>945</v>
      </c>
      <c r="P231" s="268" t="s">
        <v>71</v>
      </c>
      <c r="Q231" s="464"/>
      <c r="R231" s="103" t="s">
        <v>946</v>
      </c>
      <c r="S231" s="91">
        <v>452.0</v>
      </c>
    </row>
    <row r="232">
      <c r="A232" s="92" t="s">
        <v>947</v>
      </c>
      <c r="B232" s="189" t="s">
        <v>90</v>
      </c>
      <c r="C232" s="135" t="s">
        <v>368</v>
      </c>
      <c r="D232" s="124">
        <v>175.0</v>
      </c>
      <c r="E232" s="124">
        <v>20000.0</v>
      </c>
      <c r="F232" s="97">
        <f t="shared" si="11"/>
        <v>115</v>
      </c>
      <c r="G232" s="125">
        <f t="shared" si="12"/>
        <v>6.236095645</v>
      </c>
      <c r="H232" s="564">
        <v>90.5</v>
      </c>
      <c r="I232" s="564">
        <v>78.0</v>
      </c>
      <c r="J232" s="127">
        <v>65.0</v>
      </c>
      <c r="K232" s="83"/>
      <c r="L232" s="195" t="s">
        <v>132</v>
      </c>
      <c r="M232" s="324">
        <v>45566.0</v>
      </c>
      <c r="N232" s="86" t="s">
        <v>34</v>
      </c>
      <c r="O232" s="474" t="s">
        <v>948</v>
      </c>
      <c r="P232" s="92" t="s">
        <v>71</v>
      </c>
      <c r="Q232" s="565" t="s">
        <v>52</v>
      </c>
      <c r="R232" s="566" t="s">
        <v>949</v>
      </c>
      <c r="S232" s="91">
        <v>451.0</v>
      </c>
    </row>
    <row r="233">
      <c r="A233" s="106" t="s">
        <v>950</v>
      </c>
      <c r="B233" s="189" t="s">
        <v>75</v>
      </c>
      <c r="C233" s="108" t="s">
        <v>951</v>
      </c>
      <c r="D233" s="470">
        <v>8.0</v>
      </c>
      <c r="E233" s="470">
        <v>12000.0</v>
      </c>
      <c r="F233" s="97">
        <f t="shared" si="11"/>
        <v>1500</v>
      </c>
      <c r="G233" s="110">
        <f t="shared" si="12"/>
        <v>1.032795559</v>
      </c>
      <c r="H233" s="100">
        <v>65.54</v>
      </c>
      <c r="I233" s="100">
        <v>33.27</v>
      </c>
      <c r="J233" s="100">
        <v>32.13</v>
      </c>
      <c r="K233" s="83"/>
      <c r="L233" s="195" t="s">
        <v>132</v>
      </c>
      <c r="M233" s="324">
        <v>45566.0</v>
      </c>
      <c r="N233" s="112" t="s">
        <v>34</v>
      </c>
      <c r="O233" s="108" t="s">
        <v>952</v>
      </c>
      <c r="P233" s="103" t="s">
        <v>71</v>
      </c>
      <c r="Q233" s="567"/>
      <c r="R233" s="106" t="s">
        <v>953</v>
      </c>
      <c r="S233" s="91">
        <v>450.0</v>
      </c>
    </row>
    <row r="234">
      <c r="A234" s="75" t="s">
        <v>954</v>
      </c>
      <c r="B234" s="568" t="s">
        <v>75</v>
      </c>
      <c r="C234" s="77" t="s">
        <v>955</v>
      </c>
      <c r="D234" s="78">
        <v>3.0</v>
      </c>
      <c r="E234" s="194">
        <v>10000.0</v>
      </c>
      <c r="F234" s="97">
        <f t="shared" si="11"/>
        <v>3334</v>
      </c>
      <c r="G234" s="110">
        <f t="shared" si="12"/>
        <v>0.5773502692</v>
      </c>
      <c r="H234" s="569">
        <v>50.16</v>
      </c>
      <c r="I234" s="100">
        <v>20.51</v>
      </c>
      <c r="J234" s="100">
        <v>26.85</v>
      </c>
      <c r="K234" s="83"/>
      <c r="L234" s="195" t="s">
        <v>132</v>
      </c>
      <c r="M234" s="324">
        <v>45566.0</v>
      </c>
      <c r="N234" s="112" t="s">
        <v>34</v>
      </c>
      <c r="O234" s="352" t="s">
        <v>952</v>
      </c>
      <c r="P234" s="75" t="s">
        <v>36</v>
      </c>
      <c r="Q234" s="567"/>
      <c r="R234" s="106" t="s">
        <v>953</v>
      </c>
      <c r="S234" s="91">
        <v>449.0</v>
      </c>
    </row>
    <row r="235">
      <c r="A235" s="75" t="s">
        <v>956</v>
      </c>
      <c r="B235" s="568" t="s">
        <v>957</v>
      </c>
      <c r="C235" s="77" t="s">
        <v>958</v>
      </c>
      <c r="D235" s="78">
        <v>7.0</v>
      </c>
      <c r="E235" s="194">
        <v>1200.0</v>
      </c>
      <c r="F235" s="31">
        <f t="shared" si="11"/>
        <v>172</v>
      </c>
      <c r="G235" s="402">
        <f t="shared" si="12"/>
        <v>0.3055050463</v>
      </c>
      <c r="H235" s="408"/>
      <c r="I235" s="82"/>
      <c r="J235" s="82"/>
      <c r="K235" s="240"/>
      <c r="L235" s="570" t="s">
        <v>300</v>
      </c>
      <c r="M235" s="324">
        <v>45566.0</v>
      </c>
      <c r="N235" s="351" t="s">
        <v>34</v>
      </c>
      <c r="O235" s="352" t="s">
        <v>959</v>
      </c>
      <c r="P235" s="88" t="s">
        <v>71</v>
      </c>
      <c r="Q235" s="571"/>
      <c r="R235" s="75" t="s">
        <v>960</v>
      </c>
      <c r="S235" s="91">
        <v>448.0</v>
      </c>
    </row>
    <row r="236">
      <c r="A236" s="75" t="s">
        <v>961</v>
      </c>
      <c r="B236" s="229" t="s">
        <v>190</v>
      </c>
      <c r="C236" s="77" t="s">
        <v>962</v>
      </c>
      <c r="D236" s="78">
        <v>70.0</v>
      </c>
      <c r="E236" s="124">
        <v>15000.0</v>
      </c>
      <c r="F236" s="31">
        <f t="shared" si="11"/>
        <v>215</v>
      </c>
      <c r="G236" s="402">
        <f t="shared" si="12"/>
        <v>3.415650255</v>
      </c>
      <c r="H236" s="408"/>
      <c r="I236" s="82"/>
      <c r="J236" s="82"/>
      <c r="K236" s="83"/>
      <c r="L236" s="195" t="s">
        <v>132</v>
      </c>
      <c r="M236" s="324">
        <v>45566.0</v>
      </c>
      <c r="N236" s="351" t="s">
        <v>34</v>
      </c>
      <c r="O236" s="352" t="s">
        <v>963</v>
      </c>
      <c r="P236" s="88" t="s">
        <v>71</v>
      </c>
      <c r="Q236" s="571"/>
      <c r="R236" s="75" t="s">
        <v>964</v>
      </c>
      <c r="S236" s="91">
        <v>447.0</v>
      </c>
    </row>
    <row r="237">
      <c r="A237" s="92" t="s">
        <v>965</v>
      </c>
      <c r="B237" s="122" t="s">
        <v>269</v>
      </c>
      <c r="C237" s="135" t="s">
        <v>966</v>
      </c>
      <c r="D237" s="194">
        <v>8.0</v>
      </c>
      <c r="E237" s="124">
        <v>6000.0</v>
      </c>
      <c r="F237" s="97">
        <f t="shared" si="11"/>
        <v>750</v>
      </c>
      <c r="G237" s="98">
        <f t="shared" si="12"/>
        <v>0.7302967433</v>
      </c>
      <c r="H237" s="127">
        <v>65.0</v>
      </c>
      <c r="I237" s="204"/>
      <c r="J237" s="204"/>
      <c r="K237" s="83"/>
      <c r="L237" s="195" t="s">
        <v>132</v>
      </c>
      <c r="M237" s="324">
        <v>45566.0</v>
      </c>
      <c r="N237" s="86" t="s">
        <v>34</v>
      </c>
      <c r="O237" s="131" t="s">
        <v>967</v>
      </c>
      <c r="P237" s="197" t="s">
        <v>71</v>
      </c>
      <c r="Q237" s="572"/>
      <c r="R237" s="573" t="s">
        <v>968</v>
      </c>
      <c r="S237" s="91">
        <v>446.0</v>
      </c>
    </row>
    <row r="238">
      <c r="A238" s="136" t="s">
        <v>969</v>
      </c>
      <c r="B238" s="224" t="s">
        <v>970</v>
      </c>
      <c r="C238" s="248" t="s">
        <v>971</v>
      </c>
      <c r="D238" s="219">
        <v>200.0</v>
      </c>
      <c r="E238" s="219">
        <v>10000.0</v>
      </c>
      <c r="F238" s="139">
        <f t="shared" si="11"/>
        <v>50</v>
      </c>
      <c r="G238" s="574">
        <f t="shared" si="12"/>
        <v>4.714045208</v>
      </c>
      <c r="H238" s="575"/>
      <c r="I238" s="444"/>
      <c r="J238" s="444"/>
      <c r="K238" s="83"/>
      <c r="L238" s="195" t="s">
        <v>132</v>
      </c>
      <c r="M238" s="324">
        <v>45566.0</v>
      </c>
      <c r="N238" s="112" t="s">
        <v>34</v>
      </c>
      <c r="O238" s="223" t="s">
        <v>972</v>
      </c>
      <c r="P238" s="136" t="s">
        <v>36</v>
      </c>
      <c r="Q238" s="576"/>
      <c r="R238" s="330" t="s">
        <v>973</v>
      </c>
      <c r="S238" s="91">
        <v>445.0</v>
      </c>
    </row>
    <row r="239">
      <c r="A239" s="136" t="s">
        <v>974</v>
      </c>
      <c r="B239" s="224" t="s">
        <v>975</v>
      </c>
      <c r="C239" s="248" t="s">
        <v>976</v>
      </c>
      <c r="D239" s="225">
        <v>7.0</v>
      </c>
      <c r="E239" s="225">
        <v>3100.0</v>
      </c>
      <c r="F239" s="139">
        <f t="shared" si="11"/>
        <v>443</v>
      </c>
      <c r="G239" s="574">
        <f t="shared" si="12"/>
        <v>0.4910306621</v>
      </c>
      <c r="H239" s="577">
        <v>67.2</v>
      </c>
      <c r="I239" s="444"/>
      <c r="J239" s="444"/>
      <c r="K239" s="83"/>
      <c r="L239" s="195" t="s">
        <v>132</v>
      </c>
      <c r="M239" s="324">
        <v>45566.0</v>
      </c>
      <c r="N239" s="112" t="s">
        <v>34</v>
      </c>
      <c r="O239" s="223" t="s">
        <v>977</v>
      </c>
      <c r="P239" s="145" t="s">
        <v>71</v>
      </c>
      <c r="Q239" s="325"/>
      <c r="R239" s="375" t="s">
        <v>978</v>
      </c>
      <c r="S239" s="91">
        <v>444.0</v>
      </c>
    </row>
    <row r="240">
      <c r="A240" s="136" t="s">
        <v>979</v>
      </c>
      <c r="B240" s="229" t="s">
        <v>190</v>
      </c>
      <c r="C240" s="248" t="s">
        <v>980</v>
      </c>
      <c r="D240" s="225">
        <v>1.0</v>
      </c>
      <c r="E240" s="225">
        <v>400.0</v>
      </c>
      <c r="F240" s="31">
        <f t="shared" si="11"/>
        <v>400</v>
      </c>
      <c r="G240" s="554">
        <f t="shared" si="12"/>
        <v>0.06666666667</v>
      </c>
      <c r="H240" s="555"/>
      <c r="I240" s="378"/>
      <c r="J240" s="556"/>
      <c r="K240" s="83"/>
      <c r="L240" s="195" t="s">
        <v>132</v>
      </c>
      <c r="M240" s="324">
        <v>45566.0</v>
      </c>
      <c r="N240" s="112" t="s">
        <v>34</v>
      </c>
      <c r="O240" s="514" t="s">
        <v>981</v>
      </c>
      <c r="P240" s="145" t="s">
        <v>71</v>
      </c>
      <c r="Q240" s="520"/>
      <c r="R240" s="146" t="s">
        <v>982</v>
      </c>
      <c r="S240" s="91">
        <v>443.0</v>
      </c>
    </row>
    <row r="241">
      <c r="A241" s="92" t="s">
        <v>983</v>
      </c>
      <c r="B241" s="189" t="s">
        <v>984</v>
      </c>
      <c r="C241" s="135" t="s">
        <v>985</v>
      </c>
      <c r="D241" s="362">
        <v>1200.0</v>
      </c>
      <c r="E241" s="362">
        <v>20000.0</v>
      </c>
      <c r="F241" s="578">
        <f t="shared" si="11"/>
        <v>17</v>
      </c>
      <c r="G241" s="579">
        <f t="shared" si="12"/>
        <v>16.32993162</v>
      </c>
      <c r="H241" s="100"/>
      <c r="I241" s="117"/>
      <c r="J241" s="100"/>
      <c r="K241" s="83"/>
      <c r="L241" s="195" t="s">
        <v>132</v>
      </c>
      <c r="M241" s="324">
        <v>45566.0</v>
      </c>
      <c r="N241" s="112" t="s">
        <v>34</v>
      </c>
      <c r="O241" s="131" t="s">
        <v>986</v>
      </c>
      <c r="P241" s="103" t="s">
        <v>71</v>
      </c>
      <c r="Q241" s="522"/>
      <c r="R241" s="92" t="s">
        <v>987</v>
      </c>
      <c r="S241" s="91">
        <v>442.0</v>
      </c>
    </row>
    <row r="242">
      <c r="A242" s="92" t="s">
        <v>988</v>
      </c>
      <c r="B242" s="189" t="s">
        <v>984</v>
      </c>
      <c r="C242" s="135" t="s">
        <v>985</v>
      </c>
      <c r="D242" s="362">
        <v>1200.0</v>
      </c>
      <c r="E242" s="362">
        <v>20000.0</v>
      </c>
      <c r="F242" s="578">
        <f t="shared" si="11"/>
        <v>17</v>
      </c>
      <c r="G242" s="579">
        <f t="shared" si="12"/>
        <v>16.32993162</v>
      </c>
      <c r="H242" s="100"/>
      <c r="I242" s="117"/>
      <c r="J242" s="100"/>
      <c r="K242" s="83"/>
      <c r="L242" s="195" t="s">
        <v>132</v>
      </c>
      <c r="M242" s="324">
        <v>45566.0</v>
      </c>
      <c r="N242" s="112" t="s">
        <v>34</v>
      </c>
      <c r="O242" s="131" t="s">
        <v>986</v>
      </c>
      <c r="P242" s="103" t="s">
        <v>71</v>
      </c>
      <c r="Q242" s="522"/>
      <c r="R242" s="92" t="s">
        <v>987</v>
      </c>
      <c r="S242" s="91">
        <v>441.0</v>
      </c>
    </row>
    <row r="243">
      <c r="A243" s="75" t="s">
        <v>989</v>
      </c>
      <c r="B243" s="76" t="s">
        <v>990</v>
      </c>
      <c r="C243" s="77" t="s">
        <v>991</v>
      </c>
      <c r="D243" s="78">
        <v>40.0</v>
      </c>
      <c r="E243" s="355">
        <v>2000.0</v>
      </c>
      <c r="F243" s="31">
        <f t="shared" si="11"/>
        <v>50</v>
      </c>
      <c r="G243" s="79">
        <f t="shared" si="12"/>
        <v>0.9428090416</v>
      </c>
      <c r="H243" s="580">
        <v>78.76</v>
      </c>
      <c r="I243" s="581">
        <v>55.63</v>
      </c>
      <c r="J243" s="82"/>
      <c r="K243" s="83"/>
      <c r="L243" s="195" t="s">
        <v>132</v>
      </c>
      <c r="M243" s="324">
        <v>45536.0</v>
      </c>
      <c r="N243" s="86" t="s">
        <v>34</v>
      </c>
      <c r="O243" s="352" t="s">
        <v>992</v>
      </c>
      <c r="P243" s="75" t="s">
        <v>36</v>
      </c>
      <c r="Q243" s="89"/>
      <c r="R243" s="90" t="s">
        <v>993</v>
      </c>
      <c r="S243" s="91">
        <v>440.0</v>
      </c>
    </row>
    <row r="244">
      <c r="A244" s="75" t="s">
        <v>994</v>
      </c>
      <c r="B244" s="76" t="s">
        <v>67</v>
      </c>
      <c r="C244" s="77" t="s">
        <v>995</v>
      </c>
      <c r="D244" s="582">
        <v>70.0</v>
      </c>
      <c r="E244" s="582">
        <v>15000.0</v>
      </c>
      <c r="F244" s="31">
        <f t="shared" si="11"/>
        <v>215</v>
      </c>
      <c r="G244" s="79">
        <f t="shared" si="12"/>
        <v>3.415650255</v>
      </c>
      <c r="H244" s="80"/>
      <c r="I244" s="81"/>
      <c r="J244" s="82"/>
      <c r="K244" s="83"/>
      <c r="L244" s="195" t="s">
        <v>132</v>
      </c>
      <c r="M244" s="324">
        <v>45536.0</v>
      </c>
      <c r="N244" s="365" t="s">
        <v>28</v>
      </c>
      <c r="O244" s="87" t="s">
        <v>996</v>
      </c>
      <c r="P244" s="88" t="s">
        <v>71</v>
      </c>
      <c r="Q244" s="89"/>
      <c r="R244" s="583" t="s">
        <v>997</v>
      </c>
      <c r="S244" s="91">
        <v>439.0</v>
      </c>
    </row>
    <row r="245">
      <c r="A245" s="136" t="s">
        <v>998</v>
      </c>
      <c r="B245" s="189" t="s">
        <v>999</v>
      </c>
      <c r="C245" s="248" t="s">
        <v>1000</v>
      </c>
      <c r="D245" s="470">
        <v>8.0</v>
      </c>
      <c r="E245" s="362">
        <v>1000.0</v>
      </c>
      <c r="F245" s="97">
        <f t="shared" si="11"/>
        <v>125</v>
      </c>
      <c r="G245" s="110">
        <f t="shared" si="12"/>
        <v>0.298142397</v>
      </c>
      <c r="H245" s="100"/>
      <c r="I245" s="117"/>
      <c r="J245" s="100"/>
      <c r="K245" s="240"/>
      <c r="L245" s="570" t="s">
        <v>103</v>
      </c>
      <c r="M245" s="324">
        <v>45536.0</v>
      </c>
      <c r="N245" s="112" t="s">
        <v>34</v>
      </c>
      <c r="O245" s="514" t="s">
        <v>1001</v>
      </c>
      <c r="P245" s="103" t="s">
        <v>71</v>
      </c>
      <c r="Q245" s="515"/>
      <c r="R245" s="299" t="s">
        <v>1002</v>
      </c>
      <c r="S245" s="91">
        <v>438.0</v>
      </c>
    </row>
    <row r="246">
      <c r="A246" s="136" t="s">
        <v>1003</v>
      </c>
      <c r="B246" s="229" t="s">
        <v>190</v>
      </c>
      <c r="C246" s="248" t="s">
        <v>1004</v>
      </c>
      <c r="D246" s="138">
        <v>72.0</v>
      </c>
      <c r="E246" s="225">
        <v>18000.0</v>
      </c>
      <c r="F246" s="31">
        <f t="shared" si="11"/>
        <v>250</v>
      </c>
      <c r="G246" s="554">
        <f t="shared" si="12"/>
        <v>3.794733192</v>
      </c>
      <c r="H246" s="555">
        <v>82.0</v>
      </c>
      <c r="I246" s="378"/>
      <c r="J246" s="556"/>
      <c r="K246" s="83"/>
      <c r="L246" s="195" t="s">
        <v>132</v>
      </c>
      <c r="M246" s="324">
        <v>45536.0</v>
      </c>
      <c r="N246" s="112" t="s">
        <v>34</v>
      </c>
      <c r="O246" s="514" t="s">
        <v>1005</v>
      </c>
      <c r="P246" s="145" t="s">
        <v>71</v>
      </c>
      <c r="Q246" s="520"/>
      <c r="R246" s="146" t="s">
        <v>1006</v>
      </c>
      <c r="S246" s="91">
        <v>437.0</v>
      </c>
    </row>
    <row r="247">
      <c r="A247" s="103" t="s">
        <v>1007</v>
      </c>
      <c r="B247" s="115" t="s">
        <v>224</v>
      </c>
      <c r="C247" s="427"/>
      <c r="D247" s="226">
        <v>1000.0</v>
      </c>
      <c r="E247" s="220">
        <v>20000.0</v>
      </c>
      <c r="F247" s="31">
        <f t="shared" si="11"/>
        <v>20</v>
      </c>
      <c r="G247" s="98">
        <f t="shared" si="12"/>
        <v>14.90711985</v>
      </c>
      <c r="H247" s="584"/>
      <c r="I247" s="585"/>
      <c r="J247" s="270"/>
      <c r="K247" s="83"/>
      <c r="L247" s="195" t="s">
        <v>132</v>
      </c>
      <c r="M247" s="111">
        <v>45536.0</v>
      </c>
      <c r="N247" s="365" t="s">
        <v>28</v>
      </c>
      <c r="O247" s="168" t="s">
        <v>1008</v>
      </c>
      <c r="P247" s="156" t="s">
        <v>71</v>
      </c>
      <c r="Q247" s="133"/>
      <c r="R247" s="419" t="s">
        <v>1009</v>
      </c>
      <c r="S247" s="91">
        <v>436.0</v>
      </c>
    </row>
    <row r="248">
      <c r="A248" s="92" t="s">
        <v>1010</v>
      </c>
      <c r="B248" s="115" t="s">
        <v>224</v>
      </c>
      <c r="C248" s="135" t="s">
        <v>1011</v>
      </c>
      <c r="D248" s="194">
        <v>115.0</v>
      </c>
      <c r="E248" s="194">
        <v>10000.0</v>
      </c>
      <c r="F248" s="97">
        <f t="shared" si="11"/>
        <v>87</v>
      </c>
      <c r="G248" s="98">
        <f t="shared" si="12"/>
        <v>3.574601765</v>
      </c>
      <c r="H248" s="523">
        <v>80.9</v>
      </c>
      <c r="I248" s="586"/>
      <c r="J248" s="523"/>
      <c r="K248" s="83"/>
      <c r="L248" s="195" t="s">
        <v>132</v>
      </c>
      <c r="M248" s="324">
        <v>45536.0</v>
      </c>
      <c r="N248" s="86" t="s">
        <v>34</v>
      </c>
      <c r="O248" s="474" t="s">
        <v>226</v>
      </c>
      <c r="P248" s="197" t="s">
        <v>71</v>
      </c>
      <c r="Q248" s="133"/>
      <c r="R248" s="419" t="s">
        <v>1012</v>
      </c>
      <c r="S248" s="91">
        <v>435.0</v>
      </c>
    </row>
    <row r="249">
      <c r="A249" s="92" t="s">
        <v>1013</v>
      </c>
      <c r="B249" s="306" t="s">
        <v>593</v>
      </c>
      <c r="C249" s="135" t="s">
        <v>1014</v>
      </c>
      <c r="D249" s="194">
        <v>0.135</v>
      </c>
      <c r="E249" s="194">
        <v>670.0</v>
      </c>
      <c r="F249" s="97">
        <f t="shared" si="11"/>
        <v>4963</v>
      </c>
      <c r="G249" s="98">
        <f t="shared" si="12"/>
        <v>0.03170173497</v>
      </c>
      <c r="H249" s="523">
        <v>23.02</v>
      </c>
      <c r="I249" s="586"/>
      <c r="J249" s="523"/>
      <c r="K249" s="461"/>
      <c r="L249" s="587" t="s">
        <v>1015</v>
      </c>
      <c r="M249" s="324">
        <v>45536.0</v>
      </c>
      <c r="N249" s="86" t="s">
        <v>34</v>
      </c>
      <c r="O249" s="474" t="s">
        <v>1016</v>
      </c>
      <c r="P249" s="197" t="s">
        <v>71</v>
      </c>
      <c r="Q249" s="133"/>
      <c r="R249" s="134" t="s">
        <v>1017</v>
      </c>
      <c r="S249" s="91">
        <v>434.0</v>
      </c>
    </row>
    <row r="250">
      <c r="A250" s="92" t="s">
        <v>1018</v>
      </c>
      <c r="B250" s="122" t="s">
        <v>56</v>
      </c>
      <c r="C250" s="135" t="s">
        <v>1019</v>
      </c>
      <c r="D250" s="194">
        <v>90.0</v>
      </c>
      <c r="E250" s="194">
        <v>9000.0</v>
      </c>
      <c r="F250" s="97">
        <f t="shared" si="11"/>
        <v>100</v>
      </c>
      <c r="G250" s="98">
        <f t="shared" si="12"/>
        <v>3</v>
      </c>
      <c r="H250" s="586"/>
      <c r="I250" s="586"/>
      <c r="J250" s="523"/>
      <c r="K250" s="83"/>
      <c r="L250" s="195" t="s">
        <v>132</v>
      </c>
      <c r="M250" s="324">
        <v>45536.0</v>
      </c>
      <c r="N250" s="86" t="s">
        <v>34</v>
      </c>
      <c r="O250" s="474" t="s">
        <v>1019</v>
      </c>
      <c r="P250" s="197" t="s">
        <v>71</v>
      </c>
      <c r="Q250" s="133"/>
      <c r="R250" s="134" t="s">
        <v>1020</v>
      </c>
      <c r="S250" s="91">
        <v>433.0</v>
      </c>
    </row>
    <row r="251">
      <c r="A251" s="103" t="s">
        <v>1021</v>
      </c>
      <c r="B251" s="412" t="s">
        <v>56</v>
      </c>
      <c r="C251" s="476" t="s">
        <v>1019</v>
      </c>
      <c r="D251" s="226">
        <v>3.21</v>
      </c>
      <c r="E251" s="169">
        <v>9000.0</v>
      </c>
      <c r="F251" s="31">
        <f t="shared" si="11"/>
        <v>2804</v>
      </c>
      <c r="G251" s="588">
        <f t="shared" si="12"/>
        <v>0.566568619</v>
      </c>
      <c r="H251" s="523">
        <v>63.4</v>
      </c>
      <c r="I251" s="586"/>
      <c r="J251" s="523">
        <v>32.8</v>
      </c>
      <c r="K251" s="83"/>
      <c r="L251" s="195" t="s">
        <v>132</v>
      </c>
      <c r="M251" s="111">
        <v>45536.0</v>
      </c>
      <c r="N251" s="130" t="s">
        <v>34</v>
      </c>
      <c r="O251" s="589" t="s">
        <v>1019</v>
      </c>
      <c r="P251" s="156" t="s">
        <v>71</v>
      </c>
      <c r="Q251" s="272"/>
      <c r="R251" s="158" t="s">
        <v>1022</v>
      </c>
      <c r="S251" s="91">
        <v>432.0</v>
      </c>
    </row>
    <row r="252">
      <c r="A252" s="106" t="s">
        <v>1023</v>
      </c>
      <c r="B252" s="268" t="s">
        <v>252</v>
      </c>
      <c r="C252" s="108" t="s">
        <v>1024</v>
      </c>
      <c r="D252" s="109">
        <v>72.0</v>
      </c>
      <c r="E252" s="194">
        <v>7000.0</v>
      </c>
      <c r="F252" s="161">
        <f t="shared" si="11"/>
        <v>98</v>
      </c>
      <c r="G252" s="125">
        <f t="shared" si="12"/>
        <v>2.366431913</v>
      </c>
      <c r="H252" s="127"/>
      <c r="I252" s="350"/>
      <c r="J252" s="350"/>
      <c r="K252" s="83"/>
      <c r="L252" s="195" t="s">
        <v>132</v>
      </c>
      <c r="M252" s="324">
        <v>45536.0</v>
      </c>
      <c r="N252" s="394" t="s">
        <v>34</v>
      </c>
      <c r="O252" s="205" t="s">
        <v>1025</v>
      </c>
      <c r="P252" s="538" t="s">
        <v>71</v>
      </c>
      <c r="Q252" s="133"/>
      <c r="R252" s="419" t="s">
        <v>1026</v>
      </c>
      <c r="S252" s="91">
        <v>431.0</v>
      </c>
    </row>
    <row r="253">
      <c r="A253" s="92" t="s">
        <v>1027</v>
      </c>
      <c r="B253" s="61" t="s">
        <v>45</v>
      </c>
      <c r="C253" s="135" t="s">
        <v>1028</v>
      </c>
      <c r="D253" s="124">
        <v>200.0</v>
      </c>
      <c r="E253" s="124">
        <v>30000.0</v>
      </c>
      <c r="F253" s="282">
        <f t="shared" si="11"/>
        <v>150</v>
      </c>
      <c r="G253" s="98">
        <f t="shared" si="12"/>
        <v>8.164965809</v>
      </c>
      <c r="H253" s="127"/>
      <c r="I253" s="127">
        <v>75.8</v>
      </c>
      <c r="J253" s="127">
        <v>59.1</v>
      </c>
      <c r="K253" s="83"/>
      <c r="L253" s="195" t="s">
        <v>132</v>
      </c>
      <c r="M253" s="324">
        <v>45536.0</v>
      </c>
      <c r="N253" s="86" t="s">
        <v>34</v>
      </c>
      <c r="O253" s="135" t="s">
        <v>1029</v>
      </c>
      <c r="P253" s="92" t="s">
        <v>36</v>
      </c>
      <c r="Q253" s="133" t="s">
        <v>52</v>
      </c>
      <c r="R253" s="419" t="s">
        <v>1030</v>
      </c>
      <c r="S253" s="91">
        <v>430.0</v>
      </c>
    </row>
    <row r="254">
      <c r="A254" s="106" t="s">
        <v>1031</v>
      </c>
      <c r="B254" s="590" t="s">
        <v>107</v>
      </c>
      <c r="C254" s="108" t="s">
        <v>919</v>
      </c>
      <c r="D254" s="591">
        <v>72.0</v>
      </c>
      <c r="E254" s="109">
        <v>18000.0</v>
      </c>
      <c r="F254" s="161">
        <f t="shared" si="11"/>
        <v>250</v>
      </c>
      <c r="G254" s="125">
        <f t="shared" si="12"/>
        <v>3.794733192</v>
      </c>
      <c r="H254" s="350">
        <v>86.1</v>
      </c>
      <c r="I254" s="350">
        <v>71.1</v>
      </c>
      <c r="J254" s="350">
        <v>49.0</v>
      </c>
      <c r="K254" s="83"/>
      <c r="L254" s="195" t="s">
        <v>132</v>
      </c>
      <c r="M254" s="324">
        <v>45536.0</v>
      </c>
      <c r="N254" s="394" t="s">
        <v>34</v>
      </c>
      <c r="O254" s="592" t="s">
        <v>920</v>
      </c>
      <c r="P254" s="538" t="s">
        <v>71</v>
      </c>
      <c r="Q254" s="593"/>
      <c r="R254" s="543"/>
      <c r="S254" s="91">
        <v>429.0</v>
      </c>
    </row>
    <row r="255">
      <c r="A255" s="106" t="s">
        <v>1032</v>
      </c>
      <c r="B255" s="189" t="s">
        <v>177</v>
      </c>
      <c r="C255" s="108" t="s">
        <v>1033</v>
      </c>
      <c r="D255" s="109">
        <v>60.0</v>
      </c>
      <c r="E255" s="109">
        <v>4025.0</v>
      </c>
      <c r="F255" s="161">
        <f t="shared" si="11"/>
        <v>68</v>
      </c>
      <c r="G255" s="125">
        <f t="shared" si="12"/>
        <v>1.638088317</v>
      </c>
      <c r="H255" s="350">
        <v>79.4</v>
      </c>
      <c r="I255" s="350"/>
      <c r="J255" s="350"/>
      <c r="K255" s="128"/>
      <c r="L255" s="129" t="s">
        <v>69</v>
      </c>
      <c r="M255" s="324">
        <v>45536.0</v>
      </c>
      <c r="N255" s="394" t="s">
        <v>34</v>
      </c>
      <c r="O255" s="594" t="s">
        <v>1034</v>
      </c>
      <c r="P255" s="106" t="s">
        <v>36</v>
      </c>
      <c r="Q255" s="567"/>
      <c r="R255" s="106" t="s">
        <v>1035</v>
      </c>
      <c r="S255" s="91">
        <v>428.0</v>
      </c>
    </row>
    <row r="256">
      <c r="A256" s="106" t="s">
        <v>1036</v>
      </c>
      <c r="B256" s="590" t="s">
        <v>45</v>
      </c>
      <c r="C256" s="595" t="s">
        <v>1037</v>
      </c>
      <c r="D256" s="591">
        <v>27.0</v>
      </c>
      <c r="E256" s="591">
        <v>13000.0</v>
      </c>
      <c r="F256" s="161">
        <f t="shared" si="11"/>
        <v>482</v>
      </c>
      <c r="G256" s="125">
        <f t="shared" si="12"/>
        <v>1.974841766</v>
      </c>
      <c r="H256" s="536"/>
      <c r="I256" s="544"/>
      <c r="J256" s="544"/>
      <c r="K256" s="83"/>
      <c r="L256" s="195" t="s">
        <v>132</v>
      </c>
      <c r="M256" s="324">
        <v>45536.0</v>
      </c>
      <c r="N256" s="394" t="s">
        <v>34</v>
      </c>
      <c r="O256" s="596" t="s">
        <v>1038</v>
      </c>
      <c r="P256" s="538" t="s">
        <v>71</v>
      </c>
      <c r="Q256" s="597"/>
      <c r="R256" s="598" t="s">
        <v>1039</v>
      </c>
      <c r="S256" s="91">
        <v>427.0</v>
      </c>
    </row>
    <row r="257">
      <c r="A257" s="92" t="s">
        <v>1040</v>
      </c>
      <c r="B257" s="61" t="s">
        <v>50</v>
      </c>
      <c r="C257" s="599" t="s">
        <v>1041</v>
      </c>
      <c r="D257" s="488">
        <v>200.0</v>
      </c>
      <c r="E257" s="488">
        <v>20000.0</v>
      </c>
      <c r="F257" s="471">
        <f t="shared" si="11"/>
        <v>100</v>
      </c>
      <c r="G257" s="472">
        <f t="shared" si="12"/>
        <v>6.666666667</v>
      </c>
      <c r="H257" s="127">
        <v>92.3</v>
      </c>
      <c r="I257" s="600">
        <v>91.0</v>
      </c>
      <c r="J257" s="127">
        <v>78.3</v>
      </c>
      <c r="K257" s="83">
        <v>8.8</v>
      </c>
      <c r="L257" s="195" t="s">
        <v>132</v>
      </c>
      <c r="M257" s="324">
        <v>45536.0</v>
      </c>
      <c r="N257" s="99" t="s">
        <v>28</v>
      </c>
      <c r="O257" s="474" t="s">
        <v>1042</v>
      </c>
      <c r="P257" s="132" t="s">
        <v>36</v>
      </c>
      <c r="Q257" s="206" t="s">
        <v>37</v>
      </c>
      <c r="R257" s="207"/>
      <c r="S257" s="91">
        <v>426.0</v>
      </c>
    </row>
    <row r="258">
      <c r="A258" s="92" t="s">
        <v>1043</v>
      </c>
      <c r="B258" s="189" t="s">
        <v>1044</v>
      </c>
      <c r="C258" s="135" t="s">
        <v>1045</v>
      </c>
      <c r="D258" s="194">
        <v>1.54</v>
      </c>
      <c r="E258" s="194">
        <v>2.5</v>
      </c>
      <c r="F258" s="97">
        <f t="shared" si="11"/>
        <v>2</v>
      </c>
      <c r="G258" s="98">
        <f t="shared" si="12"/>
        <v>0.00654047229</v>
      </c>
      <c r="H258" s="127"/>
      <c r="I258" s="204"/>
      <c r="J258" s="204"/>
      <c r="K258" s="128"/>
      <c r="L258" s="601" t="s">
        <v>103</v>
      </c>
      <c r="M258" s="324">
        <v>45536.0</v>
      </c>
      <c r="N258" s="86" t="s">
        <v>34</v>
      </c>
      <c r="O258" s="131" t="s">
        <v>1046</v>
      </c>
      <c r="P258" s="197" t="s">
        <v>71</v>
      </c>
      <c r="Q258" s="572"/>
      <c r="R258" s="573" t="s">
        <v>1047</v>
      </c>
      <c r="S258" s="91">
        <v>425.0</v>
      </c>
    </row>
    <row r="259">
      <c r="A259" s="92" t="s">
        <v>1048</v>
      </c>
      <c r="B259" s="122" t="s">
        <v>269</v>
      </c>
      <c r="C259" s="135" t="s">
        <v>1049</v>
      </c>
      <c r="D259" s="194">
        <v>12.0</v>
      </c>
      <c r="E259" s="124">
        <v>6000.0</v>
      </c>
      <c r="F259" s="97">
        <f t="shared" si="11"/>
        <v>500</v>
      </c>
      <c r="G259" s="98">
        <f t="shared" si="12"/>
        <v>0.894427191</v>
      </c>
      <c r="H259" s="127">
        <v>69.2</v>
      </c>
      <c r="I259" s="204"/>
      <c r="J259" s="204"/>
      <c r="K259" s="83"/>
      <c r="L259" s="195" t="s">
        <v>132</v>
      </c>
      <c r="M259" s="324">
        <v>45536.0</v>
      </c>
      <c r="N259" s="86" t="s">
        <v>34</v>
      </c>
      <c r="O259" s="131" t="s">
        <v>1050</v>
      </c>
      <c r="P259" s="197" t="s">
        <v>71</v>
      </c>
      <c r="Q259" s="572"/>
      <c r="R259" s="573" t="s">
        <v>1051</v>
      </c>
      <c r="S259" s="91">
        <v>424.0</v>
      </c>
    </row>
    <row r="260">
      <c r="A260" s="136" t="s">
        <v>1052</v>
      </c>
      <c r="B260" s="147" t="s">
        <v>32</v>
      </c>
      <c r="C260" s="248" t="s">
        <v>1053</v>
      </c>
      <c r="D260" s="138">
        <v>236.0</v>
      </c>
      <c r="E260" s="138">
        <v>10200.0</v>
      </c>
      <c r="F260" s="97">
        <f t="shared" si="11"/>
        <v>44</v>
      </c>
      <c r="G260" s="98">
        <f t="shared" si="12"/>
        <v>5.171717961</v>
      </c>
      <c r="H260" s="338"/>
      <c r="I260" s="551"/>
      <c r="J260" s="444"/>
      <c r="K260" s="83"/>
      <c r="L260" s="195" t="s">
        <v>132</v>
      </c>
      <c r="M260" s="324">
        <v>45536.0</v>
      </c>
      <c r="N260" s="112" t="s">
        <v>34</v>
      </c>
      <c r="O260" s="602" t="s">
        <v>1054</v>
      </c>
      <c r="P260" s="145" t="s">
        <v>36</v>
      </c>
      <c r="Q260" s="481"/>
      <c r="R260" s="136" t="s">
        <v>1055</v>
      </c>
      <c r="S260" s="91">
        <v>423.0</v>
      </c>
    </row>
    <row r="261">
      <c r="A261" s="103" t="s">
        <v>1056</v>
      </c>
      <c r="B261" s="147" t="s">
        <v>970</v>
      </c>
      <c r="C261" s="255" t="s">
        <v>1057</v>
      </c>
      <c r="D261" s="226">
        <v>9.0</v>
      </c>
      <c r="E261" s="226">
        <v>6200.0</v>
      </c>
      <c r="F261" s="31">
        <f t="shared" si="11"/>
        <v>689</v>
      </c>
      <c r="G261" s="603">
        <f t="shared" si="12"/>
        <v>0.7874007874</v>
      </c>
      <c r="H261" s="604"/>
      <c r="I261" s="605"/>
      <c r="J261" s="270"/>
      <c r="K261" s="83"/>
      <c r="L261" s="195" t="s">
        <v>132</v>
      </c>
      <c r="M261" s="324">
        <v>45536.0</v>
      </c>
      <c r="N261" s="130" t="s">
        <v>34</v>
      </c>
      <c r="O261" s="168" t="s">
        <v>1058</v>
      </c>
      <c r="P261" s="156" t="s">
        <v>71</v>
      </c>
      <c r="Q261" s="464"/>
      <c r="R261" s="103" t="s">
        <v>1059</v>
      </c>
      <c r="S261" s="91">
        <v>422.0</v>
      </c>
    </row>
    <row r="262">
      <c r="A262" s="103" t="s">
        <v>1060</v>
      </c>
      <c r="B262" s="268" t="s">
        <v>252</v>
      </c>
      <c r="C262" s="255" t="s">
        <v>1061</v>
      </c>
      <c r="D262" s="302">
        <v>6.9</v>
      </c>
      <c r="E262" s="226">
        <v>5900.0</v>
      </c>
      <c r="F262" s="161">
        <f t="shared" si="11"/>
        <v>856</v>
      </c>
      <c r="G262" s="125">
        <f t="shared" si="12"/>
        <v>0.6725573086</v>
      </c>
      <c r="H262" s="184">
        <v>54.1</v>
      </c>
      <c r="I262" s="270"/>
      <c r="J262" s="184">
        <v>23.0</v>
      </c>
      <c r="K262" s="83"/>
      <c r="L262" s="195" t="s">
        <v>132</v>
      </c>
      <c r="M262" s="324">
        <v>45536.0</v>
      </c>
      <c r="N262" s="606" t="s">
        <v>34</v>
      </c>
      <c r="O262" s="168" t="s">
        <v>1062</v>
      </c>
      <c r="P262" s="440" t="s">
        <v>36</v>
      </c>
      <c r="Q262" s="272"/>
      <c r="R262" s="158" t="s">
        <v>1063</v>
      </c>
      <c r="S262" s="91">
        <v>421.0</v>
      </c>
    </row>
    <row r="263">
      <c r="A263" s="179" t="s">
        <v>1064</v>
      </c>
      <c r="B263" s="179" t="s">
        <v>294</v>
      </c>
      <c r="C263" s="208"/>
      <c r="D263" s="124">
        <v>20.0</v>
      </c>
      <c r="E263" s="124">
        <v>2000.0</v>
      </c>
      <c r="F263" s="161">
        <f t="shared" si="11"/>
        <v>100</v>
      </c>
      <c r="G263" s="125">
        <f t="shared" si="12"/>
        <v>0.6666666667</v>
      </c>
      <c r="H263" s="184"/>
      <c r="I263" s="183"/>
      <c r="J263" s="184"/>
      <c r="K263" s="83"/>
      <c r="L263" s="195" t="s">
        <v>132</v>
      </c>
      <c r="M263" s="324">
        <v>45505.0</v>
      </c>
      <c r="N263" s="606" t="s">
        <v>34</v>
      </c>
      <c r="O263" s="559" t="s">
        <v>1065</v>
      </c>
      <c r="P263" s="136" t="s">
        <v>71</v>
      </c>
      <c r="Q263" s="272"/>
      <c r="R263" s="158" t="s">
        <v>1066</v>
      </c>
      <c r="S263" s="91">
        <v>420.0</v>
      </c>
    </row>
    <row r="264">
      <c r="A264" s="103" t="s">
        <v>1067</v>
      </c>
      <c r="B264" s="268" t="s">
        <v>67</v>
      </c>
      <c r="C264" s="427" t="s">
        <v>1068</v>
      </c>
      <c r="D264" s="302">
        <v>141.0</v>
      </c>
      <c r="E264" s="169"/>
      <c r="F264" s="31" t="str">
        <f t="shared" si="11"/>
        <v/>
      </c>
      <c r="G264" s="428" t="str">
        <f t="shared" si="12"/>
        <v/>
      </c>
      <c r="H264" s="270"/>
      <c r="I264" s="270"/>
      <c r="J264" s="270"/>
      <c r="K264" s="83"/>
      <c r="L264" s="195" t="s">
        <v>132</v>
      </c>
      <c r="M264" s="324">
        <v>45505.0</v>
      </c>
      <c r="N264" s="130" t="s">
        <v>34</v>
      </c>
      <c r="O264" s="168" t="s">
        <v>1068</v>
      </c>
      <c r="P264" s="440" t="s">
        <v>36</v>
      </c>
      <c r="Q264" s="272"/>
      <c r="R264" s="158" t="s">
        <v>1069</v>
      </c>
      <c r="S264" s="91">
        <v>419.0</v>
      </c>
    </row>
    <row r="265">
      <c r="A265" s="92" t="s">
        <v>1070</v>
      </c>
      <c r="B265" s="179" t="s">
        <v>1071</v>
      </c>
      <c r="C265" s="208" t="s">
        <v>1072</v>
      </c>
      <c r="D265" s="124">
        <v>20.0</v>
      </c>
      <c r="E265" s="124">
        <v>2000.0</v>
      </c>
      <c r="F265" s="161">
        <f t="shared" si="11"/>
        <v>100</v>
      </c>
      <c r="G265" s="125">
        <f t="shared" si="12"/>
        <v>0.6666666667</v>
      </c>
      <c r="H265" s="184"/>
      <c r="I265" s="183"/>
      <c r="J265" s="184"/>
      <c r="K265" s="83"/>
      <c r="L265" s="195" t="s">
        <v>132</v>
      </c>
      <c r="M265" s="324">
        <v>45505.0</v>
      </c>
      <c r="N265" s="365" t="s">
        <v>28</v>
      </c>
      <c r="O265" s="559" t="s">
        <v>1072</v>
      </c>
      <c r="P265" s="136" t="s">
        <v>71</v>
      </c>
      <c r="Q265" s="311"/>
      <c r="R265" s="236" t="s">
        <v>1073</v>
      </c>
      <c r="S265" s="91">
        <v>418.0</v>
      </c>
    </row>
    <row r="266">
      <c r="A266" s="92" t="s">
        <v>1074</v>
      </c>
      <c r="B266" s="179" t="s">
        <v>1075</v>
      </c>
      <c r="C266" s="208" t="s">
        <v>1076</v>
      </c>
      <c r="D266" s="194">
        <v>1.3</v>
      </c>
      <c r="E266" s="194">
        <v>1500.0</v>
      </c>
      <c r="F266" s="161">
        <f t="shared" si="11"/>
        <v>1154</v>
      </c>
      <c r="G266" s="125">
        <f t="shared" si="12"/>
        <v>0.1471960144</v>
      </c>
      <c r="H266" s="184">
        <v>32.6</v>
      </c>
      <c r="I266" s="183"/>
      <c r="J266" s="184"/>
      <c r="K266" s="83"/>
      <c r="L266" s="195" t="s">
        <v>132</v>
      </c>
      <c r="M266" s="324">
        <v>45505.0</v>
      </c>
      <c r="N266" s="351" t="s">
        <v>34</v>
      </c>
      <c r="O266" s="559" t="s">
        <v>1077</v>
      </c>
      <c r="P266" s="136" t="s">
        <v>71</v>
      </c>
      <c r="Q266" s="311"/>
      <c r="R266" s="236" t="s">
        <v>1078</v>
      </c>
      <c r="S266" s="91">
        <v>417.0</v>
      </c>
    </row>
    <row r="267">
      <c r="A267" s="92" t="s">
        <v>1079</v>
      </c>
      <c r="B267" s="61" t="s">
        <v>45</v>
      </c>
      <c r="C267" s="208" t="s">
        <v>1080</v>
      </c>
      <c r="D267" s="194">
        <v>8.0</v>
      </c>
      <c r="E267" s="124">
        <v>8000.0</v>
      </c>
      <c r="F267" s="161">
        <f t="shared" si="11"/>
        <v>1000</v>
      </c>
      <c r="G267" s="125">
        <f t="shared" si="12"/>
        <v>0.8432740427</v>
      </c>
      <c r="H267" s="184">
        <v>68.1</v>
      </c>
      <c r="I267" s="183"/>
      <c r="J267" s="184">
        <v>30.8</v>
      </c>
      <c r="K267" s="83"/>
      <c r="L267" s="195" t="s">
        <v>132</v>
      </c>
      <c r="M267" s="324">
        <v>45505.0</v>
      </c>
      <c r="N267" s="351" t="s">
        <v>34</v>
      </c>
      <c r="O267" s="559" t="s">
        <v>1081</v>
      </c>
      <c r="P267" s="136" t="s">
        <v>71</v>
      </c>
      <c r="Q267" s="311"/>
      <c r="R267" s="199" t="s">
        <v>1082</v>
      </c>
      <c r="S267" s="91">
        <v>416.0</v>
      </c>
    </row>
    <row r="268">
      <c r="A268" s="106" t="s">
        <v>1083</v>
      </c>
      <c r="B268" s="189" t="s">
        <v>1084</v>
      </c>
      <c r="C268" s="607" t="s">
        <v>1085</v>
      </c>
      <c r="D268" s="553">
        <v>7.0</v>
      </c>
      <c r="E268" s="553">
        <v>7700.0</v>
      </c>
      <c r="F268" s="392">
        <f t="shared" si="11"/>
        <v>1100</v>
      </c>
      <c r="G268" s="110">
        <f t="shared" si="12"/>
        <v>0.7738791177</v>
      </c>
      <c r="H268" s="100"/>
      <c r="I268" s="117"/>
      <c r="J268" s="100"/>
      <c r="K268" s="83"/>
      <c r="L268" s="195" t="s">
        <v>132</v>
      </c>
      <c r="M268" s="324">
        <v>45505.0</v>
      </c>
      <c r="N268" s="86" t="s">
        <v>34</v>
      </c>
      <c r="O268" s="474" t="s">
        <v>1086</v>
      </c>
      <c r="P268" s="103" t="s">
        <v>71</v>
      </c>
      <c r="Q268" s="608"/>
      <c r="R268" s="609"/>
      <c r="S268" s="91">
        <v>415.0</v>
      </c>
    </row>
    <row r="269">
      <c r="A269" s="136" t="s">
        <v>1087</v>
      </c>
      <c r="B269" s="146" t="s">
        <v>681</v>
      </c>
      <c r="C269" s="248" t="s">
        <v>1088</v>
      </c>
      <c r="D269" s="249">
        <v>1.3</v>
      </c>
      <c r="E269" s="249">
        <v>26.0</v>
      </c>
      <c r="F269" s="31">
        <f t="shared" si="11"/>
        <v>20</v>
      </c>
      <c r="G269" s="610">
        <f t="shared" si="12"/>
        <v>0.0193792558</v>
      </c>
      <c r="H269" s="611"/>
      <c r="I269" s="611"/>
      <c r="J269" s="513"/>
      <c r="K269" s="612"/>
      <c r="L269" s="613" t="s">
        <v>1015</v>
      </c>
      <c r="M269" s="324">
        <v>45505.0</v>
      </c>
      <c r="N269" s="112" t="s">
        <v>34</v>
      </c>
      <c r="O269" s="223" t="s">
        <v>1089</v>
      </c>
      <c r="P269" s="92" t="s">
        <v>71</v>
      </c>
      <c r="Q269" s="325"/>
      <c r="R269" s="375" t="s">
        <v>1090</v>
      </c>
      <c r="S269" s="91">
        <v>414.0</v>
      </c>
    </row>
    <row r="270">
      <c r="A270" s="136" t="s">
        <v>1091</v>
      </c>
      <c r="B270" s="224" t="s">
        <v>589</v>
      </c>
      <c r="C270" s="248" t="s">
        <v>1092</v>
      </c>
      <c r="D270" s="249">
        <v>398.0</v>
      </c>
      <c r="E270" s="96">
        <v>8000.0</v>
      </c>
      <c r="F270" s="31">
        <f t="shared" si="11"/>
        <v>21</v>
      </c>
      <c r="G270" s="610">
        <f t="shared" si="12"/>
        <v>5.94792214</v>
      </c>
      <c r="H270" s="611">
        <v>81.2</v>
      </c>
      <c r="I270" s="611">
        <v>53.5</v>
      </c>
      <c r="J270" s="513">
        <v>36.9</v>
      </c>
      <c r="K270" s="83"/>
      <c r="L270" s="195" t="s">
        <v>132</v>
      </c>
      <c r="M270" s="324">
        <v>45505.0</v>
      </c>
      <c r="N270" s="112" t="s">
        <v>34</v>
      </c>
      <c r="O270" s="223" t="s">
        <v>1093</v>
      </c>
      <c r="P270" s="440" t="s">
        <v>36</v>
      </c>
      <c r="Q270" s="325"/>
      <c r="R270" s="375" t="s">
        <v>1094</v>
      </c>
      <c r="S270" s="91">
        <v>413.0</v>
      </c>
    </row>
    <row r="271">
      <c r="A271" s="136" t="s">
        <v>1095</v>
      </c>
      <c r="B271" s="189" t="s">
        <v>177</v>
      </c>
      <c r="C271" s="248" t="s">
        <v>1096</v>
      </c>
      <c r="D271" s="225">
        <v>60.0</v>
      </c>
      <c r="E271" s="225">
        <v>4900.0</v>
      </c>
      <c r="F271" s="31">
        <f t="shared" si="11"/>
        <v>82</v>
      </c>
      <c r="G271" s="508">
        <f t="shared" si="12"/>
        <v>1.807392228</v>
      </c>
      <c r="H271" s="513">
        <v>78.9</v>
      </c>
      <c r="I271" s="513">
        <v>54.3</v>
      </c>
      <c r="J271" s="513">
        <v>36.8</v>
      </c>
      <c r="K271" s="128"/>
      <c r="L271" s="129" t="s">
        <v>69</v>
      </c>
      <c r="M271" s="324">
        <v>45505.0</v>
      </c>
      <c r="N271" s="112" t="s">
        <v>34</v>
      </c>
      <c r="O271" s="514" t="s">
        <v>1097</v>
      </c>
      <c r="P271" s="136" t="s">
        <v>36</v>
      </c>
      <c r="Q271" s="481"/>
      <c r="R271" s="136"/>
      <c r="S271" s="91">
        <v>412.0</v>
      </c>
    </row>
    <row r="272">
      <c r="A272" s="92" t="s">
        <v>1098</v>
      </c>
      <c r="B272" s="189" t="s">
        <v>177</v>
      </c>
      <c r="C272" s="248" t="s">
        <v>1099</v>
      </c>
      <c r="D272" s="194">
        <v>3.8</v>
      </c>
      <c r="E272" s="194">
        <v>3400.0</v>
      </c>
      <c r="F272" s="97">
        <f t="shared" si="11"/>
        <v>895</v>
      </c>
      <c r="G272" s="98">
        <f t="shared" si="12"/>
        <v>0.3788872597</v>
      </c>
      <c r="H272" s="127">
        <v>65.5</v>
      </c>
      <c r="I272" s="350">
        <v>47.4</v>
      </c>
      <c r="J272" s="127">
        <v>25.2</v>
      </c>
      <c r="K272" s="128"/>
      <c r="L272" s="129" t="s">
        <v>69</v>
      </c>
      <c r="M272" s="324">
        <v>45505.0</v>
      </c>
      <c r="N272" s="86" t="s">
        <v>34</v>
      </c>
      <c r="O272" s="474" t="s">
        <v>1100</v>
      </c>
      <c r="P272" s="92" t="s">
        <v>71</v>
      </c>
      <c r="Q272" s="481"/>
      <c r="R272" s="136"/>
      <c r="S272" s="91">
        <v>411.0</v>
      </c>
    </row>
    <row r="273">
      <c r="A273" s="75" t="s">
        <v>1101</v>
      </c>
      <c r="B273" s="229" t="s">
        <v>190</v>
      </c>
      <c r="C273" s="346" t="s">
        <v>1102</v>
      </c>
      <c r="D273" s="78">
        <v>4.0</v>
      </c>
      <c r="E273" s="355">
        <v>94.0</v>
      </c>
      <c r="F273" s="31">
        <f t="shared" si="11"/>
        <v>24</v>
      </c>
      <c r="G273" s="402">
        <f t="shared" si="12"/>
        <v>0.06463573143</v>
      </c>
      <c r="H273" s="329">
        <v>58.6</v>
      </c>
      <c r="I273" s="82"/>
      <c r="J273" s="82"/>
      <c r="K273" s="83"/>
      <c r="L273" s="195" t="s">
        <v>132</v>
      </c>
      <c r="M273" s="324">
        <v>45505.0</v>
      </c>
      <c r="N273" s="351" t="s">
        <v>34</v>
      </c>
      <c r="O273" s="87" t="s">
        <v>1103</v>
      </c>
      <c r="P273" s="538" t="s">
        <v>71</v>
      </c>
      <c r="Q273" s="89"/>
      <c r="R273" s="583" t="s">
        <v>1104</v>
      </c>
      <c r="S273" s="91">
        <v>410.0</v>
      </c>
    </row>
    <row r="274">
      <c r="A274" s="92" t="s">
        <v>1105</v>
      </c>
      <c r="B274" s="179" t="s">
        <v>1106</v>
      </c>
      <c r="C274" s="614" t="s">
        <v>1107</v>
      </c>
      <c r="D274" s="194">
        <v>2.0</v>
      </c>
      <c r="E274" s="194">
        <v>4000.0</v>
      </c>
      <c r="F274" s="161">
        <f t="shared" si="11"/>
        <v>2000</v>
      </c>
      <c r="G274" s="125">
        <f t="shared" si="12"/>
        <v>0.298142397</v>
      </c>
      <c r="H274" s="184"/>
      <c r="I274" s="184"/>
      <c r="J274" s="184"/>
      <c r="K274" s="83"/>
      <c r="L274" s="195" t="s">
        <v>132</v>
      </c>
      <c r="M274" s="324">
        <v>45505.0</v>
      </c>
      <c r="N274" s="394" t="s">
        <v>34</v>
      </c>
      <c r="O274" s="474" t="s">
        <v>1107</v>
      </c>
      <c r="P274" s="538" t="s">
        <v>71</v>
      </c>
      <c r="Q274" s="133"/>
      <c r="R274" s="188" t="s">
        <v>1108</v>
      </c>
      <c r="S274" s="91">
        <v>409.0</v>
      </c>
    </row>
    <row r="275">
      <c r="A275" s="92" t="s">
        <v>1109</v>
      </c>
      <c r="B275" s="189" t="s">
        <v>126</v>
      </c>
      <c r="C275" s="615" t="s">
        <v>1110</v>
      </c>
      <c r="D275" s="124">
        <v>400.0</v>
      </c>
      <c r="E275" s="124">
        <v>15000.0</v>
      </c>
      <c r="F275" s="97">
        <f t="shared" si="11"/>
        <v>38</v>
      </c>
      <c r="G275" s="98">
        <f t="shared" si="12"/>
        <v>8.164965809</v>
      </c>
      <c r="H275" s="184">
        <v>87.5</v>
      </c>
      <c r="I275" s="184">
        <v>75.5</v>
      </c>
      <c r="J275" s="184">
        <v>56.0</v>
      </c>
      <c r="K275" s="83">
        <v>3.9</v>
      </c>
      <c r="L275" s="195" t="s">
        <v>132</v>
      </c>
      <c r="M275" s="324">
        <v>45505.0</v>
      </c>
      <c r="N275" s="86" t="s">
        <v>34</v>
      </c>
      <c r="O275" s="474" t="s">
        <v>1111</v>
      </c>
      <c r="P275" s="367" t="s">
        <v>71</v>
      </c>
      <c r="Q275" s="133" t="s">
        <v>52</v>
      </c>
      <c r="R275" s="241" t="s">
        <v>1112</v>
      </c>
      <c r="S275" s="91">
        <v>408.0</v>
      </c>
    </row>
    <row r="276">
      <c r="A276" s="106" t="s">
        <v>1113</v>
      </c>
      <c r="B276" s="179" t="s">
        <v>257</v>
      </c>
      <c r="C276" s="108" t="s">
        <v>1114</v>
      </c>
      <c r="D276" s="109">
        <v>7.8</v>
      </c>
      <c r="E276" s="109">
        <v>8000.0</v>
      </c>
      <c r="F276" s="161">
        <f t="shared" si="11"/>
        <v>1026</v>
      </c>
      <c r="G276" s="125">
        <f t="shared" si="12"/>
        <v>0.8326663998</v>
      </c>
      <c r="H276" s="350"/>
      <c r="I276" s="350">
        <v>27.4</v>
      </c>
      <c r="J276" s="350">
        <v>10.1</v>
      </c>
      <c r="K276" s="83"/>
      <c r="L276" s="195" t="s">
        <v>132</v>
      </c>
      <c r="M276" s="324">
        <v>45505.0</v>
      </c>
      <c r="N276" s="394" t="s">
        <v>34</v>
      </c>
      <c r="O276" s="537" t="s">
        <v>1115</v>
      </c>
      <c r="P276" s="106" t="s">
        <v>71</v>
      </c>
      <c r="Q276" s="616"/>
      <c r="R276" s="617" t="s">
        <v>1116</v>
      </c>
      <c r="S276" s="91">
        <v>407.0</v>
      </c>
    </row>
    <row r="277">
      <c r="A277" s="106" t="s">
        <v>1117</v>
      </c>
      <c r="B277" s="189" t="s">
        <v>372</v>
      </c>
      <c r="C277" s="108" t="s">
        <v>1118</v>
      </c>
      <c r="D277" s="109">
        <v>7.0</v>
      </c>
      <c r="E277" s="116">
        <v>6000.0</v>
      </c>
      <c r="F277" s="161">
        <f t="shared" si="11"/>
        <v>858</v>
      </c>
      <c r="G277" s="125">
        <f t="shared" si="12"/>
        <v>0.6831300511</v>
      </c>
      <c r="H277" s="350">
        <v>62.11</v>
      </c>
      <c r="I277" s="350">
        <v>14.47</v>
      </c>
      <c r="J277" s="350">
        <v>8.05</v>
      </c>
      <c r="K277" s="83"/>
      <c r="L277" s="195" t="s">
        <v>132</v>
      </c>
      <c r="M277" s="324">
        <v>45505.0</v>
      </c>
      <c r="N277" s="394" t="s">
        <v>34</v>
      </c>
      <c r="O277" s="537" t="s">
        <v>1119</v>
      </c>
      <c r="P277" s="538" t="s">
        <v>71</v>
      </c>
      <c r="Q277" s="616"/>
      <c r="R277" s="618" t="s">
        <v>1120</v>
      </c>
      <c r="S277" s="91">
        <v>406.0</v>
      </c>
    </row>
    <row r="278">
      <c r="A278" s="106" t="s">
        <v>1121</v>
      </c>
      <c r="B278" s="543" t="s">
        <v>1122</v>
      </c>
      <c r="C278" s="326" t="s">
        <v>1123</v>
      </c>
      <c r="D278" s="619">
        <v>70.0</v>
      </c>
      <c r="E278" s="116">
        <v>1200.0</v>
      </c>
      <c r="F278" s="161">
        <f t="shared" si="11"/>
        <v>18</v>
      </c>
      <c r="G278" s="125">
        <f t="shared" si="12"/>
        <v>0.9660917831</v>
      </c>
      <c r="H278" s="544"/>
      <c r="I278" s="544"/>
      <c r="J278" s="544"/>
      <c r="K278" s="620"/>
      <c r="L278" s="621" t="s">
        <v>103</v>
      </c>
      <c r="M278" s="324">
        <v>45474.0</v>
      </c>
      <c r="N278" s="394" t="s">
        <v>34</v>
      </c>
      <c r="O278" s="592" t="s">
        <v>1124</v>
      </c>
      <c r="P278" s="538" t="s">
        <v>71</v>
      </c>
      <c r="Q278" s="622"/>
      <c r="R278" s="623" t="s">
        <v>1125</v>
      </c>
      <c r="S278" s="91">
        <v>405.0</v>
      </c>
    </row>
    <row r="279">
      <c r="A279" s="103" t="s">
        <v>1126</v>
      </c>
      <c r="B279" s="268" t="s">
        <v>1122</v>
      </c>
      <c r="C279" s="427" t="s">
        <v>1127</v>
      </c>
      <c r="D279" s="302">
        <v>70.0</v>
      </c>
      <c r="E279" s="220">
        <v>1200.0</v>
      </c>
      <c r="F279" s="313">
        <f t="shared" si="11"/>
        <v>18</v>
      </c>
      <c r="G279" s="624">
        <f t="shared" si="12"/>
        <v>0.9660917831</v>
      </c>
      <c r="H279" s="270"/>
      <c r="I279" s="270"/>
      <c r="J279" s="270"/>
      <c r="K279" s="625"/>
      <c r="L279" s="626" t="s">
        <v>103</v>
      </c>
      <c r="M279" s="324">
        <v>45474.0</v>
      </c>
      <c r="N279" s="130" t="s">
        <v>34</v>
      </c>
      <c r="O279" s="168" t="s">
        <v>1124</v>
      </c>
      <c r="P279" s="156" t="s">
        <v>71</v>
      </c>
      <c r="Q279" s="272"/>
      <c r="R279" s="158" t="s">
        <v>1128</v>
      </c>
      <c r="S279" s="91">
        <v>404.0</v>
      </c>
    </row>
    <row r="280">
      <c r="A280" s="92" t="s">
        <v>1129</v>
      </c>
      <c r="B280" s="306" t="s">
        <v>975</v>
      </c>
      <c r="C280" s="135" t="s">
        <v>1130</v>
      </c>
      <c r="D280" s="194">
        <v>2.7</v>
      </c>
      <c r="E280" s="194">
        <v>3100.0</v>
      </c>
      <c r="F280" s="97">
        <f t="shared" si="11"/>
        <v>1149</v>
      </c>
      <c r="G280" s="98">
        <f t="shared" si="12"/>
        <v>0.3049590136</v>
      </c>
      <c r="H280" s="126">
        <v>55.0</v>
      </c>
      <c r="I280" s="204"/>
      <c r="J280" s="204"/>
      <c r="K280" s="83"/>
      <c r="L280" s="195" t="s">
        <v>132</v>
      </c>
      <c r="M280" s="324">
        <v>45474.0</v>
      </c>
      <c r="N280" s="86" t="s">
        <v>34</v>
      </c>
      <c r="O280" s="131" t="s">
        <v>1131</v>
      </c>
      <c r="P280" s="92" t="s">
        <v>71</v>
      </c>
      <c r="Q280" s="572"/>
      <c r="R280" s="573" t="s">
        <v>1132</v>
      </c>
      <c r="S280" s="91">
        <v>403.0</v>
      </c>
    </row>
    <row r="281">
      <c r="A281" s="106" t="s">
        <v>1133</v>
      </c>
      <c r="B281" s="543" t="s">
        <v>190</v>
      </c>
      <c r="C281" s="135" t="s">
        <v>1134</v>
      </c>
      <c r="D281" s="591">
        <v>4.0</v>
      </c>
      <c r="E281" s="116">
        <v>94.0</v>
      </c>
      <c r="F281" s="161">
        <f t="shared" si="11"/>
        <v>24</v>
      </c>
      <c r="G281" s="125">
        <f t="shared" si="12"/>
        <v>0.06463573143</v>
      </c>
      <c r="H281" s="350">
        <v>63.8</v>
      </c>
      <c r="I281" s="544"/>
      <c r="J281" s="544"/>
      <c r="K281" s="83"/>
      <c r="L281" s="195" t="s">
        <v>132</v>
      </c>
      <c r="M281" s="324">
        <v>45474.0</v>
      </c>
      <c r="N281" s="394" t="s">
        <v>34</v>
      </c>
      <c r="O281" s="592" t="s">
        <v>1135</v>
      </c>
      <c r="P281" s="538" t="s">
        <v>71</v>
      </c>
      <c r="Q281" s="616"/>
      <c r="R281" s="618" t="s">
        <v>1136</v>
      </c>
      <c r="S281" s="91">
        <v>402.0</v>
      </c>
    </row>
    <row r="282">
      <c r="A282" s="92" t="s">
        <v>1137</v>
      </c>
      <c r="B282" s="122" t="s">
        <v>269</v>
      </c>
      <c r="C282" s="398" t="s">
        <v>1138</v>
      </c>
      <c r="D282" s="194">
        <v>123.0</v>
      </c>
      <c r="E282" s="449">
        <v>8000.0</v>
      </c>
      <c r="F282" s="97">
        <f t="shared" si="11"/>
        <v>66</v>
      </c>
      <c r="G282" s="98">
        <f t="shared" si="12"/>
        <v>3.306559138</v>
      </c>
      <c r="H282" s="127">
        <v>84.0</v>
      </c>
      <c r="I282" s="204"/>
      <c r="J282" s="204"/>
      <c r="K282" s="83"/>
      <c r="L282" s="195" t="s">
        <v>132</v>
      </c>
      <c r="M282" s="324">
        <v>45474.0</v>
      </c>
      <c r="N282" s="86" t="s">
        <v>34</v>
      </c>
      <c r="O282" s="131" t="s">
        <v>1139</v>
      </c>
      <c r="P282" s="197" t="s">
        <v>71</v>
      </c>
      <c r="Q282" s="572"/>
      <c r="R282" s="573" t="s">
        <v>1140</v>
      </c>
      <c r="S282" s="91">
        <v>401.0</v>
      </c>
    </row>
    <row r="283">
      <c r="A283" s="92" t="s">
        <v>1141</v>
      </c>
      <c r="B283" s="122" t="s">
        <v>56</v>
      </c>
      <c r="C283" s="135" t="s">
        <v>1142</v>
      </c>
      <c r="D283" s="293">
        <v>405.0</v>
      </c>
      <c r="E283" s="194">
        <v>15600.0</v>
      </c>
      <c r="F283" s="97">
        <f t="shared" si="11"/>
        <v>39</v>
      </c>
      <c r="G283" s="98">
        <f t="shared" si="12"/>
        <v>8.378544026</v>
      </c>
      <c r="H283" s="523">
        <v>88.6</v>
      </c>
      <c r="I283" s="523">
        <v>73.3</v>
      </c>
      <c r="J283" s="523">
        <v>51.1</v>
      </c>
      <c r="K283" s="83"/>
      <c r="L283" s="195" t="s">
        <v>132</v>
      </c>
      <c r="M283" s="324">
        <v>45474.0</v>
      </c>
      <c r="N283" s="86" t="s">
        <v>34</v>
      </c>
      <c r="O283" s="474" t="s">
        <v>1143</v>
      </c>
      <c r="P283" s="197" t="s">
        <v>71</v>
      </c>
      <c r="Q283" s="133" t="s">
        <v>52</v>
      </c>
      <c r="R283" s="419" t="s">
        <v>1144</v>
      </c>
      <c r="S283" s="91">
        <v>400.0</v>
      </c>
    </row>
    <row r="284">
      <c r="A284" s="92" t="s">
        <v>1145</v>
      </c>
      <c r="B284" s="122" t="s">
        <v>50</v>
      </c>
      <c r="C284" s="599" t="s">
        <v>1041</v>
      </c>
      <c r="D284" s="194">
        <v>8.0</v>
      </c>
      <c r="E284" s="124">
        <v>13000.0</v>
      </c>
      <c r="F284" s="97">
        <f t="shared" si="11"/>
        <v>1625</v>
      </c>
      <c r="G284" s="98">
        <f t="shared" si="12"/>
        <v>1.0749677</v>
      </c>
      <c r="H284" s="127">
        <v>82.0</v>
      </c>
      <c r="I284" s="627"/>
      <c r="J284" s="127">
        <v>40.2</v>
      </c>
      <c r="K284" s="83"/>
      <c r="L284" s="195" t="s">
        <v>132</v>
      </c>
      <c r="M284" s="324">
        <v>45474.0</v>
      </c>
      <c r="N284" s="86" t="s">
        <v>34</v>
      </c>
      <c r="O284" s="205" t="s">
        <v>1146</v>
      </c>
      <c r="P284" s="197" t="s">
        <v>36</v>
      </c>
      <c r="Q284" s="133"/>
      <c r="R284" s="419" t="s">
        <v>1147</v>
      </c>
      <c r="S284" s="91">
        <v>399.0</v>
      </c>
    </row>
    <row r="285">
      <c r="A285" s="103" t="s">
        <v>1148</v>
      </c>
      <c r="B285" s="284" t="s">
        <v>269</v>
      </c>
      <c r="C285" s="255" t="s">
        <v>1149</v>
      </c>
      <c r="D285" s="226">
        <v>12.0</v>
      </c>
      <c r="E285" s="149">
        <v>2000.0</v>
      </c>
      <c r="F285" s="31">
        <f t="shared" si="11"/>
        <v>167</v>
      </c>
      <c r="G285" s="628">
        <f t="shared" si="12"/>
        <v>0.5163977795</v>
      </c>
      <c r="H285" s="100">
        <v>68.0</v>
      </c>
      <c r="I285" s="270"/>
      <c r="J285" s="270"/>
      <c r="K285" s="83"/>
      <c r="L285" s="195" t="s">
        <v>132</v>
      </c>
      <c r="M285" s="324">
        <v>45474.0</v>
      </c>
      <c r="N285" s="130" t="s">
        <v>34</v>
      </c>
      <c r="O285" s="259" t="s">
        <v>1150</v>
      </c>
      <c r="P285" s="268" t="s">
        <v>71</v>
      </c>
      <c r="Q285" s="629"/>
      <c r="R285" s="317" t="s">
        <v>1151</v>
      </c>
      <c r="S285" s="91">
        <v>398.0</v>
      </c>
    </row>
    <row r="286">
      <c r="A286" s="103" t="s">
        <v>1152</v>
      </c>
      <c r="B286" s="284" t="s">
        <v>269</v>
      </c>
      <c r="C286" s="427" t="s">
        <v>1153</v>
      </c>
      <c r="D286" s="226">
        <v>7.0</v>
      </c>
      <c r="E286" s="149">
        <v>2000.0</v>
      </c>
      <c r="F286" s="31">
        <f t="shared" si="11"/>
        <v>286</v>
      </c>
      <c r="G286" s="628">
        <f t="shared" si="12"/>
        <v>0.3944053189</v>
      </c>
      <c r="H286" s="270"/>
      <c r="I286" s="270"/>
      <c r="J286" s="270"/>
      <c r="K286" s="83"/>
      <c r="L286" s="195" t="s">
        <v>132</v>
      </c>
      <c r="M286" s="324">
        <v>45474.0</v>
      </c>
      <c r="N286" s="130" t="s">
        <v>34</v>
      </c>
      <c r="O286" s="259" t="s">
        <v>1154</v>
      </c>
      <c r="P286" s="268" t="s">
        <v>71</v>
      </c>
      <c r="Q286" s="272"/>
      <c r="R286" s="158" t="s">
        <v>1155</v>
      </c>
      <c r="S286" s="91">
        <v>397.0</v>
      </c>
    </row>
    <row r="287">
      <c r="A287" s="103" t="s">
        <v>1156</v>
      </c>
      <c r="B287" s="284" t="s">
        <v>269</v>
      </c>
      <c r="C287" s="427" t="s">
        <v>1157</v>
      </c>
      <c r="D287" s="226">
        <v>7.0</v>
      </c>
      <c r="E287" s="149">
        <v>2000.0</v>
      </c>
      <c r="F287" s="31">
        <f t="shared" si="11"/>
        <v>286</v>
      </c>
      <c r="G287" s="628">
        <f t="shared" si="12"/>
        <v>0.3944053189</v>
      </c>
      <c r="H287" s="100">
        <v>63.47</v>
      </c>
      <c r="I287" s="270"/>
      <c r="J287" s="270"/>
      <c r="K287" s="83"/>
      <c r="L287" s="195" t="s">
        <v>132</v>
      </c>
      <c r="M287" s="324">
        <v>45474.0</v>
      </c>
      <c r="N287" s="130" t="s">
        <v>34</v>
      </c>
      <c r="O287" s="259" t="s">
        <v>1158</v>
      </c>
      <c r="P287" s="268" t="s">
        <v>71</v>
      </c>
      <c r="Q287" s="272"/>
      <c r="R287" s="158" t="s">
        <v>1159</v>
      </c>
      <c r="S287" s="91">
        <v>396.0</v>
      </c>
    </row>
    <row r="288">
      <c r="A288" s="103" t="s">
        <v>1160</v>
      </c>
      <c r="B288" s="290" t="s">
        <v>177</v>
      </c>
      <c r="C288" s="630"/>
      <c r="D288" s="191">
        <v>1760.0</v>
      </c>
      <c r="E288" s="124">
        <v>13000.0</v>
      </c>
      <c r="F288" s="31">
        <f t="shared" si="11"/>
        <v>8</v>
      </c>
      <c r="G288" s="441">
        <f t="shared" si="12"/>
        <v>15.94434766</v>
      </c>
      <c r="H288" s="270"/>
      <c r="I288" s="270"/>
      <c r="J288" s="270"/>
      <c r="K288" s="83"/>
      <c r="L288" s="195" t="s">
        <v>132</v>
      </c>
      <c r="M288" s="111">
        <v>45474.0</v>
      </c>
      <c r="N288" s="365" t="s">
        <v>28</v>
      </c>
      <c r="O288" s="168" t="s">
        <v>1161</v>
      </c>
      <c r="P288" s="156" t="s">
        <v>71</v>
      </c>
      <c r="Q288" s="464"/>
      <c r="R288" s="103" t="s">
        <v>1162</v>
      </c>
      <c r="S288" s="91">
        <v>395.0</v>
      </c>
    </row>
    <row r="289">
      <c r="A289" s="103" t="s">
        <v>1163</v>
      </c>
      <c r="B289" s="268" t="s">
        <v>294</v>
      </c>
      <c r="C289" s="631" t="s">
        <v>1164</v>
      </c>
      <c r="D289" s="226">
        <v>3.9</v>
      </c>
      <c r="E289" s="226">
        <v>300.0</v>
      </c>
      <c r="F289" s="31">
        <f t="shared" si="11"/>
        <v>77</v>
      </c>
      <c r="G289" s="110">
        <f t="shared" si="12"/>
        <v>0.1140175425</v>
      </c>
      <c r="H289" s="632">
        <v>32.8</v>
      </c>
      <c r="I289" s="151"/>
      <c r="J289" s="151"/>
      <c r="K289" s="151"/>
      <c r="L289" s="175" t="s">
        <v>69</v>
      </c>
      <c r="M289" s="324">
        <v>45474.0</v>
      </c>
      <c r="N289" s="112" t="s">
        <v>34</v>
      </c>
      <c r="O289" s="176" t="s">
        <v>1165</v>
      </c>
      <c r="P289" s="156" t="s">
        <v>71</v>
      </c>
      <c r="Q289" s="151"/>
      <c r="R289" s="158" t="s">
        <v>1166</v>
      </c>
      <c r="S289" s="91">
        <v>394.0</v>
      </c>
    </row>
    <row r="290">
      <c r="A290" s="136" t="s">
        <v>1167</v>
      </c>
      <c r="B290" s="179" t="s">
        <v>1168</v>
      </c>
      <c r="C290" s="248" t="s">
        <v>1169</v>
      </c>
      <c r="D290" s="219">
        <v>7.0</v>
      </c>
      <c r="E290" s="219">
        <v>1000.0</v>
      </c>
      <c r="F290" s="139">
        <f t="shared" si="11"/>
        <v>143</v>
      </c>
      <c r="G290" s="562">
        <f t="shared" si="12"/>
        <v>0.2788866755</v>
      </c>
      <c r="H290" s="100"/>
      <c r="I290" s="444"/>
      <c r="J290" s="444"/>
      <c r="K290" s="612"/>
      <c r="L290" s="633" t="s">
        <v>103</v>
      </c>
      <c r="M290" s="324">
        <v>45474.0</v>
      </c>
      <c r="N290" s="112" t="s">
        <v>34</v>
      </c>
      <c r="O290" s="514" t="s">
        <v>1170</v>
      </c>
      <c r="P290" s="136" t="s">
        <v>71</v>
      </c>
      <c r="Q290" s="252"/>
      <c r="R290" s="253" t="s">
        <v>1171</v>
      </c>
      <c r="S290" s="91">
        <v>393.0</v>
      </c>
    </row>
    <row r="291">
      <c r="A291" s="136" t="s">
        <v>1172</v>
      </c>
      <c r="B291" s="189" t="s">
        <v>940</v>
      </c>
      <c r="C291" s="248" t="s">
        <v>1173</v>
      </c>
      <c r="D291" s="225">
        <v>1.7</v>
      </c>
      <c r="E291" s="225">
        <v>1000.0</v>
      </c>
      <c r="F291" s="139">
        <f t="shared" si="11"/>
        <v>589</v>
      </c>
      <c r="G291" s="562">
        <f t="shared" si="12"/>
        <v>0.1374368542</v>
      </c>
      <c r="H291" s="100">
        <v>39.97</v>
      </c>
      <c r="I291" s="444"/>
      <c r="J291" s="444"/>
      <c r="K291" s="83"/>
      <c r="L291" s="195" t="s">
        <v>132</v>
      </c>
      <c r="M291" s="324">
        <v>45474.0</v>
      </c>
      <c r="N291" s="112" t="s">
        <v>34</v>
      </c>
      <c r="O291" s="514" t="s">
        <v>1174</v>
      </c>
      <c r="P291" s="145" t="s">
        <v>71</v>
      </c>
      <c r="Q291" s="252"/>
      <c r="R291" s="253" t="s">
        <v>1175</v>
      </c>
      <c r="S291" s="91">
        <v>392.0</v>
      </c>
    </row>
    <row r="292">
      <c r="A292" s="136" t="s">
        <v>1176</v>
      </c>
      <c r="B292" s="634" t="s">
        <v>1177</v>
      </c>
      <c r="C292" s="248" t="s">
        <v>1178</v>
      </c>
      <c r="D292" s="225">
        <v>9.0</v>
      </c>
      <c r="E292" s="219">
        <v>1000.0</v>
      </c>
      <c r="F292" s="139">
        <f t="shared" si="11"/>
        <v>112</v>
      </c>
      <c r="G292" s="562">
        <f t="shared" si="12"/>
        <v>0.316227766</v>
      </c>
      <c r="H292" s="100"/>
      <c r="I292" s="444"/>
      <c r="J292" s="444"/>
      <c r="K292" s="83"/>
      <c r="L292" s="195" t="s">
        <v>132</v>
      </c>
      <c r="M292" s="324">
        <v>45474.0</v>
      </c>
      <c r="N292" s="112" t="s">
        <v>34</v>
      </c>
      <c r="O292" s="514" t="s">
        <v>1179</v>
      </c>
      <c r="P292" s="145" t="s">
        <v>71</v>
      </c>
      <c r="Q292" s="252"/>
      <c r="R292" s="253" t="s">
        <v>1180</v>
      </c>
      <c r="S292" s="91">
        <v>391.0</v>
      </c>
    </row>
    <row r="293">
      <c r="A293" s="136" t="s">
        <v>1181</v>
      </c>
      <c r="B293" s="58" t="s">
        <v>45</v>
      </c>
      <c r="C293" s="635"/>
      <c r="D293" s="225">
        <v>24.0</v>
      </c>
      <c r="E293" s="219">
        <v>1000.0</v>
      </c>
      <c r="F293" s="31">
        <f t="shared" si="11"/>
        <v>42</v>
      </c>
      <c r="G293" s="636">
        <f t="shared" si="12"/>
        <v>0.5163977795</v>
      </c>
      <c r="H293" s="637"/>
      <c r="I293" s="444"/>
      <c r="J293" s="444"/>
      <c r="K293" s="83"/>
      <c r="L293" s="638" t="s">
        <v>1182</v>
      </c>
      <c r="M293" s="324">
        <v>45474.0</v>
      </c>
      <c r="N293" s="639" t="s">
        <v>28</v>
      </c>
      <c r="O293" s="230" t="s">
        <v>1183</v>
      </c>
      <c r="P293" s="145" t="s">
        <v>71</v>
      </c>
      <c r="Q293" s="640"/>
      <c r="R293" s="641" t="s">
        <v>1184</v>
      </c>
      <c r="S293" s="91">
        <v>390.0</v>
      </c>
    </row>
    <row r="294">
      <c r="A294" s="103" t="s">
        <v>1185</v>
      </c>
      <c r="B294" s="254" t="s">
        <v>232</v>
      </c>
      <c r="C294" s="255" t="s">
        <v>1186</v>
      </c>
      <c r="D294" s="226">
        <v>1000.0</v>
      </c>
      <c r="E294" s="220">
        <v>13000.0</v>
      </c>
      <c r="F294" s="139">
        <f t="shared" si="11"/>
        <v>13</v>
      </c>
      <c r="G294" s="256">
        <f t="shared" si="12"/>
        <v>12.01850425</v>
      </c>
      <c r="H294" s="257">
        <v>82.9</v>
      </c>
      <c r="I294" s="100">
        <v>63.0</v>
      </c>
      <c r="J294" s="270"/>
      <c r="K294" s="83"/>
      <c r="L294" s="195" t="s">
        <v>132</v>
      </c>
      <c r="M294" s="324">
        <v>45474.0</v>
      </c>
      <c r="N294" s="130" t="s">
        <v>34</v>
      </c>
      <c r="O294" s="259" t="s">
        <v>1187</v>
      </c>
      <c r="P294" s="103" t="s">
        <v>36</v>
      </c>
      <c r="Q294" s="260"/>
      <c r="R294" s="261" t="s">
        <v>1188</v>
      </c>
      <c r="S294" s="91">
        <v>389.0</v>
      </c>
    </row>
    <row r="295">
      <c r="A295" s="136" t="s">
        <v>1189</v>
      </c>
      <c r="B295" s="634" t="s">
        <v>1190</v>
      </c>
      <c r="C295" s="248" t="s">
        <v>1191</v>
      </c>
      <c r="D295" s="225">
        <v>4.0</v>
      </c>
      <c r="E295" s="225">
        <v>6000.0</v>
      </c>
      <c r="F295" s="139">
        <f t="shared" si="11"/>
        <v>1500</v>
      </c>
      <c r="G295" s="562">
        <f t="shared" si="12"/>
        <v>0.5163977795</v>
      </c>
      <c r="H295" s="100">
        <v>55.18</v>
      </c>
      <c r="I295" s="444"/>
      <c r="J295" s="444"/>
      <c r="K295" s="128"/>
      <c r="L295" s="129" t="s">
        <v>69</v>
      </c>
      <c r="M295" s="324">
        <v>45474.0</v>
      </c>
      <c r="N295" s="112" t="s">
        <v>34</v>
      </c>
      <c r="O295" s="514" t="s">
        <v>1192</v>
      </c>
      <c r="P295" s="145" t="s">
        <v>71</v>
      </c>
      <c r="Q295" s="252"/>
      <c r="R295" s="458" t="s">
        <v>1193</v>
      </c>
      <c r="S295" s="91">
        <v>388.0</v>
      </c>
    </row>
    <row r="296">
      <c r="A296" s="136" t="s">
        <v>1194</v>
      </c>
      <c r="B296" s="290" t="s">
        <v>177</v>
      </c>
      <c r="C296" s="642"/>
      <c r="D296" s="225">
        <v>0.067</v>
      </c>
      <c r="E296" s="225">
        <v>1.2</v>
      </c>
      <c r="F296" s="139">
        <f t="shared" si="11"/>
        <v>18</v>
      </c>
      <c r="G296" s="562">
        <f t="shared" si="12"/>
        <v>0.0009451631253</v>
      </c>
      <c r="H296" s="444"/>
      <c r="I296" s="444"/>
      <c r="J296" s="444"/>
      <c r="K296" s="128"/>
      <c r="L296" s="129" t="s">
        <v>69</v>
      </c>
      <c r="M296" s="324">
        <v>45474.0</v>
      </c>
      <c r="N296" s="639" t="s">
        <v>28</v>
      </c>
      <c r="O296" s="514" t="s">
        <v>1195</v>
      </c>
      <c r="P296" s="145" t="s">
        <v>71</v>
      </c>
      <c r="Q296" s="481"/>
      <c r="R296" s="136" t="s">
        <v>1196</v>
      </c>
      <c r="S296" s="91">
        <v>387.0</v>
      </c>
    </row>
    <row r="297">
      <c r="A297" s="136" t="s">
        <v>1197</v>
      </c>
      <c r="B297" s="147" t="s">
        <v>1198</v>
      </c>
      <c r="C297" s="135" t="s">
        <v>1199</v>
      </c>
      <c r="D297" s="219">
        <v>600.0</v>
      </c>
      <c r="E297" s="219">
        <v>10000.0</v>
      </c>
      <c r="F297" s="31">
        <f t="shared" si="11"/>
        <v>17</v>
      </c>
      <c r="G297" s="643">
        <f t="shared" si="12"/>
        <v>8.164965809</v>
      </c>
      <c r="H297" s="644"/>
      <c r="I297" s="444"/>
      <c r="J297" s="468"/>
      <c r="K297" s="128"/>
      <c r="L297" s="129" t="s">
        <v>69</v>
      </c>
      <c r="M297" s="324">
        <v>45474.0</v>
      </c>
      <c r="N297" s="112" t="s">
        <v>34</v>
      </c>
      <c r="O297" s="267" t="s">
        <v>1200</v>
      </c>
      <c r="P297" s="145" t="s">
        <v>36</v>
      </c>
      <c r="Q297" s="645"/>
      <c r="R297" s="646" t="s">
        <v>1201</v>
      </c>
      <c r="S297" s="91">
        <v>386.0</v>
      </c>
    </row>
    <row r="298">
      <c r="A298" s="92" t="s">
        <v>1202</v>
      </c>
      <c r="B298" s="647" t="s">
        <v>724</v>
      </c>
      <c r="C298" s="135" t="s">
        <v>1203</v>
      </c>
      <c r="D298" s="470">
        <v>7.0</v>
      </c>
      <c r="E298" s="362">
        <v>1000.0</v>
      </c>
      <c r="F298" s="97">
        <f t="shared" si="11"/>
        <v>143</v>
      </c>
      <c r="G298" s="98">
        <f t="shared" si="12"/>
        <v>0.2788866755</v>
      </c>
      <c r="H298" s="100"/>
      <c r="I298" s="117"/>
      <c r="J298" s="100"/>
      <c r="K298" s="128"/>
      <c r="L298" s="129" t="s">
        <v>69</v>
      </c>
      <c r="M298" s="324">
        <v>45474.0</v>
      </c>
      <c r="N298" s="112" t="s">
        <v>34</v>
      </c>
      <c r="O298" s="131" t="s">
        <v>1204</v>
      </c>
      <c r="P298" s="103" t="s">
        <v>71</v>
      </c>
      <c r="Q298" s="522"/>
      <c r="R298" s="92" t="s">
        <v>1205</v>
      </c>
      <c r="S298" s="91">
        <v>385.0</v>
      </c>
    </row>
    <row r="299">
      <c r="A299" s="92" t="s">
        <v>1206</v>
      </c>
      <c r="B299" s="648" t="s">
        <v>228</v>
      </c>
      <c r="C299" s="135" t="s">
        <v>1207</v>
      </c>
      <c r="D299" s="470">
        <v>20.0</v>
      </c>
      <c r="E299" s="362">
        <v>2600.0</v>
      </c>
      <c r="F299" s="97">
        <f t="shared" si="11"/>
        <v>130</v>
      </c>
      <c r="G299" s="98">
        <f t="shared" si="12"/>
        <v>0.7601169501</v>
      </c>
      <c r="H299" s="100">
        <v>73.5</v>
      </c>
      <c r="I299" s="117"/>
      <c r="J299" s="100">
        <v>38.4</v>
      </c>
      <c r="K299" s="83"/>
      <c r="L299" s="195" t="s">
        <v>132</v>
      </c>
      <c r="M299" s="324">
        <v>45474.0</v>
      </c>
      <c r="N299" s="351" t="s">
        <v>34</v>
      </c>
      <c r="O299" s="131" t="s">
        <v>1208</v>
      </c>
      <c r="P299" s="103" t="s">
        <v>71</v>
      </c>
      <c r="Q299" s="522"/>
      <c r="R299" s="92" t="s">
        <v>1209</v>
      </c>
      <c r="S299" s="91">
        <v>384.0</v>
      </c>
    </row>
    <row r="300">
      <c r="A300" s="136" t="s">
        <v>1210</v>
      </c>
      <c r="B300" s="147" t="s">
        <v>999</v>
      </c>
      <c r="C300" s="218" t="s">
        <v>1211</v>
      </c>
      <c r="D300" s="225">
        <v>1000.0</v>
      </c>
      <c r="E300" s="225">
        <v>15700.0</v>
      </c>
      <c r="F300" s="31">
        <f t="shared" si="11"/>
        <v>16</v>
      </c>
      <c r="G300" s="649">
        <f t="shared" si="12"/>
        <v>13.20774184</v>
      </c>
      <c r="H300" s="650"/>
      <c r="I300" s="444"/>
      <c r="J300" s="444"/>
      <c r="K300" s="83"/>
      <c r="L300" s="195" t="s">
        <v>132</v>
      </c>
      <c r="M300" s="324">
        <v>45474.0</v>
      </c>
      <c r="N300" s="112" t="s">
        <v>34</v>
      </c>
      <c r="O300" s="230" t="s">
        <v>1212</v>
      </c>
      <c r="P300" s="145" t="s">
        <v>71</v>
      </c>
      <c r="Q300" s="481"/>
      <c r="R300" s="136" t="s">
        <v>1213</v>
      </c>
      <c r="S300" s="91">
        <v>383.0</v>
      </c>
    </row>
    <row r="301">
      <c r="A301" s="75" t="s">
        <v>1214</v>
      </c>
      <c r="B301" s="486" t="s">
        <v>757</v>
      </c>
      <c r="C301" s="346" t="s">
        <v>1215</v>
      </c>
      <c r="D301" s="78">
        <v>12.0</v>
      </c>
      <c r="E301" s="78">
        <v>1700.0</v>
      </c>
      <c r="F301" s="31">
        <f t="shared" si="11"/>
        <v>142</v>
      </c>
      <c r="G301" s="651">
        <f t="shared" si="12"/>
        <v>0.4760952286</v>
      </c>
      <c r="H301" s="100">
        <v>55.7</v>
      </c>
      <c r="I301" s="82"/>
      <c r="J301" s="82"/>
      <c r="K301" s="83"/>
      <c r="L301" s="195" t="s">
        <v>132</v>
      </c>
      <c r="M301" s="324">
        <v>45474.0</v>
      </c>
      <c r="N301" s="112" t="s">
        <v>34</v>
      </c>
      <c r="O301" s="87" t="s">
        <v>1216</v>
      </c>
      <c r="P301" s="75" t="s">
        <v>71</v>
      </c>
      <c r="Q301" s="571"/>
      <c r="R301" s="75" t="s">
        <v>1217</v>
      </c>
      <c r="S301" s="91">
        <v>382.0</v>
      </c>
    </row>
    <row r="302">
      <c r="A302" s="75" t="s">
        <v>1218</v>
      </c>
      <c r="B302" s="147" t="s">
        <v>41</v>
      </c>
      <c r="C302" s="354" t="s">
        <v>562</v>
      </c>
      <c r="D302" s="355">
        <v>200.0</v>
      </c>
      <c r="E302" s="355">
        <v>20000.0</v>
      </c>
      <c r="F302" s="31">
        <f t="shared" si="11"/>
        <v>100</v>
      </c>
      <c r="G302" s="651">
        <f t="shared" si="12"/>
        <v>6.666666667</v>
      </c>
      <c r="H302" s="82"/>
      <c r="I302" s="82"/>
      <c r="J302" s="82"/>
      <c r="K302" s="83"/>
      <c r="L302" s="195" t="s">
        <v>132</v>
      </c>
      <c r="M302" s="652">
        <v>45444.0</v>
      </c>
      <c r="N302" s="351" t="s">
        <v>34</v>
      </c>
      <c r="O302" s="87" t="s">
        <v>1219</v>
      </c>
      <c r="P302" s="88" t="s">
        <v>71</v>
      </c>
      <c r="Q302" s="571"/>
      <c r="R302" s="75" t="s">
        <v>1220</v>
      </c>
      <c r="S302" s="91">
        <v>381.0</v>
      </c>
    </row>
    <row r="303">
      <c r="A303" s="92" t="s">
        <v>1221</v>
      </c>
      <c r="B303" s="61" t="s">
        <v>45</v>
      </c>
      <c r="C303" s="208" t="s">
        <v>1222</v>
      </c>
      <c r="D303" s="194">
        <v>27.0</v>
      </c>
      <c r="E303" s="194">
        <v>13000.0</v>
      </c>
      <c r="F303" s="161">
        <f t="shared" si="11"/>
        <v>482</v>
      </c>
      <c r="G303" s="125">
        <f t="shared" si="12"/>
        <v>1.974841766</v>
      </c>
      <c r="H303" s="184">
        <v>75.2</v>
      </c>
      <c r="I303" s="183"/>
      <c r="J303" s="183"/>
      <c r="K303" s="83"/>
      <c r="L303" s="195" t="s">
        <v>132</v>
      </c>
      <c r="M303" s="652">
        <v>45444.0</v>
      </c>
      <c r="N303" s="351" t="s">
        <v>34</v>
      </c>
      <c r="O303" s="653" t="s">
        <v>1223</v>
      </c>
      <c r="P303" s="136" t="s">
        <v>71</v>
      </c>
      <c r="Q303" s="311"/>
      <c r="R303" s="199" t="s">
        <v>1224</v>
      </c>
      <c r="S303" s="91">
        <v>380.0</v>
      </c>
    </row>
    <row r="304">
      <c r="A304" s="106" t="s">
        <v>1225</v>
      </c>
      <c r="B304" s="61" t="s">
        <v>50</v>
      </c>
      <c r="C304" s="654"/>
      <c r="D304" s="116">
        <v>3.0</v>
      </c>
      <c r="E304" s="116">
        <v>1000.0</v>
      </c>
      <c r="F304" s="392">
        <f t="shared" si="11"/>
        <v>334</v>
      </c>
      <c r="G304" s="110">
        <f t="shared" si="12"/>
        <v>0.1825741858</v>
      </c>
      <c r="H304" s="100"/>
      <c r="I304" s="117"/>
      <c r="J304" s="100"/>
      <c r="K304" s="83"/>
      <c r="L304" s="638" t="s">
        <v>103</v>
      </c>
      <c r="M304" s="652">
        <v>45444.0</v>
      </c>
      <c r="N304" s="639" t="s">
        <v>28</v>
      </c>
      <c r="O304" s="474" t="s">
        <v>1226</v>
      </c>
      <c r="P304" s="103" t="s">
        <v>71</v>
      </c>
      <c r="Q304" s="616"/>
      <c r="R304" s="618" t="s">
        <v>1227</v>
      </c>
      <c r="S304" s="91">
        <v>379.0</v>
      </c>
    </row>
    <row r="305">
      <c r="A305" s="136" t="s">
        <v>1228</v>
      </c>
      <c r="B305" s="623" t="s">
        <v>298</v>
      </c>
      <c r="C305" s="655" t="s">
        <v>1229</v>
      </c>
      <c r="D305" s="225">
        <v>3.0</v>
      </c>
      <c r="E305" s="355">
        <v>1000.0</v>
      </c>
      <c r="F305" s="656">
        <f t="shared" si="11"/>
        <v>334</v>
      </c>
      <c r="G305" s="657">
        <f t="shared" si="12"/>
        <v>0.1825741858</v>
      </c>
      <c r="H305" s="444"/>
      <c r="I305" s="444"/>
      <c r="J305" s="586"/>
      <c r="K305" s="612"/>
      <c r="L305" s="633" t="s">
        <v>103</v>
      </c>
      <c r="M305" s="652">
        <v>45444.0</v>
      </c>
      <c r="N305" s="351" t="s">
        <v>34</v>
      </c>
      <c r="O305" s="514" t="s">
        <v>1230</v>
      </c>
      <c r="P305" s="136" t="s">
        <v>71</v>
      </c>
      <c r="Q305" s="515"/>
      <c r="R305" s="299" t="s">
        <v>1231</v>
      </c>
      <c r="S305" s="91">
        <v>378.0</v>
      </c>
    </row>
    <row r="306">
      <c r="A306" s="136" t="s">
        <v>1232</v>
      </c>
      <c r="B306" s="623" t="s">
        <v>1233</v>
      </c>
      <c r="C306" s="655" t="s">
        <v>1234</v>
      </c>
      <c r="D306" s="225">
        <v>98.0</v>
      </c>
      <c r="E306" s="78">
        <v>771.0</v>
      </c>
      <c r="F306" s="656">
        <f t="shared" si="11"/>
        <v>8</v>
      </c>
      <c r="G306" s="657">
        <f t="shared" si="12"/>
        <v>0.9162605161</v>
      </c>
      <c r="H306" s="444"/>
      <c r="I306" s="444"/>
      <c r="J306" s="586"/>
      <c r="K306" s="612"/>
      <c r="L306" s="633" t="s">
        <v>103</v>
      </c>
      <c r="M306" s="652">
        <v>45444.0</v>
      </c>
      <c r="N306" s="86" t="s">
        <v>1235</v>
      </c>
      <c r="O306" s="514" t="s">
        <v>1236</v>
      </c>
      <c r="P306" s="136" t="s">
        <v>71</v>
      </c>
      <c r="Q306" s="515"/>
      <c r="R306" s="331" t="s">
        <v>1237</v>
      </c>
      <c r="S306" s="91">
        <v>377.0</v>
      </c>
    </row>
    <row r="307">
      <c r="A307" s="136" t="s">
        <v>1238</v>
      </c>
      <c r="B307" s="147" t="s">
        <v>405</v>
      </c>
      <c r="C307" s="655" t="s">
        <v>1239</v>
      </c>
      <c r="D307" s="225">
        <v>1000.0</v>
      </c>
      <c r="E307" s="355">
        <v>20000.0</v>
      </c>
      <c r="F307" s="656">
        <f t="shared" si="11"/>
        <v>20</v>
      </c>
      <c r="G307" s="657">
        <f t="shared" si="12"/>
        <v>14.90711985</v>
      </c>
      <c r="H307" s="444"/>
      <c r="I307" s="444"/>
      <c r="J307" s="444"/>
      <c r="K307" s="83"/>
      <c r="L307" s="195" t="s">
        <v>132</v>
      </c>
      <c r="M307" s="652">
        <v>45444.0</v>
      </c>
      <c r="N307" s="86" t="s">
        <v>1235</v>
      </c>
      <c r="O307" s="514" t="s">
        <v>1240</v>
      </c>
      <c r="P307" s="145" t="s">
        <v>36</v>
      </c>
      <c r="Q307" s="515"/>
      <c r="R307" s="299" t="s">
        <v>1241</v>
      </c>
      <c r="S307" s="91">
        <v>376.0</v>
      </c>
    </row>
    <row r="308">
      <c r="A308" s="92" t="s">
        <v>1242</v>
      </c>
      <c r="B308" s="189" t="s">
        <v>90</v>
      </c>
      <c r="C308" s="135" t="s">
        <v>1243</v>
      </c>
      <c r="D308" s="124">
        <v>70.0</v>
      </c>
      <c r="E308" s="124">
        <v>15000.0</v>
      </c>
      <c r="F308" s="97">
        <f t="shared" si="11"/>
        <v>215</v>
      </c>
      <c r="G308" s="658">
        <f t="shared" si="12"/>
        <v>3.415650255</v>
      </c>
      <c r="H308" s="564">
        <v>88.7</v>
      </c>
      <c r="I308" s="564">
        <v>76.1</v>
      </c>
      <c r="J308" s="127">
        <v>67.2</v>
      </c>
      <c r="K308" s="83">
        <v>4.8</v>
      </c>
      <c r="L308" s="195" t="s">
        <v>132</v>
      </c>
      <c r="M308" s="324">
        <v>45444.0</v>
      </c>
      <c r="N308" s="99" t="s">
        <v>28</v>
      </c>
      <c r="O308" s="474" t="s">
        <v>1244</v>
      </c>
      <c r="P308" s="92" t="s">
        <v>71</v>
      </c>
      <c r="Q308" s="565" t="s">
        <v>52</v>
      </c>
      <c r="R308" s="659" t="s">
        <v>1245</v>
      </c>
      <c r="S308" s="91">
        <v>375.0</v>
      </c>
    </row>
    <row r="309">
      <c r="A309" s="106" t="s">
        <v>1246</v>
      </c>
      <c r="B309" s="159" t="s">
        <v>32</v>
      </c>
      <c r="C309" s="660" t="s">
        <v>1247</v>
      </c>
      <c r="D309" s="591">
        <v>236.0</v>
      </c>
      <c r="E309" s="109">
        <v>10200.0</v>
      </c>
      <c r="F309" s="97">
        <f t="shared" si="11"/>
        <v>44</v>
      </c>
      <c r="G309" s="658">
        <f t="shared" si="12"/>
        <v>5.171717961</v>
      </c>
      <c r="H309" s="350">
        <v>79.2</v>
      </c>
      <c r="I309" s="661">
        <v>63.63</v>
      </c>
      <c r="J309" s="536"/>
      <c r="K309" s="83"/>
      <c r="L309" s="195" t="s">
        <v>132</v>
      </c>
      <c r="M309" s="662">
        <v>45444.0</v>
      </c>
      <c r="N309" s="394" t="s">
        <v>34</v>
      </c>
      <c r="O309" s="594" t="s">
        <v>1054</v>
      </c>
      <c r="P309" s="538" t="s">
        <v>36</v>
      </c>
      <c r="Q309" s="663"/>
      <c r="R309" s="664" t="s">
        <v>1248</v>
      </c>
      <c r="S309" s="91">
        <v>374.0</v>
      </c>
    </row>
    <row r="310">
      <c r="A310" s="92" t="s">
        <v>1249</v>
      </c>
      <c r="B310" s="189" t="s">
        <v>776</v>
      </c>
      <c r="C310" s="135" t="s">
        <v>1250</v>
      </c>
      <c r="D310" s="194">
        <v>7.0</v>
      </c>
      <c r="E310" s="194">
        <v>2600.0</v>
      </c>
      <c r="F310" s="97">
        <f t="shared" si="11"/>
        <v>372</v>
      </c>
      <c r="G310" s="98">
        <f t="shared" si="12"/>
        <v>0.4496912521</v>
      </c>
      <c r="H310" s="127">
        <v>63.7</v>
      </c>
      <c r="I310" s="627"/>
      <c r="J310" s="127"/>
      <c r="K310" s="83"/>
      <c r="L310" s="195" t="s">
        <v>132</v>
      </c>
      <c r="M310" s="662">
        <v>45444.0</v>
      </c>
      <c r="N310" s="86" t="s">
        <v>1235</v>
      </c>
      <c r="O310" s="474" t="s">
        <v>1251</v>
      </c>
      <c r="P310" s="92" t="s">
        <v>71</v>
      </c>
      <c r="Q310" s="565"/>
      <c r="R310" s="659" t="s">
        <v>1252</v>
      </c>
      <c r="S310" s="91">
        <v>373.0</v>
      </c>
    </row>
    <row r="311">
      <c r="A311" s="92" t="s">
        <v>1253</v>
      </c>
      <c r="B311" s="189" t="s">
        <v>190</v>
      </c>
      <c r="C311" s="135" t="s">
        <v>1254</v>
      </c>
      <c r="D311" s="194">
        <v>340.0</v>
      </c>
      <c r="E311" s="194">
        <v>9000.0</v>
      </c>
      <c r="F311" s="97">
        <f t="shared" si="11"/>
        <v>27</v>
      </c>
      <c r="G311" s="98">
        <f t="shared" si="12"/>
        <v>5.830951895</v>
      </c>
      <c r="H311" s="127">
        <v>81.1</v>
      </c>
      <c r="I311" s="627"/>
      <c r="J311" s="127"/>
      <c r="K311" s="83"/>
      <c r="L311" s="195" t="s">
        <v>132</v>
      </c>
      <c r="M311" s="324">
        <v>45444.0</v>
      </c>
      <c r="N311" s="86" t="s">
        <v>34</v>
      </c>
      <c r="O311" s="474" t="s">
        <v>1255</v>
      </c>
      <c r="P311" s="92" t="s">
        <v>71</v>
      </c>
      <c r="Q311" s="565" t="s">
        <v>52</v>
      </c>
      <c r="R311" s="659" t="s">
        <v>1256</v>
      </c>
      <c r="S311" s="91">
        <v>372.0</v>
      </c>
    </row>
    <row r="312">
      <c r="A312" s="103" t="s">
        <v>1257</v>
      </c>
      <c r="B312" s="189" t="s">
        <v>298</v>
      </c>
      <c r="C312" s="255" t="s">
        <v>1258</v>
      </c>
      <c r="D312" s="226">
        <v>3.04</v>
      </c>
      <c r="E312" s="226">
        <v>1500.0</v>
      </c>
      <c r="F312" s="31">
        <f t="shared" si="11"/>
        <v>494</v>
      </c>
      <c r="G312" s="228">
        <f t="shared" si="12"/>
        <v>0.2250925735</v>
      </c>
      <c r="H312" s="513">
        <v>26.76</v>
      </c>
      <c r="I312" s="350"/>
      <c r="J312" s="100"/>
      <c r="K312" s="83"/>
      <c r="L312" s="195" t="s">
        <v>132</v>
      </c>
      <c r="M312" s="85">
        <v>45444.0</v>
      </c>
      <c r="N312" s="130" t="s">
        <v>34</v>
      </c>
      <c r="O312" s="168" t="s">
        <v>1259</v>
      </c>
      <c r="P312" s="145" t="s">
        <v>71</v>
      </c>
      <c r="Q312" s="665"/>
      <c r="R312" s="666" t="s">
        <v>1260</v>
      </c>
      <c r="S312" s="91">
        <v>371.0</v>
      </c>
    </row>
    <row r="313">
      <c r="A313" s="103" t="s">
        <v>1261</v>
      </c>
      <c r="B313" s="189" t="s">
        <v>1262</v>
      </c>
      <c r="C313" s="255" t="s">
        <v>1263</v>
      </c>
      <c r="D313" s="226">
        <v>2.7</v>
      </c>
      <c r="E313" s="226">
        <v>100.0</v>
      </c>
      <c r="F313" s="31">
        <f t="shared" si="11"/>
        <v>38</v>
      </c>
      <c r="G313" s="228">
        <f t="shared" si="12"/>
        <v>0.05477225575</v>
      </c>
      <c r="H313" s="127"/>
      <c r="I313" s="350"/>
      <c r="J313" s="100"/>
      <c r="K313" s="83"/>
      <c r="L313" s="195" t="s">
        <v>132</v>
      </c>
      <c r="M313" s="85">
        <v>45444.0</v>
      </c>
      <c r="N313" s="130" t="s">
        <v>34</v>
      </c>
      <c r="O313" s="168" t="s">
        <v>1264</v>
      </c>
      <c r="P313" s="145" t="s">
        <v>71</v>
      </c>
      <c r="Q313" s="665"/>
      <c r="R313" s="667" t="s">
        <v>1265</v>
      </c>
      <c r="S313" s="91">
        <v>370.0</v>
      </c>
    </row>
    <row r="314">
      <c r="A314" s="103" t="s">
        <v>1266</v>
      </c>
      <c r="B314" s="179" t="s">
        <v>1267</v>
      </c>
      <c r="C314" s="631" t="s">
        <v>1268</v>
      </c>
      <c r="D314" s="226">
        <v>0.44</v>
      </c>
      <c r="E314" s="220">
        <v>162.0</v>
      </c>
      <c r="F314" s="31">
        <f t="shared" si="11"/>
        <v>369</v>
      </c>
      <c r="G314" s="228">
        <f t="shared" si="12"/>
        <v>0.02814249456</v>
      </c>
      <c r="H314" s="127"/>
      <c r="I314" s="350"/>
      <c r="J314" s="100"/>
      <c r="K314" s="83"/>
      <c r="L314" s="195" t="s">
        <v>132</v>
      </c>
      <c r="M314" s="85">
        <v>45444.0</v>
      </c>
      <c r="N314" s="130" t="s">
        <v>34</v>
      </c>
      <c r="O314" s="168" t="s">
        <v>1269</v>
      </c>
      <c r="P314" s="136" t="s">
        <v>71</v>
      </c>
      <c r="Q314" s="133"/>
      <c r="R314" s="134" t="s">
        <v>1270</v>
      </c>
      <c r="S314" s="91">
        <v>369.0</v>
      </c>
    </row>
    <row r="315">
      <c r="A315" s="106" t="s">
        <v>1271</v>
      </c>
      <c r="B315" s="61" t="s">
        <v>107</v>
      </c>
      <c r="C315" s="660" t="s">
        <v>1272</v>
      </c>
      <c r="D315" s="109">
        <v>72.0</v>
      </c>
      <c r="E315" s="194">
        <v>7000.0</v>
      </c>
      <c r="F315" s="161">
        <f t="shared" si="11"/>
        <v>98</v>
      </c>
      <c r="G315" s="125">
        <f t="shared" si="12"/>
        <v>2.366431913</v>
      </c>
      <c r="H315" s="127">
        <v>84.2</v>
      </c>
      <c r="I315" s="350">
        <v>55.6</v>
      </c>
      <c r="J315" s="350">
        <v>37.9</v>
      </c>
      <c r="K315" s="83"/>
      <c r="L315" s="195" t="s">
        <v>132</v>
      </c>
      <c r="M315" s="662">
        <v>45444.0</v>
      </c>
      <c r="N315" s="394" t="s">
        <v>34</v>
      </c>
      <c r="O315" s="205" t="s">
        <v>1273</v>
      </c>
      <c r="P315" s="538" t="s">
        <v>71</v>
      </c>
      <c r="Q315" s="133"/>
      <c r="R315" s="419" t="s">
        <v>1274</v>
      </c>
      <c r="S315" s="91">
        <v>368.0</v>
      </c>
    </row>
    <row r="316">
      <c r="A316" s="106" t="s">
        <v>1275</v>
      </c>
      <c r="B316" s="61" t="s">
        <v>107</v>
      </c>
      <c r="C316" s="660" t="s">
        <v>1276</v>
      </c>
      <c r="D316" s="109">
        <v>57.0</v>
      </c>
      <c r="E316" s="194">
        <v>4500.0</v>
      </c>
      <c r="F316" s="161">
        <f t="shared" si="11"/>
        <v>79</v>
      </c>
      <c r="G316" s="125">
        <f t="shared" si="12"/>
        <v>1.688194302</v>
      </c>
      <c r="H316" s="350">
        <v>76.5</v>
      </c>
      <c r="I316" s="350">
        <v>43.0</v>
      </c>
      <c r="J316" s="350">
        <v>34.3</v>
      </c>
      <c r="K316" s="83"/>
      <c r="L316" s="195" t="s">
        <v>132</v>
      </c>
      <c r="M316" s="545">
        <v>45444.0</v>
      </c>
      <c r="N316" s="394" t="s">
        <v>34</v>
      </c>
      <c r="O316" s="205" t="s">
        <v>1273</v>
      </c>
      <c r="P316" s="106" t="s">
        <v>36</v>
      </c>
      <c r="Q316" s="539"/>
      <c r="R316" s="540" t="s">
        <v>1277</v>
      </c>
      <c r="S316" s="91">
        <v>367.0</v>
      </c>
    </row>
    <row r="317">
      <c r="A317" s="103" t="s">
        <v>1278</v>
      </c>
      <c r="B317" s="61" t="s">
        <v>1279</v>
      </c>
      <c r="C317" s="631" t="s">
        <v>1280</v>
      </c>
      <c r="D317" s="226">
        <v>146.0</v>
      </c>
      <c r="E317" s="226"/>
      <c r="F317" s="31" t="str">
        <f t="shared" si="11"/>
        <v/>
      </c>
      <c r="G317" s="228" t="str">
        <f t="shared" si="12"/>
        <v/>
      </c>
      <c r="H317" s="127">
        <v>77.4</v>
      </c>
      <c r="I317" s="536"/>
      <c r="J317" s="270"/>
      <c r="K317" s="83"/>
      <c r="L317" s="195" t="s">
        <v>132</v>
      </c>
      <c r="M317" s="85">
        <v>45444.0</v>
      </c>
      <c r="N317" s="130" t="s">
        <v>34</v>
      </c>
      <c r="O317" s="168" t="s">
        <v>1281</v>
      </c>
      <c r="P317" s="136" t="s">
        <v>36</v>
      </c>
      <c r="Q317" s="133"/>
      <c r="R317" s="134" t="s">
        <v>1282</v>
      </c>
      <c r="S317" s="91">
        <v>366.0</v>
      </c>
    </row>
    <row r="318">
      <c r="A318" s="136" t="s">
        <v>1283</v>
      </c>
      <c r="B318" s="189" t="s">
        <v>883</v>
      </c>
      <c r="C318" s="218" t="s">
        <v>1284</v>
      </c>
      <c r="D318" s="225">
        <v>2.7</v>
      </c>
      <c r="E318" s="138">
        <v>300.0</v>
      </c>
      <c r="F318" s="31">
        <f t="shared" si="11"/>
        <v>112</v>
      </c>
      <c r="G318" s="228">
        <f t="shared" si="12"/>
        <v>0.09486832981</v>
      </c>
      <c r="H318" s="444"/>
      <c r="I318" s="444"/>
      <c r="J318" s="444"/>
      <c r="K318" s="83"/>
      <c r="L318" s="195" t="s">
        <v>132</v>
      </c>
      <c r="M318" s="405">
        <v>45413.0</v>
      </c>
      <c r="N318" s="112" t="s">
        <v>34</v>
      </c>
      <c r="O318" s="223" t="s">
        <v>1285</v>
      </c>
      <c r="P318" s="145" t="s">
        <v>71</v>
      </c>
      <c r="Q318" s="515"/>
      <c r="R318" s="299" t="s">
        <v>1286</v>
      </c>
      <c r="S318" s="91">
        <v>365.0</v>
      </c>
    </row>
    <row r="319">
      <c r="A319" s="92" t="s">
        <v>1287</v>
      </c>
      <c r="B319" s="189" t="s">
        <v>776</v>
      </c>
      <c r="C319" s="135" t="s">
        <v>1288</v>
      </c>
      <c r="D319" s="194">
        <v>7.0</v>
      </c>
      <c r="E319" s="194">
        <v>4500.0</v>
      </c>
      <c r="F319" s="282">
        <f t="shared" si="11"/>
        <v>643</v>
      </c>
      <c r="G319" s="98">
        <f t="shared" si="12"/>
        <v>0.5916079783</v>
      </c>
      <c r="H319" s="127">
        <v>58.14</v>
      </c>
      <c r="I319" s="536"/>
      <c r="J319" s="127"/>
      <c r="K319" s="83"/>
      <c r="L319" s="195" t="s">
        <v>132</v>
      </c>
      <c r="M319" s="405">
        <v>45413.0</v>
      </c>
      <c r="N319" s="86" t="s">
        <v>34</v>
      </c>
      <c r="O319" s="135" t="s">
        <v>1289</v>
      </c>
      <c r="P319" s="158" t="s">
        <v>71</v>
      </c>
      <c r="Q319" s="133"/>
      <c r="R319" s="134" t="s">
        <v>1290</v>
      </c>
      <c r="S319" s="91">
        <v>364.0</v>
      </c>
    </row>
    <row r="320">
      <c r="A320" s="92" t="s">
        <v>1291</v>
      </c>
      <c r="B320" s="189" t="s">
        <v>1292</v>
      </c>
      <c r="C320" s="135" t="s">
        <v>1293</v>
      </c>
      <c r="D320" s="194">
        <v>65.0</v>
      </c>
      <c r="E320" s="194">
        <v>1400.0</v>
      </c>
      <c r="F320" s="282">
        <f t="shared" si="11"/>
        <v>22</v>
      </c>
      <c r="G320" s="98">
        <f t="shared" si="12"/>
        <v>1.005540209</v>
      </c>
      <c r="H320" s="127">
        <v>64.8</v>
      </c>
      <c r="I320" s="536"/>
      <c r="J320" s="127"/>
      <c r="K320" s="83"/>
      <c r="L320" s="195" t="s">
        <v>132</v>
      </c>
      <c r="M320" s="405">
        <v>45413.0</v>
      </c>
      <c r="N320" s="86" t="s">
        <v>34</v>
      </c>
      <c r="O320" s="135" t="s">
        <v>1294</v>
      </c>
      <c r="P320" s="158" t="s">
        <v>71</v>
      </c>
      <c r="Q320" s="133"/>
      <c r="R320" s="134" t="s">
        <v>1295</v>
      </c>
      <c r="S320" s="91">
        <v>363.0</v>
      </c>
    </row>
    <row r="321">
      <c r="A321" s="92" t="s">
        <v>1296</v>
      </c>
      <c r="B321" s="189" t="s">
        <v>269</v>
      </c>
      <c r="C321" s="135" t="s">
        <v>1297</v>
      </c>
      <c r="D321" s="194">
        <v>22.0</v>
      </c>
      <c r="E321" s="124">
        <v>2000.0</v>
      </c>
      <c r="F321" s="282">
        <f t="shared" si="11"/>
        <v>91</v>
      </c>
      <c r="G321" s="98">
        <f t="shared" si="12"/>
        <v>0.6992058988</v>
      </c>
      <c r="H321" s="127"/>
      <c r="I321" s="536"/>
      <c r="J321" s="127"/>
      <c r="K321" s="83"/>
      <c r="L321" s="195" t="s">
        <v>132</v>
      </c>
      <c r="M321" s="405">
        <v>45413.0</v>
      </c>
      <c r="N321" s="86" t="s">
        <v>34</v>
      </c>
      <c r="O321" s="135" t="s">
        <v>1298</v>
      </c>
      <c r="P321" s="268" t="s">
        <v>71</v>
      </c>
      <c r="Q321" s="133"/>
      <c r="R321" s="134" t="s">
        <v>1299</v>
      </c>
      <c r="S321" s="91">
        <v>362.0</v>
      </c>
    </row>
    <row r="322">
      <c r="A322" s="103" t="s">
        <v>1300</v>
      </c>
      <c r="B322" s="189" t="s">
        <v>568</v>
      </c>
      <c r="C322" s="255" t="s">
        <v>1301</v>
      </c>
      <c r="D322" s="225">
        <v>35.0</v>
      </c>
      <c r="E322" s="124">
        <v>4800.0</v>
      </c>
      <c r="F322" s="31">
        <f t="shared" si="11"/>
        <v>138</v>
      </c>
      <c r="G322" s="563">
        <f t="shared" si="12"/>
        <v>1.366260102</v>
      </c>
      <c r="H322" s="117"/>
      <c r="I322" s="117"/>
      <c r="J322" s="117"/>
      <c r="K322" s="83"/>
      <c r="L322" s="195" t="s">
        <v>132</v>
      </c>
      <c r="M322" s="405">
        <v>45413.0</v>
      </c>
      <c r="N322" s="130" t="s">
        <v>34</v>
      </c>
      <c r="O322" s="168" t="s">
        <v>1302</v>
      </c>
      <c r="P322" s="268" t="s">
        <v>71</v>
      </c>
      <c r="Q322" s="464"/>
      <c r="R322" s="103"/>
      <c r="S322" s="91">
        <v>361.0</v>
      </c>
    </row>
    <row r="323">
      <c r="A323" s="136" t="s">
        <v>1303</v>
      </c>
      <c r="B323" s="61" t="s">
        <v>970</v>
      </c>
      <c r="C323" s="218" t="s">
        <v>1304</v>
      </c>
      <c r="D323" s="668">
        <v>2000.0</v>
      </c>
      <c r="E323" s="219">
        <v>20000.0</v>
      </c>
      <c r="F323" s="31">
        <f t="shared" si="11"/>
        <v>10</v>
      </c>
      <c r="G323" s="669">
        <f t="shared" si="12"/>
        <v>21.08185107</v>
      </c>
      <c r="H323" s="513">
        <v>85.1</v>
      </c>
      <c r="I323" s="509"/>
      <c r="J323" s="513">
        <v>48.2</v>
      </c>
      <c r="K323" s="83"/>
      <c r="L323" s="195" t="s">
        <v>132</v>
      </c>
      <c r="M323" s="405">
        <v>45413.0</v>
      </c>
      <c r="N323" s="112" t="s">
        <v>34</v>
      </c>
      <c r="O323" s="267" t="s">
        <v>1305</v>
      </c>
      <c r="P323" s="136" t="s">
        <v>36</v>
      </c>
      <c r="Q323" s="252"/>
      <c r="R323" s="458" t="s">
        <v>1306</v>
      </c>
      <c r="S323" s="91">
        <v>360.0</v>
      </c>
    </row>
    <row r="324">
      <c r="A324" s="136" t="s">
        <v>1307</v>
      </c>
      <c r="B324" s="61" t="s">
        <v>970</v>
      </c>
      <c r="C324" s="218" t="s">
        <v>1304</v>
      </c>
      <c r="D324" s="670">
        <v>1000.0</v>
      </c>
      <c r="E324" s="219">
        <v>15000.0</v>
      </c>
      <c r="F324" s="31">
        <f t="shared" si="11"/>
        <v>15</v>
      </c>
      <c r="G324" s="669">
        <f t="shared" si="12"/>
        <v>12.90994449</v>
      </c>
      <c r="H324" s="513">
        <v>83.8</v>
      </c>
      <c r="I324" s="513">
        <v>58.1</v>
      </c>
      <c r="J324" s="513">
        <v>43.5</v>
      </c>
      <c r="K324" s="83"/>
      <c r="L324" s="195" t="s">
        <v>132</v>
      </c>
      <c r="M324" s="405">
        <v>45413.0</v>
      </c>
      <c r="N324" s="112" t="s">
        <v>34</v>
      </c>
      <c r="O324" s="267" t="s">
        <v>1305</v>
      </c>
      <c r="P324" s="145" t="s">
        <v>71</v>
      </c>
      <c r="Q324" s="481"/>
      <c r="R324" s="136"/>
      <c r="S324" s="91">
        <v>359.0</v>
      </c>
    </row>
    <row r="325">
      <c r="A325" s="75" t="s">
        <v>1308</v>
      </c>
      <c r="B325" s="179" t="s">
        <v>56</v>
      </c>
      <c r="C325" s="346" t="s">
        <v>1309</v>
      </c>
      <c r="D325" s="78">
        <v>34.0</v>
      </c>
      <c r="E325" s="78">
        <v>9200.0</v>
      </c>
      <c r="F325" s="31">
        <f t="shared" si="11"/>
        <v>271</v>
      </c>
      <c r="G325" s="528">
        <f t="shared" si="12"/>
        <v>1.864284194</v>
      </c>
      <c r="H325" s="513">
        <v>65.8</v>
      </c>
      <c r="I325" s="509"/>
      <c r="J325" s="513"/>
      <c r="K325" s="83"/>
      <c r="L325" s="195" t="s">
        <v>132</v>
      </c>
      <c r="M325" s="324">
        <v>45413.0</v>
      </c>
      <c r="N325" s="351" t="s">
        <v>34</v>
      </c>
      <c r="O325" s="271" t="s">
        <v>1310</v>
      </c>
      <c r="P325" s="136" t="s">
        <v>71</v>
      </c>
      <c r="Q325" s="530"/>
      <c r="R325" s="531" t="s">
        <v>1311</v>
      </c>
      <c r="S325" s="91">
        <v>358.0</v>
      </c>
    </row>
    <row r="326">
      <c r="A326" s="106" t="s">
        <v>1312</v>
      </c>
      <c r="B326" s="61" t="s">
        <v>45</v>
      </c>
      <c r="C326" s="326" t="s">
        <v>1313</v>
      </c>
      <c r="D326" s="124">
        <v>1500.0</v>
      </c>
      <c r="E326" s="124">
        <v>30000.0</v>
      </c>
      <c r="F326" s="161">
        <f t="shared" si="11"/>
        <v>20</v>
      </c>
      <c r="G326" s="671">
        <f t="shared" si="12"/>
        <v>22.36067977</v>
      </c>
      <c r="H326" s="350"/>
      <c r="I326" s="350"/>
      <c r="J326" s="350">
        <v>72.0</v>
      </c>
      <c r="K326" s="83"/>
      <c r="L326" s="195" t="s">
        <v>132</v>
      </c>
      <c r="M326" s="324">
        <v>45413.0</v>
      </c>
      <c r="N326" s="86" t="s">
        <v>1235</v>
      </c>
      <c r="O326" s="131" t="s">
        <v>1314</v>
      </c>
      <c r="P326" s="538" t="s">
        <v>36</v>
      </c>
      <c r="Q326" s="622"/>
      <c r="R326" s="623" t="s">
        <v>1315</v>
      </c>
      <c r="S326" s="91">
        <v>357.0</v>
      </c>
    </row>
    <row r="327">
      <c r="A327" s="75" t="s">
        <v>1316</v>
      </c>
      <c r="B327" s="189" t="s">
        <v>822</v>
      </c>
      <c r="C327" s="346" t="s">
        <v>1317</v>
      </c>
      <c r="D327" s="78">
        <v>7.0</v>
      </c>
      <c r="E327" s="78">
        <v>145.0</v>
      </c>
      <c r="F327" s="31">
        <f t="shared" si="11"/>
        <v>21</v>
      </c>
      <c r="G327" s="528">
        <f t="shared" si="12"/>
        <v>0.1061968821</v>
      </c>
      <c r="H327" s="513"/>
      <c r="I327" s="509"/>
      <c r="J327" s="513"/>
      <c r="K327" s="83"/>
      <c r="L327" s="195" t="s">
        <v>132</v>
      </c>
      <c r="M327" s="324">
        <v>45413.0</v>
      </c>
      <c r="N327" s="351" t="s">
        <v>34</v>
      </c>
      <c r="O327" s="271" t="s">
        <v>1318</v>
      </c>
      <c r="P327" s="136" t="s">
        <v>1319</v>
      </c>
      <c r="Q327" s="530"/>
      <c r="R327" s="672" t="s">
        <v>1320</v>
      </c>
      <c r="S327" s="91">
        <v>356.0</v>
      </c>
    </row>
    <row r="328">
      <c r="A328" s="106" t="s">
        <v>1321</v>
      </c>
      <c r="B328" s="61" t="s">
        <v>45</v>
      </c>
      <c r="C328" s="326" t="s">
        <v>1028</v>
      </c>
      <c r="D328" s="116">
        <v>8.0</v>
      </c>
      <c r="E328" s="116">
        <v>10000.0</v>
      </c>
      <c r="F328" s="161">
        <f t="shared" si="11"/>
        <v>1250</v>
      </c>
      <c r="G328" s="125">
        <f t="shared" si="12"/>
        <v>0.9428090416</v>
      </c>
      <c r="H328" s="350">
        <v>78.9</v>
      </c>
      <c r="I328" s="350">
        <v>59.1</v>
      </c>
      <c r="J328" s="350">
        <v>39.5</v>
      </c>
      <c r="K328" s="83"/>
      <c r="L328" s="195" t="s">
        <v>132</v>
      </c>
      <c r="M328" s="324">
        <v>45413.0</v>
      </c>
      <c r="N328" s="130" t="s">
        <v>34</v>
      </c>
      <c r="O328" s="94" t="s">
        <v>1322</v>
      </c>
      <c r="P328" s="538" t="s">
        <v>36</v>
      </c>
      <c r="Q328" s="622"/>
      <c r="R328" s="540" t="s">
        <v>1323</v>
      </c>
      <c r="S328" s="91">
        <v>355.0</v>
      </c>
    </row>
    <row r="329">
      <c r="A329" s="92" t="s">
        <v>1324</v>
      </c>
      <c r="B329" s="61" t="s">
        <v>50</v>
      </c>
      <c r="C329" s="599" t="s">
        <v>1041</v>
      </c>
      <c r="D329" s="488">
        <v>200.0</v>
      </c>
      <c r="E329" s="488">
        <v>20000.0</v>
      </c>
      <c r="F329" s="471">
        <f t="shared" si="11"/>
        <v>100</v>
      </c>
      <c r="G329" s="472">
        <f t="shared" si="12"/>
        <v>6.666666667</v>
      </c>
      <c r="H329" s="127">
        <v>88.7</v>
      </c>
      <c r="I329" s="350">
        <v>72.6</v>
      </c>
      <c r="J329" s="127">
        <v>53.6</v>
      </c>
      <c r="K329" s="83">
        <v>3.1</v>
      </c>
      <c r="L329" s="195" t="s">
        <v>132</v>
      </c>
      <c r="M329" s="324">
        <v>45413.0</v>
      </c>
      <c r="N329" s="99" t="s">
        <v>28</v>
      </c>
      <c r="O329" s="474" t="s">
        <v>1325</v>
      </c>
      <c r="P329" s="197" t="s">
        <v>36</v>
      </c>
      <c r="Q329" s="673" t="s">
        <v>52</v>
      </c>
      <c r="R329" s="674" t="s">
        <v>1326</v>
      </c>
      <c r="S329" s="91">
        <v>354.0</v>
      </c>
    </row>
    <row r="330">
      <c r="A330" s="103" t="s">
        <v>1327</v>
      </c>
      <c r="B330" s="189" t="s">
        <v>372</v>
      </c>
      <c r="C330" s="427" t="s">
        <v>1328</v>
      </c>
      <c r="D330" s="226">
        <v>11.0</v>
      </c>
      <c r="E330" s="226">
        <v>5500.0</v>
      </c>
      <c r="F330" s="31">
        <f t="shared" si="11"/>
        <v>500</v>
      </c>
      <c r="G330" s="675">
        <f t="shared" si="12"/>
        <v>0.8198915917</v>
      </c>
      <c r="H330" s="100">
        <v>58.37</v>
      </c>
      <c r="I330" s="117"/>
      <c r="J330" s="117"/>
      <c r="K330" s="83"/>
      <c r="L330" s="195" t="s">
        <v>132</v>
      </c>
      <c r="M330" s="324">
        <v>45413.0</v>
      </c>
      <c r="N330" s="130" t="s">
        <v>34</v>
      </c>
      <c r="O330" s="259" t="s">
        <v>1329</v>
      </c>
      <c r="P330" s="156" t="s">
        <v>71</v>
      </c>
      <c r="Q330" s="380"/>
      <c r="R330" s="388" t="s">
        <v>1330</v>
      </c>
      <c r="S330" s="91">
        <v>353.0</v>
      </c>
    </row>
    <row r="331">
      <c r="A331" s="106" t="s">
        <v>1331</v>
      </c>
      <c r="B331" s="189" t="s">
        <v>1332</v>
      </c>
      <c r="C331" s="108" t="s">
        <v>1333</v>
      </c>
      <c r="D331" s="109">
        <v>13.0</v>
      </c>
      <c r="E331" s="109">
        <v>380.0</v>
      </c>
      <c r="F331" s="161">
        <f t="shared" si="11"/>
        <v>30</v>
      </c>
      <c r="G331" s="125">
        <f t="shared" si="12"/>
        <v>0.2342837785</v>
      </c>
      <c r="H331" s="536"/>
      <c r="I331" s="536"/>
      <c r="J331" s="536"/>
      <c r="K331" s="83"/>
      <c r="L331" s="195" t="s">
        <v>132</v>
      </c>
      <c r="M331" s="324">
        <v>45413.0</v>
      </c>
      <c r="N331" s="394" t="s">
        <v>34</v>
      </c>
      <c r="O331" s="592" t="s">
        <v>1334</v>
      </c>
      <c r="P331" s="538" t="s">
        <v>71</v>
      </c>
      <c r="Q331" s="676"/>
      <c r="R331" s="677" t="s">
        <v>1335</v>
      </c>
      <c r="S331" s="91">
        <v>352.0</v>
      </c>
    </row>
    <row r="332">
      <c r="A332" s="136" t="s">
        <v>1336</v>
      </c>
      <c r="B332" s="61" t="s">
        <v>970</v>
      </c>
      <c r="C332" s="248" t="s">
        <v>1337</v>
      </c>
      <c r="D332" s="138">
        <v>34.4</v>
      </c>
      <c r="E332" s="225">
        <v>3600.0</v>
      </c>
      <c r="F332" s="31">
        <f t="shared" si="11"/>
        <v>105</v>
      </c>
      <c r="G332" s="678">
        <f t="shared" si="12"/>
        <v>1.173030264</v>
      </c>
      <c r="H332" s="513">
        <v>76.8</v>
      </c>
      <c r="I332" s="513">
        <v>52.3</v>
      </c>
      <c r="J332" s="509"/>
      <c r="K332" s="83"/>
      <c r="L332" s="195" t="s">
        <v>132</v>
      </c>
      <c r="M332" s="324">
        <v>45413.0</v>
      </c>
      <c r="N332" s="112" t="s">
        <v>34</v>
      </c>
      <c r="O332" s="267" t="s">
        <v>1338</v>
      </c>
      <c r="P332" s="145" t="s">
        <v>71</v>
      </c>
      <c r="Q332" s="645"/>
      <c r="R332" s="646" t="s">
        <v>1339</v>
      </c>
      <c r="S332" s="91">
        <v>351.0</v>
      </c>
    </row>
    <row r="333">
      <c r="A333" s="136" t="s">
        <v>1340</v>
      </c>
      <c r="B333" s="189" t="s">
        <v>177</v>
      </c>
      <c r="C333" s="248" t="s">
        <v>1341</v>
      </c>
      <c r="D333" s="225">
        <v>3.0</v>
      </c>
      <c r="E333" s="225">
        <v>1600.0</v>
      </c>
      <c r="F333" s="31">
        <f t="shared" si="11"/>
        <v>534</v>
      </c>
      <c r="G333" s="508">
        <f t="shared" si="12"/>
        <v>0.2309401077</v>
      </c>
      <c r="H333" s="509"/>
      <c r="I333" s="509"/>
      <c r="J333" s="509"/>
      <c r="K333" s="83"/>
      <c r="L333" s="195" t="s">
        <v>132</v>
      </c>
      <c r="M333" s="324">
        <v>45413.0</v>
      </c>
      <c r="N333" s="86" t="s">
        <v>34</v>
      </c>
      <c r="O333" s="267" t="s">
        <v>1342</v>
      </c>
      <c r="P333" s="145" t="s">
        <v>71</v>
      </c>
      <c r="Q333" s="481"/>
      <c r="R333" s="136" t="s">
        <v>1343</v>
      </c>
      <c r="S333" s="91">
        <v>350.0</v>
      </c>
    </row>
    <row r="334">
      <c r="A334" s="679" t="s">
        <v>1344</v>
      </c>
      <c r="B334" s="61" t="s">
        <v>32</v>
      </c>
      <c r="C334" s="398" t="s">
        <v>356</v>
      </c>
      <c r="D334" s="95">
        <v>236.0</v>
      </c>
      <c r="E334" s="194">
        <v>8100.0</v>
      </c>
      <c r="F334" s="97">
        <f t="shared" si="11"/>
        <v>35</v>
      </c>
      <c r="G334" s="98">
        <f t="shared" si="12"/>
        <v>4.608687449</v>
      </c>
      <c r="H334" s="127">
        <v>78.5</v>
      </c>
      <c r="I334" s="350">
        <v>54.8</v>
      </c>
      <c r="J334" s="127"/>
      <c r="K334" s="83"/>
      <c r="L334" s="195" t="s">
        <v>132</v>
      </c>
      <c r="M334" s="324">
        <v>45413.0</v>
      </c>
      <c r="N334" s="86" t="s">
        <v>34</v>
      </c>
      <c r="O334" s="94" t="s">
        <v>1345</v>
      </c>
      <c r="P334" s="92" t="s">
        <v>36</v>
      </c>
      <c r="Q334" s="572"/>
      <c r="R334" s="573" t="s">
        <v>1346</v>
      </c>
      <c r="S334" s="91">
        <v>349.0</v>
      </c>
    </row>
    <row r="335">
      <c r="A335" s="136" t="s">
        <v>1347</v>
      </c>
      <c r="B335" s="189" t="s">
        <v>1348</v>
      </c>
      <c r="C335" s="218" t="s">
        <v>1349</v>
      </c>
      <c r="D335" s="249">
        <v>1.6</v>
      </c>
      <c r="E335" s="225">
        <v>2300.0</v>
      </c>
      <c r="F335" s="31">
        <f t="shared" si="11"/>
        <v>1438</v>
      </c>
      <c r="G335" s="508">
        <f t="shared" si="12"/>
        <v>0.2022100118</v>
      </c>
      <c r="H335" s="513">
        <v>41.07</v>
      </c>
      <c r="I335" s="509"/>
      <c r="J335" s="509"/>
      <c r="K335" s="83"/>
      <c r="L335" s="195" t="s">
        <v>132</v>
      </c>
      <c r="M335" s="652">
        <v>45413.0</v>
      </c>
      <c r="N335" s="86" t="s">
        <v>34</v>
      </c>
      <c r="O335" s="230" t="s">
        <v>1350</v>
      </c>
      <c r="P335" s="145" t="s">
        <v>71</v>
      </c>
      <c r="Q335" s="510"/>
      <c r="R335" s="511" t="s">
        <v>1351</v>
      </c>
      <c r="S335" s="91">
        <v>348.0</v>
      </c>
    </row>
    <row r="336">
      <c r="A336" s="136" t="s">
        <v>1352</v>
      </c>
      <c r="B336" s="189" t="s">
        <v>772</v>
      </c>
      <c r="C336" s="218" t="s">
        <v>1353</v>
      </c>
      <c r="D336" s="249">
        <v>7.63</v>
      </c>
      <c r="E336" s="225">
        <v>2500.0</v>
      </c>
      <c r="F336" s="31">
        <f t="shared" si="11"/>
        <v>328</v>
      </c>
      <c r="G336" s="508">
        <f t="shared" si="12"/>
        <v>0.4603742439</v>
      </c>
      <c r="H336" s="509"/>
      <c r="I336" s="509"/>
      <c r="J336" s="509"/>
      <c r="K336" s="83"/>
      <c r="L336" s="195" t="s">
        <v>132</v>
      </c>
      <c r="M336" s="652">
        <v>45413.0</v>
      </c>
      <c r="N336" s="112" t="s">
        <v>34</v>
      </c>
      <c r="O336" s="230" t="s">
        <v>1354</v>
      </c>
      <c r="P336" s="145" t="s">
        <v>71</v>
      </c>
      <c r="Q336" s="510"/>
      <c r="R336" s="680" t="s">
        <v>1355</v>
      </c>
      <c r="S336" s="91">
        <v>347.0</v>
      </c>
    </row>
    <row r="337">
      <c r="A337" s="106" t="s">
        <v>1356</v>
      </c>
      <c r="B337" s="189" t="s">
        <v>1357</v>
      </c>
      <c r="C337" s="654"/>
      <c r="D337" s="470">
        <v>2.7</v>
      </c>
      <c r="E337" s="470">
        <v>15.0</v>
      </c>
      <c r="F337" s="31">
        <f t="shared" si="11"/>
        <v>6</v>
      </c>
      <c r="G337" s="681">
        <f t="shared" si="12"/>
        <v>0.02121320344</v>
      </c>
      <c r="H337" s="100"/>
      <c r="I337" s="117"/>
      <c r="J337" s="100"/>
      <c r="K337" s="83"/>
      <c r="L337" s="195" t="s">
        <v>132</v>
      </c>
      <c r="M337" s="652">
        <v>45413.0</v>
      </c>
      <c r="N337" s="143" t="s">
        <v>28</v>
      </c>
      <c r="O337" s="108" t="s">
        <v>1358</v>
      </c>
      <c r="P337" s="103" t="s">
        <v>71</v>
      </c>
      <c r="Q337" s="567"/>
      <c r="R337" s="106" t="s">
        <v>1359</v>
      </c>
      <c r="S337" s="91">
        <v>346.0</v>
      </c>
    </row>
    <row r="338">
      <c r="A338" s="106" t="s">
        <v>1360</v>
      </c>
      <c r="B338" s="189" t="s">
        <v>75</v>
      </c>
      <c r="C338" s="108" t="s">
        <v>1361</v>
      </c>
      <c r="D338" s="470">
        <v>34.0</v>
      </c>
      <c r="E338" s="470">
        <v>3500.0</v>
      </c>
      <c r="F338" s="97">
        <f t="shared" si="11"/>
        <v>103</v>
      </c>
      <c r="G338" s="110">
        <f t="shared" si="12"/>
        <v>1.149879221</v>
      </c>
      <c r="H338" s="100">
        <v>50.0</v>
      </c>
      <c r="I338" s="117"/>
      <c r="J338" s="100"/>
      <c r="K338" s="240"/>
      <c r="L338" s="570" t="s">
        <v>1362</v>
      </c>
      <c r="M338" s="652">
        <v>45413.0</v>
      </c>
      <c r="N338" s="112" t="s">
        <v>34</v>
      </c>
      <c r="O338" s="108" t="s">
        <v>1363</v>
      </c>
      <c r="P338" s="103" t="s">
        <v>71</v>
      </c>
      <c r="Q338" s="567"/>
      <c r="R338" s="106" t="s">
        <v>1364</v>
      </c>
      <c r="S338" s="91">
        <v>345.0</v>
      </c>
    </row>
    <row r="339">
      <c r="A339" s="103" t="s">
        <v>1365</v>
      </c>
      <c r="B339" s="61" t="s">
        <v>107</v>
      </c>
      <c r="C339" s="427" t="s">
        <v>1366</v>
      </c>
      <c r="D339" s="220">
        <v>300.0</v>
      </c>
      <c r="E339" s="220">
        <v>6000.0</v>
      </c>
      <c r="F339" s="31">
        <f t="shared" si="11"/>
        <v>20</v>
      </c>
      <c r="G339" s="681">
        <f t="shared" si="12"/>
        <v>4.472135955</v>
      </c>
      <c r="H339" s="117"/>
      <c r="I339" s="117"/>
      <c r="J339" s="117"/>
      <c r="K339" s="83"/>
      <c r="L339" s="195" t="s">
        <v>132</v>
      </c>
      <c r="M339" s="652">
        <v>45413.0</v>
      </c>
      <c r="N339" s="130" t="s">
        <v>34</v>
      </c>
      <c r="O339" s="389" t="s">
        <v>1367</v>
      </c>
      <c r="P339" s="156" t="s">
        <v>71</v>
      </c>
      <c r="Q339" s="272"/>
      <c r="R339" s="682" t="s">
        <v>1368</v>
      </c>
      <c r="S339" s="91">
        <v>344.0</v>
      </c>
    </row>
    <row r="340">
      <c r="A340" s="75" t="s">
        <v>1369</v>
      </c>
      <c r="B340" s="61" t="s">
        <v>45</v>
      </c>
      <c r="C340" s="346" t="s">
        <v>1370</v>
      </c>
      <c r="D340" s="355">
        <v>200.0</v>
      </c>
      <c r="E340" s="459">
        <v>30000.0</v>
      </c>
      <c r="F340" s="31">
        <f t="shared" si="11"/>
        <v>150</v>
      </c>
      <c r="G340" s="683">
        <f t="shared" si="12"/>
        <v>8.164965809</v>
      </c>
      <c r="H340" s="684"/>
      <c r="I340" s="684"/>
      <c r="J340" s="684"/>
      <c r="K340" s="83"/>
      <c r="L340" s="195" t="s">
        <v>132</v>
      </c>
      <c r="M340" s="652">
        <v>45413.0</v>
      </c>
      <c r="N340" s="143" t="s">
        <v>28</v>
      </c>
      <c r="O340" s="271" t="s">
        <v>1371</v>
      </c>
      <c r="P340" s="88" t="s">
        <v>71</v>
      </c>
      <c r="Q340" s="685"/>
      <c r="R340" s="374" t="s">
        <v>1372</v>
      </c>
      <c r="S340" s="91">
        <v>343.0</v>
      </c>
    </row>
    <row r="341">
      <c r="A341" s="103" t="s">
        <v>1373</v>
      </c>
      <c r="B341" s="483" t="s">
        <v>177</v>
      </c>
      <c r="C341" s="427" t="s">
        <v>1374</v>
      </c>
      <c r="D341" s="226">
        <v>0.033</v>
      </c>
      <c r="E341" s="220">
        <v>50.0</v>
      </c>
      <c r="F341" s="227">
        <f t="shared" si="11"/>
        <v>1516</v>
      </c>
      <c r="G341" s="686">
        <f t="shared" si="12"/>
        <v>0.004281744193</v>
      </c>
      <c r="H341" s="100"/>
      <c r="I341" s="270"/>
      <c r="J341" s="270"/>
      <c r="K341" s="83"/>
      <c r="L341" s="195" t="s">
        <v>132</v>
      </c>
      <c r="M341" s="405">
        <v>45383.0</v>
      </c>
      <c r="N341" s="130" t="s">
        <v>34</v>
      </c>
      <c r="O341" s="389" t="s">
        <v>1375</v>
      </c>
      <c r="P341" s="156" t="s">
        <v>71</v>
      </c>
      <c r="Q341" s="380"/>
      <c r="R341" s="366" t="s">
        <v>1376</v>
      </c>
      <c r="S341" s="91">
        <v>342.0</v>
      </c>
    </row>
    <row r="342">
      <c r="A342" s="103" t="s">
        <v>1377</v>
      </c>
      <c r="B342" s="147" t="s">
        <v>999</v>
      </c>
      <c r="C342" s="427" t="s">
        <v>1378</v>
      </c>
      <c r="D342" s="226">
        <v>52.0</v>
      </c>
      <c r="E342" s="226">
        <v>2000.0</v>
      </c>
      <c r="F342" s="227">
        <f t="shared" si="11"/>
        <v>39</v>
      </c>
      <c r="G342" s="686">
        <f t="shared" si="12"/>
        <v>1.0749677</v>
      </c>
      <c r="H342" s="100">
        <v>64.0</v>
      </c>
      <c r="I342" s="270"/>
      <c r="J342" s="270"/>
      <c r="K342" s="83"/>
      <c r="L342" s="195" t="s">
        <v>132</v>
      </c>
      <c r="M342" s="405">
        <v>45383.0</v>
      </c>
      <c r="N342" s="130" t="s">
        <v>34</v>
      </c>
      <c r="O342" s="389" t="s">
        <v>1379</v>
      </c>
      <c r="P342" s="156" t="s">
        <v>71</v>
      </c>
      <c r="Q342" s="380"/>
      <c r="R342" s="366" t="s">
        <v>1380</v>
      </c>
      <c r="S342" s="91">
        <v>341.0</v>
      </c>
    </row>
    <row r="343">
      <c r="A343" s="103" t="s">
        <v>1381</v>
      </c>
      <c r="B343" s="61" t="s">
        <v>107</v>
      </c>
      <c r="C343" s="427" t="s">
        <v>1382</v>
      </c>
      <c r="D343" s="226">
        <v>111.0</v>
      </c>
      <c r="E343" s="149">
        <v>3000.0</v>
      </c>
      <c r="F343" s="31">
        <f t="shared" si="11"/>
        <v>28</v>
      </c>
      <c r="G343" s="687">
        <f t="shared" si="12"/>
        <v>1.923538406</v>
      </c>
      <c r="H343" s="100">
        <v>80.4</v>
      </c>
      <c r="I343" s="100">
        <v>49.9</v>
      </c>
      <c r="J343" s="100">
        <v>35.9</v>
      </c>
      <c r="K343" s="83"/>
      <c r="L343" s="195" t="s">
        <v>132</v>
      </c>
      <c r="M343" s="405">
        <v>45383.0</v>
      </c>
      <c r="N343" s="130" t="s">
        <v>34</v>
      </c>
      <c r="O343" s="259" t="s">
        <v>1383</v>
      </c>
      <c r="P343" s="156" t="s">
        <v>71</v>
      </c>
      <c r="Q343" s="272"/>
      <c r="R343" s="158" t="s">
        <v>1384</v>
      </c>
      <c r="S343" s="91">
        <v>340.0</v>
      </c>
    </row>
    <row r="344">
      <c r="A344" s="136" t="s">
        <v>1385</v>
      </c>
      <c r="B344" s="189" t="s">
        <v>1386</v>
      </c>
      <c r="C344" s="248" t="s">
        <v>1387</v>
      </c>
      <c r="D344" s="225">
        <v>480.0</v>
      </c>
      <c r="E344" s="225">
        <v>3500.0</v>
      </c>
      <c r="F344" s="31">
        <f t="shared" si="11"/>
        <v>8</v>
      </c>
      <c r="G344" s="508">
        <f t="shared" si="12"/>
        <v>4.320493799</v>
      </c>
      <c r="H344" s="513">
        <v>67.3</v>
      </c>
      <c r="I344" s="509"/>
      <c r="J344" s="513"/>
      <c r="K344" s="83"/>
      <c r="L344" s="195" t="s">
        <v>132</v>
      </c>
      <c r="M344" s="405">
        <v>45383.0</v>
      </c>
      <c r="N344" s="112" t="s">
        <v>34</v>
      </c>
      <c r="O344" s="267" t="s">
        <v>1388</v>
      </c>
      <c r="P344" s="136" t="s">
        <v>1319</v>
      </c>
      <c r="Q344" s="481"/>
      <c r="R344" s="136" t="s">
        <v>1389</v>
      </c>
      <c r="S344" s="91">
        <v>339.0</v>
      </c>
    </row>
    <row r="345">
      <c r="A345" s="136" t="s">
        <v>1390</v>
      </c>
      <c r="B345" s="61" t="s">
        <v>1198</v>
      </c>
      <c r="C345" s="266"/>
      <c r="D345" s="225">
        <v>600.0</v>
      </c>
      <c r="E345" s="225">
        <v>10000.0</v>
      </c>
      <c r="F345" s="31">
        <f t="shared" si="11"/>
        <v>17</v>
      </c>
      <c r="G345" s="508">
        <f t="shared" si="12"/>
        <v>8.164965809</v>
      </c>
      <c r="H345" s="513">
        <v>84.78</v>
      </c>
      <c r="I345" s="509"/>
      <c r="J345" s="513">
        <v>42.93</v>
      </c>
      <c r="K345" s="83"/>
      <c r="L345" s="195" t="s">
        <v>132</v>
      </c>
      <c r="M345" s="405">
        <v>45383.0</v>
      </c>
      <c r="N345" s="112" t="s">
        <v>34</v>
      </c>
      <c r="O345" s="267" t="s">
        <v>1391</v>
      </c>
      <c r="P345" s="136" t="s">
        <v>36</v>
      </c>
      <c r="Q345" s="252"/>
      <c r="R345" s="458" t="s">
        <v>1392</v>
      </c>
      <c r="S345" s="91">
        <v>338.0</v>
      </c>
    </row>
    <row r="346">
      <c r="A346" s="136" t="s">
        <v>1393</v>
      </c>
      <c r="B346" s="189" t="s">
        <v>298</v>
      </c>
      <c r="C346" s="248" t="s">
        <v>1394</v>
      </c>
      <c r="D346" s="225">
        <v>3.04</v>
      </c>
      <c r="E346" s="225">
        <v>1500.0</v>
      </c>
      <c r="F346" s="31">
        <f t="shared" si="11"/>
        <v>494</v>
      </c>
      <c r="G346" s="508">
        <f t="shared" si="12"/>
        <v>0.2250925735</v>
      </c>
      <c r="H346" s="513">
        <v>26.76</v>
      </c>
      <c r="I346" s="509"/>
      <c r="J346" s="513"/>
      <c r="K346" s="83"/>
      <c r="L346" s="195" t="s">
        <v>132</v>
      </c>
      <c r="M346" s="405">
        <v>45383.0</v>
      </c>
      <c r="N346" s="112" t="s">
        <v>34</v>
      </c>
      <c r="O346" s="267" t="s">
        <v>1259</v>
      </c>
      <c r="P346" s="136" t="s">
        <v>71</v>
      </c>
      <c r="Q346" s="252"/>
      <c r="R346" s="458" t="s">
        <v>1395</v>
      </c>
      <c r="S346" s="91">
        <v>337.0</v>
      </c>
    </row>
    <row r="347">
      <c r="A347" s="136" t="s">
        <v>1396</v>
      </c>
      <c r="B347" s="189" t="s">
        <v>177</v>
      </c>
      <c r="C347" s="248" t="s">
        <v>1397</v>
      </c>
      <c r="D347" s="225">
        <v>14.0</v>
      </c>
      <c r="E347" s="225">
        <v>4800.0</v>
      </c>
      <c r="F347" s="31">
        <f t="shared" si="11"/>
        <v>343</v>
      </c>
      <c r="G347" s="508">
        <f t="shared" si="12"/>
        <v>0.8640987598</v>
      </c>
      <c r="H347" s="513">
        <v>78.2</v>
      </c>
      <c r="I347" s="513">
        <v>55.7</v>
      </c>
      <c r="J347" s="509"/>
      <c r="K347" s="128"/>
      <c r="L347" s="129" t="s">
        <v>69</v>
      </c>
      <c r="M347" s="405">
        <v>45383.0</v>
      </c>
      <c r="N347" s="112" t="s">
        <v>34</v>
      </c>
      <c r="O347" s="602" t="s">
        <v>1398</v>
      </c>
      <c r="P347" s="145" t="s">
        <v>71</v>
      </c>
      <c r="Q347" s="481"/>
      <c r="R347" s="136" t="s">
        <v>1399</v>
      </c>
      <c r="S347" s="91">
        <v>336.0</v>
      </c>
    </row>
    <row r="348">
      <c r="A348" s="92" t="s">
        <v>1400</v>
      </c>
      <c r="B348" s="189" t="s">
        <v>177</v>
      </c>
      <c r="C348" s="248" t="s">
        <v>1401</v>
      </c>
      <c r="D348" s="194">
        <v>3.8</v>
      </c>
      <c r="E348" s="194">
        <v>3300.0</v>
      </c>
      <c r="F348" s="97">
        <f t="shared" si="11"/>
        <v>869</v>
      </c>
      <c r="G348" s="98">
        <f t="shared" si="12"/>
        <v>0.3732738048</v>
      </c>
      <c r="H348" s="127">
        <v>68.8</v>
      </c>
      <c r="I348" s="350">
        <v>45.7</v>
      </c>
      <c r="J348" s="127"/>
      <c r="K348" s="128"/>
      <c r="L348" s="129" t="s">
        <v>69</v>
      </c>
      <c r="M348" s="85">
        <v>45383.0</v>
      </c>
      <c r="N348" s="86" t="s">
        <v>34</v>
      </c>
      <c r="O348" s="474" t="s">
        <v>1398</v>
      </c>
      <c r="P348" s="92" t="s">
        <v>71</v>
      </c>
      <c r="Q348" s="481"/>
      <c r="R348" s="136" t="s">
        <v>1402</v>
      </c>
      <c r="S348" s="91">
        <v>335.0</v>
      </c>
    </row>
    <row r="349">
      <c r="A349" s="92" t="s">
        <v>1403</v>
      </c>
      <c r="B349" s="61" t="s">
        <v>56</v>
      </c>
      <c r="C349" s="135" t="s">
        <v>1404</v>
      </c>
      <c r="D349" s="194">
        <v>70.0</v>
      </c>
      <c r="E349" s="194">
        <v>15000.0</v>
      </c>
      <c r="F349" s="97">
        <f t="shared" si="11"/>
        <v>215</v>
      </c>
      <c r="G349" s="98">
        <f t="shared" si="12"/>
        <v>3.415650255</v>
      </c>
      <c r="H349" s="127">
        <v>82.0</v>
      </c>
      <c r="I349" s="350">
        <v>52.8</v>
      </c>
      <c r="J349" s="127"/>
      <c r="K349" s="83"/>
      <c r="L349" s="195" t="s">
        <v>132</v>
      </c>
      <c r="M349" s="324">
        <v>45383.0</v>
      </c>
      <c r="N349" s="86" t="s">
        <v>34</v>
      </c>
      <c r="O349" s="205" t="s">
        <v>1405</v>
      </c>
      <c r="P349" s="92" t="s">
        <v>71</v>
      </c>
      <c r="Q349" s="206" t="s">
        <v>52</v>
      </c>
      <c r="R349" s="207" t="s">
        <v>1406</v>
      </c>
      <c r="S349" s="91">
        <v>334.0</v>
      </c>
    </row>
    <row r="350">
      <c r="A350" s="106" t="s">
        <v>1407</v>
      </c>
      <c r="B350" s="179" t="s">
        <v>975</v>
      </c>
      <c r="C350" s="108" t="s">
        <v>1408</v>
      </c>
      <c r="D350" s="226">
        <v>7.0</v>
      </c>
      <c r="E350" s="226">
        <v>1050.0</v>
      </c>
      <c r="F350" s="460">
        <f t="shared" si="11"/>
        <v>150</v>
      </c>
      <c r="G350" s="283">
        <f t="shared" si="12"/>
        <v>0.2857738033</v>
      </c>
      <c r="H350" s="100">
        <v>57.72</v>
      </c>
      <c r="I350" s="117"/>
      <c r="J350" s="100"/>
      <c r="K350" s="83"/>
      <c r="L350" s="195" t="s">
        <v>132</v>
      </c>
      <c r="M350" s="85">
        <v>45383.0</v>
      </c>
      <c r="N350" s="143" t="s">
        <v>34</v>
      </c>
      <c r="O350" s="474" t="s">
        <v>1409</v>
      </c>
      <c r="P350" s="103" t="s">
        <v>71</v>
      </c>
      <c r="Q350" s="616"/>
      <c r="R350" s="617" t="s">
        <v>1410</v>
      </c>
      <c r="S350" s="91">
        <v>333.0</v>
      </c>
    </row>
    <row r="351">
      <c r="A351" s="106" t="s">
        <v>1411</v>
      </c>
      <c r="B351" s="61" t="s">
        <v>857</v>
      </c>
      <c r="C351" s="654"/>
      <c r="D351" s="226">
        <v>7.0</v>
      </c>
      <c r="E351" s="226">
        <v>1800.0</v>
      </c>
      <c r="F351" s="31">
        <f t="shared" si="11"/>
        <v>258</v>
      </c>
      <c r="G351" s="283">
        <f t="shared" si="12"/>
        <v>0.3741657387</v>
      </c>
      <c r="H351" s="100">
        <v>41.318</v>
      </c>
      <c r="I351" s="117"/>
      <c r="J351" s="100"/>
      <c r="K351" s="83"/>
      <c r="L351" s="195" t="s">
        <v>132</v>
      </c>
      <c r="M351" s="85">
        <v>45383.0</v>
      </c>
      <c r="N351" s="143" t="s">
        <v>28</v>
      </c>
      <c r="O351" s="205" t="s">
        <v>1412</v>
      </c>
      <c r="P351" s="103" t="s">
        <v>71</v>
      </c>
      <c r="Q351" s="616"/>
      <c r="R351" s="618" t="s">
        <v>1413</v>
      </c>
      <c r="S351" s="91">
        <v>332.0</v>
      </c>
    </row>
    <row r="352">
      <c r="A352" s="106" t="s">
        <v>1414</v>
      </c>
      <c r="B352" s="189" t="s">
        <v>940</v>
      </c>
      <c r="C352" s="108" t="s">
        <v>1415</v>
      </c>
      <c r="D352" s="109">
        <v>8.4</v>
      </c>
      <c r="E352" s="109"/>
      <c r="F352" s="392"/>
      <c r="G352" s="98" t="str">
        <f t="shared" si="12"/>
        <v/>
      </c>
      <c r="H352" s="100"/>
      <c r="I352" s="117"/>
      <c r="J352" s="100"/>
      <c r="K352" s="83"/>
      <c r="L352" s="195" t="s">
        <v>132</v>
      </c>
      <c r="M352" s="688">
        <v>45383.0</v>
      </c>
      <c r="N352" s="112" t="s">
        <v>34</v>
      </c>
      <c r="O352" s="205" t="s">
        <v>1416</v>
      </c>
      <c r="P352" s="103" t="s">
        <v>71</v>
      </c>
      <c r="Q352" s="567"/>
      <c r="R352" s="106" t="s">
        <v>1417</v>
      </c>
      <c r="S352" s="91">
        <v>331.0</v>
      </c>
    </row>
    <row r="353">
      <c r="A353" s="103" t="s">
        <v>1418</v>
      </c>
      <c r="B353" s="189" t="s">
        <v>265</v>
      </c>
      <c r="C353" s="427" t="s">
        <v>1419</v>
      </c>
      <c r="D353" s="220">
        <v>300.0</v>
      </c>
      <c r="E353" s="355">
        <v>10000.0</v>
      </c>
      <c r="F353" s="31">
        <f t="shared" ref="F353:F409" si="13">IF(E353&lt;&gt;"", ROUNDUP(E353/D353,0),"")</f>
        <v>34</v>
      </c>
      <c r="G353" s="283">
        <f t="shared" si="12"/>
        <v>5.773502692</v>
      </c>
      <c r="H353" s="100">
        <v>83.2</v>
      </c>
      <c r="I353" s="117"/>
      <c r="J353" s="100">
        <v>38.2</v>
      </c>
      <c r="K353" s="83"/>
      <c r="L353" s="195" t="s">
        <v>132</v>
      </c>
      <c r="M353" s="688">
        <v>45383.0</v>
      </c>
      <c r="N353" s="130" t="s">
        <v>34</v>
      </c>
      <c r="O353" s="259" t="s">
        <v>1420</v>
      </c>
      <c r="P353" s="156" t="s">
        <v>71</v>
      </c>
      <c r="Q353" s="272"/>
      <c r="R353" s="682" t="s">
        <v>1421</v>
      </c>
      <c r="S353" s="91">
        <v>330.0</v>
      </c>
    </row>
    <row r="354">
      <c r="A354" s="75" t="s">
        <v>1422</v>
      </c>
      <c r="B354" s="189" t="s">
        <v>177</v>
      </c>
      <c r="C354" s="689" t="s">
        <v>1423</v>
      </c>
      <c r="D354" s="78">
        <v>141.0</v>
      </c>
      <c r="E354" s="355">
        <v>2000.0</v>
      </c>
      <c r="F354" s="31">
        <f t="shared" si="13"/>
        <v>15</v>
      </c>
      <c r="G354" s="283">
        <f t="shared" si="12"/>
        <v>1.770122406</v>
      </c>
      <c r="H354" s="684"/>
      <c r="I354" s="684"/>
      <c r="J354" s="684"/>
      <c r="K354" s="83"/>
      <c r="L354" s="195" t="s">
        <v>132</v>
      </c>
      <c r="M354" s="688">
        <v>45383.0</v>
      </c>
      <c r="N354" s="351" t="s">
        <v>34</v>
      </c>
      <c r="O354" s="271" t="s">
        <v>1424</v>
      </c>
      <c r="P354" s="88" t="s">
        <v>36</v>
      </c>
      <c r="Q354" s="690"/>
      <c r="R354" s="691" t="s">
        <v>1425</v>
      </c>
      <c r="S354" s="91">
        <v>329.0</v>
      </c>
    </row>
    <row r="355">
      <c r="A355" s="136" t="s">
        <v>1426</v>
      </c>
      <c r="B355" s="189" t="s">
        <v>333</v>
      </c>
      <c r="C355" s="248" t="s">
        <v>1427</v>
      </c>
      <c r="D355" s="225">
        <v>11.0</v>
      </c>
      <c r="E355" s="109">
        <v>2000.0</v>
      </c>
      <c r="F355" s="392">
        <f t="shared" si="13"/>
        <v>182</v>
      </c>
      <c r="G355" s="283">
        <f t="shared" si="12"/>
        <v>0.4944132325</v>
      </c>
      <c r="H355" s="100">
        <v>53.84</v>
      </c>
      <c r="I355" s="117"/>
      <c r="J355" s="100"/>
      <c r="K355" s="83"/>
      <c r="L355" s="195" t="s">
        <v>132</v>
      </c>
      <c r="M355" s="688">
        <v>45383.0</v>
      </c>
      <c r="N355" s="112" t="s">
        <v>34</v>
      </c>
      <c r="O355" s="514" t="s">
        <v>1428</v>
      </c>
      <c r="P355" s="103" t="s">
        <v>71</v>
      </c>
      <c r="Q355" s="252"/>
      <c r="R355" s="253"/>
      <c r="S355" s="91">
        <v>328.0</v>
      </c>
    </row>
    <row r="356">
      <c r="A356" s="75" t="s">
        <v>1429</v>
      </c>
      <c r="B356" s="189" t="s">
        <v>1430</v>
      </c>
      <c r="C356" s="346" t="s">
        <v>1431</v>
      </c>
      <c r="D356" s="582">
        <v>35.0</v>
      </c>
      <c r="E356" s="355">
        <v>2000.0</v>
      </c>
      <c r="F356" s="31">
        <f t="shared" si="13"/>
        <v>58</v>
      </c>
      <c r="G356" s="283">
        <f t="shared" si="12"/>
        <v>0.8819171037</v>
      </c>
      <c r="H356" s="684"/>
      <c r="I356" s="684"/>
      <c r="J356" s="684"/>
      <c r="K356" s="83"/>
      <c r="L356" s="195" t="s">
        <v>132</v>
      </c>
      <c r="M356" s="688">
        <v>45383.0</v>
      </c>
      <c r="N356" s="351" t="s">
        <v>34</v>
      </c>
      <c r="O356" s="271" t="s">
        <v>1432</v>
      </c>
      <c r="P356" s="88" t="s">
        <v>36</v>
      </c>
      <c r="Q356" s="690"/>
      <c r="R356" s="691" t="s">
        <v>1433</v>
      </c>
      <c r="S356" s="91">
        <v>327.0</v>
      </c>
    </row>
    <row r="357">
      <c r="A357" s="103" t="s">
        <v>1434</v>
      </c>
      <c r="B357" s="189" t="s">
        <v>568</v>
      </c>
      <c r="C357" s="255" t="s">
        <v>1435</v>
      </c>
      <c r="D357" s="225">
        <v>104.0</v>
      </c>
      <c r="E357" s="124">
        <v>4000.0</v>
      </c>
      <c r="F357" s="31">
        <f t="shared" si="13"/>
        <v>39</v>
      </c>
      <c r="G357" s="283">
        <f t="shared" si="12"/>
        <v>2.1499354</v>
      </c>
      <c r="H357" s="117"/>
      <c r="I357" s="117"/>
      <c r="J357" s="117"/>
      <c r="K357" s="83"/>
      <c r="L357" s="195" t="s">
        <v>132</v>
      </c>
      <c r="M357" s="111">
        <v>45383.0</v>
      </c>
      <c r="N357" s="130" t="s">
        <v>34</v>
      </c>
      <c r="O357" s="168" t="s">
        <v>1436</v>
      </c>
      <c r="P357" s="268" t="s">
        <v>71</v>
      </c>
      <c r="Q357" s="464"/>
      <c r="R357" s="103" t="s">
        <v>1437</v>
      </c>
      <c r="S357" s="91">
        <v>326.0</v>
      </c>
    </row>
    <row r="358">
      <c r="A358" s="92" t="s">
        <v>1438</v>
      </c>
      <c r="B358" s="61" t="s">
        <v>50</v>
      </c>
      <c r="C358" s="135" t="s">
        <v>1439</v>
      </c>
      <c r="D358" s="191">
        <v>70.0</v>
      </c>
      <c r="E358" s="124">
        <v>13000.0</v>
      </c>
      <c r="F358" s="282">
        <f t="shared" si="13"/>
        <v>186</v>
      </c>
      <c r="G358" s="98">
        <f t="shared" si="12"/>
        <v>3.179797338</v>
      </c>
      <c r="H358" s="127">
        <v>86.5</v>
      </c>
      <c r="I358" s="350">
        <v>63.7</v>
      </c>
      <c r="J358" s="127">
        <v>49.1</v>
      </c>
      <c r="K358" s="83"/>
      <c r="L358" s="195" t="s">
        <v>132</v>
      </c>
      <c r="M358" s="324">
        <v>45383.0</v>
      </c>
      <c r="N358" s="86" t="s">
        <v>34</v>
      </c>
      <c r="O358" s="474" t="s">
        <v>1440</v>
      </c>
      <c r="P358" s="92" t="s">
        <v>36</v>
      </c>
      <c r="Q358" s="133" t="s">
        <v>52</v>
      </c>
      <c r="R358" s="419" t="s">
        <v>1441</v>
      </c>
      <c r="S358" s="91">
        <v>325.0</v>
      </c>
    </row>
    <row r="359">
      <c r="A359" s="92" t="s">
        <v>1442</v>
      </c>
      <c r="B359" s="61" t="s">
        <v>1443</v>
      </c>
      <c r="C359" s="135" t="s">
        <v>1444</v>
      </c>
      <c r="D359" s="194">
        <v>2.4</v>
      </c>
      <c r="E359" s="194">
        <v>1100.0</v>
      </c>
      <c r="F359" s="692">
        <f t="shared" si="13"/>
        <v>459</v>
      </c>
      <c r="G359" s="283">
        <f t="shared" si="12"/>
        <v>0.1712697677</v>
      </c>
      <c r="H359" s="127"/>
      <c r="I359" s="536"/>
      <c r="J359" s="127"/>
      <c r="K359" s="83"/>
      <c r="L359" s="195" t="s">
        <v>132</v>
      </c>
      <c r="M359" s="324">
        <v>45383.0</v>
      </c>
      <c r="N359" s="130" t="s">
        <v>34</v>
      </c>
      <c r="O359" s="135" t="s">
        <v>1445</v>
      </c>
      <c r="P359" s="92" t="s">
        <v>71</v>
      </c>
      <c r="Q359" s="133"/>
      <c r="R359" s="134" t="s">
        <v>1446</v>
      </c>
      <c r="S359" s="91">
        <v>324.0</v>
      </c>
    </row>
    <row r="360">
      <c r="A360" s="136" t="s">
        <v>1447</v>
      </c>
      <c r="B360" s="189" t="s">
        <v>298</v>
      </c>
      <c r="C360" s="248" t="s">
        <v>1448</v>
      </c>
      <c r="D360" s="470">
        <v>13.0</v>
      </c>
      <c r="E360" s="470">
        <v>2000.0</v>
      </c>
      <c r="F360" s="97">
        <f t="shared" si="13"/>
        <v>154</v>
      </c>
      <c r="G360" s="283">
        <f t="shared" si="12"/>
        <v>0.5374838499</v>
      </c>
      <c r="H360" s="100"/>
      <c r="I360" s="117"/>
      <c r="J360" s="100"/>
      <c r="K360" s="83"/>
      <c r="L360" s="638" t="s">
        <v>1449</v>
      </c>
      <c r="M360" s="324">
        <v>45383.0</v>
      </c>
      <c r="N360" s="112" t="s">
        <v>34</v>
      </c>
      <c r="O360" s="267" t="s">
        <v>1450</v>
      </c>
      <c r="P360" s="103" t="s">
        <v>71</v>
      </c>
      <c r="Q360" s="520"/>
      <c r="R360" s="146" t="s">
        <v>1451</v>
      </c>
      <c r="S360" s="91">
        <v>323.0</v>
      </c>
    </row>
    <row r="361">
      <c r="A361" s="92" t="s">
        <v>1452</v>
      </c>
      <c r="B361" s="189" t="s">
        <v>269</v>
      </c>
      <c r="C361" s="135" t="s">
        <v>1453</v>
      </c>
      <c r="D361" s="194">
        <v>141.0</v>
      </c>
      <c r="E361" s="124">
        <v>2000.0</v>
      </c>
      <c r="F361" s="282">
        <f t="shared" si="13"/>
        <v>15</v>
      </c>
      <c r="G361" s="283">
        <f t="shared" si="12"/>
        <v>1.770122406</v>
      </c>
      <c r="H361" s="127">
        <v>77.75</v>
      </c>
      <c r="I361" s="536"/>
      <c r="J361" s="127"/>
      <c r="K361" s="83"/>
      <c r="L361" s="195" t="s">
        <v>132</v>
      </c>
      <c r="M361" s="324">
        <v>45383.0</v>
      </c>
      <c r="N361" s="86" t="s">
        <v>34</v>
      </c>
      <c r="O361" s="135" t="s">
        <v>1454</v>
      </c>
      <c r="P361" s="92" t="s">
        <v>36</v>
      </c>
      <c r="Q361" s="133"/>
      <c r="R361" s="134" t="s">
        <v>1455</v>
      </c>
      <c r="S361" s="91">
        <v>322.0</v>
      </c>
    </row>
    <row r="362">
      <c r="A362" s="106" t="s">
        <v>1456</v>
      </c>
      <c r="B362" s="189" t="s">
        <v>843</v>
      </c>
      <c r="C362" s="326" t="s">
        <v>1457</v>
      </c>
      <c r="D362" s="109">
        <v>7.0</v>
      </c>
      <c r="E362" s="109">
        <v>200.0</v>
      </c>
      <c r="F362" s="161">
        <f t="shared" si="13"/>
        <v>29</v>
      </c>
      <c r="G362" s="283">
        <f t="shared" si="12"/>
        <v>0.1247219129</v>
      </c>
      <c r="H362" s="536"/>
      <c r="I362" s="536"/>
      <c r="J362" s="536"/>
      <c r="K362" s="83"/>
      <c r="L362" s="195" t="s">
        <v>132</v>
      </c>
      <c r="M362" s="662">
        <v>45383.0</v>
      </c>
      <c r="N362" s="394" t="s">
        <v>34</v>
      </c>
      <c r="O362" s="537" t="s">
        <v>1458</v>
      </c>
      <c r="P362" s="538" t="s">
        <v>71</v>
      </c>
      <c r="Q362" s="622"/>
      <c r="R362" s="623" t="s">
        <v>1459</v>
      </c>
      <c r="S362" s="91">
        <v>321.0</v>
      </c>
    </row>
    <row r="363">
      <c r="A363" s="106" t="s">
        <v>1460</v>
      </c>
      <c r="B363" s="189" t="s">
        <v>1461</v>
      </c>
      <c r="C363" s="108" t="s">
        <v>1462</v>
      </c>
      <c r="D363" s="109">
        <v>8.0</v>
      </c>
      <c r="E363" s="194">
        <v>1250.0</v>
      </c>
      <c r="F363" s="693">
        <f t="shared" si="13"/>
        <v>157</v>
      </c>
      <c r="G363" s="283">
        <f t="shared" si="12"/>
        <v>0.3333333333</v>
      </c>
      <c r="H363" s="350">
        <v>49.2</v>
      </c>
      <c r="I363" s="536"/>
      <c r="J363" s="350"/>
      <c r="K363" s="83"/>
      <c r="L363" s="195" t="s">
        <v>132</v>
      </c>
      <c r="M363" s="324">
        <v>45383.0</v>
      </c>
      <c r="N363" s="394" t="s">
        <v>34</v>
      </c>
      <c r="O363" s="592" t="s">
        <v>1463</v>
      </c>
      <c r="P363" s="106" t="s">
        <v>36</v>
      </c>
      <c r="Q363" s="567"/>
      <c r="R363" s="106"/>
      <c r="S363" s="91">
        <v>320.0</v>
      </c>
    </row>
    <row r="364">
      <c r="A364" s="106" t="s">
        <v>1464</v>
      </c>
      <c r="B364" s="61" t="s">
        <v>1443</v>
      </c>
      <c r="C364" s="694" t="s">
        <v>1465</v>
      </c>
      <c r="D364" s="109">
        <v>70.0</v>
      </c>
      <c r="E364" s="109">
        <v>2000.0</v>
      </c>
      <c r="F364" s="693">
        <f t="shared" si="13"/>
        <v>29</v>
      </c>
      <c r="G364" s="283">
        <f t="shared" si="12"/>
        <v>1.247219129</v>
      </c>
      <c r="H364" s="184"/>
      <c r="I364" s="212"/>
      <c r="J364" s="184"/>
      <c r="K364" s="83"/>
      <c r="L364" s="195" t="s">
        <v>132</v>
      </c>
      <c r="M364" s="324">
        <v>45383.0</v>
      </c>
      <c r="N364" s="394" t="s">
        <v>34</v>
      </c>
      <c r="O364" s="592" t="s">
        <v>1465</v>
      </c>
      <c r="P364" s="134" t="s">
        <v>71</v>
      </c>
      <c r="Q364" s="567"/>
      <c r="R364" s="106" t="s">
        <v>1466</v>
      </c>
      <c r="S364" s="91">
        <v>319.0</v>
      </c>
    </row>
    <row r="365">
      <c r="A365" s="106" t="s">
        <v>1467</v>
      </c>
      <c r="B365" s="189" t="s">
        <v>568</v>
      </c>
      <c r="C365" s="108" t="s">
        <v>1468</v>
      </c>
      <c r="D365" s="109">
        <v>104.0</v>
      </c>
      <c r="E365" s="124">
        <v>4000.0</v>
      </c>
      <c r="F365" s="693">
        <f t="shared" si="13"/>
        <v>39</v>
      </c>
      <c r="G365" s="283">
        <f t="shared" si="12"/>
        <v>2.1499354</v>
      </c>
      <c r="H365" s="184">
        <v>75.7</v>
      </c>
      <c r="I365" s="212"/>
      <c r="J365" s="184"/>
      <c r="K365" s="83"/>
      <c r="L365" s="195" t="s">
        <v>132</v>
      </c>
      <c r="M365" s="324">
        <v>45383.0</v>
      </c>
      <c r="N365" s="394" t="s">
        <v>34</v>
      </c>
      <c r="O365" s="592" t="s">
        <v>1469</v>
      </c>
      <c r="P365" s="134" t="s">
        <v>71</v>
      </c>
      <c r="Q365" s="567"/>
      <c r="R365" s="695" t="s">
        <v>1470</v>
      </c>
      <c r="S365" s="91">
        <v>318.0</v>
      </c>
    </row>
    <row r="366">
      <c r="A366" s="92" t="s">
        <v>1471</v>
      </c>
      <c r="B366" s="189" t="s">
        <v>1472</v>
      </c>
      <c r="C366" s="123"/>
      <c r="D366" s="109">
        <v>33.0</v>
      </c>
      <c r="E366" s="109">
        <v>2000.0</v>
      </c>
      <c r="F366" s="161">
        <f t="shared" si="13"/>
        <v>61</v>
      </c>
      <c r="G366" s="283">
        <f t="shared" si="12"/>
        <v>0.8563488386</v>
      </c>
      <c r="H366" s="184"/>
      <c r="I366" s="212"/>
      <c r="J366" s="184"/>
      <c r="K366" s="83"/>
      <c r="L366" s="195" t="s">
        <v>132</v>
      </c>
      <c r="M366" s="324">
        <v>45383.0</v>
      </c>
      <c r="N366" s="99" t="s">
        <v>34</v>
      </c>
      <c r="O366" s="135" t="s">
        <v>1473</v>
      </c>
      <c r="P366" s="134" t="s">
        <v>71</v>
      </c>
      <c r="Q366" s="133"/>
      <c r="R366" s="696" t="s">
        <v>1474</v>
      </c>
      <c r="S366" s="91">
        <v>317.0</v>
      </c>
    </row>
    <row r="367">
      <c r="A367" s="92" t="s">
        <v>1475</v>
      </c>
      <c r="B367" s="189" t="s">
        <v>185</v>
      </c>
      <c r="C367" s="135" t="s">
        <v>1476</v>
      </c>
      <c r="D367" s="109">
        <v>1.0</v>
      </c>
      <c r="E367" s="109">
        <v>60.0</v>
      </c>
      <c r="F367" s="161">
        <f t="shared" si="13"/>
        <v>60</v>
      </c>
      <c r="G367" s="283">
        <f t="shared" si="12"/>
        <v>0.02581988897</v>
      </c>
      <c r="H367" s="184"/>
      <c r="I367" s="212"/>
      <c r="J367" s="184"/>
      <c r="K367" s="83"/>
      <c r="L367" s="195" t="s">
        <v>132</v>
      </c>
      <c r="M367" s="324">
        <v>45383.0</v>
      </c>
      <c r="N367" s="99" t="s">
        <v>34</v>
      </c>
      <c r="O367" s="135" t="s">
        <v>1477</v>
      </c>
      <c r="P367" s="134" t="s">
        <v>71</v>
      </c>
      <c r="Q367" s="133"/>
      <c r="R367" s="134" t="s">
        <v>1478</v>
      </c>
      <c r="S367" s="91">
        <v>316.0</v>
      </c>
    </row>
    <row r="368">
      <c r="A368" s="92" t="s">
        <v>1479</v>
      </c>
      <c r="B368" s="189" t="s">
        <v>776</v>
      </c>
      <c r="C368" s="398" t="s">
        <v>1480</v>
      </c>
      <c r="D368" s="194">
        <v>15.5</v>
      </c>
      <c r="E368" s="194">
        <v>2035.0</v>
      </c>
      <c r="F368" s="97">
        <f t="shared" si="13"/>
        <v>132</v>
      </c>
      <c r="G368" s="283">
        <f t="shared" si="12"/>
        <v>0.5920069444</v>
      </c>
      <c r="H368" s="350"/>
      <c r="I368" s="536"/>
      <c r="J368" s="350"/>
      <c r="K368" s="83"/>
      <c r="L368" s="195" t="s">
        <v>132</v>
      </c>
      <c r="M368" s="324">
        <v>45352.0</v>
      </c>
      <c r="N368" s="394" t="s">
        <v>34</v>
      </c>
      <c r="O368" s="131" t="s">
        <v>1481</v>
      </c>
      <c r="P368" s="106" t="s">
        <v>71</v>
      </c>
      <c r="Q368" s="400"/>
      <c r="R368" s="197"/>
      <c r="S368" s="91">
        <v>315.0</v>
      </c>
    </row>
    <row r="369">
      <c r="A369" s="92" t="s">
        <v>1482</v>
      </c>
      <c r="B369" s="189" t="s">
        <v>298</v>
      </c>
      <c r="C369" s="123"/>
      <c r="D369" s="109">
        <v>3.0</v>
      </c>
      <c r="E369" s="116">
        <v>134.0</v>
      </c>
      <c r="F369" s="161">
        <f t="shared" si="13"/>
        <v>45</v>
      </c>
      <c r="G369" s="283">
        <f t="shared" si="12"/>
        <v>0.06683312552</v>
      </c>
      <c r="H369" s="184"/>
      <c r="I369" s="212"/>
      <c r="J369" s="184"/>
      <c r="K369" s="83"/>
      <c r="L369" s="195" t="s">
        <v>132</v>
      </c>
      <c r="M369" s="324">
        <v>45352.0</v>
      </c>
      <c r="N369" s="639" t="s">
        <v>28</v>
      </c>
      <c r="O369" s="135" t="s">
        <v>1483</v>
      </c>
      <c r="P369" s="134" t="s">
        <v>71</v>
      </c>
      <c r="Q369" s="133"/>
      <c r="R369" s="134" t="s">
        <v>1484</v>
      </c>
      <c r="S369" s="91">
        <v>314.0</v>
      </c>
    </row>
    <row r="370">
      <c r="A370" s="92" t="s">
        <v>1485</v>
      </c>
      <c r="B370" s="61" t="s">
        <v>107</v>
      </c>
      <c r="C370" s="135" t="s">
        <v>1486</v>
      </c>
      <c r="D370" s="109">
        <v>14.3</v>
      </c>
      <c r="E370" s="116">
        <v>1500.0</v>
      </c>
      <c r="F370" s="161">
        <f t="shared" si="13"/>
        <v>105</v>
      </c>
      <c r="G370" s="283">
        <f t="shared" si="12"/>
        <v>0.4881939505</v>
      </c>
      <c r="H370" s="184">
        <v>62.5</v>
      </c>
      <c r="I370" s="212"/>
      <c r="J370" s="184"/>
      <c r="K370" s="83"/>
      <c r="L370" s="195" t="s">
        <v>132</v>
      </c>
      <c r="M370" s="324">
        <v>45352.0</v>
      </c>
      <c r="N370" s="99" t="s">
        <v>34</v>
      </c>
      <c r="O370" s="135" t="s">
        <v>1486</v>
      </c>
      <c r="P370" s="134" t="s">
        <v>36</v>
      </c>
      <c r="Q370" s="133"/>
      <c r="R370" s="134" t="s">
        <v>1487</v>
      </c>
      <c r="S370" s="91">
        <v>313.0</v>
      </c>
    </row>
    <row r="371">
      <c r="A371" s="92" t="s">
        <v>1488</v>
      </c>
      <c r="B371" s="189" t="s">
        <v>126</v>
      </c>
      <c r="C371" s="166" t="s">
        <v>1489</v>
      </c>
      <c r="D371" s="451">
        <v>180.0</v>
      </c>
      <c r="E371" s="697">
        <v>6000.0</v>
      </c>
      <c r="F371" s="97">
        <f t="shared" si="13"/>
        <v>34</v>
      </c>
      <c r="G371" s="283">
        <f t="shared" si="12"/>
        <v>3.464101615</v>
      </c>
      <c r="H371" s="698">
        <v>81.3</v>
      </c>
      <c r="I371" s="699"/>
      <c r="J371" s="698"/>
      <c r="K371" s="83"/>
      <c r="L371" s="195" t="s">
        <v>132</v>
      </c>
      <c r="M371" s="324">
        <v>45352.0</v>
      </c>
      <c r="N371" s="86" t="s">
        <v>34</v>
      </c>
      <c r="O371" s="131" t="s">
        <v>1490</v>
      </c>
      <c r="P371" s="360" t="s">
        <v>36</v>
      </c>
      <c r="Q371" s="572"/>
      <c r="R371" s="573" t="s">
        <v>1491</v>
      </c>
      <c r="S371" s="91">
        <v>312.0</v>
      </c>
    </row>
    <row r="372">
      <c r="A372" s="92" t="s">
        <v>1492</v>
      </c>
      <c r="B372" s="189" t="s">
        <v>589</v>
      </c>
      <c r="C372" s="135" t="s">
        <v>1493</v>
      </c>
      <c r="D372" s="95">
        <v>52.0</v>
      </c>
      <c r="E372" s="362">
        <v>5000.0</v>
      </c>
      <c r="F372" s="97">
        <f t="shared" si="13"/>
        <v>97</v>
      </c>
      <c r="G372" s="283">
        <f t="shared" si="12"/>
        <v>1.699673171</v>
      </c>
      <c r="H372" s="698">
        <v>67.4</v>
      </c>
      <c r="I372" s="699"/>
      <c r="J372" s="698"/>
      <c r="K372" s="83"/>
      <c r="L372" s="195" t="s">
        <v>132</v>
      </c>
      <c r="M372" s="324">
        <v>45352.0</v>
      </c>
      <c r="N372" s="86" t="s">
        <v>34</v>
      </c>
      <c r="O372" s="131" t="s">
        <v>1494</v>
      </c>
      <c r="P372" s="360" t="s">
        <v>36</v>
      </c>
      <c r="Q372" s="359"/>
      <c r="R372" s="368" t="s">
        <v>1495</v>
      </c>
      <c r="S372" s="91">
        <v>311.0</v>
      </c>
    </row>
    <row r="373">
      <c r="A373" s="92" t="s">
        <v>1496</v>
      </c>
      <c r="B373" s="189" t="s">
        <v>1497</v>
      </c>
      <c r="C373" s="398" t="s">
        <v>1498</v>
      </c>
      <c r="D373" s="95">
        <v>132.0</v>
      </c>
      <c r="E373" s="470">
        <v>12000.0</v>
      </c>
      <c r="F373" s="97">
        <f t="shared" si="13"/>
        <v>91</v>
      </c>
      <c r="G373" s="283">
        <f t="shared" si="12"/>
        <v>4.195235393</v>
      </c>
      <c r="H373" s="700">
        <v>73.7</v>
      </c>
      <c r="I373" s="701"/>
      <c r="J373" s="700"/>
      <c r="K373" s="83"/>
      <c r="L373" s="195" t="s">
        <v>132</v>
      </c>
      <c r="M373" s="324">
        <v>45352.0</v>
      </c>
      <c r="N373" s="86" t="s">
        <v>34</v>
      </c>
      <c r="O373" s="131" t="s">
        <v>1499</v>
      </c>
      <c r="P373" s="573" t="s">
        <v>36</v>
      </c>
      <c r="Q373" s="572"/>
      <c r="R373" s="573" t="s">
        <v>1500</v>
      </c>
      <c r="S373" s="91">
        <v>310.0</v>
      </c>
    </row>
    <row r="374">
      <c r="A374" s="103" t="s">
        <v>1501</v>
      </c>
      <c r="B374" s="61" t="s">
        <v>1502</v>
      </c>
      <c r="C374" s="427" t="s">
        <v>1503</v>
      </c>
      <c r="D374" s="226">
        <v>2.7</v>
      </c>
      <c r="E374" s="169">
        <v>560.0</v>
      </c>
      <c r="F374" s="31">
        <f t="shared" si="13"/>
        <v>208</v>
      </c>
      <c r="G374" s="283">
        <f t="shared" si="12"/>
        <v>0.129614814</v>
      </c>
      <c r="H374" s="100"/>
      <c r="I374" s="117"/>
      <c r="J374" s="100"/>
      <c r="K374" s="625"/>
      <c r="L374" s="702" t="s">
        <v>300</v>
      </c>
      <c r="M374" s="324">
        <v>45352.0</v>
      </c>
      <c r="N374" s="130" t="s">
        <v>34</v>
      </c>
      <c r="O374" s="168" t="s">
        <v>1504</v>
      </c>
      <c r="P374" s="103" t="s">
        <v>71</v>
      </c>
      <c r="Q374" s="703"/>
      <c r="R374" s="156" t="s">
        <v>1505</v>
      </c>
      <c r="S374" s="91">
        <v>309.0</v>
      </c>
    </row>
    <row r="375">
      <c r="A375" s="136" t="s">
        <v>1506</v>
      </c>
      <c r="B375" s="189" t="s">
        <v>1507</v>
      </c>
      <c r="C375" s="218" t="s">
        <v>1508</v>
      </c>
      <c r="D375" s="249">
        <v>10.0</v>
      </c>
      <c r="E375" s="488">
        <v>800.0</v>
      </c>
      <c r="F375" s="31">
        <f t="shared" si="13"/>
        <v>80</v>
      </c>
      <c r="G375" s="283">
        <f t="shared" si="12"/>
        <v>0.298142397</v>
      </c>
      <c r="H375" s="100"/>
      <c r="I375" s="117"/>
      <c r="J375" s="100"/>
      <c r="K375" s="83"/>
      <c r="L375" s="195" t="s">
        <v>132</v>
      </c>
      <c r="M375" s="324">
        <v>45352.0</v>
      </c>
      <c r="N375" s="112" t="s">
        <v>34</v>
      </c>
      <c r="O375" s="223" t="s">
        <v>1509</v>
      </c>
      <c r="P375" s="103" t="s">
        <v>71</v>
      </c>
      <c r="Q375" s="325"/>
      <c r="R375" s="375" t="s">
        <v>1510</v>
      </c>
      <c r="S375" s="91">
        <v>308.0</v>
      </c>
    </row>
    <row r="376">
      <c r="A376" s="136" t="s">
        <v>1511</v>
      </c>
      <c r="B376" s="189" t="s">
        <v>1512</v>
      </c>
      <c r="C376" s="218" t="s">
        <v>1513</v>
      </c>
      <c r="D376" s="109">
        <v>7.0</v>
      </c>
      <c r="E376" s="116">
        <v>3000.0</v>
      </c>
      <c r="F376" s="392">
        <f t="shared" si="13"/>
        <v>429</v>
      </c>
      <c r="G376" s="283">
        <f t="shared" si="12"/>
        <v>0.4830458915</v>
      </c>
      <c r="H376" s="100">
        <v>61.31</v>
      </c>
      <c r="I376" s="117"/>
      <c r="J376" s="100"/>
      <c r="K376" s="83"/>
      <c r="L376" s="195" t="s">
        <v>132</v>
      </c>
      <c r="M376" s="324">
        <v>45352.0</v>
      </c>
      <c r="N376" s="112" t="s">
        <v>34</v>
      </c>
      <c r="O376" s="230" t="s">
        <v>1514</v>
      </c>
      <c r="P376" s="103" t="s">
        <v>71</v>
      </c>
      <c r="Q376" s="325"/>
      <c r="R376" s="375" t="s">
        <v>1515</v>
      </c>
      <c r="S376" s="91">
        <v>307.0</v>
      </c>
    </row>
    <row r="377">
      <c r="A377" s="136" t="s">
        <v>1516</v>
      </c>
      <c r="B377" s="189" t="s">
        <v>1348</v>
      </c>
      <c r="C377" s="218" t="s">
        <v>1517</v>
      </c>
      <c r="D377" s="249">
        <v>0.378</v>
      </c>
      <c r="E377" s="219">
        <v>3.0</v>
      </c>
      <c r="F377" s="31">
        <f t="shared" si="13"/>
        <v>8</v>
      </c>
      <c r="G377" s="283">
        <f t="shared" si="12"/>
        <v>0.00354964787</v>
      </c>
      <c r="H377" s="100"/>
      <c r="I377" s="117"/>
      <c r="J377" s="100"/>
      <c r="K377" s="83"/>
      <c r="L377" s="195" t="s">
        <v>132</v>
      </c>
      <c r="M377" s="324">
        <v>45352.0</v>
      </c>
      <c r="N377" s="112" t="s">
        <v>34</v>
      </c>
      <c r="O377" s="230" t="s">
        <v>1518</v>
      </c>
      <c r="P377" s="103" t="s">
        <v>71</v>
      </c>
      <c r="Q377" s="325"/>
      <c r="R377" s="375" t="s">
        <v>1519</v>
      </c>
      <c r="S377" s="91">
        <v>306.0</v>
      </c>
    </row>
    <row r="378">
      <c r="A378" s="136" t="s">
        <v>1520</v>
      </c>
      <c r="B378" s="189" t="s">
        <v>772</v>
      </c>
      <c r="C378" s="218" t="s">
        <v>1521</v>
      </c>
      <c r="D378" s="435">
        <v>7.52</v>
      </c>
      <c r="E378" s="225">
        <v>1700.0</v>
      </c>
      <c r="F378" s="31">
        <f t="shared" si="13"/>
        <v>227</v>
      </c>
      <c r="G378" s="283">
        <f t="shared" si="12"/>
        <v>0.3768878407</v>
      </c>
      <c r="H378" s="100">
        <v>40.14</v>
      </c>
      <c r="I378" s="117"/>
      <c r="J378" s="100"/>
      <c r="K378" s="83"/>
      <c r="L378" s="195" t="s">
        <v>132</v>
      </c>
      <c r="M378" s="324">
        <v>45352.0</v>
      </c>
      <c r="N378" s="112" t="s">
        <v>34</v>
      </c>
      <c r="O378" s="230" t="s">
        <v>1522</v>
      </c>
      <c r="P378" s="103" t="s">
        <v>71</v>
      </c>
      <c r="Q378" s="325"/>
      <c r="R378" s="375" t="s">
        <v>1523</v>
      </c>
      <c r="S378" s="91">
        <v>305.0</v>
      </c>
    </row>
    <row r="379">
      <c r="A379" s="92" t="s">
        <v>1524</v>
      </c>
      <c r="B379" s="189" t="s">
        <v>298</v>
      </c>
      <c r="C379" s="123"/>
      <c r="D379" s="194">
        <v>30.0</v>
      </c>
      <c r="E379" s="194">
        <v>2010.0</v>
      </c>
      <c r="F379" s="392">
        <f t="shared" si="13"/>
        <v>67</v>
      </c>
      <c r="G379" s="283">
        <f t="shared" si="12"/>
        <v>0.8185352772</v>
      </c>
      <c r="H379" s="100"/>
      <c r="I379" s="117"/>
      <c r="J379" s="100"/>
      <c r="K379" s="83"/>
      <c r="L379" s="704" t="s">
        <v>103</v>
      </c>
      <c r="M379" s="324">
        <v>45352.0</v>
      </c>
      <c r="N379" s="143" t="s">
        <v>28</v>
      </c>
      <c r="O379" s="135" t="s">
        <v>1525</v>
      </c>
      <c r="P379" s="103" t="s">
        <v>71</v>
      </c>
      <c r="Q379" s="705"/>
      <c r="R379" s="306" t="s">
        <v>1526</v>
      </c>
      <c r="S379" s="91">
        <v>304.0</v>
      </c>
    </row>
    <row r="380">
      <c r="A380" s="92" t="s">
        <v>1527</v>
      </c>
      <c r="B380" s="189" t="s">
        <v>1528</v>
      </c>
      <c r="C380" s="135" t="s">
        <v>1529</v>
      </c>
      <c r="D380" s="194">
        <v>8.0</v>
      </c>
      <c r="E380" s="124">
        <v>160.0</v>
      </c>
      <c r="F380" s="392">
        <f t="shared" si="13"/>
        <v>20</v>
      </c>
      <c r="G380" s="283">
        <f t="shared" si="12"/>
        <v>0.1192569588</v>
      </c>
      <c r="H380" s="100"/>
      <c r="I380" s="117"/>
      <c r="J380" s="100"/>
      <c r="K380" s="83"/>
      <c r="L380" s="195" t="s">
        <v>132</v>
      </c>
      <c r="M380" s="324">
        <v>45352.0</v>
      </c>
      <c r="N380" s="86" t="s">
        <v>1235</v>
      </c>
      <c r="O380" s="135" t="s">
        <v>1530</v>
      </c>
      <c r="P380" s="103" t="s">
        <v>71</v>
      </c>
      <c r="Q380" s="705"/>
      <c r="R380" s="306" t="s">
        <v>1531</v>
      </c>
      <c r="S380" s="91">
        <v>303.0</v>
      </c>
    </row>
    <row r="381">
      <c r="A381" s="136" t="s">
        <v>1532</v>
      </c>
      <c r="B381" s="189" t="s">
        <v>568</v>
      </c>
      <c r="C381" s="642" t="s">
        <v>568</v>
      </c>
      <c r="D381" s="225">
        <v>35.0</v>
      </c>
      <c r="E381" s="124">
        <v>700.0</v>
      </c>
      <c r="F381" s="656">
        <f t="shared" si="13"/>
        <v>20</v>
      </c>
      <c r="G381" s="283">
        <f t="shared" si="12"/>
        <v>0.5217491947</v>
      </c>
      <c r="H381" s="100"/>
      <c r="I381" s="100">
        <v>37.9</v>
      </c>
      <c r="J381" s="100"/>
      <c r="K381" s="83"/>
      <c r="L381" s="195" t="s">
        <v>132</v>
      </c>
      <c r="M381" s="324">
        <v>45352.0</v>
      </c>
      <c r="N381" s="112" t="s">
        <v>34</v>
      </c>
      <c r="O381" s="267" t="s">
        <v>1533</v>
      </c>
      <c r="P381" s="103" t="s">
        <v>71</v>
      </c>
      <c r="Q381" s="481"/>
      <c r="R381" s="136" t="s">
        <v>1534</v>
      </c>
      <c r="S381" s="91">
        <v>302.0</v>
      </c>
    </row>
    <row r="382">
      <c r="A382" s="706" t="s">
        <v>1535</v>
      </c>
      <c r="B382" s="61" t="s">
        <v>32</v>
      </c>
      <c r="C382" s="218" t="s">
        <v>1536</v>
      </c>
      <c r="D382" s="249">
        <v>7.0</v>
      </c>
      <c r="E382" s="138">
        <v>2000.0</v>
      </c>
      <c r="F382" s="31">
        <f t="shared" si="13"/>
        <v>286</v>
      </c>
      <c r="G382" s="283">
        <f t="shared" si="12"/>
        <v>0.3944053189</v>
      </c>
      <c r="H382" s="100"/>
      <c r="I382" s="117"/>
      <c r="J382" s="100"/>
      <c r="K382" s="83"/>
      <c r="L382" s="195" t="s">
        <v>132</v>
      </c>
      <c r="M382" s="324">
        <v>45352.0</v>
      </c>
      <c r="N382" s="112" t="s">
        <v>34</v>
      </c>
      <c r="O382" s="230" t="s">
        <v>1537</v>
      </c>
      <c r="P382" s="103" t="s">
        <v>71</v>
      </c>
      <c r="Q382" s="325"/>
      <c r="R382" s="375" t="s">
        <v>1538</v>
      </c>
      <c r="S382" s="91">
        <v>301.0</v>
      </c>
    </row>
    <row r="383">
      <c r="A383" s="92" t="s">
        <v>1539</v>
      </c>
      <c r="B383" s="189" t="s">
        <v>1540</v>
      </c>
      <c r="C383" s="135" t="s">
        <v>1541</v>
      </c>
      <c r="D383" s="194">
        <v>7.0</v>
      </c>
      <c r="E383" s="194">
        <v>2000.0</v>
      </c>
      <c r="F383" s="392">
        <f t="shared" si="13"/>
        <v>286</v>
      </c>
      <c r="G383" s="283">
        <f t="shared" si="12"/>
        <v>0.3944053189</v>
      </c>
      <c r="H383" s="100"/>
      <c r="I383" s="117"/>
      <c r="J383" s="100"/>
      <c r="K383" s="83"/>
      <c r="L383" s="195" t="s">
        <v>132</v>
      </c>
      <c r="M383" s="324">
        <v>45352.0</v>
      </c>
      <c r="N383" s="112" t="s">
        <v>34</v>
      </c>
      <c r="O383" s="135" t="s">
        <v>1542</v>
      </c>
      <c r="P383" s="103" t="s">
        <v>71</v>
      </c>
      <c r="Q383" s="705"/>
      <c r="R383" s="306" t="s">
        <v>1543</v>
      </c>
      <c r="S383" s="91">
        <v>300.0</v>
      </c>
    </row>
    <row r="384">
      <c r="A384" s="92" t="s">
        <v>1544</v>
      </c>
      <c r="B384" s="61" t="s">
        <v>1502</v>
      </c>
      <c r="C384" s="123"/>
      <c r="D384" s="194">
        <v>70.0</v>
      </c>
      <c r="E384" s="194">
        <v>2000.0</v>
      </c>
      <c r="F384" s="392">
        <f t="shared" si="13"/>
        <v>29</v>
      </c>
      <c r="G384" s="283">
        <f t="shared" si="12"/>
        <v>1.247219129</v>
      </c>
      <c r="H384" s="100"/>
      <c r="I384" s="117"/>
      <c r="J384" s="100"/>
      <c r="K384" s="83"/>
      <c r="L384" s="195" t="s">
        <v>132</v>
      </c>
      <c r="M384" s="324">
        <v>45352.0</v>
      </c>
      <c r="N384" s="112" t="s">
        <v>34</v>
      </c>
      <c r="O384" s="135" t="s">
        <v>1545</v>
      </c>
      <c r="P384" s="103" t="s">
        <v>71</v>
      </c>
      <c r="Q384" s="705"/>
      <c r="R384" s="306" t="s">
        <v>1546</v>
      </c>
      <c r="S384" s="91">
        <v>299.0</v>
      </c>
    </row>
    <row r="385">
      <c r="A385" s="92" t="s">
        <v>1547</v>
      </c>
      <c r="B385" s="189" t="s">
        <v>984</v>
      </c>
      <c r="C385" s="135" t="s">
        <v>1548</v>
      </c>
      <c r="D385" s="362">
        <v>1200.0</v>
      </c>
      <c r="E385" s="362">
        <v>20000.0</v>
      </c>
      <c r="F385" s="578">
        <f t="shared" si="13"/>
        <v>17</v>
      </c>
      <c r="G385" s="283">
        <f t="shared" si="12"/>
        <v>16.32993162</v>
      </c>
      <c r="H385" s="100">
        <v>85.5</v>
      </c>
      <c r="I385" s="117"/>
      <c r="J385" s="100">
        <v>38.4</v>
      </c>
      <c r="K385" s="83"/>
      <c r="L385" s="195" t="s">
        <v>132</v>
      </c>
      <c r="M385" s="324">
        <v>45352.0</v>
      </c>
      <c r="N385" s="112" t="s">
        <v>34</v>
      </c>
      <c r="O385" s="131" t="s">
        <v>1549</v>
      </c>
      <c r="P385" s="103" t="s">
        <v>71</v>
      </c>
      <c r="Q385" s="522"/>
      <c r="R385" s="92"/>
      <c r="S385" s="91">
        <v>298.0</v>
      </c>
    </row>
    <row r="386">
      <c r="A386" s="92" t="s">
        <v>1550</v>
      </c>
      <c r="B386" s="189" t="s">
        <v>1551</v>
      </c>
      <c r="C386" s="135" t="s">
        <v>1552</v>
      </c>
      <c r="D386" s="78">
        <v>7.0</v>
      </c>
      <c r="E386" s="78">
        <v>2500.0</v>
      </c>
      <c r="F386" s="31">
        <f t="shared" si="13"/>
        <v>358</v>
      </c>
      <c r="G386" s="283">
        <f t="shared" si="12"/>
        <v>0.4409585518</v>
      </c>
      <c r="H386" s="100"/>
      <c r="I386" s="117"/>
      <c r="J386" s="100"/>
      <c r="K386" s="83"/>
      <c r="L386" s="195" t="s">
        <v>132</v>
      </c>
      <c r="M386" s="324">
        <v>45352.0</v>
      </c>
      <c r="N386" s="99" t="s">
        <v>34</v>
      </c>
      <c r="O386" s="135" t="s">
        <v>1553</v>
      </c>
      <c r="P386" s="103" t="s">
        <v>71</v>
      </c>
      <c r="Q386" s="133"/>
      <c r="R386" s="134" t="s">
        <v>1554</v>
      </c>
      <c r="S386" s="91">
        <v>297.0</v>
      </c>
    </row>
    <row r="387">
      <c r="A387" s="92" t="s">
        <v>1555</v>
      </c>
      <c r="B387" s="189" t="s">
        <v>90</v>
      </c>
      <c r="C387" s="135" t="s">
        <v>368</v>
      </c>
      <c r="D387" s="362">
        <v>2500.0</v>
      </c>
      <c r="E387" s="124">
        <v>40000.0</v>
      </c>
      <c r="F387" s="707">
        <f t="shared" si="13"/>
        <v>16</v>
      </c>
      <c r="G387" s="98">
        <f t="shared" si="12"/>
        <v>33.33333333</v>
      </c>
      <c r="H387" s="127">
        <v>86.8</v>
      </c>
      <c r="I387" s="350">
        <v>68.5</v>
      </c>
      <c r="J387" s="127">
        <v>59.5</v>
      </c>
      <c r="K387" s="83"/>
      <c r="L387" s="195" t="s">
        <v>132</v>
      </c>
      <c r="M387" s="324">
        <v>45352.0</v>
      </c>
      <c r="N387" s="86" t="s">
        <v>34</v>
      </c>
      <c r="O387" s="708" t="s">
        <v>1556</v>
      </c>
      <c r="P387" s="92" t="s">
        <v>36</v>
      </c>
      <c r="Q387" s="709" t="s">
        <v>52</v>
      </c>
      <c r="R387" s="710" t="s">
        <v>1557</v>
      </c>
      <c r="S387" s="91">
        <v>296.0</v>
      </c>
    </row>
    <row r="388">
      <c r="A388" s="92" t="s">
        <v>1558</v>
      </c>
      <c r="B388" s="189" t="s">
        <v>190</v>
      </c>
      <c r="C388" s="711"/>
      <c r="D388" s="194">
        <v>15.0</v>
      </c>
      <c r="E388" s="194">
        <v>8000.0</v>
      </c>
      <c r="F388" s="97">
        <f t="shared" si="13"/>
        <v>534</v>
      </c>
      <c r="G388" s="283">
        <f t="shared" si="12"/>
        <v>1.154700538</v>
      </c>
      <c r="H388" s="127">
        <v>64.2</v>
      </c>
      <c r="I388" s="627"/>
      <c r="J388" s="127"/>
      <c r="K388" s="83"/>
      <c r="L388" s="195" t="s">
        <v>132</v>
      </c>
      <c r="M388" s="405">
        <v>45323.0</v>
      </c>
      <c r="N388" s="712" t="s">
        <v>34</v>
      </c>
      <c r="O388" s="474" t="s">
        <v>1559</v>
      </c>
      <c r="P388" s="92" t="s">
        <v>71</v>
      </c>
      <c r="Q388" s="565"/>
      <c r="R388" s="566"/>
      <c r="S388" s="91">
        <v>295.0</v>
      </c>
    </row>
    <row r="389">
      <c r="A389" s="106" t="s">
        <v>1560</v>
      </c>
      <c r="B389" s="189" t="s">
        <v>1561</v>
      </c>
      <c r="C389" s="326" t="s">
        <v>1562</v>
      </c>
      <c r="D389" s="109">
        <v>7.0</v>
      </c>
      <c r="E389" s="109">
        <v>1020.0</v>
      </c>
      <c r="F389" s="97">
        <f t="shared" si="13"/>
        <v>146</v>
      </c>
      <c r="G389" s="283">
        <f t="shared" si="12"/>
        <v>0.2816617357</v>
      </c>
      <c r="H389" s="117"/>
      <c r="I389" s="117"/>
      <c r="J389" s="117"/>
      <c r="K389" s="83"/>
      <c r="L389" s="195" t="s">
        <v>132</v>
      </c>
      <c r="M389" s="405">
        <v>45323.0</v>
      </c>
      <c r="N389" s="112" t="s">
        <v>34</v>
      </c>
      <c r="O389" s="108" t="s">
        <v>1563</v>
      </c>
      <c r="P389" s="156" t="s">
        <v>71</v>
      </c>
      <c r="Q389" s="616"/>
      <c r="R389" s="617" t="s">
        <v>1564</v>
      </c>
      <c r="S389" s="91">
        <v>294.0</v>
      </c>
    </row>
    <row r="390">
      <c r="A390" s="92" t="s">
        <v>1565</v>
      </c>
      <c r="B390" s="61" t="s">
        <v>45</v>
      </c>
      <c r="C390" s="398"/>
      <c r="D390" s="194">
        <v>7.0</v>
      </c>
      <c r="E390" s="194">
        <v>300.0</v>
      </c>
      <c r="F390" s="692">
        <f t="shared" si="13"/>
        <v>43</v>
      </c>
      <c r="G390" s="283">
        <f t="shared" si="12"/>
        <v>0.1527525232</v>
      </c>
      <c r="H390" s="100">
        <v>35.0</v>
      </c>
      <c r="I390" s="117"/>
      <c r="J390" s="100"/>
      <c r="K390" s="83"/>
      <c r="L390" s="195" t="s">
        <v>132</v>
      </c>
      <c r="M390" s="405">
        <v>45323.0</v>
      </c>
      <c r="N390" s="112" t="s">
        <v>34</v>
      </c>
      <c r="O390" s="135" t="s">
        <v>1566</v>
      </c>
      <c r="P390" s="103" t="s">
        <v>71</v>
      </c>
      <c r="Q390" s="522"/>
      <c r="R390" s="92" t="s">
        <v>1567</v>
      </c>
      <c r="S390" s="91">
        <v>293.0</v>
      </c>
    </row>
    <row r="391">
      <c r="A391" s="92" t="s">
        <v>1568</v>
      </c>
      <c r="B391" s="61" t="s">
        <v>45</v>
      </c>
      <c r="C391" s="398"/>
      <c r="D391" s="194">
        <v>14.0</v>
      </c>
      <c r="E391" s="194">
        <v>300.0</v>
      </c>
      <c r="F391" s="692">
        <f t="shared" si="13"/>
        <v>22</v>
      </c>
      <c r="G391" s="283">
        <f t="shared" si="12"/>
        <v>0.2160246899</v>
      </c>
      <c r="H391" s="100">
        <v>49.5</v>
      </c>
      <c r="I391" s="117"/>
      <c r="J391" s="100"/>
      <c r="K391" s="83"/>
      <c r="L391" s="195" t="s">
        <v>132</v>
      </c>
      <c r="M391" s="405">
        <v>45323.0</v>
      </c>
      <c r="N391" s="112" t="s">
        <v>34</v>
      </c>
      <c r="O391" s="135" t="s">
        <v>1566</v>
      </c>
      <c r="P391" s="103" t="s">
        <v>71</v>
      </c>
      <c r="Q391" s="522"/>
      <c r="R391" s="92" t="s">
        <v>1569</v>
      </c>
      <c r="S391" s="91">
        <v>292.0</v>
      </c>
    </row>
    <row r="392">
      <c r="A392" s="92" t="s">
        <v>1570</v>
      </c>
      <c r="B392" s="189" t="s">
        <v>177</v>
      </c>
      <c r="C392" s="398" t="s">
        <v>1571</v>
      </c>
      <c r="D392" s="194">
        <v>70.0</v>
      </c>
      <c r="E392" s="194">
        <v>2000.0</v>
      </c>
      <c r="F392" s="692">
        <f t="shared" si="13"/>
        <v>29</v>
      </c>
      <c r="G392" s="283">
        <f t="shared" si="12"/>
        <v>1.247219129</v>
      </c>
      <c r="H392" s="100"/>
      <c r="I392" s="117"/>
      <c r="J392" s="100"/>
      <c r="K392" s="83"/>
      <c r="L392" s="195" t="s">
        <v>132</v>
      </c>
      <c r="M392" s="405">
        <v>45323.0</v>
      </c>
      <c r="N392" s="112" t="s">
        <v>34</v>
      </c>
      <c r="O392" s="135" t="s">
        <v>1477</v>
      </c>
      <c r="P392" s="103" t="s">
        <v>71</v>
      </c>
      <c r="Q392" s="522"/>
      <c r="R392" s="92"/>
      <c r="S392" s="91">
        <v>291.0</v>
      </c>
    </row>
    <row r="393">
      <c r="A393" s="92" t="s">
        <v>1572</v>
      </c>
      <c r="B393" s="189" t="s">
        <v>701</v>
      </c>
      <c r="C393" s="398" t="s">
        <v>1573</v>
      </c>
      <c r="D393" s="194">
        <v>1400.0</v>
      </c>
      <c r="E393" s="124">
        <v>20000.0</v>
      </c>
      <c r="F393" s="399">
        <f t="shared" si="13"/>
        <v>15</v>
      </c>
      <c r="G393" s="283">
        <f t="shared" si="12"/>
        <v>17.63834207</v>
      </c>
      <c r="H393" s="100"/>
      <c r="I393" s="117"/>
      <c r="J393" s="100"/>
      <c r="K393" s="83"/>
      <c r="L393" s="195" t="s">
        <v>132</v>
      </c>
      <c r="M393" s="405">
        <v>45323.0</v>
      </c>
      <c r="N393" s="130" t="s">
        <v>1235</v>
      </c>
      <c r="O393" s="131" t="s">
        <v>1574</v>
      </c>
      <c r="P393" s="103" t="s">
        <v>1575</v>
      </c>
      <c r="Q393" s="522"/>
      <c r="R393" s="92" t="s">
        <v>1576</v>
      </c>
      <c r="S393" s="91">
        <v>290.0</v>
      </c>
    </row>
    <row r="394">
      <c r="A394" s="136" t="s">
        <v>1577</v>
      </c>
      <c r="B394" s="189" t="s">
        <v>568</v>
      </c>
      <c r="C394" s="248" t="s">
        <v>1578</v>
      </c>
      <c r="D394" s="225">
        <v>13.0</v>
      </c>
      <c r="E394" s="225">
        <v>1000.0</v>
      </c>
      <c r="F394" s="31">
        <f t="shared" si="13"/>
        <v>77</v>
      </c>
      <c r="G394" s="283">
        <f t="shared" si="12"/>
        <v>0.380058475</v>
      </c>
      <c r="H394" s="509"/>
      <c r="I394" s="509"/>
      <c r="J394" s="509"/>
      <c r="K394" s="83"/>
      <c r="L394" s="195" t="s">
        <v>132</v>
      </c>
      <c r="M394" s="405">
        <v>45323.0</v>
      </c>
      <c r="N394" s="112" t="s">
        <v>34</v>
      </c>
      <c r="O394" s="267" t="s">
        <v>1579</v>
      </c>
      <c r="P394" s="145" t="s">
        <v>71</v>
      </c>
      <c r="Q394" s="481"/>
      <c r="R394" s="136" t="s">
        <v>1580</v>
      </c>
      <c r="S394" s="91">
        <v>289.0</v>
      </c>
    </row>
    <row r="395">
      <c r="A395" s="92" t="s">
        <v>1581</v>
      </c>
      <c r="B395" s="189" t="s">
        <v>1582</v>
      </c>
      <c r="C395" s="398" t="s">
        <v>1583</v>
      </c>
      <c r="D395" s="194">
        <v>1.8</v>
      </c>
      <c r="E395" s="194">
        <v>180.0</v>
      </c>
      <c r="F395" s="399">
        <f t="shared" si="13"/>
        <v>100</v>
      </c>
      <c r="G395" s="283">
        <f t="shared" si="12"/>
        <v>0.06</v>
      </c>
      <c r="H395" s="100"/>
      <c r="I395" s="117"/>
      <c r="J395" s="100"/>
      <c r="K395" s="128"/>
      <c r="L395" s="129" t="s">
        <v>1584</v>
      </c>
      <c r="M395" s="405">
        <v>45323.0</v>
      </c>
      <c r="N395" s="112" t="s">
        <v>34</v>
      </c>
      <c r="O395" s="131" t="s">
        <v>1585</v>
      </c>
      <c r="P395" s="103" t="s">
        <v>71</v>
      </c>
      <c r="Q395" s="522"/>
      <c r="R395" s="92" t="s">
        <v>1586</v>
      </c>
      <c r="S395" s="91">
        <v>288.0</v>
      </c>
    </row>
    <row r="396">
      <c r="A396" s="92" t="s">
        <v>1587</v>
      </c>
      <c r="B396" s="189" t="s">
        <v>1472</v>
      </c>
      <c r="C396" s="135" t="s">
        <v>1588</v>
      </c>
      <c r="D396" s="78">
        <v>34.2</v>
      </c>
      <c r="E396" s="78">
        <v>1000.0</v>
      </c>
      <c r="F396" s="31">
        <f t="shared" si="13"/>
        <v>30</v>
      </c>
      <c r="G396" s="283">
        <f t="shared" si="12"/>
        <v>0.6164414003</v>
      </c>
      <c r="H396" s="100"/>
      <c r="I396" s="117"/>
      <c r="J396" s="100"/>
      <c r="K396" s="83"/>
      <c r="L396" s="195" t="s">
        <v>132</v>
      </c>
      <c r="M396" s="405">
        <v>45323.0</v>
      </c>
      <c r="N396" s="99" t="s">
        <v>34</v>
      </c>
      <c r="O396" s="135" t="s">
        <v>1473</v>
      </c>
      <c r="P396" s="103" t="s">
        <v>71</v>
      </c>
      <c r="Q396" s="133"/>
      <c r="R396" s="696" t="s">
        <v>1589</v>
      </c>
      <c r="S396" s="91">
        <v>287.0</v>
      </c>
    </row>
    <row r="397">
      <c r="A397" s="92" t="s">
        <v>1590</v>
      </c>
      <c r="B397" s="189" t="s">
        <v>1591</v>
      </c>
      <c r="C397" s="398"/>
      <c r="D397" s="194">
        <v>15.0</v>
      </c>
      <c r="E397" s="194">
        <v>4300.0</v>
      </c>
      <c r="F397" s="399">
        <f t="shared" si="13"/>
        <v>287</v>
      </c>
      <c r="G397" s="283">
        <f t="shared" si="12"/>
        <v>0.8465616733</v>
      </c>
      <c r="H397" s="100"/>
      <c r="I397" s="117"/>
      <c r="J397" s="100"/>
      <c r="K397" s="83"/>
      <c r="L397" s="704" t="s">
        <v>300</v>
      </c>
      <c r="M397" s="405">
        <v>45323.0</v>
      </c>
      <c r="N397" s="112" t="s">
        <v>34</v>
      </c>
      <c r="O397" s="131" t="s">
        <v>1592</v>
      </c>
      <c r="P397" s="103" t="s">
        <v>71</v>
      </c>
      <c r="Q397" s="522"/>
      <c r="R397" s="92" t="s">
        <v>1593</v>
      </c>
      <c r="S397" s="91">
        <v>286.0</v>
      </c>
    </row>
    <row r="398">
      <c r="A398" s="136" t="s">
        <v>1594</v>
      </c>
      <c r="B398" s="61" t="s">
        <v>480</v>
      </c>
      <c r="C398" s="713"/>
      <c r="D398" s="225">
        <v>530.0</v>
      </c>
      <c r="E398" s="387">
        <v>300.0</v>
      </c>
      <c r="F398" s="227">
        <f t="shared" si="13"/>
        <v>1</v>
      </c>
      <c r="G398" s="283">
        <f t="shared" si="12"/>
        <v>1.329160136</v>
      </c>
      <c r="H398" s="100"/>
      <c r="I398" s="117"/>
      <c r="J398" s="100"/>
      <c r="K398" s="83"/>
      <c r="L398" s="195" t="s">
        <v>132</v>
      </c>
      <c r="M398" s="405">
        <v>45323.0</v>
      </c>
      <c r="N398" s="143" t="s">
        <v>28</v>
      </c>
      <c r="O398" s="714" t="s">
        <v>1595</v>
      </c>
      <c r="P398" s="103" t="s">
        <v>71</v>
      </c>
      <c r="Q398" s="325"/>
      <c r="R398" s="375" t="s">
        <v>1596</v>
      </c>
      <c r="S398" s="91">
        <v>285.0</v>
      </c>
    </row>
    <row r="399">
      <c r="A399" s="145" t="s">
        <v>1597</v>
      </c>
      <c r="B399" s="61" t="s">
        <v>480</v>
      </c>
      <c r="C399" s="713"/>
      <c r="D399" s="138">
        <v>175.0</v>
      </c>
      <c r="E399" s="387">
        <v>300.0</v>
      </c>
      <c r="F399" s="227">
        <f t="shared" si="13"/>
        <v>2</v>
      </c>
      <c r="G399" s="283">
        <f t="shared" si="12"/>
        <v>0.7637626158</v>
      </c>
      <c r="H399" s="100"/>
      <c r="I399" s="117"/>
      <c r="J399" s="100"/>
      <c r="K399" s="83"/>
      <c r="L399" s="195" t="s">
        <v>132</v>
      </c>
      <c r="M399" s="405">
        <v>45323.0</v>
      </c>
      <c r="N399" s="143" t="s">
        <v>28</v>
      </c>
      <c r="O399" s="714" t="s">
        <v>1595</v>
      </c>
      <c r="P399" s="103" t="s">
        <v>71</v>
      </c>
      <c r="Q399" s="325"/>
      <c r="R399" s="375" t="s">
        <v>1598</v>
      </c>
      <c r="S399" s="91">
        <v>284.0</v>
      </c>
    </row>
    <row r="400">
      <c r="A400" s="106" t="s">
        <v>1599</v>
      </c>
      <c r="B400" s="189" t="s">
        <v>269</v>
      </c>
      <c r="C400" s="108" t="s">
        <v>270</v>
      </c>
      <c r="D400" s="116">
        <v>7.0</v>
      </c>
      <c r="E400" s="116">
        <v>3000.0</v>
      </c>
      <c r="F400" s="392">
        <f t="shared" si="13"/>
        <v>429</v>
      </c>
      <c r="G400" s="283">
        <f t="shared" si="12"/>
        <v>0.4830458915</v>
      </c>
      <c r="H400" s="100">
        <v>72.2</v>
      </c>
      <c r="I400" s="117"/>
      <c r="J400" s="100"/>
      <c r="K400" s="83"/>
      <c r="L400" s="195" t="s">
        <v>132</v>
      </c>
      <c r="M400" s="324">
        <v>45323.0</v>
      </c>
      <c r="N400" s="112" t="s">
        <v>34</v>
      </c>
      <c r="O400" s="108" t="s">
        <v>1600</v>
      </c>
      <c r="P400" s="103" t="s">
        <v>71</v>
      </c>
      <c r="Q400" s="113"/>
      <c r="R400" s="114" t="s">
        <v>1601</v>
      </c>
      <c r="S400" s="91">
        <v>283.0</v>
      </c>
    </row>
    <row r="401">
      <c r="A401" s="92" t="s">
        <v>1602</v>
      </c>
      <c r="B401" s="189" t="s">
        <v>269</v>
      </c>
      <c r="C401" s="135" t="s">
        <v>1603</v>
      </c>
      <c r="D401" s="124">
        <v>300.0</v>
      </c>
      <c r="E401" s="124">
        <v>8000.0</v>
      </c>
      <c r="F401" s="282">
        <f t="shared" si="13"/>
        <v>27</v>
      </c>
      <c r="G401" s="98">
        <f t="shared" si="12"/>
        <v>5.163977795</v>
      </c>
      <c r="H401" s="127">
        <v>81.2</v>
      </c>
      <c r="I401" s="627"/>
      <c r="J401" s="127"/>
      <c r="K401" s="83"/>
      <c r="L401" s="195" t="s">
        <v>132</v>
      </c>
      <c r="M401" s="324">
        <v>45323.0</v>
      </c>
      <c r="N401" s="86" t="s">
        <v>34</v>
      </c>
      <c r="O401" s="135" t="s">
        <v>1600</v>
      </c>
      <c r="P401" s="92" t="s">
        <v>71</v>
      </c>
      <c r="Q401" s="359" t="s">
        <v>52</v>
      </c>
      <c r="R401" s="360" t="s">
        <v>1604</v>
      </c>
      <c r="S401" s="91">
        <v>282.0</v>
      </c>
    </row>
    <row r="402">
      <c r="A402" s="92" t="s">
        <v>1605</v>
      </c>
      <c r="B402" s="189" t="s">
        <v>1606</v>
      </c>
      <c r="C402" s="123"/>
      <c r="D402" s="194">
        <v>40.0</v>
      </c>
      <c r="E402" s="124"/>
      <c r="F402" s="282" t="str">
        <f t="shared" si="13"/>
        <v/>
      </c>
      <c r="G402" s="98" t="str">
        <f t="shared" si="12"/>
        <v/>
      </c>
      <c r="H402" s="100"/>
      <c r="I402" s="117"/>
      <c r="J402" s="100"/>
      <c r="K402" s="83"/>
      <c r="L402" s="195" t="s">
        <v>132</v>
      </c>
      <c r="M402" s="324">
        <v>45323.0</v>
      </c>
      <c r="N402" s="99" t="s">
        <v>34</v>
      </c>
      <c r="O402" s="135" t="s">
        <v>1607</v>
      </c>
      <c r="P402" s="103" t="s">
        <v>71</v>
      </c>
      <c r="Q402" s="133"/>
      <c r="R402" s="134" t="s">
        <v>1608</v>
      </c>
      <c r="S402" s="91">
        <v>281.0</v>
      </c>
    </row>
    <row r="403">
      <c r="A403" s="92" t="s">
        <v>1609</v>
      </c>
      <c r="B403" s="189" t="s">
        <v>298</v>
      </c>
      <c r="C403" s="123"/>
      <c r="D403" s="124">
        <v>20.0</v>
      </c>
      <c r="E403" s="124"/>
      <c r="F403" s="282" t="str">
        <f t="shared" si="13"/>
        <v/>
      </c>
      <c r="G403" s="98" t="str">
        <f t="shared" si="12"/>
        <v/>
      </c>
      <c r="H403" s="100"/>
      <c r="I403" s="117"/>
      <c r="J403" s="100"/>
      <c r="K403" s="83"/>
      <c r="L403" s="195" t="s">
        <v>132</v>
      </c>
      <c r="M403" s="324">
        <v>45323.0</v>
      </c>
      <c r="N403" s="506" t="s">
        <v>28</v>
      </c>
      <c r="O403" s="135" t="s">
        <v>1610</v>
      </c>
      <c r="P403" s="103" t="s">
        <v>71</v>
      </c>
      <c r="Q403" s="133"/>
      <c r="R403" s="134" t="s">
        <v>1611</v>
      </c>
      <c r="S403" s="91">
        <v>280.0</v>
      </c>
    </row>
    <row r="404">
      <c r="A404" s="92" t="s">
        <v>1612</v>
      </c>
      <c r="B404" s="189" t="s">
        <v>265</v>
      </c>
      <c r="C404" s="135" t="s">
        <v>1613</v>
      </c>
      <c r="D404" s="194">
        <v>7.0</v>
      </c>
      <c r="E404" s="194">
        <v>4500.0</v>
      </c>
      <c r="F404" s="282">
        <f t="shared" si="13"/>
        <v>643</v>
      </c>
      <c r="G404" s="283">
        <f t="shared" si="12"/>
        <v>0.5916079783</v>
      </c>
      <c r="H404" s="100">
        <v>63.1</v>
      </c>
      <c r="I404" s="117"/>
      <c r="J404" s="100"/>
      <c r="K404" s="83"/>
      <c r="L404" s="195" t="s">
        <v>132</v>
      </c>
      <c r="M404" s="324">
        <v>45323.0</v>
      </c>
      <c r="N404" s="99" t="s">
        <v>34</v>
      </c>
      <c r="O404" s="135" t="s">
        <v>1420</v>
      </c>
      <c r="P404" s="103" t="s">
        <v>71</v>
      </c>
      <c r="Q404" s="133"/>
      <c r="R404" s="134"/>
      <c r="S404" s="91">
        <v>279.0</v>
      </c>
    </row>
    <row r="405">
      <c r="A405" s="92" t="s">
        <v>1614</v>
      </c>
      <c r="B405" s="189" t="s">
        <v>265</v>
      </c>
      <c r="C405" s="135" t="s">
        <v>1615</v>
      </c>
      <c r="D405" s="194">
        <v>21.0</v>
      </c>
      <c r="E405" s="194">
        <v>5000.0</v>
      </c>
      <c r="F405" s="282">
        <f t="shared" si="13"/>
        <v>239</v>
      </c>
      <c r="G405" s="283">
        <f t="shared" si="12"/>
        <v>1.08012345</v>
      </c>
      <c r="H405" s="100">
        <v>73.5</v>
      </c>
      <c r="I405" s="117"/>
      <c r="J405" s="100">
        <v>34.0</v>
      </c>
      <c r="K405" s="83"/>
      <c r="L405" s="195" t="s">
        <v>132</v>
      </c>
      <c r="M405" s="324">
        <v>45323.0</v>
      </c>
      <c r="N405" s="99" t="s">
        <v>34</v>
      </c>
      <c r="O405" s="135" t="s">
        <v>1420</v>
      </c>
      <c r="P405" s="103" t="s">
        <v>71</v>
      </c>
      <c r="Q405" s="133"/>
      <c r="R405" s="134" t="s">
        <v>1616</v>
      </c>
      <c r="S405" s="91">
        <v>278.0</v>
      </c>
    </row>
    <row r="406">
      <c r="A406" s="92" t="s">
        <v>1617</v>
      </c>
      <c r="B406" s="61" t="s">
        <v>45</v>
      </c>
      <c r="C406" s="135" t="s">
        <v>1618</v>
      </c>
      <c r="D406" s="194">
        <v>7.0</v>
      </c>
      <c r="E406" s="124">
        <v>6000.0</v>
      </c>
      <c r="F406" s="282">
        <f t="shared" si="13"/>
        <v>858</v>
      </c>
      <c r="G406" s="283">
        <f t="shared" si="12"/>
        <v>0.6831300511</v>
      </c>
      <c r="H406" s="100">
        <v>64.3</v>
      </c>
      <c r="I406" s="100">
        <v>33.7</v>
      </c>
      <c r="J406" s="100"/>
      <c r="K406" s="83"/>
      <c r="L406" s="195" t="s">
        <v>132</v>
      </c>
      <c r="M406" s="324">
        <v>45323.0</v>
      </c>
      <c r="N406" s="99" t="s">
        <v>34</v>
      </c>
      <c r="O406" s="135" t="s">
        <v>1619</v>
      </c>
      <c r="P406" s="103" t="s">
        <v>71</v>
      </c>
      <c r="Q406" s="133"/>
      <c r="R406" s="134" t="s">
        <v>1620</v>
      </c>
      <c r="S406" s="91">
        <v>277.0</v>
      </c>
    </row>
    <row r="407">
      <c r="A407" s="92" t="s">
        <v>1621</v>
      </c>
      <c r="B407" s="61" t="s">
        <v>45</v>
      </c>
      <c r="C407" s="135" t="s">
        <v>1028</v>
      </c>
      <c r="D407" s="124">
        <v>200.0</v>
      </c>
      <c r="E407" s="124">
        <v>30000.0</v>
      </c>
      <c r="F407" s="282">
        <f t="shared" si="13"/>
        <v>150</v>
      </c>
      <c r="G407" s="98">
        <f t="shared" si="12"/>
        <v>8.164965809</v>
      </c>
      <c r="H407" s="127">
        <v>85.9</v>
      </c>
      <c r="I407" s="127">
        <v>69.0</v>
      </c>
      <c r="J407" s="127">
        <v>46.2</v>
      </c>
      <c r="K407" s="83"/>
      <c r="L407" s="195" t="s">
        <v>132</v>
      </c>
      <c r="M407" s="324">
        <v>45323.0</v>
      </c>
      <c r="N407" s="86" t="s">
        <v>34</v>
      </c>
      <c r="O407" s="135" t="s">
        <v>1322</v>
      </c>
      <c r="P407" s="92" t="s">
        <v>36</v>
      </c>
      <c r="Q407" s="133" t="s">
        <v>52</v>
      </c>
      <c r="R407" s="419" t="s">
        <v>1622</v>
      </c>
      <c r="S407" s="91">
        <v>276.0</v>
      </c>
    </row>
    <row r="408">
      <c r="A408" s="92" t="s">
        <v>1623</v>
      </c>
      <c r="B408" s="61" t="s">
        <v>107</v>
      </c>
      <c r="C408" s="135" t="s">
        <v>1624</v>
      </c>
      <c r="D408" s="78">
        <v>72.0</v>
      </c>
      <c r="E408" s="78">
        <v>3000.0</v>
      </c>
      <c r="F408" s="31">
        <f t="shared" si="13"/>
        <v>42</v>
      </c>
      <c r="G408" s="283">
        <f t="shared" si="12"/>
        <v>1.549193338</v>
      </c>
      <c r="H408" s="100">
        <v>77.5</v>
      </c>
      <c r="I408" s="100">
        <v>52.6</v>
      </c>
      <c r="J408" s="100">
        <v>36.3</v>
      </c>
      <c r="K408" s="83"/>
      <c r="L408" s="195" t="s">
        <v>132</v>
      </c>
      <c r="M408" s="324">
        <v>45323.0</v>
      </c>
      <c r="N408" s="99" t="s">
        <v>34</v>
      </c>
      <c r="O408" s="135" t="s">
        <v>1625</v>
      </c>
      <c r="P408" s="103" t="s">
        <v>71</v>
      </c>
      <c r="Q408" s="133"/>
      <c r="R408" s="134"/>
      <c r="S408" s="91">
        <v>275.0</v>
      </c>
    </row>
    <row r="409">
      <c r="A409" s="103" t="s">
        <v>1626</v>
      </c>
      <c r="B409" s="179" t="s">
        <v>56</v>
      </c>
      <c r="C409" s="255" t="s">
        <v>1627</v>
      </c>
      <c r="D409" s="225">
        <v>1.0</v>
      </c>
      <c r="E409" s="194">
        <v>1000.0</v>
      </c>
      <c r="F409" s="31">
        <f t="shared" si="13"/>
        <v>1000</v>
      </c>
      <c r="G409" s="283">
        <f t="shared" si="12"/>
        <v>0.1054092553</v>
      </c>
      <c r="H409" s="117"/>
      <c r="I409" s="117"/>
      <c r="J409" s="117"/>
      <c r="K409" s="83"/>
      <c r="L409" s="195" t="s">
        <v>132</v>
      </c>
      <c r="M409" s="324">
        <v>45323.0</v>
      </c>
      <c r="N409" s="130" t="s">
        <v>34</v>
      </c>
      <c r="O409" s="309" t="s">
        <v>1628</v>
      </c>
      <c r="P409" s="158" t="s">
        <v>71</v>
      </c>
      <c r="Q409" s="464"/>
      <c r="R409" s="103" t="s">
        <v>1629</v>
      </c>
      <c r="S409" s="91">
        <v>274.0</v>
      </c>
    </row>
    <row r="410">
      <c r="A410" s="92" t="s">
        <v>1630</v>
      </c>
      <c r="B410" s="189" t="s">
        <v>1631</v>
      </c>
      <c r="C410" s="135" t="s">
        <v>1632</v>
      </c>
      <c r="D410" s="194"/>
      <c r="E410" s="194"/>
      <c r="F410" s="392"/>
      <c r="G410" s="98" t="str">
        <f t="shared" si="12"/>
        <v/>
      </c>
      <c r="H410" s="350"/>
      <c r="I410" s="536"/>
      <c r="J410" s="350"/>
      <c r="K410" s="83"/>
      <c r="L410" s="195" t="s">
        <v>132</v>
      </c>
      <c r="M410" s="324">
        <v>45323.0</v>
      </c>
      <c r="N410" s="99" t="s">
        <v>34</v>
      </c>
      <c r="O410" s="135" t="s">
        <v>1633</v>
      </c>
      <c r="P410" s="106" t="s">
        <v>71</v>
      </c>
      <c r="Q410" s="133"/>
      <c r="R410" s="419" t="s">
        <v>1634</v>
      </c>
      <c r="S410" s="91">
        <v>273.0</v>
      </c>
    </row>
    <row r="411">
      <c r="A411" s="92" t="s">
        <v>1635</v>
      </c>
      <c r="B411" s="189" t="s">
        <v>1636</v>
      </c>
      <c r="C411" s="123"/>
      <c r="D411" s="194">
        <v>7.0</v>
      </c>
      <c r="E411" s="194">
        <v>2000.0</v>
      </c>
      <c r="F411" s="392">
        <f t="shared" ref="F411:F438" si="14">IF(E411&lt;&gt;"", ROUNDUP(E411/D411,0),"")</f>
        <v>286</v>
      </c>
      <c r="G411" s="283">
        <f t="shared" si="12"/>
        <v>0.3944053189</v>
      </c>
      <c r="H411" s="100"/>
      <c r="I411" s="117"/>
      <c r="J411" s="100"/>
      <c r="K411" s="240"/>
      <c r="L411" s="570" t="s">
        <v>1362</v>
      </c>
      <c r="M411" s="324">
        <v>45323.0</v>
      </c>
      <c r="N411" s="99" t="s">
        <v>34</v>
      </c>
      <c r="O411" s="135" t="s">
        <v>1637</v>
      </c>
      <c r="P411" s="103" t="s">
        <v>71</v>
      </c>
      <c r="Q411" s="133"/>
      <c r="R411" s="134" t="s">
        <v>1638</v>
      </c>
      <c r="S411" s="91">
        <v>272.0</v>
      </c>
    </row>
    <row r="412">
      <c r="A412" s="92" t="s">
        <v>1639</v>
      </c>
      <c r="B412" s="189" t="s">
        <v>464</v>
      </c>
      <c r="C412" s="135" t="s">
        <v>1640</v>
      </c>
      <c r="D412" s="194">
        <v>7.5</v>
      </c>
      <c r="E412" s="194">
        <v>980.0</v>
      </c>
      <c r="F412" s="392">
        <f t="shared" si="14"/>
        <v>131</v>
      </c>
      <c r="G412" s="283">
        <f t="shared" si="12"/>
        <v>0.2857738033</v>
      </c>
      <c r="H412" s="100"/>
      <c r="I412" s="117"/>
      <c r="J412" s="100"/>
      <c r="K412" s="83"/>
      <c r="L412" s="195" t="s">
        <v>132</v>
      </c>
      <c r="M412" s="324">
        <v>45323.0</v>
      </c>
      <c r="N412" s="99" t="s">
        <v>34</v>
      </c>
      <c r="O412" s="135" t="s">
        <v>1641</v>
      </c>
      <c r="P412" s="103" t="s">
        <v>71</v>
      </c>
      <c r="Q412" s="133"/>
      <c r="R412" s="134" t="s">
        <v>1642</v>
      </c>
      <c r="S412" s="91">
        <v>271.0</v>
      </c>
    </row>
    <row r="413">
      <c r="A413" s="92" t="s">
        <v>1643</v>
      </c>
      <c r="B413" s="61" t="s">
        <v>101</v>
      </c>
      <c r="C413" s="135" t="s">
        <v>102</v>
      </c>
      <c r="D413" s="194">
        <v>0.2</v>
      </c>
      <c r="E413" s="194">
        <v>100.0</v>
      </c>
      <c r="F413" s="392">
        <f t="shared" si="14"/>
        <v>500</v>
      </c>
      <c r="G413" s="283">
        <f t="shared" si="12"/>
        <v>0.01490711985</v>
      </c>
      <c r="H413" s="100"/>
      <c r="I413" s="117"/>
      <c r="J413" s="100"/>
      <c r="K413" s="240"/>
      <c r="L413" s="570" t="s">
        <v>103</v>
      </c>
      <c r="M413" s="324">
        <v>45323.0</v>
      </c>
      <c r="N413" s="99" t="s">
        <v>34</v>
      </c>
      <c r="O413" s="135" t="s">
        <v>1644</v>
      </c>
      <c r="P413" s="103" t="s">
        <v>71</v>
      </c>
      <c r="Q413" s="133"/>
      <c r="R413" s="134" t="s">
        <v>1645</v>
      </c>
      <c r="S413" s="91">
        <v>270.0</v>
      </c>
    </row>
    <row r="414">
      <c r="A414" s="92" t="s">
        <v>1646</v>
      </c>
      <c r="B414" s="189" t="s">
        <v>252</v>
      </c>
      <c r="C414" s="135" t="s">
        <v>1647</v>
      </c>
      <c r="D414" s="194">
        <v>7.0</v>
      </c>
      <c r="E414" s="194">
        <v>2500.0</v>
      </c>
      <c r="F414" s="392">
        <f t="shared" si="14"/>
        <v>358</v>
      </c>
      <c r="G414" s="283">
        <f t="shared" si="12"/>
        <v>0.4409585518</v>
      </c>
      <c r="H414" s="100"/>
      <c r="I414" s="117"/>
      <c r="J414" s="100"/>
      <c r="K414" s="83"/>
      <c r="L414" s="195" t="s">
        <v>132</v>
      </c>
      <c r="M414" s="324">
        <v>45323.0</v>
      </c>
      <c r="N414" s="99" t="s">
        <v>34</v>
      </c>
      <c r="O414" s="135" t="s">
        <v>1648</v>
      </c>
      <c r="P414" s="103" t="s">
        <v>71</v>
      </c>
      <c r="Q414" s="133"/>
      <c r="R414" s="134" t="s">
        <v>1649</v>
      </c>
      <c r="S414" s="91">
        <v>269.0</v>
      </c>
    </row>
    <row r="415">
      <c r="A415" s="106" t="s">
        <v>1650</v>
      </c>
      <c r="B415" s="179" t="s">
        <v>190</v>
      </c>
      <c r="C415" s="108" t="s">
        <v>1651</v>
      </c>
      <c r="D415" s="109">
        <v>1.0</v>
      </c>
      <c r="E415" s="116">
        <v>20.0</v>
      </c>
      <c r="F415" s="392">
        <f t="shared" si="14"/>
        <v>20</v>
      </c>
      <c r="G415" s="283">
        <f t="shared" si="12"/>
        <v>0.01490711985</v>
      </c>
      <c r="H415" s="100"/>
      <c r="I415" s="117"/>
      <c r="J415" s="100"/>
      <c r="K415" s="240"/>
      <c r="L415" s="570" t="s">
        <v>103</v>
      </c>
      <c r="M415" s="324">
        <v>45323.0</v>
      </c>
      <c r="N415" s="130" t="s">
        <v>1235</v>
      </c>
      <c r="O415" s="108" t="s">
        <v>1652</v>
      </c>
      <c r="P415" s="103" t="s">
        <v>71</v>
      </c>
      <c r="Q415" s="113"/>
      <c r="R415" s="121" t="s">
        <v>1653</v>
      </c>
      <c r="S415" s="91">
        <v>268.0</v>
      </c>
    </row>
    <row r="416">
      <c r="A416" s="106" t="s">
        <v>1654</v>
      </c>
      <c r="B416" s="189" t="s">
        <v>822</v>
      </c>
      <c r="C416" s="108" t="s">
        <v>1655</v>
      </c>
      <c r="D416" s="109">
        <v>6.3</v>
      </c>
      <c r="E416" s="109">
        <v>481.0</v>
      </c>
      <c r="F416" s="392">
        <f t="shared" si="14"/>
        <v>77</v>
      </c>
      <c r="G416" s="283">
        <f t="shared" si="12"/>
        <v>0.1834938691</v>
      </c>
      <c r="H416" s="100"/>
      <c r="I416" s="117"/>
      <c r="J416" s="100"/>
      <c r="K416" s="83"/>
      <c r="L416" s="195" t="s">
        <v>132</v>
      </c>
      <c r="M416" s="324">
        <v>45292.0</v>
      </c>
      <c r="N416" s="112" t="s">
        <v>34</v>
      </c>
      <c r="O416" s="108" t="s">
        <v>1656</v>
      </c>
      <c r="P416" s="103" t="s">
        <v>71</v>
      </c>
      <c r="Q416" s="113"/>
      <c r="R416" s="114" t="s">
        <v>1657</v>
      </c>
      <c r="S416" s="91">
        <v>267.0</v>
      </c>
    </row>
    <row r="417">
      <c r="A417" s="106" t="s">
        <v>1658</v>
      </c>
      <c r="B417" s="189" t="s">
        <v>1659</v>
      </c>
      <c r="C417" s="108" t="s">
        <v>1660</v>
      </c>
      <c r="D417" s="109">
        <v>34.0</v>
      </c>
      <c r="E417" s="116">
        <v>2018.0</v>
      </c>
      <c r="F417" s="392">
        <f t="shared" si="14"/>
        <v>60</v>
      </c>
      <c r="G417" s="283">
        <f t="shared" si="12"/>
        <v>0.8731297473</v>
      </c>
      <c r="H417" s="100"/>
      <c r="I417" s="117"/>
      <c r="J417" s="100"/>
      <c r="K417" s="240"/>
      <c r="L417" s="715" t="s">
        <v>1015</v>
      </c>
      <c r="M417" s="324">
        <v>45292.0</v>
      </c>
      <c r="N417" s="112" t="s">
        <v>34</v>
      </c>
      <c r="O417" s="108" t="s">
        <v>1661</v>
      </c>
      <c r="P417" s="103" t="s">
        <v>71</v>
      </c>
      <c r="Q417" s="113"/>
      <c r="R417" s="121" t="s">
        <v>1662</v>
      </c>
      <c r="S417" s="91">
        <v>266.0</v>
      </c>
    </row>
    <row r="418">
      <c r="A418" s="106" t="s">
        <v>1663</v>
      </c>
      <c r="B418" s="189" t="s">
        <v>269</v>
      </c>
      <c r="C418" s="108" t="s">
        <v>1664</v>
      </c>
      <c r="D418" s="109">
        <v>70.0</v>
      </c>
      <c r="E418" s="116">
        <v>3000.0</v>
      </c>
      <c r="F418" s="392">
        <f t="shared" si="14"/>
        <v>43</v>
      </c>
      <c r="G418" s="283">
        <f t="shared" si="12"/>
        <v>1.527525232</v>
      </c>
      <c r="H418" s="100"/>
      <c r="I418" s="117"/>
      <c r="J418" s="100"/>
      <c r="K418" s="83"/>
      <c r="L418" s="195" t="s">
        <v>132</v>
      </c>
      <c r="M418" s="324">
        <v>45292.0</v>
      </c>
      <c r="N418" s="112" t="s">
        <v>34</v>
      </c>
      <c r="O418" s="108" t="s">
        <v>1664</v>
      </c>
      <c r="P418" s="103" t="s">
        <v>71</v>
      </c>
      <c r="Q418" s="113"/>
      <c r="R418" s="121" t="s">
        <v>1665</v>
      </c>
      <c r="S418" s="91">
        <v>265.0</v>
      </c>
    </row>
    <row r="419">
      <c r="A419" s="106" t="s">
        <v>1666</v>
      </c>
      <c r="B419" s="61" t="s">
        <v>1667</v>
      </c>
      <c r="C419" s="108" t="s">
        <v>1668</v>
      </c>
      <c r="D419" s="109">
        <v>13.0</v>
      </c>
      <c r="E419" s="109">
        <v>3000.0</v>
      </c>
      <c r="F419" s="392">
        <f t="shared" si="14"/>
        <v>231</v>
      </c>
      <c r="G419" s="283">
        <f t="shared" si="12"/>
        <v>0.6582805886</v>
      </c>
      <c r="H419" s="100">
        <v>63.02</v>
      </c>
      <c r="I419" s="117"/>
      <c r="J419" s="100"/>
      <c r="K419" s="83"/>
      <c r="L419" s="195" t="s">
        <v>132</v>
      </c>
      <c r="M419" s="324">
        <v>45292.0</v>
      </c>
      <c r="N419" s="112" t="s">
        <v>34</v>
      </c>
      <c r="O419" s="108" t="s">
        <v>1669</v>
      </c>
      <c r="P419" s="103" t="s">
        <v>71</v>
      </c>
      <c r="Q419" s="113"/>
      <c r="R419" s="558" t="s">
        <v>1670</v>
      </c>
      <c r="S419" s="91">
        <v>264.0</v>
      </c>
    </row>
    <row r="420">
      <c r="A420" s="106" t="s">
        <v>1671</v>
      </c>
      <c r="B420" s="61" t="s">
        <v>1667</v>
      </c>
      <c r="C420" s="654"/>
      <c r="D420" s="116">
        <v>200.0</v>
      </c>
      <c r="E420" s="116">
        <v>4000.0</v>
      </c>
      <c r="F420" s="392">
        <f t="shared" si="14"/>
        <v>20</v>
      </c>
      <c r="G420" s="283">
        <f t="shared" si="12"/>
        <v>2.98142397</v>
      </c>
      <c r="H420" s="100"/>
      <c r="I420" s="117"/>
      <c r="J420" s="100"/>
      <c r="K420" s="83"/>
      <c r="L420" s="195" t="s">
        <v>132</v>
      </c>
      <c r="M420" s="324">
        <v>45292.0</v>
      </c>
      <c r="N420" s="112" t="s">
        <v>34</v>
      </c>
      <c r="O420" s="108" t="s">
        <v>1672</v>
      </c>
      <c r="P420" s="103" t="s">
        <v>71</v>
      </c>
      <c r="Q420" s="113"/>
      <c r="R420" s="121" t="s">
        <v>1673</v>
      </c>
      <c r="S420" s="91">
        <v>263.0</v>
      </c>
    </row>
    <row r="421">
      <c r="A421" s="106" t="s">
        <v>1674</v>
      </c>
      <c r="B421" s="189" t="s">
        <v>298</v>
      </c>
      <c r="C421" s="108" t="s">
        <v>1675</v>
      </c>
      <c r="D421" s="553">
        <v>7.0</v>
      </c>
      <c r="E421" s="109">
        <v>2000.0</v>
      </c>
      <c r="F421" s="392">
        <f t="shared" si="14"/>
        <v>286</v>
      </c>
      <c r="G421" s="283">
        <f t="shared" si="12"/>
        <v>0.3944053189</v>
      </c>
      <c r="H421" s="100"/>
      <c r="I421" s="117"/>
      <c r="J421" s="100"/>
      <c r="K421" s="83"/>
      <c r="L421" s="195" t="s">
        <v>132</v>
      </c>
      <c r="M421" s="324">
        <v>45292.0</v>
      </c>
      <c r="N421" s="112" t="s">
        <v>34</v>
      </c>
      <c r="O421" s="108" t="s">
        <v>1676</v>
      </c>
      <c r="P421" s="103" t="s">
        <v>71</v>
      </c>
      <c r="Q421" s="113" t="s">
        <v>72</v>
      </c>
      <c r="R421" s="114" t="s">
        <v>1677</v>
      </c>
      <c r="S421" s="91">
        <v>262.0</v>
      </c>
    </row>
    <row r="422">
      <c r="A422" s="106" t="s">
        <v>1678</v>
      </c>
      <c r="B422" s="61" t="s">
        <v>56</v>
      </c>
      <c r="C422" s="108" t="s">
        <v>1679</v>
      </c>
      <c r="D422" s="553">
        <v>70.0</v>
      </c>
      <c r="E422" s="109">
        <v>2000.0</v>
      </c>
      <c r="F422" s="392">
        <f t="shared" si="14"/>
        <v>29</v>
      </c>
      <c r="G422" s="283">
        <f t="shared" si="12"/>
        <v>1.247219129</v>
      </c>
      <c r="H422" s="100"/>
      <c r="I422" s="117"/>
      <c r="J422" s="100"/>
      <c r="K422" s="83"/>
      <c r="L422" s="195" t="s">
        <v>132</v>
      </c>
      <c r="M422" s="324">
        <v>45292.0</v>
      </c>
      <c r="N422" s="112" t="s">
        <v>34</v>
      </c>
      <c r="O422" s="108" t="s">
        <v>1680</v>
      </c>
      <c r="P422" s="103" t="s">
        <v>71</v>
      </c>
      <c r="Q422" s="113"/>
      <c r="R422" s="114" t="s">
        <v>1681</v>
      </c>
      <c r="S422" s="91">
        <v>261.0</v>
      </c>
    </row>
    <row r="423">
      <c r="A423" s="106" t="s">
        <v>1682</v>
      </c>
      <c r="B423" s="189" t="s">
        <v>772</v>
      </c>
      <c r="C423" s="108" t="s">
        <v>1353</v>
      </c>
      <c r="D423" s="553">
        <v>7.52</v>
      </c>
      <c r="E423" s="109">
        <v>1100.0</v>
      </c>
      <c r="F423" s="392">
        <f t="shared" si="14"/>
        <v>147</v>
      </c>
      <c r="G423" s="283">
        <f t="shared" si="12"/>
        <v>0.3031684534</v>
      </c>
      <c r="H423" s="100">
        <v>33.21</v>
      </c>
      <c r="I423" s="117"/>
      <c r="J423" s="100"/>
      <c r="K423" s="83"/>
      <c r="L423" s="195" t="s">
        <v>132</v>
      </c>
      <c r="M423" s="324">
        <v>45292.0</v>
      </c>
      <c r="N423" s="112" t="s">
        <v>34</v>
      </c>
      <c r="O423" s="108" t="s">
        <v>1683</v>
      </c>
      <c r="P423" s="103" t="s">
        <v>71</v>
      </c>
      <c r="Q423" s="113"/>
      <c r="R423" s="121" t="s">
        <v>1684</v>
      </c>
      <c r="S423" s="91">
        <v>260.0</v>
      </c>
    </row>
    <row r="424">
      <c r="A424" s="106" t="s">
        <v>1685</v>
      </c>
      <c r="B424" s="189" t="s">
        <v>1686</v>
      </c>
      <c r="C424" s="108" t="s">
        <v>1687</v>
      </c>
      <c r="D424" s="553">
        <v>10.0</v>
      </c>
      <c r="E424" s="109">
        <v>2000.0</v>
      </c>
      <c r="F424" s="392">
        <f t="shared" si="14"/>
        <v>200</v>
      </c>
      <c r="G424" s="283">
        <f t="shared" si="12"/>
        <v>0.4714045208</v>
      </c>
      <c r="H424" s="100"/>
      <c r="I424" s="117"/>
      <c r="J424" s="100"/>
      <c r="K424" s="83"/>
      <c r="L424" s="195" t="s">
        <v>132</v>
      </c>
      <c r="M424" s="324">
        <v>45292.0</v>
      </c>
      <c r="N424" s="112" t="s">
        <v>34</v>
      </c>
      <c r="O424" s="108" t="s">
        <v>1688</v>
      </c>
      <c r="P424" s="103" t="s">
        <v>71</v>
      </c>
      <c r="Q424" s="113"/>
      <c r="R424" s="114" t="s">
        <v>1689</v>
      </c>
      <c r="S424" s="91">
        <v>259.0</v>
      </c>
    </row>
    <row r="425">
      <c r="A425" s="106" t="s">
        <v>1690</v>
      </c>
      <c r="B425" s="189" t="s">
        <v>1691</v>
      </c>
      <c r="C425" s="108" t="s">
        <v>1692</v>
      </c>
      <c r="D425" s="716">
        <v>0.972</v>
      </c>
      <c r="E425" s="109">
        <v>37.5</v>
      </c>
      <c r="F425" s="392">
        <f t="shared" si="14"/>
        <v>39</v>
      </c>
      <c r="G425" s="283">
        <f t="shared" si="12"/>
        <v>0.0201246118</v>
      </c>
      <c r="H425" s="100"/>
      <c r="I425" s="117"/>
      <c r="J425" s="100"/>
      <c r="K425" s="240"/>
      <c r="L425" s="715" t="s">
        <v>1693</v>
      </c>
      <c r="M425" s="324">
        <v>45292.0</v>
      </c>
      <c r="N425" s="506" t="s">
        <v>28</v>
      </c>
      <c r="O425" s="108" t="s">
        <v>1694</v>
      </c>
      <c r="P425" s="103" t="s">
        <v>71</v>
      </c>
      <c r="Q425" s="113"/>
      <c r="R425" s="114" t="s">
        <v>1695</v>
      </c>
      <c r="S425" s="91">
        <v>258.0</v>
      </c>
    </row>
    <row r="426">
      <c r="A426" s="717" t="s">
        <v>1696</v>
      </c>
      <c r="B426" s="61" t="s">
        <v>32</v>
      </c>
      <c r="C426" s="108" t="s">
        <v>1697</v>
      </c>
      <c r="D426" s="553">
        <v>33.0</v>
      </c>
      <c r="E426" s="109">
        <v>2000.0</v>
      </c>
      <c r="F426" s="392">
        <f t="shared" si="14"/>
        <v>61</v>
      </c>
      <c r="G426" s="283">
        <f t="shared" si="12"/>
        <v>0.8563488386</v>
      </c>
      <c r="H426" s="100"/>
      <c r="I426" s="117"/>
      <c r="J426" s="100"/>
      <c r="K426" s="83"/>
      <c r="L426" s="195" t="s">
        <v>132</v>
      </c>
      <c r="M426" s="324">
        <v>45292.0</v>
      </c>
      <c r="N426" s="112" t="s">
        <v>34</v>
      </c>
      <c r="O426" s="108" t="s">
        <v>1698</v>
      </c>
      <c r="P426" s="103" t="s">
        <v>71</v>
      </c>
      <c r="Q426" s="113"/>
      <c r="R426" s="558" t="s">
        <v>1699</v>
      </c>
      <c r="S426" s="91">
        <v>257.0</v>
      </c>
    </row>
    <row r="427">
      <c r="A427" s="106" t="s">
        <v>1700</v>
      </c>
      <c r="B427" s="61" t="s">
        <v>304</v>
      </c>
      <c r="C427" s="108" t="s">
        <v>1701</v>
      </c>
      <c r="D427" s="553">
        <v>7.0</v>
      </c>
      <c r="E427" s="109">
        <v>2000.0</v>
      </c>
      <c r="F427" s="392">
        <f t="shared" si="14"/>
        <v>286</v>
      </c>
      <c r="G427" s="283">
        <f t="shared" si="12"/>
        <v>0.3944053189</v>
      </c>
      <c r="H427" s="100"/>
      <c r="I427" s="117"/>
      <c r="J427" s="100"/>
      <c r="K427" s="83"/>
      <c r="L427" s="195" t="s">
        <v>132</v>
      </c>
      <c r="M427" s="324">
        <v>45292.0</v>
      </c>
      <c r="N427" s="112" t="s">
        <v>34</v>
      </c>
      <c r="O427" s="108" t="s">
        <v>1702</v>
      </c>
      <c r="P427" s="103" t="s">
        <v>71</v>
      </c>
      <c r="Q427" s="113"/>
      <c r="R427" s="114" t="s">
        <v>1703</v>
      </c>
      <c r="S427" s="91">
        <v>256.0</v>
      </c>
    </row>
    <row r="428">
      <c r="A428" s="106" t="s">
        <v>1704</v>
      </c>
      <c r="B428" s="189" t="s">
        <v>1705</v>
      </c>
      <c r="C428" s="654"/>
      <c r="D428" s="451">
        <v>120.0</v>
      </c>
      <c r="E428" s="116">
        <v>5000.0</v>
      </c>
      <c r="F428" s="392">
        <f t="shared" si="14"/>
        <v>42</v>
      </c>
      <c r="G428" s="283">
        <f t="shared" si="12"/>
        <v>2.581988897</v>
      </c>
      <c r="H428" s="100"/>
      <c r="I428" s="117"/>
      <c r="J428" s="100"/>
      <c r="K428" s="83"/>
      <c r="L428" s="195" t="s">
        <v>132</v>
      </c>
      <c r="M428" s="324">
        <v>45292.0</v>
      </c>
      <c r="N428" s="130" t="s">
        <v>1235</v>
      </c>
      <c r="O428" s="108" t="s">
        <v>1706</v>
      </c>
      <c r="P428" s="103" t="s">
        <v>71</v>
      </c>
      <c r="Q428" s="113"/>
      <c r="R428" s="558" t="s">
        <v>1707</v>
      </c>
      <c r="S428" s="91">
        <v>255.0</v>
      </c>
    </row>
    <row r="429">
      <c r="A429" s="106" t="s">
        <v>1708</v>
      </c>
      <c r="B429" s="189" t="s">
        <v>1709</v>
      </c>
      <c r="C429" s="108" t="s">
        <v>1710</v>
      </c>
      <c r="D429" s="109">
        <v>14.0</v>
      </c>
      <c r="E429" s="109">
        <v>2500.0</v>
      </c>
      <c r="F429" s="392">
        <f t="shared" si="14"/>
        <v>179</v>
      </c>
      <c r="G429" s="283">
        <f t="shared" si="12"/>
        <v>0.6236095645</v>
      </c>
      <c r="H429" s="100">
        <v>69.6</v>
      </c>
      <c r="I429" s="117"/>
      <c r="J429" s="100"/>
      <c r="K429" s="83"/>
      <c r="L429" s="195" t="s">
        <v>132</v>
      </c>
      <c r="M429" s="324">
        <v>45292.0</v>
      </c>
      <c r="N429" s="112" t="s">
        <v>34</v>
      </c>
      <c r="O429" s="108" t="s">
        <v>1711</v>
      </c>
      <c r="P429" s="103" t="s">
        <v>71</v>
      </c>
      <c r="Q429" s="113"/>
      <c r="R429" s="114" t="s">
        <v>1712</v>
      </c>
      <c r="S429" s="91">
        <v>254.0</v>
      </c>
    </row>
    <row r="430">
      <c r="A430" s="92" t="s">
        <v>1713</v>
      </c>
      <c r="B430" s="648" t="s">
        <v>228</v>
      </c>
      <c r="C430" s="135" t="s">
        <v>1714</v>
      </c>
      <c r="D430" s="470">
        <v>20.0</v>
      </c>
      <c r="E430" s="470">
        <v>2600.0</v>
      </c>
      <c r="F430" s="97">
        <f t="shared" si="14"/>
        <v>130</v>
      </c>
      <c r="G430" s="283">
        <f t="shared" si="12"/>
        <v>0.7601169501</v>
      </c>
      <c r="H430" s="100">
        <v>67.7</v>
      </c>
      <c r="I430" s="117"/>
      <c r="J430" s="100"/>
      <c r="K430" s="83"/>
      <c r="L430" s="195" t="s">
        <v>132</v>
      </c>
      <c r="M430" s="324">
        <v>45292.0</v>
      </c>
      <c r="N430" s="112" t="s">
        <v>34</v>
      </c>
      <c r="O430" s="131" t="s">
        <v>1715</v>
      </c>
      <c r="P430" s="103" t="s">
        <v>71</v>
      </c>
      <c r="Q430" s="522"/>
      <c r="R430" s="92"/>
      <c r="S430" s="91">
        <v>253.0</v>
      </c>
    </row>
    <row r="431">
      <c r="A431" s="106" t="s">
        <v>1716</v>
      </c>
      <c r="B431" s="61" t="s">
        <v>459</v>
      </c>
      <c r="C431" s="108" t="s">
        <v>1717</v>
      </c>
      <c r="D431" s="116">
        <v>200.0</v>
      </c>
      <c r="E431" s="116">
        <v>4000.0</v>
      </c>
      <c r="F431" s="392">
        <f t="shared" si="14"/>
        <v>20</v>
      </c>
      <c r="G431" s="283">
        <f t="shared" si="12"/>
        <v>2.98142397</v>
      </c>
      <c r="H431" s="100"/>
      <c r="I431" s="117"/>
      <c r="J431" s="100"/>
      <c r="K431" s="83"/>
      <c r="L431" s="195" t="s">
        <v>132</v>
      </c>
      <c r="M431" s="324">
        <v>45292.0</v>
      </c>
      <c r="N431" s="112" t="s">
        <v>34</v>
      </c>
      <c r="O431" s="108" t="s">
        <v>1718</v>
      </c>
      <c r="P431" s="103" t="s">
        <v>71</v>
      </c>
      <c r="Q431" s="113"/>
      <c r="R431" s="121" t="s">
        <v>1719</v>
      </c>
      <c r="S431" s="91">
        <v>252.0</v>
      </c>
    </row>
    <row r="432">
      <c r="A432" s="106" t="s">
        <v>1720</v>
      </c>
      <c r="B432" s="61" t="s">
        <v>32</v>
      </c>
      <c r="C432" s="654"/>
      <c r="D432" s="109">
        <v>16.0</v>
      </c>
      <c r="E432" s="109">
        <v>2000.0</v>
      </c>
      <c r="F432" s="392">
        <f t="shared" si="14"/>
        <v>125</v>
      </c>
      <c r="G432" s="283">
        <f t="shared" si="12"/>
        <v>0.596284794</v>
      </c>
      <c r="H432" s="100"/>
      <c r="I432" s="117"/>
      <c r="J432" s="100"/>
      <c r="K432" s="83"/>
      <c r="L432" s="195" t="s">
        <v>132</v>
      </c>
      <c r="M432" s="324">
        <v>45292.0</v>
      </c>
      <c r="N432" s="506" t="s">
        <v>28</v>
      </c>
      <c r="O432" s="108" t="s">
        <v>1721</v>
      </c>
      <c r="P432" s="103" t="s">
        <v>36</v>
      </c>
      <c r="Q432" s="718"/>
      <c r="R432" s="719" t="s">
        <v>1722</v>
      </c>
      <c r="S432" s="91">
        <v>251.0</v>
      </c>
    </row>
    <row r="433">
      <c r="A433" s="106" t="s">
        <v>1723</v>
      </c>
      <c r="B433" s="61" t="s">
        <v>32</v>
      </c>
      <c r="C433" s="108" t="s">
        <v>356</v>
      </c>
      <c r="D433" s="109">
        <v>67.0</v>
      </c>
      <c r="E433" s="109">
        <v>2000.0</v>
      </c>
      <c r="F433" s="392">
        <f t="shared" si="14"/>
        <v>30</v>
      </c>
      <c r="G433" s="283">
        <f t="shared" si="12"/>
        <v>1.220200348</v>
      </c>
      <c r="H433" s="100"/>
      <c r="I433" s="117"/>
      <c r="J433" s="100"/>
      <c r="K433" s="83"/>
      <c r="L433" s="195" t="s">
        <v>132</v>
      </c>
      <c r="M433" s="324">
        <v>45292.0</v>
      </c>
      <c r="N433" s="112" t="s">
        <v>34</v>
      </c>
      <c r="O433" s="108" t="s">
        <v>1724</v>
      </c>
      <c r="P433" s="103" t="s">
        <v>71</v>
      </c>
      <c r="Q433" s="718"/>
      <c r="R433" s="719" t="s">
        <v>1725</v>
      </c>
      <c r="S433" s="91">
        <v>250.0</v>
      </c>
    </row>
    <row r="434">
      <c r="A434" s="106" t="s">
        <v>1726</v>
      </c>
      <c r="B434" s="61" t="s">
        <v>304</v>
      </c>
      <c r="C434" s="108" t="s">
        <v>1727</v>
      </c>
      <c r="D434" s="109">
        <v>8.3</v>
      </c>
      <c r="E434" s="109">
        <v>2080.0</v>
      </c>
      <c r="F434" s="392">
        <f t="shared" si="14"/>
        <v>251</v>
      </c>
      <c r="G434" s="283">
        <f t="shared" si="12"/>
        <v>0.4379751388</v>
      </c>
      <c r="H434" s="100"/>
      <c r="I434" s="117"/>
      <c r="J434" s="100"/>
      <c r="K434" s="83"/>
      <c r="L434" s="195" t="s">
        <v>132</v>
      </c>
      <c r="M434" s="324">
        <v>45292.0</v>
      </c>
      <c r="N434" s="112" t="s">
        <v>34</v>
      </c>
      <c r="O434" s="108" t="s">
        <v>1728</v>
      </c>
      <c r="P434" s="103" t="s">
        <v>71</v>
      </c>
      <c r="Q434" s="718"/>
      <c r="R434" s="719" t="s">
        <v>1729</v>
      </c>
      <c r="S434" s="91">
        <v>249.0</v>
      </c>
    </row>
    <row r="435">
      <c r="A435" s="106" t="s">
        <v>1730</v>
      </c>
      <c r="B435" s="179" t="s">
        <v>1122</v>
      </c>
      <c r="C435" s="654"/>
      <c r="D435" s="109">
        <v>72.0</v>
      </c>
      <c r="E435" s="116">
        <v>1200.0</v>
      </c>
      <c r="F435" s="392">
        <f t="shared" si="14"/>
        <v>17</v>
      </c>
      <c r="G435" s="283">
        <f t="shared" si="12"/>
        <v>0.9797958971</v>
      </c>
      <c r="H435" s="100">
        <v>70.2</v>
      </c>
      <c r="I435" s="117"/>
      <c r="J435" s="100"/>
      <c r="K435" s="240"/>
      <c r="L435" s="570" t="s">
        <v>103</v>
      </c>
      <c r="M435" s="324">
        <v>45292.0</v>
      </c>
      <c r="N435" s="112" t="s">
        <v>34</v>
      </c>
      <c r="O435" s="108" t="s">
        <v>1731</v>
      </c>
      <c r="P435" s="103" t="s">
        <v>71</v>
      </c>
      <c r="Q435" s="616"/>
      <c r="R435" s="618" t="s">
        <v>1732</v>
      </c>
      <c r="S435" s="91">
        <v>248.0</v>
      </c>
    </row>
    <row r="436">
      <c r="A436" s="106" t="s">
        <v>1733</v>
      </c>
      <c r="B436" s="189" t="s">
        <v>1734</v>
      </c>
      <c r="C436" s="108" t="s">
        <v>1735</v>
      </c>
      <c r="D436" s="109">
        <v>1.1</v>
      </c>
      <c r="E436" s="109">
        <v>3000.0</v>
      </c>
      <c r="F436" s="392">
        <f t="shared" si="14"/>
        <v>2728</v>
      </c>
      <c r="G436" s="283">
        <f t="shared" si="12"/>
        <v>0.1914854216</v>
      </c>
      <c r="H436" s="100"/>
      <c r="I436" s="117"/>
      <c r="J436" s="100"/>
      <c r="K436" s="83"/>
      <c r="L436" s="195" t="s">
        <v>132</v>
      </c>
      <c r="M436" s="324">
        <v>45292.0</v>
      </c>
      <c r="N436" s="112" t="s">
        <v>34</v>
      </c>
      <c r="O436" s="108" t="s">
        <v>1736</v>
      </c>
      <c r="P436" s="103" t="s">
        <v>71</v>
      </c>
      <c r="Q436" s="567"/>
      <c r="R436" s="695" t="s">
        <v>1737</v>
      </c>
      <c r="S436" s="91">
        <v>247.0</v>
      </c>
    </row>
    <row r="437">
      <c r="A437" s="720" t="s">
        <v>1738</v>
      </c>
      <c r="B437" s="721" t="s">
        <v>1739</v>
      </c>
      <c r="C437" s="722"/>
      <c r="D437" s="723">
        <v>7.0</v>
      </c>
      <c r="E437" s="723">
        <v>2000.0</v>
      </c>
      <c r="F437" s="724">
        <f t="shared" si="14"/>
        <v>286</v>
      </c>
      <c r="G437" s="494">
        <f t="shared" si="12"/>
        <v>0.3944053189</v>
      </c>
      <c r="H437" s="725"/>
      <c r="I437" s="726"/>
      <c r="J437" s="725"/>
      <c r="K437" s="496"/>
      <c r="L437" s="497" t="s">
        <v>132</v>
      </c>
      <c r="M437" s="498">
        <v>45292.0</v>
      </c>
      <c r="N437" s="727" t="s">
        <v>28</v>
      </c>
      <c r="O437" s="728" t="s">
        <v>1740</v>
      </c>
      <c r="P437" s="729" t="s">
        <v>71</v>
      </c>
      <c r="Q437" s="730"/>
      <c r="R437" s="731" t="s">
        <v>1741</v>
      </c>
      <c r="S437" s="91">
        <v>246.0</v>
      </c>
    </row>
    <row r="438">
      <c r="A438" s="136" t="s">
        <v>1742</v>
      </c>
      <c r="B438" s="189" t="s">
        <v>252</v>
      </c>
      <c r="C438" s="248" t="s">
        <v>1743</v>
      </c>
      <c r="D438" s="470">
        <v>7.0</v>
      </c>
      <c r="E438" s="470">
        <v>1000.0</v>
      </c>
      <c r="F438" s="97">
        <f t="shared" si="14"/>
        <v>143</v>
      </c>
      <c r="G438" s="110">
        <f t="shared" si="12"/>
        <v>0.2788866755</v>
      </c>
      <c r="H438" s="100"/>
      <c r="I438" s="117"/>
      <c r="J438" s="100"/>
      <c r="K438" s="83"/>
      <c r="L438" s="195" t="s">
        <v>132</v>
      </c>
      <c r="M438" s="652">
        <v>45261.0</v>
      </c>
      <c r="N438" s="112" t="s">
        <v>34</v>
      </c>
      <c r="O438" s="514" t="s">
        <v>1744</v>
      </c>
      <c r="P438" s="103" t="s">
        <v>71</v>
      </c>
      <c r="Q438" s="520"/>
      <c r="R438" s="146" t="s">
        <v>1745</v>
      </c>
      <c r="S438" s="91">
        <v>245.0</v>
      </c>
    </row>
    <row r="439">
      <c r="A439" s="136" t="s">
        <v>1746</v>
      </c>
      <c r="B439" s="189" t="s">
        <v>177</v>
      </c>
      <c r="C439" s="266"/>
      <c r="D439" s="470">
        <v>6.7</v>
      </c>
      <c r="E439" s="470"/>
      <c r="F439" s="97"/>
      <c r="G439" s="110"/>
      <c r="H439" s="100"/>
      <c r="I439" s="117"/>
      <c r="J439" s="100"/>
      <c r="K439" s="83"/>
      <c r="L439" s="195" t="s">
        <v>132</v>
      </c>
      <c r="M439" s="652">
        <v>45261.0</v>
      </c>
      <c r="N439" s="506" t="s">
        <v>28</v>
      </c>
      <c r="O439" s="514" t="s">
        <v>1747</v>
      </c>
      <c r="P439" s="103" t="s">
        <v>71</v>
      </c>
      <c r="Q439" s="520"/>
      <c r="R439" s="146" t="s">
        <v>1748</v>
      </c>
      <c r="S439" s="91">
        <v>244.0</v>
      </c>
    </row>
    <row r="440">
      <c r="A440" s="136" t="s">
        <v>1749</v>
      </c>
      <c r="B440" s="189" t="s">
        <v>405</v>
      </c>
      <c r="C440" s="266"/>
      <c r="D440" s="470">
        <v>7.0</v>
      </c>
      <c r="E440" s="470">
        <v>1748.0</v>
      </c>
      <c r="F440" s="97">
        <f t="shared" ref="F440:F448" si="15">IF(E440&lt;&gt;"", ROUNDUP(E440/D440,0),"")</f>
        <v>250</v>
      </c>
      <c r="G440" s="110">
        <f t="shared" ref="G440:G448" si="16">IF(E440&lt;&gt;"", (SQRT(D440*E440))/300, "")</f>
        <v>0.3687215149</v>
      </c>
      <c r="H440" s="100"/>
      <c r="I440" s="117"/>
      <c r="J440" s="100"/>
      <c r="K440" s="83"/>
      <c r="L440" s="195" t="s">
        <v>132</v>
      </c>
      <c r="M440" s="652">
        <v>45261.0</v>
      </c>
      <c r="N440" s="506" t="s">
        <v>28</v>
      </c>
      <c r="O440" s="514" t="s">
        <v>1750</v>
      </c>
      <c r="P440" s="103" t="s">
        <v>71</v>
      </c>
      <c r="Q440" s="520"/>
      <c r="R440" s="146" t="s">
        <v>1751</v>
      </c>
      <c r="S440" s="91">
        <v>243.0</v>
      </c>
    </row>
    <row r="441">
      <c r="A441" s="136" t="s">
        <v>1752</v>
      </c>
      <c r="B441" s="189" t="s">
        <v>405</v>
      </c>
      <c r="C441" s="266"/>
      <c r="D441" s="470">
        <v>7.0</v>
      </c>
      <c r="E441" s="470">
        <v>1600.0</v>
      </c>
      <c r="F441" s="97">
        <f t="shared" si="15"/>
        <v>229</v>
      </c>
      <c r="G441" s="110">
        <f t="shared" si="16"/>
        <v>0.3527668415</v>
      </c>
      <c r="H441" s="100"/>
      <c r="I441" s="117"/>
      <c r="J441" s="100"/>
      <c r="K441" s="83"/>
      <c r="L441" s="195" t="s">
        <v>132</v>
      </c>
      <c r="M441" s="652">
        <v>45261.0</v>
      </c>
      <c r="N441" s="506" t="s">
        <v>28</v>
      </c>
      <c r="O441" s="514" t="s">
        <v>1750</v>
      </c>
      <c r="P441" s="103" t="s">
        <v>71</v>
      </c>
      <c r="Q441" s="520"/>
      <c r="R441" s="146" t="s">
        <v>1753</v>
      </c>
      <c r="S441" s="91">
        <v>242.0</v>
      </c>
    </row>
    <row r="442">
      <c r="A442" s="136" t="s">
        <v>1754</v>
      </c>
      <c r="B442" s="61" t="s">
        <v>1755</v>
      </c>
      <c r="C442" s="248" t="s">
        <v>1756</v>
      </c>
      <c r="D442" s="470">
        <v>30.0</v>
      </c>
      <c r="E442" s="470">
        <v>2650.0</v>
      </c>
      <c r="F442" s="97">
        <f t="shared" si="15"/>
        <v>89</v>
      </c>
      <c r="G442" s="110">
        <f t="shared" si="16"/>
        <v>0.9398581453</v>
      </c>
      <c r="H442" s="100">
        <v>80.5</v>
      </c>
      <c r="I442" s="117"/>
      <c r="J442" s="100"/>
      <c r="K442" s="83"/>
      <c r="L442" s="195" t="s">
        <v>132</v>
      </c>
      <c r="M442" s="652">
        <v>45261.0</v>
      </c>
      <c r="N442" s="112" t="s">
        <v>34</v>
      </c>
      <c r="O442" s="267" t="s">
        <v>1757</v>
      </c>
      <c r="P442" s="103" t="s">
        <v>71</v>
      </c>
      <c r="Q442" s="520"/>
      <c r="R442" s="146" t="s">
        <v>1758</v>
      </c>
      <c r="S442" s="91">
        <v>241.0</v>
      </c>
    </row>
    <row r="443">
      <c r="A443" s="136" t="s">
        <v>1759</v>
      </c>
      <c r="B443" s="189" t="s">
        <v>999</v>
      </c>
      <c r="C443" s="248" t="s">
        <v>1760</v>
      </c>
      <c r="D443" s="470">
        <v>37.0</v>
      </c>
      <c r="E443" s="470">
        <v>4.0</v>
      </c>
      <c r="F443" s="97">
        <f t="shared" si="15"/>
        <v>1</v>
      </c>
      <c r="G443" s="110">
        <f t="shared" si="16"/>
        <v>0.0405517502</v>
      </c>
      <c r="H443" s="100"/>
      <c r="I443" s="117"/>
      <c r="J443" s="100"/>
      <c r="K443" s="83"/>
      <c r="L443" s="195" t="s">
        <v>132</v>
      </c>
      <c r="M443" s="652">
        <v>45261.0</v>
      </c>
      <c r="N443" s="112" t="s">
        <v>34</v>
      </c>
      <c r="O443" s="267" t="s">
        <v>1761</v>
      </c>
      <c r="P443" s="103" t="s">
        <v>71</v>
      </c>
      <c r="Q443" s="520"/>
      <c r="R443" s="146" t="s">
        <v>1762</v>
      </c>
      <c r="S443" s="91">
        <v>240.0</v>
      </c>
    </row>
    <row r="444">
      <c r="A444" s="136" t="s">
        <v>1763</v>
      </c>
      <c r="B444" s="61" t="s">
        <v>45</v>
      </c>
      <c r="C444" s="655" t="s">
        <v>1764</v>
      </c>
      <c r="D444" s="140"/>
      <c r="E444" s="140"/>
      <c r="F444" s="97" t="str">
        <f t="shared" si="15"/>
        <v/>
      </c>
      <c r="G444" s="110" t="str">
        <f t="shared" si="16"/>
        <v/>
      </c>
      <c r="H444" s="100"/>
      <c r="I444" s="117"/>
      <c r="J444" s="100"/>
      <c r="K444" s="83"/>
      <c r="L444" s="195" t="s">
        <v>132</v>
      </c>
      <c r="M444" s="652">
        <v>45261.0</v>
      </c>
      <c r="N444" s="130" t="s">
        <v>1235</v>
      </c>
      <c r="O444" s="267" t="s">
        <v>1765</v>
      </c>
      <c r="P444" s="103" t="s">
        <v>71</v>
      </c>
      <c r="Q444" s="520"/>
      <c r="R444" s="146" t="s">
        <v>1766</v>
      </c>
      <c r="S444" s="91">
        <v>239.0</v>
      </c>
    </row>
    <row r="445">
      <c r="A445" s="106" t="s">
        <v>1767</v>
      </c>
      <c r="B445" s="189" t="s">
        <v>1768</v>
      </c>
      <c r="C445" s="108" t="s">
        <v>1769</v>
      </c>
      <c r="D445" s="470">
        <v>10.7</v>
      </c>
      <c r="E445" s="362"/>
      <c r="F445" s="97" t="str">
        <f t="shared" si="15"/>
        <v/>
      </c>
      <c r="G445" s="110" t="str">
        <f t="shared" si="16"/>
        <v/>
      </c>
      <c r="H445" s="100"/>
      <c r="I445" s="117"/>
      <c r="J445" s="100"/>
      <c r="K445" s="83"/>
      <c r="L445" s="195" t="s">
        <v>132</v>
      </c>
      <c r="M445" s="652">
        <v>45261.0</v>
      </c>
      <c r="N445" s="112" t="s">
        <v>34</v>
      </c>
      <c r="O445" s="108" t="s">
        <v>1770</v>
      </c>
      <c r="P445" s="103" t="s">
        <v>71</v>
      </c>
      <c r="Q445" s="567"/>
      <c r="R445" s="106" t="s">
        <v>1771</v>
      </c>
      <c r="S445" s="91">
        <v>238.0</v>
      </c>
    </row>
    <row r="446">
      <c r="A446" s="106" t="s">
        <v>1772</v>
      </c>
      <c r="B446" s="189" t="s">
        <v>1773</v>
      </c>
      <c r="C446" s="108" t="s">
        <v>1774</v>
      </c>
      <c r="D446" s="470">
        <v>7.04</v>
      </c>
      <c r="E446" s="362">
        <v>200.0</v>
      </c>
      <c r="F446" s="97">
        <f t="shared" si="15"/>
        <v>29</v>
      </c>
      <c r="G446" s="110">
        <f t="shared" si="16"/>
        <v>0.1250777536</v>
      </c>
      <c r="H446" s="100"/>
      <c r="I446" s="117"/>
      <c r="J446" s="100"/>
      <c r="K446" s="83"/>
      <c r="L446" s="195" t="s">
        <v>132</v>
      </c>
      <c r="M446" s="652">
        <v>45261.0</v>
      </c>
      <c r="N446" s="112" t="s">
        <v>34</v>
      </c>
      <c r="O446" s="108" t="s">
        <v>1775</v>
      </c>
      <c r="P446" s="103" t="s">
        <v>71</v>
      </c>
      <c r="Q446" s="567"/>
      <c r="R446" s="106" t="s">
        <v>1776</v>
      </c>
      <c r="S446" s="91">
        <v>237.0</v>
      </c>
    </row>
    <row r="447">
      <c r="A447" s="92" t="s">
        <v>1777</v>
      </c>
      <c r="B447" s="189" t="s">
        <v>269</v>
      </c>
      <c r="C447" s="135" t="s">
        <v>1778</v>
      </c>
      <c r="D447" s="124">
        <v>180.0</v>
      </c>
      <c r="E447" s="124">
        <v>3500.0</v>
      </c>
      <c r="F447" s="282">
        <f t="shared" si="15"/>
        <v>20</v>
      </c>
      <c r="G447" s="98">
        <f t="shared" si="16"/>
        <v>2.645751311</v>
      </c>
      <c r="H447" s="127">
        <v>75.3</v>
      </c>
      <c r="I447" s="536"/>
      <c r="J447" s="127"/>
      <c r="K447" s="83"/>
      <c r="L447" s="195" t="s">
        <v>132</v>
      </c>
      <c r="M447" s="324">
        <v>45261.0</v>
      </c>
      <c r="N447" s="86" t="s">
        <v>34</v>
      </c>
      <c r="O447" s="135" t="s">
        <v>1779</v>
      </c>
      <c r="P447" s="92" t="s">
        <v>71</v>
      </c>
      <c r="Q447" s="133"/>
      <c r="R447" s="134" t="s">
        <v>1780</v>
      </c>
      <c r="S447" s="91">
        <v>236.0</v>
      </c>
    </row>
    <row r="448">
      <c r="A448" s="92" t="s">
        <v>1781</v>
      </c>
      <c r="B448" s="189" t="s">
        <v>269</v>
      </c>
      <c r="C448" s="135" t="s">
        <v>1782</v>
      </c>
      <c r="D448" s="194">
        <v>46.7</v>
      </c>
      <c r="E448" s="124">
        <v>8000.0</v>
      </c>
      <c r="F448" s="282">
        <f t="shared" si="15"/>
        <v>172</v>
      </c>
      <c r="G448" s="98">
        <f t="shared" si="16"/>
        <v>2.037427572</v>
      </c>
      <c r="H448" s="127">
        <v>70.6</v>
      </c>
      <c r="I448" s="127">
        <v>43.3</v>
      </c>
      <c r="J448" s="127"/>
      <c r="K448" s="83"/>
      <c r="L448" s="195" t="s">
        <v>132</v>
      </c>
      <c r="M448" s="324">
        <v>45261.0</v>
      </c>
      <c r="N448" s="86" t="s">
        <v>34</v>
      </c>
      <c r="O448" s="135" t="s">
        <v>1783</v>
      </c>
      <c r="P448" s="92" t="s">
        <v>36</v>
      </c>
      <c r="Q448" s="133"/>
      <c r="R448" s="134" t="s">
        <v>1784</v>
      </c>
      <c r="S448" s="91">
        <v>235.0</v>
      </c>
    </row>
    <row r="449">
      <c r="A449" s="92" t="s">
        <v>1785</v>
      </c>
      <c r="B449" s="189" t="s">
        <v>492</v>
      </c>
      <c r="C449" s="135" t="s">
        <v>1786</v>
      </c>
      <c r="D449" s="194">
        <v>7.65</v>
      </c>
      <c r="E449" s="194"/>
      <c r="F449" s="282"/>
      <c r="G449" s="98"/>
      <c r="H449" s="350"/>
      <c r="I449" s="536"/>
      <c r="J449" s="350"/>
      <c r="K449" s="83"/>
      <c r="L449" s="195" t="s">
        <v>132</v>
      </c>
      <c r="M449" s="662">
        <v>45261.0</v>
      </c>
      <c r="N449" s="86" t="s">
        <v>34</v>
      </c>
      <c r="O449" s="135" t="s">
        <v>1787</v>
      </c>
      <c r="P449" s="106" t="s">
        <v>71</v>
      </c>
      <c r="Q449" s="133"/>
      <c r="R449" s="134" t="s">
        <v>1788</v>
      </c>
      <c r="S449" s="91">
        <v>234.0</v>
      </c>
    </row>
    <row r="450">
      <c r="A450" s="92" t="s">
        <v>1789</v>
      </c>
      <c r="B450" s="189" t="s">
        <v>1790</v>
      </c>
      <c r="C450" s="135" t="s">
        <v>1791</v>
      </c>
      <c r="D450" s="194"/>
      <c r="E450" s="124"/>
      <c r="F450" s="282"/>
      <c r="G450" s="98"/>
      <c r="H450" s="350"/>
      <c r="I450" s="536"/>
      <c r="J450" s="350"/>
      <c r="K450" s="620"/>
      <c r="L450" s="732" t="s">
        <v>1362</v>
      </c>
      <c r="M450" s="662">
        <v>45261.0</v>
      </c>
      <c r="N450" s="86" t="s">
        <v>34</v>
      </c>
      <c r="O450" s="135" t="s">
        <v>1792</v>
      </c>
      <c r="P450" s="106" t="s">
        <v>71</v>
      </c>
      <c r="Q450" s="133"/>
      <c r="R450" s="134" t="s">
        <v>1793</v>
      </c>
      <c r="S450" s="91">
        <v>233.0</v>
      </c>
    </row>
    <row r="451">
      <c r="A451" s="92" t="s">
        <v>1794</v>
      </c>
      <c r="B451" s="61" t="s">
        <v>45</v>
      </c>
      <c r="C451" s="135" t="s">
        <v>1795</v>
      </c>
      <c r="D451" s="124">
        <v>1500.0</v>
      </c>
      <c r="E451" s="124">
        <v>30000.0</v>
      </c>
      <c r="F451" s="282">
        <f t="shared" ref="F451:F455" si="17">IF(E451&lt;&gt;"", ROUNDUP(E451/D451,0),"")</f>
        <v>20</v>
      </c>
      <c r="G451" s="98">
        <f t="shared" ref="G451:G455" si="18">IF(E451&lt;&gt;"", (SQRT(D451*E451))/300, "")</f>
        <v>22.36067977</v>
      </c>
      <c r="H451" s="564">
        <v>83.7</v>
      </c>
      <c r="I451" s="484"/>
      <c r="J451" s="127">
        <v>35.7</v>
      </c>
      <c r="K451" s="83"/>
      <c r="L451" s="195" t="s">
        <v>132</v>
      </c>
      <c r="M451" s="324">
        <v>45261.0</v>
      </c>
      <c r="N451" s="86" t="s">
        <v>34</v>
      </c>
      <c r="O451" s="135" t="s">
        <v>1796</v>
      </c>
      <c r="P451" s="92" t="s">
        <v>71</v>
      </c>
      <c r="Q451" s="133" t="s">
        <v>52</v>
      </c>
      <c r="R451" s="419" t="s">
        <v>1797</v>
      </c>
      <c r="S451" s="91">
        <v>232.0</v>
      </c>
    </row>
    <row r="452">
      <c r="A452" s="92" t="s">
        <v>1798</v>
      </c>
      <c r="B452" s="189" t="s">
        <v>883</v>
      </c>
      <c r="C452" s="135" t="s">
        <v>1799</v>
      </c>
      <c r="D452" s="194">
        <v>2.8</v>
      </c>
      <c r="E452" s="194">
        <v>300.0</v>
      </c>
      <c r="F452" s="282">
        <f t="shared" si="17"/>
        <v>108</v>
      </c>
      <c r="G452" s="98">
        <f t="shared" si="18"/>
        <v>0.09660917831</v>
      </c>
      <c r="H452" s="100">
        <v>26.2</v>
      </c>
      <c r="I452" s="117"/>
      <c r="J452" s="100"/>
      <c r="K452" s="83"/>
      <c r="L452" s="195" t="s">
        <v>132</v>
      </c>
      <c r="M452" s="652">
        <v>45261.0</v>
      </c>
      <c r="N452" s="86" t="s">
        <v>34</v>
      </c>
      <c r="O452" s="135" t="s">
        <v>1800</v>
      </c>
      <c r="P452" s="103" t="s">
        <v>71</v>
      </c>
      <c r="Q452" s="133"/>
      <c r="R452" s="134" t="s">
        <v>1801</v>
      </c>
      <c r="S452" s="91">
        <v>231.0</v>
      </c>
    </row>
    <row r="453">
      <c r="A453" s="92" t="s">
        <v>1802</v>
      </c>
      <c r="B453" s="189" t="s">
        <v>1803</v>
      </c>
      <c r="C453" s="123"/>
      <c r="D453" s="194">
        <v>3.0</v>
      </c>
      <c r="E453" s="194">
        <v>420.0</v>
      </c>
      <c r="F453" s="282">
        <f t="shared" si="17"/>
        <v>140</v>
      </c>
      <c r="G453" s="98">
        <f t="shared" si="18"/>
        <v>0.1183215957</v>
      </c>
      <c r="H453" s="100"/>
      <c r="I453" s="117"/>
      <c r="J453" s="100"/>
      <c r="K453" s="625"/>
      <c r="L453" s="702" t="s">
        <v>103</v>
      </c>
      <c r="M453" s="652">
        <v>45261.0</v>
      </c>
      <c r="N453" s="143" t="s">
        <v>28</v>
      </c>
      <c r="O453" s="135" t="s">
        <v>1804</v>
      </c>
      <c r="P453" s="103" t="s">
        <v>71</v>
      </c>
      <c r="Q453" s="133"/>
      <c r="R453" s="134" t="s">
        <v>1805</v>
      </c>
      <c r="S453" s="91">
        <v>230.0</v>
      </c>
    </row>
    <row r="454">
      <c r="A454" s="92" t="s">
        <v>1806</v>
      </c>
      <c r="B454" s="61" t="s">
        <v>107</v>
      </c>
      <c r="C454" s="135" t="s">
        <v>1807</v>
      </c>
      <c r="D454" s="194">
        <v>13.0</v>
      </c>
      <c r="E454" s="194">
        <v>2000.0</v>
      </c>
      <c r="F454" s="282">
        <f t="shared" si="17"/>
        <v>154</v>
      </c>
      <c r="G454" s="98">
        <f t="shared" si="18"/>
        <v>0.5374838499</v>
      </c>
      <c r="H454" s="100"/>
      <c r="I454" s="117"/>
      <c r="J454" s="100"/>
      <c r="K454" s="83"/>
      <c r="L454" s="195" t="s">
        <v>132</v>
      </c>
      <c r="M454" s="652">
        <v>45261.0</v>
      </c>
      <c r="N454" s="86" t="s">
        <v>34</v>
      </c>
      <c r="O454" s="135" t="s">
        <v>1808</v>
      </c>
      <c r="P454" s="103" t="s">
        <v>71</v>
      </c>
      <c r="Q454" s="133"/>
      <c r="R454" s="134" t="s">
        <v>1809</v>
      </c>
      <c r="S454" s="91">
        <v>229.0</v>
      </c>
    </row>
    <row r="455">
      <c r="A455" s="92" t="s">
        <v>1810</v>
      </c>
      <c r="B455" s="189" t="s">
        <v>654</v>
      </c>
      <c r="C455" s="135" t="s">
        <v>991</v>
      </c>
      <c r="D455" s="194">
        <v>70.0</v>
      </c>
      <c r="E455" s="194">
        <v>2000.0</v>
      </c>
      <c r="F455" s="282">
        <f t="shared" si="17"/>
        <v>29</v>
      </c>
      <c r="G455" s="98">
        <f t="shared" si="18"/>
        <v>1.247219129</v>
      </c>
      <c r="H455" s="100"/>
      <c r="I455" s="117"/>
      <c r="J455" s="100"/>
      <c r="K455" s="83"/>
      <c r="L455" s="195" t="s">
        <v>132</v>
      </c>
      <c r="M455" s="405">
        <v>45231.0</v>
      </c>
      <c r="N455" s="86" t="s">
        <v>34</v>
      </c>
      <c r="O455" s="135" t="s">
        <v>1811</v>
      </c>
      <c r="P455" s="103" t="s">
        <v>71</v>
      </c>
      <c r="Q455" s="133"/>
      <c r="R455" s="134" t="s">
        <v>1812</v>
      </c>
      <c r="S455" s="91">
        <v>228.0</v>
      </c>
    </row>
    <row r="456">
      <c r="A456" s="103" t="s">
        <v>1813</v>
      </c>
      <c r="B456" s="61" t="s">
        <v>56</v>
      </c>
      <c r="C456" s="255" t="s">
        <v>1814</v>
      </c>
      <c r="D456" s="226">
        <v>2.3</v>
      </c>
      <c r="E456" s="151"/>
      <c r="F456" s="733"/>
      <c r="G456" s="734"/>
      <c r="H456" s="100"/>
      <c r="I456" s="117"/>
      <c r="J456" s="100"/>
      <c r="K456" s="625"/>
      <c r="L456" s="702" t="s">
        <v>103</v>
      </c>
      <c r="M456" s="405">
        <v>45231.0</v>
      </c>
      <c r="N456" s="351" t="s">
        <v>34</v>
      </c>
      <c r="O456" s="259" t="s">
        <v>1815</v>
      </c>
      <c r="P456" s="103" t="s">
        <v>71</v>
      </c>
      <c r="Q456" s="629"/>
      <c r="R456" s="317" t="s">
        <v>1816</v>
      </c>
      <c r="S456" s="91">
        <v>227.0</v>
      </c>
    </row>
    <row r="457">
      <c r="A457" s="103" t="s">
        <v>1817</v>
      </c>
      <c r="B457" s="61" t="s">
        <v>45</v>
      </c>
      <c r="C457" s="255" t="s">
        <v>1818</v>
      </c>
      <c r="D457" s="169"/>
      <c r="E457" s="151"/>
      <c r="F457" s="733"/>
      <c r="G457" s="734"/>
      <c r="H457" s="100"/>
      <c r="I457" s="117"/>
      <c r="J457" s="100"/>
      <c r="K457" s="625"/>
      <c r="L457" s="702" t="s">
        <v>103</v>
      </c>
      <c r="M457" s="405">
        <v>45231.0</v>
      </c>
      <c r="N457" s="143" t="s">
        <v>28</v>
      </c>
      <c r="O457" s="259" t="s">
        <v>1819</v>
      </c>
      <c r="P457" s="103" t="s">
        <v>71</v>
      </c>
      <c r="Q457" s="272"/>
      <c r="R457" s="158" t="s">
        <v>1820</v>
      </c>
      <c r="S457" s="91">
        <v>226.0</v>
      </c>
    </row>
    <row r="458">
      <c r="A458" s="75" t="s">
        <v>1821</v>
      </c>
      <c r="B458" s="189" t="s">
        <v>1822</v>
      </c>
      <c r="C458" s="77" t="s">
        <v>1823</v>
      </c>
      <c r="D458" s="78">
        <v>102.6</v>
      </c>
      <c r="E458" s="78">
        <v>288.0</v>
      </c>
      <c r="F458" s="31">
        <f t="shared" ref="F458:F468" si="19">IF(E458&lt;&gt;"", ROUNDUP(E458/D458,0),"")</f>
        <v>3</v>
      </c>
      <c r="G458" s="528">
        <f t="shared" ref="G458:G468" si="20">IF(E458&lt;&gt;"", (SQRT(D458*E458))/300, "")</f>
        <v>0.5729921465</v>
      </c>
      <c r="H458" s="100"/>
      <c r="I458" s="117"/>
      <c r="J458" s="100"/>
      <c r="K458" s="83"/>
      <c r="L458" s="195" t="s">
        <v>132</v>
      </c>
      <c r="M458" s="405">
        <v>45231.0</v>
      </c>
      <c r="N458" s="351" t="s">
        <v>34</v>
      </c>
      <c r="O458" s="271" t="s">
        <v>1824</v>
      </c>
      <c r="P458" s="103" t="s">
        <v>71</v>
      </c>
      <c r="Q458" s="685"/>
      <c r="R458" s="374" t="s">
        <v>1825</v>
      </c>
      <c r="S458" s="91">
        <v>225.0</v>
      </c>
    </row>
    <row r="459">
      <c r="A459" s="75" t="s">
        <v>1826</v>
      </c>
      <c r="B459" s="189" t="s">
        <v>1827</v>
      </c>
      <c r="C459" s="77" t="s">
        <v>1828</v>
      </c>
      <c r="D459" s="582">
        <v>70.0</v>
      </c>
      <c r="E459" s="582">
        <v>2000.0</v>
      </c>
      <c r="F459" s="31">
        <f t="shared" si="19"/>
        <v>29</v>
      </c>
      <c r="G459" s="528">
        <f t="shared" si="20"/>
        <v>1.247219129</v>
      </c>
      <c r="H459" s="100"/>
      <c r="I459" s="117"/>
      <c r="J459" s="100"/>
      <c r="K459" s="83"/>
      <c r="L459" s="195" t="s">
        <v>132</v>
      </c>
      <c r="M459" s="405">
        <v>45231.0</v>
      </c>
      <c r="N459" s="351" t="s">
        <v>34</v>
      </c>
      <c r="O459" s="271" t="s">
        <v>1829</v>
      </c>
      <c r="P459" s="103" t="s">
        <v>71</v>
      </c>
      <c r="Q459" s="685"/>
      <c r="R459" s="374" t="s">
        <v>1830</v>
      </c>
      <c r="S459" s="91">
        <v>224.0</v>
      </c>
    </row>
    <row r="460">
      <c r="A460" s="106" t="s">
        <v>1831</v>
      </c>
      <c r="B460" s="735" t="s">
        <v>177</v>
      </c>
      <c r="C460" s="736"/>
      <c r="D460" s="109">
        <v>0.1</v>
      </c>
      <c r="E460" s="109">
        <v>0.3</v>
      </c>
      <c r="F460" s="392">
        <f t="shared" si="19"/>
        <v>3</v>
      </c>
      <c r="G460" s="125">
        <f t="shared" si="20"/>
        <v>0.0005773502692</v>
      </c>
      <c r="H460" s="100"/>
      <c r="I460" s="117"/>
      <c r="J460" s="100"/>
      <c r="K460" s="620"/>
      <c r="L460" s="621" t="s">
        <v>103</v>
      </c>
      <c r="M460" s="405">
        <v>45231.0</v>
      </c>
      <c r="N460" s="143" t="s">
        <v>28</v>
      </c>
      <c r="O460" s="205" t="s">
        <v>1832</v>
      </c>
      <c r="P460" s="103" t="s">
        <v>71</v>
      </c>
      <c r="Q460" s="567"/>
      <c r="R460" s="106" t="s">
        <v>1833</v>
      </c>
      <c r="S460" s="91">
        <v>223.0</v>
      </c>
    </row>
    <row r="461">
      <c r="A461" s="103" t="s">
        <v>1834</v>
      </c>
      <c r="B461" s="189" t="s">
        <v>736</v>
      </c>
      <c r="C461" s="427" t="s">
        <v>1835</v>
      </c>
      <c r="D461" s="226">
        <v>7.0</v>
      </c>
      <c r="E461" s="169">
        <v>2000.0</v>
      </c>
      <c r="F461" s="31">
        <f t="shared" si="19"/>
        <v>286</v>
      </c>
      <c r="G461" s="737">
        <f t="shared" si="20"/>
        <v>0.3944053189</v>
      </c>
      <c r="H461" s="100"/>
      <c r="I461" s="100">
        <v>37.9</v>
      </c>
      <c r="J461" s="100"/>
      <c r="K461" s="83"/>
      <c r="L461" s="195" t="s">
        <v>132</v>
      </c>
      <c r="M461" s="405">
        <v>45231.0</v>
      </c>
      <c r="N461" s="130" t="s">
        <v>34</v>
      </c>
      <c r="O461" s="309" t="s">
        <v>1836</v>
      </c>
      <c r="P461" s="103" t="s">
        <v>71</v>
      </c>
      <c r="Q461" s="272"/>
      <c r="R461" s="158" t="s">
        <v>1837</v>
      </c>
      <c r="S461" s="91">
        <v>222.0</v>
      </c>
    </row>
    <row r="462">
      <c r="A462" s="92" t="s">
        <v>1838</v>
      </c>
      <c r="B462" s="189" t="s">
        <v>984</v>
      </c>
      <c r="C462" s="135" t="s">
        <v>1548</v>
      </c>
      <c r="D462" s="362">
        <v>1200.0</v>
      </c>
      <c r="E462" s="362">
        <v>20000.0</v>
      </c>
      <c r="F462" s="578">
        <f t="shared" si="19"/>
        <v>17</v>
      </c>
      <c r="G462" s="579">
        <f t="shared" si="20"/>
        <v>16.32993162</v>
      </c>
      <c r="H462" s="100"/>
      <c r="I462" s="117"/>
      <c r="J462" s="100"/>
      <c r="K462" s="83"/>
      <c r="L462" s="195" t="s">
        <v>132</v>
      </c>
      <c r="M462" s="405">
        <v>45231.0</v>
      </c>
      <c r="N462" s="112" t="s">
        <v>34</v>
      </c>
      <c r="O462" s="131" t="s">
        <v>1548</v>
      </c>
      <c r="P462" s="103" t="s">
        <v>71</v>
      </c>
      <c r="Q462" s="522"/>
      <c r="R462" s="92" t="s">
        <v>1839</v>
      </c>
      <c r="S462" s="91">
        <v>221.0</v>
      </c>
    </row>
    <row r="463">
      <c r="A463" s="92" t="s">
        <v>1840</v>
      </c>
      <c r="B463" s="189" t="s">
        <v>90</v>
      </c>
      <c r="C463" s="135" t="s">
        <v>368</v>
      </c>
      <c r="D463" s="451">
        <v>130.0</v>
      </c>
      <c r="E463" s="116">
        <v>2500.0</v>
      </c>
      <c r="F463" s="738">
        <f t="shared" si="19"/>
        <v>20</v>
      </c>
      <c r="G463" s="579">
        <f t="shared" si="20"/>
        <v>1.900292375</v>
      </c>
      <c r="H463" s="100">
        <v>78.5</v>
      </c>
      <c r="I463" s="117"/>
      <c r="J463" s="100"/>
      <c r="K463" s="83"/>
      <c r="L463" s="195" t="s">
        <v>132</v>
      </c>
      <c r="M463" s="405">
        <v>45231.0</v>
      </c>
      <c r="N463" s="112" t="s">
        <v>34</v>
      </c>
      <c r="O463" s="474" t="s">
        <v>1841</v>
      </c>
      <c r="P463" s="103" t="s">
        <v>71</v>
      </c>
      <c r="Q463" s="608"/>
      <c r="R463" s="609" t="s">
        <v>1842</v>
      </c>
      <c r="S463" s="91">
        <v>220.0</v>
      </c>
    </row>
    <row r="464">
      <c r="A464" s="92" t="s">
        <v>1843</v>
      </c>
      <c r="B464" s="189" t="s">
        <v>252</v>
      </c>
      <c r="C464" s="135" t="s">
        <v>1844</v>
      </c>
      <c r="D464" s="194">
        <v>70.0</v>
      </c>
      <c r="E464" s="194">
        <v>2000.0</v>
      </c>
      <c r="F464" s="282">
        <f t="shared" si="19"/>
        <v>29</v>
      </c>
      <c r="G464" s="98">
        <f t="shared" si="20"/>
        <v>1.247219129</v>
      </c>
      <c r="H464" s="100"/>
      <c r="I464" s="117"/>
      <c r="J464" s="100"/>
      <c r="K464" s="83"/>
      <c r="L464" s="195" t="s">
        <v>132</v>
      </c>
      <c r="M464" s="405">
        <v>45231.0</v>
      </c>
      <c r="N464" s="86" t="s">
        <v>34</v>
      </c>
      <c r="O464" s="135" t="s">
        <v>1845</v>
      </c>
      <c r="P464" s="103" t="s">
        <v>71</v>
      </c>
      <c r="Q464" s="133"/>
      <c r="R464" s="134" t="s">
        <v>1846</v>
      </c>
      <c r="S464" s="91">
        <v>219.0</v>
      </c>
    </row>
    <row r="465">
      <c r="A465" s="106" t="s">
        <v>1847</v>
      </c>
      <c r="B465" s="189" t="s">
        <v>190</v>
      </c>
      <c r="C465" s="739" t="s">
        <v>1848</v>
      </c>
      <c r="D465" s="109">
        <v>22.0</v>
      </c>
      <c r="E465" s="109">
        <v>3800.0</v>
      </c>
      <c r="F465" s="31">
        <f t="shared" si="19"/>
        <v>173</v>
      </c>
      <c r="G465" s="110">
        <f t="shared" si="20"/>
        <v>0.9637888197</v>
      </c>
      <c r="H465" s="100">
        <v>54.4</v>
      </c>
      <c r="I465" s="117"/>
      <c r="J465" s="100"/>
      <c r="K465" s="83"/>
      <c r="L465" s="195" t="s">
        <v>132</v>
      </c>
      <c r="M465" s="405">
        <v>45231.0</v>
      </c>
      <c r="N465" s="86" t="s">
        <v>34</v>
      </c>
      <c r="O465" s="474" t="s">
        <v>1849</v>
      </c>
      <c r="P465" s="103" t="s">
        <v>71</v>
      </c>
      <c r="Q465" s="663"/>
      <c r="R465" s="664" t="s">
        <v>1850</v>
      </c>
      <c r="S465" s="91">
        <v>218.0</v>
      </c>
    </row>
    <row r="466">
      <c r="A466" s="106" t="s">
        <v>1851</v>
      </c>
      <c r="B466" s="189" t="s">
        <v>190</v>
      </c>
      <c r="C466" s="711"/>
      <c r="D466" s="109">
        <v>43.0</v>
      </c>
      <c r="E466" s="116">
        <v>3800.0</v>
      </c>
      <c r="F466" s="31">
        <f t="shared" si="19"/>
        <v>89</v>
      </c>
      <c r="G466" s="110">
        <f t="shared" si="20"/>
        <v>1.347425529</v>
      </c>
      <c r="H466" s="100"/>
      <c r="I466" s="117"/>
      <c r="J466" s="100"/>
      <c r="K466" s="83"/>
      <c r="L466" s="195" t="s">
        <v>132</v>
      </c>
      <c r="M466" s="405">
        <v>45231.0</v>
      </c>
      <c r="N466" s="143" t="s">
        <v>28</v>
      </c>
      <c r="O466" s="474" t="s">
        <v>1852</v>
      </c>
      <c r="P466" s="103" t="s">
        <v>71</v>
      </c>
      <c r="Q466" s="663"/>
      <c r="R466" s="740" t="s">
        <v>1853</v>
      </c>
      <c r="S466" s="91">
        <v>217.0</v>
      </c>
    </row>
    <row r="467">
      <c r="A467" s="103" t="s">
        <v>1854</v>
      </c>
      <c r="B467" s="189" t="s">
        <v>177</v>
      </c>
      <c r="C467" s="476"/>
      <c r="D467" s="302">
        <v>13.0</v>
      </c>
      <c r="E467" s="302">
        <v>2001.0</v>
      </c>
      <c r="F467" s="31">
        <f t="shared" si="19"/>
        <v>154</v>
      </c>
      <c r="G467" s="741">
        <f t="shared" si="20"/>
        <v>0.5376182041</v>
      </c>
      <c r="H467" s="100"/>
      <c r="I467" s="117"/>
      <c r="J467" s="100"/>
      <c r="K467" s="83"/>
      <c r="L467" s="195" t="s">
        <v>132</v>
      </c>
      <c r="M467" s="405">
        <v>45231.0</v>
      </c>
      <c r="N467" s="130" t="s">
        <v>1235</v>
      </c>
      <c r="O467" s="389" t="s">
        <v>1855</v>
      </c>
      <c r="P467" s="103" t="s">
        <v>71</v>
      </c>
      <c r="Q467" s="742"/>
      <c r="R467" s="743" t="s">
        <v>1856</v>
      </c>
      <c r="S467" s="91">
        <v>216.0</v>
      </c>
    </row>
    <row r="468">
      <c r="A468" s="136" t="s">
        <v>1857</v>
      </c>
      <c r="B468" s="189" t="s">
        <v>177</v>
      </c>
      <c r="C468" s="744" t="s">
        <v>1858</v>
      </c>
      <c r="D468" s="225">
        <v>2.7</v>
      </c>
      <c r="E468" s="225">
        <v>1400.0</v>
      </c>
      <c r="F468" s="31">
        <f t="shared" si="19"/>
        <v>519</v>
      </c>
      <c r="G468" s="741">
        <f t="shared" si="20"/>
        <v>0.2049390153</v>
      </c>
      <c r="H468" s="100"/>
      <c r="I468" s="117"/>
      <c r="J468" s="100"/>
      <c r="K468" s="128"/>
      <c r="L468" s="129" t="s">
        <v>69</v>
      </c>
      <c r="M468" s="405">
        <v>45231.0</v>
      </c>
      <c r="N468" s="112" t="s">
        <v>34</v>
      </c>
      <c r="O468" s="309" t="s">
        <v>1859</v>
      </c>
      <c r="P468" s="103" t="s">
        <v>71</v>
      </c>
      <c r="Q468" s="745"/>
      <c r="R468" s="618" t="s">
        <v>1860</v>
      </c>
      <c r="S468" s="91">
        <v>215.0</v>
      </c>
    </row>
    <row r="469">
      <c r="A469" s="136" t="s">
        <v>1861</v>
      </c>
      <c r="B469" s="189" t="s">
        <v>177</v>
      </c>
      <c r="C469" s="203" t="s">
        <v>1862</v>
      </c>
      <c r="D469" s="225">
        <v>0.771</v>
      </c>
      <c r="E469" s="225"/>
      <c r="F469" s="97"/>
      <c r="G469" s="110"/>
      <c r="H469" s="100"/>
      <c r="I469" s="117"/>
      <c r="J469" s="100"/>
      <c r="K469" s="83"/>
      <c r="L469" s="195" t="s">
        <v>132</v>
      </c>
      <c r="M469" s="405">
        <v>45231.0</v>
      </c>
      <c r="N469" s="143" t="s">
        <v>34</v>
      </c>
      <c r="O469" s="309" t="s">
        <v>1863</v>
      </c>
      <c r="P469" s="103" t="s">
        <v>71</v>
      </c>
      <c r="Q469" s="616"/>
      <c r="R469" s="617" t="s">
        <v>1864</v>
      </c>
      <c r="S469" s="91">
        <v>214.0</v>
      </c>
    </row>
    <row r="470">
      <c r="A470" s="136" t="s">
        <v>1865</v>
      </c>
      <c r="B470" s="61" t="s">
        <v>45</v>
      </c>
      <c r="C470" s="746"/>
      <c r="D470" s="225">
        <v>3.0</v>
      </c>
      <c r="E470" s="225"/>
      <c r="F470" s="97"/>
      <c r="G470" s="110"/>
      <c r="H470" s="100"/>
      <c r="I470" s="117"/>
      <c r="J470" s="100"/>
      <c r="K470" s="83"/>
      <c r="L470" s="195" t="s">
        <v>132</v>
      </c>
      <c r="M470" s="405">
        <v>45231.0</v>
      </c>
      <c r="N470" s="143" t="s">
        <v>28</v>
      </c>
      <c r="O470" s="309" t="s">
        <v>1866</v>
      </c>
      <c r="P470" s="103" t="s">
        <v>71</v>
      </c>
      <c r="Q470" s="616"/>
      <c r="R470" s="617" t="s">
        <v>1867</v>
      </c>
      <c r="S470" s="91">
        <v>213.0</v>
      </c>
    </row>
    <row r="471">
      <c r="A471" s="136" t="s">
        <v>1868</v>
      </c>
      <c r="B471" s="189" t="s">
        <v>1869</v>
      </c>
      <c r="C471" s="744" t="s">
        <v>1870</v>
      </c>
      <c r="D471" s="225">
        <v>8.0</v>
      </c>
      <c r="E471" s="225">
        <v>737.0</v>
      </c>
      <c r="F471" s="97">
        <f t="shared" ref="F471:F479" si="21">IF(E471&lt;&gt;"", ROUNDUP(E471/D471,0),"")</f>
        <v>93</v>
      </c>
      <c r="G471" s="110">
        <f t="shared" ref="G471:G479" si="22">IF(E471&lt;&gt;"", (SQRT(D471*E471))/300, "")</f>
        <v>0.2559513843</v>
      </c>
      <c r="H471" s="100"/>
      <c r="I471" s="117"/>
      <c r="J471" s="100"/>
      <c r="K471" s="83"/>
      <c r="L471" s="195" t="s">
        <v>132</v>
      </c>
      <c r="M471" s="405">
        <v>45231.0</v>
      </c>
      <c r="N471" s="112" t="s">
        <v>34</v>
      </c>
      <c r="O471" s="309" t="s">
        <v>1871</v>
      </c>
      <c r="P471" s="103" t="s">
        <v>71</v>
      </c>
      <c r="Q471" s="616"/>
      <c r="R471" s="617" t="s">
        <v>1872</v>
      </c>
      <c r="S471" s="91">
        <v>212.0</v>
      </c>
    </row>
    <row r="472">
      <c r="A472" s="136" t="s">
        <v>1873</v>
      </c>
      <c r="B472" s="189" t="s">
        <v>1874</v>
      </c>
      <c r="C472" s="744" t="s">
        <v>1875</v>
      </c>
      <c r="D472" s="219">
        <v>7.0</v>
      </c>
      <c r="E472" s="140"/>
      <c r="F472" s="97" t="str">
        <f t="shared" si="21"/>
        <v/>
      </c>
      <c r="G472" s="110" t="str">
        <f t="shared" si="22"/>
        <v/>
      </c>
      <c r="H472" s="100"/>
      <c r="I472" s="117"/>
      <c r="J472" s="100"/>
      <c r="K472" s="83"/>
      <c r="L472" s="195" t="s">
        <v>132</v>
      </c>
      <c r="M472" s="405">
        <v>45231.0</v>
      </c>
      <c r="N472" s="112" t="s">
        <v>1235</v>
      </c>
      <c r="O472" s="309" t="s">
        <v>1875</v>
      </c>
      <c r="P472" s="103" t="s">
        <v>71</v>
      </c>
      <c r="Q472" s="616"/>
      <c r="R472" s="617" t="s">
        <v>1876</v>
      </c>
      <c r="S472" s="91">
        <v>211.0</v>
      </c>
    </row>
    <row r="473">
      <c r="A473" s="136" t="s">
        <v>1877</v>
      </c>
      <c r="B473" s="189" t="s">
        <v>126</v>
      </c>
      <c r="C473" s="744" t="s">
        <v>1489</v>
      </c>
      <c r="D473" s="414">
        <v>314.0</v>
      </c>
      <c r="E473" s="747">
        <v>6000.0</v>
      </c>
      <c r="F473" s="97">
        <f t="shared" si="21"/>
        <v>20</v>
      </c>
      <c r="G473" s="110">
        <f t="shared" si="22"/>
        <v>4.575295983</v>
      </c>
      <c r="H473" s="100"/>
      <c r="I473" s="117"/>
      <c r="J473" s="100"/>
      <c r="K473" s="83"/>
      <c r="L473" s="195" t="s">
        <v>132</v>
      </c>
      <c r="M473" s="405">
        <v>45231.0</v>
      </c>
      <c r="N473" s="112" t="s">
        <v>34</v>
      </c>
      <c r="O473" s="309" t="s">
        <v>1878</v>
      </c>
      <c r="P473" s="103" t="s">
        <v>36</v>
      </c>
      <c r="Q473" s="616"/>
      <c r="R473" s="618" t="s">
        <v>1879</v>
      </c>
      <c r="S473" s="91">
        <v>210.0</v>
      </c>
    </row>
    <row r="474">
      <c r="A474" s="103" t="s">
        <v>1880</v>
      </c>
      <c r="B474" s="189" t="s">
        <v>126</v>
      </c>
      <c r="C474" s="744" t="s">
        <v>1489</v>
      </c>
      <c r="D474" s="748">
        <v>33.0</v>
      </c>
      <c r="E474" s="219">
        <v>2000.0</v>
      </c>
      <c r="F474" s="97">
        <f t="shared" si="21"/>
        <v>61</v>
      </c>
      <c r="G474" s="110">
        <f t="shared" si="22"/>
        <v>0.8563488386</v>
      </c>
      <c r="H474" s="100"/>
      <c r="I474" s="117"/>
      <c r="J474" s="100"/>
      <c r="K474" s="83"/>
      <c r="L474" s="195" t="s">
        <v>132</v>
      </c>
      <c r="M474" s="405">
        <v>45231.0</v>
      </c>
      <c r="N474" s="143" t="s">
        <v>28</v>
      </c>
      <c r="O474" s="309" t="s">
        <v>1881</v>
      </c>
      <c r="P474" s="103" t="s">
        <v>71</v>
      </c>
      <c r="Q474" s="616"/>
      <c r="R474" s="617" t="s">
        <v>1882</v>
      </c>
      <c r="S474" s="91">
        <v>209.0</v>
      </c>
    </row>
    <row r="475">
      <c r="A475" s="103" t="s">
        <v>1883</v>
      </c>
      <c r="B475" s="61" t="s">
        <v>970</v>
      </c>
      <c r="C475" s="631" t="s">
        <v>1884</v>
      </c>
      <c r="D475" s="226">
        <v>34.4</v>
      </c>
      <c r="E475" s="225">
        <v>3000.0</v>
      </c>
      <c r="F475" s="97">
        <f t="shared" si="21"/>
        <v>88</v>
      </c>
      <c r="G475" s="110">
        <f t="shared" si="22"/>
        <v>1.070825227</v>
      </c>
      <c r="H475" s="100">
        <v>76.3</v>
      </c>
      <c r="I475" s="100">
        <v>43.0</v>
      </c>
      <c r="J475" s="100"/>
      <c r="K475" s="83"/>
      <c r="L475" s="195" t="s">
        <v>132</v>
      </c>
      <c r="M475" s="405">
        <v>45231.0</v>
      </c>
      <c r="N475" s="112" t="s">
        <v>34</v>
      </c>
      <c r="O475" s="309" t="s">
        <v>1885</v>
      </c>
      <c r="P475" s="103" t="s">
        <v>71</v>
      </c>
      <c r="Q475" s="616"/>
      <c r="R475" s="618" t="s">
        <v>1886</v>
      </c>
      <c r="S475" s="91">
        <v>208.0</v>
      </c>
    </row>
    <row r="476">
      <c r="A476" s="92" t="s">
        <v>1887</v>
      </c>
      <c r="B476" s="61" t="s">
        <v>50</v>
      </c>
      <c r="C476" s="135" t="s">
        <v>1439</v>
      </c>
      <c r="D476" s="191">
        <v>70.0</v>
      </c>
      <c r="E476" s="124">
        <v>13000.0</v>
      </c>
      <c r="F476" s="97">
        <f t="shared" si="21"/>
        <v>186</v>
      </c>
      <c r="G476" s="125">
        <f t="shared" si="22"/>
        <v>3.179797338</v>
      </c>
      <c r="H476" s="126">
        <v>86.4</v>
      </c>
      <c r="I476" s="749"/>
      <c r="J476" s="127">
        <v>46.5</v>
      </c>
      <c r="K476" s="83"/>
      <c r="L476" s="195" t="s">
        <v>132</v>
      </c>
      <c r="M476" s="542">
        <v>45231.0</v>
      </c>
      <c r="N476" s="86" t="s">
        <v>34</v>
      </c>
      <c r="O476" s="474" t="s">
        <v>1440</v>
      </c>
      <c r="P476" s="92" t="s">
        <v>36</v>
      </c>
      <c r="Q476" s="133" t="s">
        <v>52</v>
      </c>
      <c r="R476" s="419" t="s">
        <v>1888</v>
      </c>
      <c r="S476" s="91">
        <v>207.0</v>
      </c>
    </row>
    <row r="477">
      <c r="A477" s="103" t="s">
        <v>381</v>
      </c>
      <c r="B477" s="61" t="s">
        <v>45</v>
      </c>
      <c r="C477" s="750"/>
      <c r="D477" s="226">
        <v>0.85</v>
      </c>
      <c r="E477" s="225">
        <v>80.0</v>
      </c>
      <c r="F477" s="97">
        <f t="shared" si="21"/>
        <v>95</v>
      </c>
      <c r="G477" s="110">
        <f t="shared" si="22"/>
        <v>0.02748737084</v>
      </c>
      <c r="H477" s="100"/>
      <c r="I477" s="117"/>
      <c r="J477" s="100"/>
      <c r="K477" s="83"/>
      <c r="L477" s="195"/>
      <c r="M477" s="324">
        <v>45200.0</v>
      </c>
      <c r="N477" s="112" t="s">
        <v>34</v>
      </c>
      <c r="O477" s="309" t="s">
        <v>1889</v>
      </c>
      <c r="P477" s="103" t="s">
        <v>381</v>
      </c>
      <c r="Q477" s="616"/>
      <c r="R477" s="617" t="s">
        <v>1890</v>
      </c>
      <c r="S477" s="91">
        <v>206.0</v>
      </c>
    </row>
    <row r="478">
      <c r="A478" s="103" t="s">
        <v>1891</v>
      </c>
      <c r="B478" s="61" t="s">
        <v>1279</v>
      </c>
      <c r="C478" s="750"/>
      <c r="D478" s="226">
        <v>13.0</v>
      </c>
      <c r="E478" s="225">
        <v>3200.0</v>
      </c>
      <c r="F478" s="97">
        <f t="shared" si="21"/>
        <v>247</v>
      </c>
      <c r="G478" s="110">
        <f t="shared" si="22"/>
        <v>0.6798692685</v>
      </c>
      <c r="H478" s="100">
        <v>62.7</v>
      </c>
      <c r="I478" s="117"/>
      <c r="J478" s="100"/>
      <c r="K478" s="83"/>
      <c r="L478" s="195" t="s">
        <v>132</v>
      </c>
      <c r="M478" s="324">
        <v>45200.0</v>
      </c>
      <c r="N478" s="112" t="s">
        <v>34</v>
      </c>
      <c r="O478" s="309" t="s">
        <v>1892</v>
      </c>
      <c r="P478" s="103" t="s">
        <v>71</v>
      </c>
      <c r="Q478" s="616"/>
      <c r="R478" s="617" t="s">
        <v>1893</v>
      </c>
      <c r="S478" s="91">
        <v>205.0</v>
      </c>
    </row>
    <row r="479">
      <c r="A479" s="103" t="s">
        <v>1894</v>
      </c>
      <c r="B479" s="189" t="s">
        <v>167</v>
      </c>
      <c r="C479" s="255" t="s">
        <v>887</v>
      </c>
      <c r="D479" s="226">
        <v>100.0</v>
      </c>
      <c r="E479" s="219">
        <v>2000.0</v>
      </c>
      <c r="F479" s="97">
        <f t="shared" si="21"/>
        <v>20</v>
      </c>
      <c r="G479" s="110">
        <f t="shared" si="22"/>
        <v>1.490711985</v>
      </c>
      <c r="H479" s="100"/>
      <c r="I479" s="117"/>
      <c r="J479" s="100"/>
      <c r="K479" s="83"/>
      <c r="L479" s="195" t="s">
        <v>132</v>
      </c>
      <c r="M479" s="324">
        <v>45200.0</v>
      </c>
      <c r="N479" s="112" t="s">
        <v>34</v>
      </c>
      <c r="O479" s="309" t="s">
        <v>1895</v>
      </c>
      <c r="P479" s="103" t="s">
        <v>71</v>
      </c>
      <c r="Q479" s="616"/>
      <c r="R479" s="617" t="s">
        <v>1896</v>
      </c>
      <c r="S479" s="91">
        <v>204.0</v>
      </c>
    </row>
    <row r="480">
      <c r="A480" s="103" t="s">
        <v>1897</v>
      </c>
      <c r="B480" s="189" t="s">
        <v>1044</v>
      </c>
      <c r="C480" s="255" t="s">
        <v>1898</v>
      </c>
      <c r="D480" s="226">
        <v>0.435</v>
      </c>
      <c r="E480" s="751"/>
      <c r="F480" s="733"/>
      <c r="G480" s="734"/>
      <c r="H480" s="100"/>
      <c r="I480" s="117"/>
      <c r="J480" s="100"/>
      <c r="K480" s="83"/>
      <c r="L480" s="195" t="s">
        <v>132</v>
      </c>
      <c r="M480" s="324">
        <v>45200.0</v>
      </c>
      <c r="N480" s="112" t="s">
        <v>34</v>
      </c>
      <c r="O480" s="309" t="s">
        <v>1899</v>
      </c>
      <c r="P480" s="103" t="s">
        <v>71</v>
      </c>
      <c r="Q480" s="616"/>
      <c r="R480" s="618" t="s">
        <v>1900</v>
      </c>
      <c r="S480" s="91">
        <v>203.0</v>
      </c>
    </row>
    <row r="481">
      <c r="A481" s="103" t="s">
        <v>1901</v>
      </c>
      <c r="B481" s="189" t="s">
        <v>1705</v>
      </c>
      <c r="C481" s="631" t="s">
        <v>1902</v>
      </c>
      <c r="D481" s="226">
        <v>8.0</v>
      </c>
      <c r="E481" s="151"/>
      <c r="F481" s="733"/>
      <c r="G481" s="734"/>
      <c r="H481" s="100"/>
      <c r="I481" s="117"/>
      <c r="J481" s="100"/>
      <c r="K481" s="83"/>
      <c r="L481" s="195" t="s">
        <v>132</v>
      </c>
      <c r="M481" s="324">
        <v>45200.0</v>
      </c>
      <c r="N481" s="112" t="s">
        <v>34</v>
      </c>
      <c r="O481" s="168" t="s">
        <v>1903</v>
      </c>
      <c r="P481" s="103" t="s">
        <v>71</v>
      </c>
      <c r="Q481" s="616"/>
      <c r="R481" s="617" t="s">
        <v>1904</v>
      </c>
      <c r="S481" s="91">
        <v>202.0</v>
      </c>
    </row>
    <row r="482">
      <c r="A482" s="92" t="s">
        <v>1905</v>
      </c>
      <c r="B482" s="61" t="s">
        <v>41</v>
      </c>
      <c r="C482" s="739" t="s">
        <v>562</v>
      </c>
      <c r="D482" s="194">
        <v>1000.0</v>
      </c>
      <c r="E482" s="124">
        <v>20000.0</v>
      </c>
      <c r="F482" s="97">
        <f t="shared" ref="F482:F488" si="23">IF(E482&lt;&gt;"", ROUNDUP(E482/D482,0),"")</f>
        <v>20</v>
      </c>
      <c r="G482" s="472">
        <f t="shared" ref="G482:G488" si="24">IF(E482&lt;&gt;"", (SQRT(D482*E482))/300, "")</f>
        <v>14.90711985</v>
      </c>
      <c r="H482" s="127"/>
      <c r="I482" s="627"/>
      <c r="J482" s="127"/>
      <c r="K482" s="83"/>
      <c r="L482" s="195" t="s">
        <v>132</v>
      </c>
      <c r="M482" s="324">
        <v>45200.0</v>
      </c>
      <c r="N482" s="86" t="s">
        <v>34</v>
      </c>
      <c r="O482" s="205" t="s">
        <v>1906</v>
      </c>
      <c r="P482" s="92" t="s">
        <v>71</v>
      </c>
      <c r="Q482" s="206" t="s">
        <v>52</v>
      </c>
      <c r="R482" s="207" t="s">
        <v>1907</v>
      </c>
      <c r="S482" s="91">
        <v>201.0</v>
      </c>
    </row>
    <row r="483">
      <c r="A483" s="106" t="s">
        <v>1908</v>
      </c>
      <c r="B483" s="189" t="s">
        <v>1430</v>
      </c>
      <c r="C483" s="108" t="s">
        <v>1909</v>
      </c>
      <c r="D483" s="470">
        <v>7.3</v>
      </c>
      <c r="E483" s="488">
        <v>800.0</v>
      </c>
      <c r="F483" s="97">
        <f t="shared" si="23"/>
        <v>110</v>
      </c>
      <c r="G483" s="110">
        <f t="shared" si="24"/>
        <v>0.2547329757</v>
      </c>
      <c r="H483" s="100"/>
      <c r="I483" s="100">
        <v>33.0</v>
      </c>
      <c r="J483" s="100"/>
      <c r="K483" s="83"/>
      <c r="L483" s="195" t="s">
        <v>132</v>
      </c>
      <c r="M483" s="324">
        <v>45200.0</v>
      </c>
      <c r="N483" s="112" t="s">
        <v>34</v>
      </c>
      <c r="O483" s="108" t="s">
        <v>1909</v>
      </c>
      <c r="P483" s="103" t="s">
        <v>71</v>
      </c>
      <c r="Q483" s="567"/>
      <c r="R483" s="106" t="s">
        <v>1910</v>
      </c>
      <c r="S483" s="91">
        <v>200.0</v>
      </c>
    </row>
    <row r="484">
      <c r="A484" s="136" t="s">
        <v>1911</v>
      </c>
      <c r="B484" s="61" t="s">
        <v>45</v>
      </c>
      <c r="C484" s="713"/>
      <c r="D484" s="225">
        <v>5.0</v>
      </c>
      <c r="E484" s="138"/>
      <c r="F484" s="752" t="str">
        <f t="shared" si="23"/>
        <v/>
      </c>
      <c r="G484" s="753" t="str">
        <f t="shared" si="24"/>
        <v/>
      </c>
      <c r="H484" s="100"/>
      <c r="I484" s="117"/>
      <c r="J484" s="100"/>
      <c r="K484" s="612"/>
      <c r="L484" s="633" t="s">
        <v>103</v>
      </c>
      <c r="M484" s="324">
        <v>45200.0</v>
      </c>
      <c r="N484" s="143" t="s">
        <v>28</v>
      </c>
      <c r="O484" s="514" t="s">
        <v>1912</v>
      </c>
      <c r="P484" s="103" t="s">
        <v>71</v>
      </c>
      <c r="Q484" s="515"/>
      <c r="R484" s="299" t="s">
        <v>1913</v>
      </c>
      <c r="S484" s="91">
        <v>199.0</v>
      </c>
    </row>
    <row r="485">
      <c r="A485" s="106" t="s">
        <v>1914</v>
      </c>
      <c r="B485" s="189" t="s">
        <v>190</v>
      </c>
      <c r="C485" s="123"/>
      <c r="D485" s="194">
        <v>48.0</v>
      </c>
      <c r="E485" s="194">
        <v>1200.0</v>
      </c>
      <c r="F485" s="282">
        <f t="shared" si="23"/>
        <v>25</v>
      </c>
      <c r="G485" s="98">
        <f t="shared" si="24"/>
        <v>0.8</v>
      </c>
      <c r="H485" s="100"/>
      <c r="I485" s="117"/>
      <c r="J485" s="100"/>
      <c r="K485" s="83"/>
      <c r="L485" s="195" t="s">
        <v>132</v>
      </c>
      <c r="M485" s="324">
        <v>45200.0</v>
      </c>
      <c r="N485" s="86" t="s">
        <v>34</v>
      </c>
      <c r="O485" s="135" t="s">
        <v>1915</v>
      </c>
      <c r="P485" s="103" t="s">
        <v>71</v>
      </c>
      <c r="Q485" s="133"/>
      <c r="R485" s="696" t="s">
        <v>1916</v>
      </c>
      <c r="S485" s="91">
        <v>198.0</v>
      </c>
    </row>
    <row r="486">
      <c r="A486" s="136" t="s">
        <v>1917</v>
      </c>
      <c r="B486" s="189" t="s">
        <v>298</v>
      </c>
      <c r="C486" s="248" t="s">
        <v>1448</v>
      </c>
      <c r="D486" s="470">
        <v>13.0</v>
      </c>
      <c r="E486" s="470">
        <v>2000.0</v>
      </c>
      <c r="F486" s="97">
        <f t="shared" si="23"/>
        <v>154</v>
      </c>
      <c r="G486" s="110">
        <f t="shared" si="24"/>
        <v>0.5374838499</v>
      </c>
      <c r="H486" s="100"/>
      <c r="I486" s="117"/>
      <c r="J486" s="100"/>
      <c r="K486" s="83"/>
      <c r="L486" s="638" t="s">
        <v>1449</v>
      </c>
      <c r="M486" s="652">
        <v>45200.0</v>
      </c>
      <c r="N486" s="112" t="s">
        <v>34</v>
      </c>
      <c r="O486" s="267" t="s">
        <v>1918</v>
      </c>
      <c r="P486" s="103" t="s">
        <v>71</v>
      </c>
      <c r="Q486" s="520"/>
      <c r="R486" s="146" t="s">
        <v>1919</v>
      </c>
      <c r="S486" s="91">
        <v>197.0</v>
      </c>
    </row>
    <row r="487">
      <c r="A487" s="92" t="s">
        <v>1920</v>
      </c>
      <c r="B487" s="189" t="s">
        <v>1921</v>
      </c>
      <c r="C487" s="135" t="s">
        <v>1922</v>
      </c>
      <c r="D487" s="194">
        <v>70.0</v>
      </c>
      <c r="E487" s="194">
        <v>2090.0</v>
      </c>
      <c r="F487" s="282">
        <f t="shared" si="23"/>
        <v>30</v>
      </c>
      <c r="G487" s="98">
        <f t="shared" si="24"/>
        <v>1.274972767</v>
      </c>
      <c r="H487" s="100"/>
      <c r="I487" s="117"/>
      <c r="J487" s="100"/>
      <c r="K487" s="83"/>
      <c r="L487" s="195" t="s">
        <v>132</v>
      </c>
      <c r="M487" s="324">
        <v>45200.0</v>
      </c>
      <c r="N487" s="86" t="s">
        <v>34</v>
      </c>
      <c r="O487" s="135" t="s">
        <v>1923</v>
      </c>
      <c r="P487" s="103" t="s">
        <v>71</v>
      </c>
      <c r="Q487" s="133"/>
      <c r="R487" s="135" t="s">
        <v>1923</v>
      </c>
      <c r="S487" s="91">
        <v>196.0</v>
      </c>
    </row>
    <row r="488">
      <c r="A488" s="136" t="s">
        <v>1924</v>
      </c>
      <c r="B488" s="189" t="s">
        <v>1925</v>
      </c>
      <c r="C488" s="754" t="s">
        <v>1926</v>
      </c>
      <c r="D488" s="78">
        <v>13.0</v>
      </c>
      <c r="E488" s="470">
        <v>2010.0</v>
      </c>
      <c r="F488" s="97">
        <f t="shared" si="23"/>
        <v>155</v>
      </c>
      <c r="G488" s="110">
        <f t="shared" si="24"/>
        <v>0.5388258841</v>
      </c>
      <c r="H488" s="100"/>
      <c r="I488" s="117"/>
      <c r="J488" s="100"/>
      <c r="K488" s="83"/>
      <c r="L488" s="195" t="s">
        <v>132</v>
      </c>
      <c r="M488" s="324">
        <v>45200.0</v>
      </c>
      <c r="N488" s="112" t="s">
        <v>34</v>
      </c>
      <c r="O488" s="267" t="s">
        <v>1927</v>
      </c>
      <c r="P488" s="103" t="s">
        <v>71</v>
      </c>
      <c r="Q488" s="520"/>
      <c r="R488" s="146" t="s">
        <v>1928</v>
      </c>
      <c r="S488" s="91">
        <v>195.0</v>
      </c>
    </row>
    <row r="489">
      <c r="A489" s="136" t="s">
        <v>1929</v>
      </c>
      <c r="B489" s="189" t="s">
        <v>265</v>
      </c>
      <c r="C489" s="755" t="s">
        <v>1930</v>
      </c>
      <c r="D489" s="140"/>
      <c r="E489" s="140"/>
      <c r="F489" s="752"/>
      <c r="G489" s="753"/>
      <c r="H489" s="100"/>
      <c r="I489" s="117"/>
      <c r="J489" s="100"/>
      <c r="K489" s="83"/>
      <c r="L489" s="195" t="s">
        <v>132</v>
      </c>
      <c r="M489" s="324">
        <v>45200.0</v>
      </c>
      <c r="N489" s="112" t="s">
        <v>1235</v>
      </c>
      <c r="O489" s="602" t="s">
        <v>1931</v>
      </c>
      <c r="P489" s="103" t="s">
        <v>71</v>
      </c>
      <c r="Q489" s="520"/>
      <c r="R489" s="146" t="s">
        <v>1932</v>
      </c>
      <c r="S489" s="91">
        <v>194.0</v>
      </c>
    </row>
    <row r="490">
      <c r="A490" s="75" t="s">
        <v>1933</v>
      </c>
      <c r="B490" s="61" t="s">
        <v>45</v>
      </c>
      <c r="C490" s="346" t="s">
        <v>1934</v>
      </c>
      <c r="D490" s="78">
        <v>55.0</v>
      </c>
      <c r="E490" s="78"/>
      <c r="F490" s="31"/>
      <c r="G490" s="528"/>
      <c r="H490" s="100"/>
      <c r="I490" s="117"/>
      <c r="J490" s="100"/>
      <c r="K490" s="756"/>
      <c r="L490" s="757" t="s">
        <v>103</v>
      </c>
      <c r="M490" s="324">
        <v>45200.0</v>
      </c>
      <c r="N490" s="112" t="s">
        <v>34</v>
      </c>
      <c r="O490" s="758" t="s">
        <v>1935</v>
      </c>
      <c r="P490" s="103" t="s">
        <v>71</v>
      </c>
      <c r="Q490" s="685"/>
      <c r="R490" s="374" t="s">
        <v>1936</v>
      </c>
      <c r="S490" s="91">
        <v>193.0</v>
      </c>
    </row>
    <row r="491">
      <c r="A491" s="75" t="s">
        <v>1937</v>
      </c>
      <c r="B491" s="189" t="s">
        <v>1938</v>
      </c>
      <c r="C491" s="759"/>
      <c r="D491" s="78">
        <v>0.09</v>
      </c>
      <c r="E491" s="78"/>
      <c r="F491" s="31"/>
      <c r="G491" s="528"/>
      <c r="H491" s="100"/>
      <c r="I491" s="117"/>
      <c r="J491" s="100"/>
      <c r="K491" s="756"/>
      <c r="L491" s="757" t="s">
        <v>103</v>
      </c>
      <c r="M491" s="324">
        <v>45170.0</v>
      </c>
      <c r="N491" s="639" t="s">
        <v>28</v>
      </c>
      <c r="O491" s="758" t="s">
        <v>1939</v>
      </c>
      <c r="P491" s="103" t="s">
        <v>71</v>
      </c>
      <c r="Q491" s="530"/>
      <c r="R491" s="672" t="s">
        <v>1940</v>
      </c>
      <c r="S491" s="91">
        <v>192.0</v>
      </c>
    </row>
    <row r="492">
      <c r="A492" s="75" t="s">
        <v>1941</v>
      </c>
      <c r="B492" s="189" t="s">
        <v>1942</v>
      </c>
      <c r="C492" s="77" t="s">
        <v>1943</v>
      </c>
      <c r="D492" s="78">
        <v>9.0</v>
      </c>
      <c r="E492" s="78"/>
      <c r="F492" s="31"/>
      <c r="G492" s="528"/>
      <c r="H492" s="100"/>
      <c r="I492" s="117"/>
      <c r="J492" s="100"/>
      <c r="K492" s="83"/>
      <c r="L492" s="195" t="s">
        <v>132</v>
      </c>
      <c r="M492" s="324">
        <v>45170.0</v>
      </c>
      <c r="N492" s="639" t="s">
        <v>28</v>
      </c>
      <c r="O492" s="758" t="s">
        <v>1944</v>
      </c>
      <c r="P492" s="103" t="s">
        <v>71</v>
      </c>
      <c r="Q492" s="685"/>
      <c r="R492" s="374" t="s">
        <v>1945</v>
      </c>
      <c r="S492" s="91">
        <v>191.0</v>
      </c>
    </row>
    <row r="493">
      <c r="A493" s="75" t="s">
        <v>1946</v>
      </c>
      <c r="B493" s="61" t="s">
        <v>107</v>
      </c>
      <c r="C493" s="346" t="s">
        <v>1947</v>
      </c>
      <c r="D493" s="78">
        <v>72.0</v>
      </c>
      <c r="E493" s="78">
        <v>3000.0</v>
      </c>
      <c r="F493" s="31">
        <f t="shared" ref="F493:F496" si="25">IF(E493&lt;&gt;"", ROUNDUP(E493/D493,0),"")</f>
        <v>42</v>
      </c>
      <c r="G493" s="528">
        <f t="shared" ref="G493:G496" si="26">IF(E493&lt;&gt;"", (SQRT(D493*E493))/300, "")</f>
        <v>1.549193338</v>
      </c>
      <c r="H493" s="100"/>
      <c r="I493" s="117"/>
      <c r="J493" s="100"/>
      <c r="K493" s="83"/>
      <c r="L493" s="195" t="s">
        <v>132</v>
      </c>
      <c r="M493" s="324">
        <v>45170.0</v>
      </c>
      <c r="N493" s="112" t="s">
        <v>34</v>
      </c>
      <c r="O493" s="271" t="s">
        <v>1948</v>
      </c>
      <c r="P493" s="103" t="s">
        <v>71</v>
      </c>
      <c r="Q493" s="685"/>
      <c r="R493" s="374" t="s">
        <v>1949</v>
      </c>
      <c r="S493" s="91">
        <v>190.0</v>
      </c>
    </row>
    <row r="494">
      <c r="A494" s="75" t="s">
        <v>1950</v>
      </c>
      <c r="B494" s="61" t="s">
        <v>56</v>
      </c>
      <c r="C494" s="354"/>
      <c r="D494" s="582">
        <v>70.0</v>
      </c>
      <c r="E494" s="78">
        <v>2400.0</v>
      </c>
      <c r="F494" s="31">
        <f t="shared" si="25"/>
        <v>35</v>
      </c>
      <c r="G494" s="528">
        <f t="shared" si="26"/>
        <v>1.366260102</v>
      </c>
      <c r="H494" s="100"/>
      <c r="I494" s="117"/>
      <c r="J494" s="100"/>
      <c r="K494" s="83"/>
      <c r="L494" s="195" t="s">
        <v>132</v>
      </c>
      <c r="M494" s="324">
        <v>45170.0</v>
      </c>
      <c r="N494" s="639" t="s">
        <v>28</v>
      </c>
      <c r="O494" s="271" t="s">
        <v>1951</v>
      </c>
      <c r="P494" s="103" t="s">
        <v>71</v>
      </c>
      <c r="Q494" s="685"/>
      <c r="R494" s="374" t="s">
        <v>1952</v>
      </c>
      <c r="S494" s="91">
        <v>189.0</v>
      </c>
    </row>
    <row r="495">
      <c r="A495" s="106" t="s">
        <v>1953</v>
      </c>
      <c r="B495" s="189" t="s">
        <v>1954</v>
      </c>
      <c r="C495" s="108" t="s">
        <v>1955</v>
      </c>
      <c r="D495" s="470">
        <v>13.0</v>
      </c>
      <c r="E495" s="362">
        <v>2065.0</v>
      </c>
      <c r="F495" s="97">
        <f t="shared" si="25"/>
        <v>159</v>
      </c>
      <c r="G495" s="110">
        <f t="shared" si="26"/>
        <v>0.5461481281</v>
      </c>
      <c r="H495" s="100"/>
      <c r="I495" s="117"/>
      <c r="J495" s="100"/>
      <c r="K495" s="83"/>
      <c r="L495" s="195" t="s">
        <v>132</v>
      </c>
      <c r="M495" s="324">
        <v>45170.0</v>
      </c>
      <c r="N495" s="112" t="s">
        <v>34</v>
      </c>
      <c r="O495" s="108" t="s">
        <v>1956</v>
      </c>
      <c r="P495" s="103" t="s">
        <v>71</v>
      </c>
      <c r="Q495" s="567"/>
      <c r="R495" s="106" t="s">
        <v>1957</v>
      </c>
      <c r="S495" s="91">
        <v>188.0</v>
      </c>
    </row>
    <row r="496">
      <c r="A496" s="92" t="s">
        <v>1958</v>
      </c>
      <c r="B496" s="189" t="s">
        <v>269</v>
      </c>
      <c r="C496" s="135" t="s">
        <v>1959</v>
      </c>
      <c r="D496" s="470">
        <v>7.3</v>
      </c>
      <c r="E496" s="488">
        <v>800.0</v>
      </c>
      <c r="F496" s="97">
        <f t="shared" si="25"/>
        <v>110</v>
      </c>
      <c r="G496" s="98">
        <f t="shared" si="26"/>
        <v>0.2547329757</v>
      </c>
      <c r="H496" s="127"/>
      <c r="I496" s="127">
        <v>30.9</v>
      </c>
      <c r="J496" s="127"/>
      <c r="K496" s="83"/>
      <c r="L496" s="195" t="s">
        <v>132</v>
      </c>
      <c r="M496" s="324">
        <v>45170.0</v>
      </c>
      <c r="N496" s="86" t="s">
        <v>34</v>
      </c>
      <c r="O496" s="135" t="s">
        <v>1960</v>
      </c>
      <c r="P496" s="92" t="s">
        <v>71</v>
      </c>
      <c r="Q496" s="522"/>
      <c r="R496" s="92" t="s">
        <v>1961</v>
      </c>
      <c r="S496" s="91">
        <v>187.0</v>
      </c>
    </row>
    <row r="497">
      <c r="A497" s="106" t="s">
        <v>1962</v>
      </c>
      <c r="B497" s="189" t="s">
        <v>177</v>
      </c>
      <c r="C497" s="654"/>
      <c r="D497" s="470">
        <v>1.3</v>
      </c>
      <c r="E497" s="470"/>
      <c r="F497" s="97"/>
      <c r="G497" s="110"/>
      <c r="H497" s="100"/>
      <c r="I497" s="117"/>
      <c r="J497" s="100"/>
      <c r="K497" s="83"/>
      <c r="L497" s="195" t="s">
        <v>132</v>
      </c>
      <c r="M497" s="324">
        <v>45170.0</v>
      </c>
      <c r="N497" s="639" t="s">
        <v>28</v>
      </c>
      <c r="O497" s="108" t="s">
        <v>1963</v>
      </c>
      <c r="P497" s="103" t="s">
        <v>71</v>
      </c>
      <c r="Q497" s="567"/>
      <c r="R497" s="106"/>
      <c r="S497" s="91">
        <v>186.0</v>
      </c>
    </row>
    <row r="498">
      <c r="A498" s="106" t="s">
        <v>1964</v>
      </c>
      <c r="B498" s="61" t="s">
        <v>645</v>
      </c>
      <c r="C498" s="108" t="s">
        <v>1965</v>
      </c>
      <c r="D498" s="470">
        <v>13.0</v>
      </c>
      <c r="E498" s="470">
        <v>2600.0</v>
      </c>
      <c r="F498" s="97">
        <f t="shared" ref="F498:F512" si="27">IF(E498&lt;&gt;"", ROUNDUP(E498/D498,0),"")</f>
        <v>200</v>
      </c>
      <c r="G498" s="110">
        <f t="shared" ref="G498:G512" si="28">IF(E498&lt;&gt;"", (SQRT(D498*E498))/300, "")</f>
        <v>0.612825877</v>
      </c>
      <c r="H498" s="100"/>
      <c r="I498" s="117"/>
      <c r="J498" s="100"/>
      <c r="K498" s="83"/>
      <c r="L498" s="195" t="s">
        <v>132</v>
      </c>
      <c r="M498" s="324">
        <v>45170.0</v>
      </c>
      <c r="N498" s="112" t="s">
        <v>34</v>
      </c>
      <c r="O498" s="108" t="s">
        <v>1966</v>
      </c>
      <c r="P498" s="103" t="s">
        <v>71</v>
      </c>
      <c r="Q498" s="567"/>
      <c r="R498" s="106" t="s">
        <v>1967</v>
      </c>
      <c r="S498" s="91">
        <v>185.0</v>
      </c>
    </row>
    <row r="499">
      <c r="A499" s="106" t="s">
        <v>1968</v>
      </c>
      <c r="B499" s="189" t="s">
        <v>1969</v>
      </c>
      <c r="C499" s="108" t="s">
        <v>1970</v>
      </c>
      <c r="D499" s="470">
        <v>2.5</v>
      </c>
      <c r="E499" s="470">
        <v>40.0</v>
      </c>
      <c r="F499" s="97">
        <f t="shared" si="27"/>
        <v>16</v>
      </c>
      <c r="G499" s="110">
        <f t="shared" si="28"/>
        <v>0.03333333333</v>
      </c>
      <c r="H499" s="100"/>
      <c r="I499" s="117"/>
      <c r="J499" s="100"/>
      <c r="K499" s="240"/>
      <c r="L499" s="570" t="s">
        <v>103</v>
      </c>
      <c r="M499" s="324">
        <v>45170.0</v>
      </c>
      <c r="N499" s="112" t="s">
        <v>34</v>
      </c>
      <c r="O499" s="108" t="s">
        <v>1971</v>
      </c>
      <c r="P499" s="103" t="s">
        <v>71</v>
      </c>
      <c r="Q499" s="567"/>
      <c r="R499" s="106" t="s">
        <v>1972</v>
      </c>
      <c r="S499" s="91">
        <v>184.0</v>
      </c>
    </row>
    <row r="500">
      <c r="A500" s="106" t="s">
        <v>1973</v>
      </c>
      <c r="B500" s="189" t="s">
        <v>1773</v>
      </c>
      <c r="C500" s="108" t="s">
        <v>1974</v>
      </c>
      <c r="D500" s="470">
        <v>5.7</v>
      </c>
      <c r="E500" s="362">
        <v>200.0</v>
      </c>
      <c r="F500" s="97">
        <f t="shared" si="27"/>
        <v>36</v>
      </c>
      <c r="G500" s="110">
        <f t="shared" si="28"/>
        <v>0.1125462868</v>
      </c>
      <c r="H500" s="100"/>
      <c r="I500" s="117"/>
      <c r="J500" s="100"/>
      <c r="K500" s="83"/>
      <c r="L500" s="195" t="s">
        <v>132</v>
      </c>
      <c r="M500" s="324">
        <v>45170.0</v>
      </c>
      <c r="N500" s="112" t="s">
        <v>34</v>
      </c>
      <c r="O500" s="108" t="s">
        <v>1975</v>
      </c>
      <c r="P500" s="103" t="s">
        <v>71</v>
      </c>
      <c r="Q500" s="567"/>
      <c r="R500" s="106" t="s">
        <v>1976</v>
      </c>
      <c r="S500" s="91">
        <v>183.0</v>
      </c>
    </row>
    <row r="501">
      <c r="A501" s="106" t="s">
        <v>1977</v>
      </c>
      <c r="B501" s="189" t="s">
        <v>75</v>
      </c>
      <c r="C501" s="108" t="s">
        <v>1978</v>
      </c>
      <c r="D501" s="470">
        <v>8.0</v>
      </c>
      <c r="E501" s="470">
        <v>300.0</v>
      </c>
      <c r="F501" s="97">
        <f t="shared" si="27"/>
        <v>38</v>
      </c>
      <c r="G501" s="110">
        <f t="shared" si="28"/>
        <v>0.1632993162</v>
      </c>
      <c r="H501" s="100"/>
      <c r="I501" s="117"/>
      <c r="J501" s="100"/>
      <c r="K501" s="83"/>
      <c r="L501" s="195" t="s">
        <v>132</v>
      </c>
      <c r="M501" s="324">
        <v>45170.0</v>
      </c>
      <c r="N501" s="112" t="s">
        <v>34</v>
      </c>
      <c r="O501" s="108" t="s">
        <v>1979</v>
      </c>
      <c r="P501" s="103" t="s">
        <v>36</v>
      </c>
      <c r="Q501" s="567"/>
      <c r="R501" s="106" t="s">
        <v>1980</v>
      </c>
      <c r="S501" s="91">
        <v>182.0</v>
      </c>
    </row>
    <row r="502">
      <c r="A502" s="106" t="s">
        <v>1981</v>
      </c>
      <c r="B502" s="189" t="s">
        <v>1982</v>
      </c>
      <c r="C502" s="108" t="s">
        <v>1983</v>
      </c>
      <c r="D502" s="470">
        <v>7.0</v>
      </c>
      <c r="E502" s="470">
        <v>1000.0</v>
      </c>
      <c r="F502" s="97">
        <f t="shared" si="27"/>
        <v>143</v>
      </c>
      <c r="G502" s="110">
        <f t="shared" si="28"/>
        <v>0.2788866755</v>
      </c>
      <c r="H502" s="100"/>
      <c r="I502" s="117"/>
      <c r="J502" s="100"/>
      <c r="K502" s="83"/>
      <c r="L502" s="195" t="s">
        <v>132</v>
      </c>
      <c r="M502" s="324">
        <v>45170.0</v>
      </c>
      <c r="N502" s="112" t="s">
        <v>34</v>
      </c>
      <c r="O502" s="108" t="s">
        <v>1984</v>
      </c>
      <c r="P502" s="103" t="s">
        <v>71</v>
      </c>
      <c r="Q502" s="567"/>
      <c r="R502" s="106" t="s">
        <v>1985</v>
      </c>
      <c r="S502" s="91">
        <v>181.0</v>
      </c>
    </row>
    <row r="503">
      <c r="A503" s="106" t="s">
        <v>1986</v>
      </c>
      <c r="B503" s="189" t="s">
        <v>177</v>
      </c>
      <c r="C503" s="108" t="s">
        <v>1987</v>
      </c>
      <c r="D503" s="109">
        <v>1.3</v>
      </c>
      <c r="E503" s="109">
        <v>150.0</v>
      </c>
      <c r="F503" s="392">
        <f t="shared" si="27"/>
        <v>116</v>
      </c>
      <c r="G503" s="110">
        <f t="shared" si="28"/>
        <v>0.04654746681</v>
      </c>
      <c r="H503" s="100"/>
      <c r="I503" s="117"/>
      <c r="J503" s="100"/>
      <c r="K503" s="128"/>
      <c r="L503" s="129" t="s">
        <v>69</v>
      </c>
      <c r="M503" s="324">
        <v>45170.0</v>
      </c>
      <c r="N503" s="112" t="s">
        <v>34</v>
      </c>
      <c r="O503" s="108" t="s">
        <v>1988</v>
      </c>
      <c r="P503" s="103" t="s">
        <v>71</v>
      </c>
      <c r="Q503" s="567"/>
      <c r="R503" s="106" t="s">
        <v>1989</v>
      </c>
      <c r="S503" s="91">
        <v>180.0</v>
      </c>
    </row>
    <row r="504">
      <c r="A504" s="106" t="s">
        <v>1990</v>
      </c>
      <c r="B504" s="189" t="s">
        <v>298</v>
      </c>
      <c r="C504" s="108" t="s">
        <v>1991</v>
      </c>
      <c r="D504" s="109">
        <v>0.034</v>
      </c>
      <c r="E504" s="116">
        <v>1.0</v>
      </c>
      <c r="F504" s="392">
        <f t="shared" si="27"/>
        <v>30</v>
      </c>
      <c r="G504" s="110">
        <f t="shared" si="28"/>
        <v>0.0006146362972</v>
      </c>
      <c r="H504" s="100"/>
      <c r="I504" s="117"/>
      <c r="J504" s="100"/>
      <c r="K504" s="83"/>
      <c r="L504" s="704" t="s">
        <v>103</v>
      </c>
      <c r="M504" s="324">
        <v>45170.0</v>
      </c>
      <c r="N504" s="112" t="s">
        <v>34</v>
      </c>
      <c r="O504" s="108" t="s">
        <v>1992</v>
      </c>
      <c r="P504" s="103" t="s">
        <v>71</v>
      </c>
      <c r="Q504" s="567"/>
      <c r="R504" s="106" t="s">
        <v>1993</v>
      </c>
      <c r="S504" s="91">
        <v>179.0</v>
      </c>
    </row>
    <row r="505">
      <c r="A505" s="106" t="s">
        <v>1994</v>
      </c>
      <c r="B505" s="189" t="s">
        <v>1705</v>
      </c>
      <c r="C505" s="108" t="s">
        <v>1995</v>
      </c>
      <c r="D505" s="109">
        <v>8.0</v>
      </c>
      <c r="E505" s="109">
        <v>737.0</v>
      </c>
      <c r="F505" s="392">
        <f t="shared" si="27"/>
        <v>93</v>
      </c>
      <c r="G505" s="110">
        <f t="shared" si="28"/>
        <v>0.2559513843</v>
      </c>
      <c r="H505" s="100"/>
      <c r="I505" s="117"/>
      <c r="J505" s="100"/>
      <c r="K505" s="83"/>
      <c r="L505" s="195" t="s">
        <v>132</v>
      </c>
      <c r="M505" s="324">
        <v>45170.0</v>
      </c>
      <c r="N505" s="112" t="s">
        <v>34</v>
      </c>
      <c r="O505" s="108" t="s">
        <v>1996</v>
      </c>
      <c r="P505" s="103" t="s">
        <v>71</v>
      </c>
      <c r="Q505" s="567"/>
      <c r="R505" s="106" t="s">
        <v>1997</v>
      </c>
      <c r="S505" s="91">
        <v>178.0</v>
      </c>
    </row>
    <row r="506">
      <c r="A506" s="106" t="s">
        <v>1998</v>
      </c>
      <c r="B506" s="189" t="s">
        <v>999</v>
      </c>
      <c r="C506" s="108" t="s">
        <v>1999</v>
      </c>
      <c r="D506" s="109">
        <v>101.0</v>
      </c>
      <c r="E506" s="109">
        <v>245.0</v>
      </c>
      <c r="F506" s="392">
        <f t="shared" si="27"/>
        <v>3</v>
      </c>
      <c r="G506" s="110">
        <f t="shared" si="28"/>
        <v>0.5243514513</v>
      </c>
      <c r="H506" s="100"/>
      <c r="I506" s="117"/>
      <c r="J506" s="100"/>
      <c r="K506" s="83"/>
      <c r="L506" s="195" t="s">
        <v>132</v>
      </c>
      <c r="M506" s="324">
        <v>45170.0</v>
      </c>
      <c r="N506" s="112" t="s">
        <v>34</v>
      </c>
      <c r="O506" s="108" t="s">
        <v>2000</v>
      </c>
      <c r="P506" s="103" t="s">
        <v>71</v>
      </c>
      <c r="Q506" s="567"/>
      <c r="R506" s="106" t="s">
        <v>2001</v>
      </c>
      <c r="S506" s="91">
        <v>177.0</v>
      </c>
    </row>
    <row r="507">
      <c r="A507" s="106" t="s">
        <v>2002</v>
      </c>
      <c r="B507" s="189" t="s">
        <v>372</v>
      </c>
      <c r="C507" s="108" t="s">
        <v>2003</v>
      </c>
      <c r="D507" s="109">
        <v>180.0</v>
      </c>
      <c r="E507" s="109">
        <v>3500.0</v>
      </c>
      <c r="F507" s="392">
        <f t="shared" si="27"/>
        <v>20</v>
      </c>
      <c r="G507" s="110">
        <f t="shared" si="28"/>
        <v>2.645751311</v>
      </c>
      <c r="H507" s="100">
        <v>70.6</v>
      </c>
      <c r="I507" s="117"/>
      <c r="J507" s="100"/>
      <c r="K507" s="83"/>
      <c r="L507" s="195" t="s">
        <v>132</v>
      </c>
      <c r="M507" s="324">
        <v>45170.0</v>
      </c>
      <c r="N507" s="112" t="s">
        <v>34</v>
      </c>
      <c r="O507" s="108" t="s">
        <v>2004</v>
      </c>
      <c r="P507" s="103" t="s">
        <v>71</v>
      </c>
      <c r="Q507" s="567"/>
      <c r="R507" s="106" t="s">
        <v>2005</v>
      </c>
      <c r="S507" s="91">
        <v>176.0</v>
      </c>
    </row>
    <row r="508">
      <c r="A508" s="106" t="s">
        <v>2006</v>
      </c>
      <c r="B508" s="61" t="s">
        <v>304</v>
      </c>
      <c r="C508" s="108" t="s">
        <v>2007</v>
      </c>
      <c r="D508" s="109">
        <v>100.0</v>
      </c>
      <c r="E508" s="109">
        <v>2000.0</v>
      </c>
      <c r="F508" s="392">
        <f t="shared" si="27"/>
        <v>20</v>
      </c>
      <c r="G508" s="110">
        <f t="shared" si="28"/>
        <v>1.490711985</v>
      </c>
      <c r="H508" s="100"/>
      <c r="I508" s="117"/>
      <c r="J508" s="100"/>
      <c r="K508" s="83"/>
      <c r="L508" s="195" t="s">
        <v>132</v>
      </c>
      <c r="M508" s="324">
        <v>45170.0</v>
      </c>
      <c r="N508" s="112" t="s">
        <v>34</v>
      </c>
      <c r="O508" s="108" t="s">
        <v>2008</v>
      </c>
      <c r="P508" s="103" t="s">
        <v>71</v>
      </c>
      <c r="Q508" s="567"/>
      <c r="R508" s="106"/>
      <c r="S508" s="91">
        <v>175.0</v>
      </c>
    </row>
    <row r="509">
      <c r="A509" s="106" t="s">
        <v>2009</v>
      </c>
      <c r="B509" s="189" t="s">
        <v>1348</v>
      </c>
      <c r="C509" s="654"/>
      <c r="D509" s="109">
        <v>0.1</v>
      </c>
      <c r="E509" s="109">
        <v>0.01</v>
      </c>
      <c r="F509" s="392">
        <f t="shared" si="27"/>
        <v>1</v>
      </c>
      <c r="G509" s="110">
        <f t="shared" si="28"/>
        <v>0.0001054092553</v>
      </c>
      <c r="H509" s="100"/>
      <c r="I509" s="117"/>
      <c r="J509" s="100"/>
      <c r="K509" s="83"/>
      <c r="L509" s="195" t="s">
        <v>132</v>
      </c>
      <c r="M509" s="324">
        <v>45170.0</v>
      </c>
      <c r="N509" s="112" t="s">
        <v>34</v>
      </c>
      <c r="O509" s="474" t="s">
        <v>2010</v>
      </c>
      <c r="P509" s="103" t="s">
        <v>71</v>
      </c>
      <c r="Q509" s="567"/>
      <c r="R509" s="106" t="s">
        <v>2011</v>
      </c>
      <c r="S509" s="91">
        <v>174.0</v>
      </c>
    </row>
    <row r="510">
      <c r="A510" s="75" t="s">
        <v>2012</v>
      </c>
      <c r="B510" s="179" t="s">
        <v>75</v>
      </c>
      <c r="C510" s="77" t="s">
        <v>2013</v>
      </c>
      <c r="D510" s="78">
        <v>13.0</v>
      </c>
      <c r="E510" s="78">
        <v>2500.0</v>
      </c>
      <c r="F510" s="31">
        <f t="shared" si="27"/>
        <v>193</v>
      </c>
      <c r="G510" s="528">
        <f t="shared" si="28"/>
        <v>0.6009252126</v>
      </c>
      <c r="H510" s="100">
        <v>57.0</v>
      </c>
      <c r="I510" s="117"/>
      <c r="J510" s="100"/>
      <c r="K510" s="83"/>
      <c r="L510" s="195" t="s">
        <v>132</v>
      </c>
      <c r="M510" s="324">
        <v>45170.0</v>
      </c>
      <c r="N510" s="112" t="s">
        <v>34</v>
      </c>
      <c r="O510" s="758" t="s">
        <v>2014</v>
      </c>
      <c r="P510" s="103"/>
      <c r="Q510" s="530"/>
      <c r="R510" s="531" t="s">
        <v>2015</v>
      </c>
      <c r="S510" s="91">
        <v>173.0</v>
      </c>
    </row>
    <row r="511">
      <c r="A511" s="106" t="s">
        <v>2016</v>
      </c>
      <c r="B511" s="189" t="s">
        <v>308</v>
      </c>
      <c r="C511" s="108" t="s">
        <v>2017</v>
      </c>
      <c r="D511" s="109">
        <v>13.0</v>
      </c>
      <c r="E511" s="109">
        <v>395.0</v>
      </c>
      <c r="F511" s="392">
        <f t="shared" si="27"/>
        <v>31</v>
      </c>
      <c r="G511" s="110">
        <f t="shared" si="28"/>
        <v>0.2388630477</v>
      </c>
      <c r="H511" s="100"/>
      <c r="I511" s="117"/>
      <c r="J511" s="100"/>
      <c r="K511" s="83"/>
      <c r="L511" s="195" t="s">
        <v>132</v>
      </c>
      <c r="M511" s="324">
        <v>45139.0</v>
      </c>
      <c r="N511" s="112" t="s">
        <v>34</v>
      </c>
      <c r="O511" s="205" t="s">
        <v>2018</v>
      </c>
      <c r="P511" s="103" t="s">
        <v>71</v>
      </c>
      <c r="Q511" s="567"/>
      <c r="R511" s="106" t="s">
        <v>2019</v>
      </c>
      <c r="S511" s="91">
        <v>172.0</v>
      </c>
    </row>
    <row r="512">
      <c r="A512" s="106" t="s">
        <v>2020</v>
      </c>
      <c r="B512" s="61" t="s">
        <v>56</v>
      </c>
      <c r="C512" s="108" t="s">
        <v>2021</v>
      </c>
      <c r="D512" s="109">
        <v>34.0</v>
      </c>
      <c r="E512" s="109">
        <v>2600.0</v>
      </c>
      <c r="F512" s="392">
        <f t="shared" si="27"/>
        <v>77</v>
      </c>
      <c r="G512" s="110">
        <f t="shared" si="28"/>
        <v>0.9910712498</v>
      </c>
      <c r="H512" s="100"/>
      <c r="I512" s="117"/>
      <c r="J512" s="100"/>
      <c r="K512" s="83"/>
      <c r="L512" s="195" t="s">
        <v>132</v>
      </c>
      <c r="M512" s="324">
        <v>45139.0</v>
      </c>
      <c r="N512" s="112" t="s">
        <v>34</v>
      </c>
      <c r="O512" s="205" t="s">
        <v>1680</v>
      </c>
      <c r="P512" s="103" t="s">
        <v>71</v>
      </c>
      <c r="Q512" s="567"/>
      <c r="R512" s="106" t="s">
        <v>2022</v>
      </c>
      <c r="S512" s="91">
        <v>171.0</v>
      </c>
    </row>
    <row r="513">
      <c r="A513" s="106" t="s">
        <v>2023</v>
      </c>
      <c r="B513" s="189" t="s">
        <v>940</v>
      </c>
      <c r="C513" s="108" t="s">
        <v>2024</v>
      </c>
      <c r="D513" s="109">
        <v>80.0</v>
      </c>
      <c r="E513" s="109"/>
      <c r="F513" s="392"/>
      <c r="G513" s="110"/>
      <c r="H513" s="100"/>
      <c r="I513" s="117"/>
      <c r="J513" s="100"/>
      <c r="K513" s="83"/>
      <c r="L513" s="195" t="s">
        <v>132</v>
      </c>
      <c r="M513" s="324">
        <v>45139.0</v>
      </c>
      <c r="N513" s="112" t="s">
        <v>34</v>
      </c>
      <c r="O513" s="205" t="s">
        <v>2025</v>
      </c>
      <c r="P513" s="103" t="s">
        <v>71</v>
      </c>
      <c r="Q513" s="567"/>
      <c r="R513" s="106" t="s">
        <v>2026</v>
      </c>
      <c r="S513" s="91">
        <v>170.0</v>
      </c>
    </row>
    <row r="514">
      <c r="A514" s="106" t="s">
        <v>2027</v>
      </c>
      <c r="B514" s="189" t="s">
        <v>2028</v>
      </c>
      <c r="C514" s="654"/>
      <c r="D514" s="109">
        <v>11.0</v>
      </c>
      <c r="E514" s="109">
        <v>40.0</v>
      </c>
      <c r="F514" s="392">
        <f t="shared" ref="F514:F534" si="29">IF(E514&lt;&gt;"", ROUNDUP(E514/D514,0),"")</f>
        <v>4</v>
      </c>
      <c r="G514" s="110">
        <f t="shared" ref="G514:G534" si="30">IF(E514&lt;&gt;"", (SQRT(D514*E514))/300, "")</f>
        <v>0.06992058988</v>
      </c>
      <c r="H514" s="100"/>
      <c r="I514" s="117"/>
      <c r="J514" s="100"/>
      <c r="K514" s="83"/>
      <c r="L514" s="195" t="s">
        <v>132</v>
      </c>
      <c r="M514" s="324">
        <v>45139.0</v>
      </c>
      <c r="N514" s="639" t="s">
        <v>28</v>
      </c>
      <c r="O514" s="205" t="s">
        <v>2029</v>
      </c>
      <c r="P514" s="103" t="s">
        <v>71</v>
      </c>
      <c r="Q514" s="567"/>
      <c r="R514" s="106" t="s">
        <v>2030</v>
      </c>
      <c r="S514" s="91">
        <v>169.0</v>
      </c>
    </row>
    <row r="515">
      <c r="A515" s="136" t="s">
        <v>2031</v>
      </c>
      <c r="B515" s="189" t="s">
        <v>2032</v>
      </c>
      <c r="C515" s="248" t="s">
        <v>2033</v>
      </c>
      <c r="D515" s="225">
        <v>13.0</v>
      </c>
      <c r="E515" s="226">
        <v>1500.0</v>
      </c>
      <c r="F515" s="392">
        <f t="shared" si="29"/>
        <v>116</v>
      </c>
      <c r="G515" s="110">
        <f t="shared" si="30"/>
        <v>0.4654746681</v>
      </c>
      <c r="H515" s="100"/>
      <c r="I515" s="117"/>
      <c r="J515" s="100"/>
      <c r="K515" s="83"/>
      <c r="L515" s="195" t="s">
        <v>132</v>
      </c>
      <c r="M515" s="324">
        <v>45139.0</v>
      </c>
      <c r="N515" s="112" t="s">
        <v>34</v>
      </c>
      <c r="O515" s="514" t="s">
        <v>2033</v>
      </c>
      <c r="P515" s="103" t="s">
        <v>71</v>
      </c>
      <c r="Q515" s="252"/>
      <c r="R515" s="253" t="s">
        <v>2034</v>
      </c>
      <c r="S515" s="91">
        <v>168.0</v>
      </c>
    </row>
    <row r="516">
      <c r="A516" s="156" t="s">
        <v>2035</v>
      </c>
      <c r="B516" s="189" t="s">
        <v>177</v>
      </c>
      <c r="C516" s="427" t="s">
        <v>2036</v>
      </c>
      <c r="D516" s="226">
        <v>70.0</v>
      </c>
      <c r="E516" s="226">
        <v>2000.0</v>
      </c>
      <c r="F516" s="31">
        <f t="shared" si="29"/>
        <v>29</v>
      </c>
      <c r="G516" s="760">
        <f t="shared" si="30"/>
        <v>1.247219129</v>
      </c>
      <c r="H516" s="100"/>
      <c r="I516" s="117"/>
      <c r="J516" s="100"/>
      <c r="K516" s="83"/>
      <c r="L516" s="195" t="s">
        <v>132</v>
      </c>
      <c r="M516" s="324">
        <v>45139.0</v>
      </c>
      <c r="N516" s="130" t="s">
        <v>34</v>
      </c>
      <c r="O516" s="168" t="s">
        <v>2037</v>
      </c>
      <c r="P516" s="103" t="s">
        <v>71</v>
      </c>
      <c r="Q516" s="464"/>
      <c r="R516" s="103" t="s">
        <v>2038</v>
      </c>
      <c r="S516" s="91">
        <v>167.0</v>
      </c>
    </row>
    <row r="517">
      <c r="A517" s="92" t="s">
        <v>2039</v>
      </c>
      <c r="B517" s="189" t="s">
        <v>2040</v>
      </c>
      <c r="C517" s="135" t="s">
        <v>2041</v>
      </c>
      <c r="D517" s="194">
        <v>70.0</v>
      </c>
      <c r="E517" s="194">
        <v>2000.0</v>
      </c>
      <c r="F517" s="282">
        <f t="shared" si="29"/>
        <v>29</v>
      </c>
      <c r="G517" s="98">
        <f t="shared" si="30"/>
        <v>1.247219129</v>
      </c>
      <c r="H517" s="100"/>
      <c r="I517" s="117"/>
      <c r="J517" s="100"/>
      <c r="K517" s="83"/>
      <c r="L517" s="195" t="s">
        <v>132</v>
      </c>
      <c r="M517" s="324">
        <v>45139.0</v>
      </c>
      <c r="N517" s="86" t="s">
        <v>34</v>
      </c>
      <c r="O517" s="135" t="s">
        <v>2042</v>
      </c>
      <c r="P517" s="103" t="s">
        <v>71</v>
      </c>
      <c r="Q517" s="133"/>
      <c r="R517" s="134" t="s">
        <v>2043</v>
      </c>
      <c r="S517" s="91">
        <v>166.0</v>
      </c>
    </row>
    <row r="518">
      <c r="A518" s="136" t="s">
        <v>2044</v>
      </c>
      <c r="B518" s="61" t="s">
        <v>1502</v>
      </c>
      <c r="C518" s="248" t="s">
        <v>2045</v>
      </c>
      <c r="D518" s="225">
        <v>7.0</v>
      </c>
      <c r="E518" s="109">
        <v>750.0</v>
      </c>
      <c r="F518" s="392">
        <f t="shared" si="29"/>
        <v>108</v>
      </c>
      <c r="G518" s="110">
        <f t="shared" si="30"/>
        <v>0.2415229458</v>
      </c>
      <c r="H518" s="100"/>
      <c r="I518" s="117"/>
      <c r="J518" s="100"/>
      <c r="K518" s="83"/>
      <c r="L518" s="195" t="s">
        <v>132</v>
      </c>
      <c r="M518" s="324">
        <v>45139.0</v>
      </c>
      <c r="N518" s="112" t="s">
        <v>34</v>
      </c>
      <c r="O518" s="514" t="s">
        <v>2046</v>
      </c>
      <c r="P518" s="103" t="s">
        <v>71</v>
      </c>
      <c r="Q518" s="252"/>
      <c r="R518" s="253" t="s">
        <v>2047</v>
      </c>
      <c r="S518" s="91">
        <v>165.0</v>
      </c>
    </row>
    <row r="519">
      <c r="A519" s="136" t="s">
        <v>2048</v>
      </c>
      <c r="B519" s="61" t="s">
        <v>1502</v>
      </c>
      <c r="C519" s="248" t="s">
        <v>2049</v>
      </c>
      <c r="D519" s="225">
        <v>2.7</v>
      </c>
      <c r="E519" s="109">
        <v>560.0</v>
      </c>
      <c r="F519" s="392">
        <f t="shared" si="29"/>
        <v>208</v>
      </c>
      <c r="G519" s="110">
        <f t="shared" si="30"/>
        <v>0.129614814</v>
      </c>
      <c r="H519" s="100"/>
      <c r="I519" s="117"/>
      <c r="J519" s="100"/>
      <c r="K519" s="83"/>
      <c r="L519" s="704" t="s">
        <v>300</v>
      </c>
      <c r="M519" s="324">
        <v>45139.0</v>
      </c>
      <c r="N519" s="112" t="s">
        <v>34</v>
      </c>
      <c r="O519" s="514" t="s">
        <v>2050</v>
      </c>
      <c r="P519" s="103" t="s">
        <v>71</v>
      </c>
      <c r="Q519" s="252"/>
      <c r="R519" s="253" t="s">
        <v>1505</v>
      </c>
      <c r="S519" s="91">
        <v>164.0</v>
      </c>
    </row>
    <row r="520">
      <c r="A520" s="136" t="s">
        <v>2051</v>
      </c>
      <c r="B520" s="189" t="s">
        <v>681</v>
      </c>
      <c r="C520" s="248" t="s">
        <v>2052</v>
      </c>
      <c r="D520" s="225">
        <v>8.3</v>
      </c>
      <c r="E520" s="109">
        <v>1000.0</v>
      </c>
      <c r="F520" s="392">
        <f t="shared" si="29"/>
        <v>121</v>
      </c>
      <c r="G520" s="110">
        <f t="shared" si="30"/>
        <v>0.3036811193</v>
      </c>
      <c r="H520" s="100"/>
      <c r="I520" s="117"/>
      <c r="J520" s="100"/>
      <c r="K520" s="83"/>
      <c r="L520" s="195" t="s">
        <v>132</v>
      </c>
      <c r="M520" s="324">
        <v>45108.0</v>
      </c>
      <c r="N520" s="112" t="s">
        <v>34</v>
      </c>
      <c r="O520" s="514" t="s">
        <v>2053</v>
      </c>
      <c r="P520" s="103" t="s">
        <v>71</v>
      </c>
      <c r="Q520" s="252"/>
      <c r="R520" s="253" t="s">
        <v>2054</v>
      </c>
      <c r="S520" s="91">
        <v>163.0</v>
      </c>
    </row>
    <row r="521">
      <c r="A521" s="92" t="s">
        <v>2055</v>
      </c>
      <c r="B521" s="189" t="s">
        <v>2056</v>
      </c>
      <c r="C521" s="135" t="s">
        <v>2057</v>
      </c>
      <c r="D521" s="470">
        <v>40.0</v>
      </c>
      <c r="E521" s="470">
        <v>1000.0</v>
      </c>
      <c r="F521" s="399">
        <f t="shared" si="29"/>
        <v>25</v>
      </c>
      <c r="G521" s="110">
        <f t="shared" si="30"/>
        <v>0.6666666667</v>
      </c>
      <c r="H521" s="100"/>
      <c r="I521" s="117"/>
      <c r="J521" s="100"/>
      <c r="K521" s="83"/>
      <c r="L521" s="195" t="s">
        <v>132</v>
      </c>
      <c r="M521" s="324">
        <v>45108.0</v>
      </c>
      <c r="N521" s="112" t="s">
        <v>34</v>
      </c>
      <c r="O521" s="131" t="s">
        <v>2058</v>
      </c>
      <c r="P521" s="103" t="s">
        <v>71</v>
      </c>
      <c r="Q521" s="522"/>
      <c r="R521" s="92" t="s">
        <v>2059</v>
      </c>
      <c r="S521" s="91">
        <v>162.0</v>
      </c>
    </row>
    <row r="522">
      <c r="A522" s="106" t="s">
        <v>2060</v>
      </c>
      <c r="B522" s="189" t="s">
        <v>492</v>
      </c>
      <c r="C522" s="108" t="s">
        <v>2061</v>
      </c>
      <c r="D522" s="194">
        <v>7.0</v>
      </c>
      <c r="E522" s="194">
        <v>2000.0</v>
      </c>
      <c r="F522" s="282">
        <f t="shared" si="29"/>
        <v>286</v>
      </c>
      <c r="G522" s="98">
        <f t="shared" si="30"/>
        <v>0.3944053189</v>
      </c>
      <c r="H522" s="100"/>
      <c r="I522" s="117"/>
      <c r="J522" s="100"/>
      <c r="K522" s="83"/>
      <c r="L522" s="195" t="s">
        <v>132</v>
      </c>
      <c r="M522" s="324">
        <v>45108.0</v>
      </c>
      <c r="N522" s="86" t="s">
        <v>34</v>
      </c>
      <c r="O522" s="474" t="s">
        <v>2062</v>
      </c>
      <c r="P522" s="103" t="s">
        <v>71</v>
      </c>
      <c r="Q522" s="567"/>
      <c r="R522" s="106" t="s">
        <v>2063</v>
      </c>
      <c r="S522" s="91">
        <v>161.0</v>
      </c>
    </row>
    <row r="523">
      <c r="A523" s="106" t="s">
        <v>2064</v>
      </c>
      <c r="B523" s="61" t="s">
        <v>45</v>
      </c>
      <c r="C523" s="761"/>
      <c r="D523" s="109">
        <v>540.0</v>
      </c>
      <c r="E523" s="109">
        <v>780.0</v>
      </c>
      <c r="F523" s="392">
        <f t="shared" si="29"/>
        <v>2</v>
      </c>
      <c r="G523" s="110">
        <f t="shared" si="30"/>
        <v>2.163330765</v>
      </c>
      <c r="H523" s="100"/>
      <c r="I523" s="117"/>
      <c r="J523" s="100"/>
      <c r="K523" s="83"/>
      <c r="L523" s="195" t="s">
        <v>132</v>
      </c>
      <c r="M523" s="324">
        <v>45108.0</v>
      </c>
      <c r="N523" s="639" t="s">
        <v>28</v>
      </c>
      <c r="O523" s="474" t="s">
        <v>2065</v>
      </c>
      <c r="P523" s="103" t="s">
        <v>71</v>
      </c>
      <c r="Q523" s="567"/>
      <c r="R523" s="106" t="s">
        <v>2066</v>
      </c>
      <c r="S523" s="91">
        <v>160.0</v>
      </c>
    </row>
    <row r="524">
      <c r="A524" s="92" t="s">
        <v>2067</v>
      </c>
      <c r="B524" s="189" t="s">
        <v>822</v>
      </c>
      <c r="C524" s="135" t="s">
        <v>2068</v>
      </c>
      <c r="D524" s="194">
        <v>3.0</v>
      </c>
      <c r="E524" s="194">
        <v>627.0</v>
      </c>
      <c r="F524" s="392">
        <f t="shared" si="29"/>
        <v>209</v>
      </c>
      <c r="G524" s="110">
        <f t="shared" si="30"/>
        <v>0.1445683229</v>
      </c>
      <c r="H524" s="100"/>
      <c r="I524" s="117"/>
      <c r="J524" s="100"/>
      <c r="K524" s="83"/>
      <c r="L524" s="195" t="s">
        <v>132</v>
      </c>
      <c r="M524" s="324">
        <v>45108.0</v>
      </c>
      <c r="N524" s="112" t="s">
        <v>34</v>
      </c>
      <c r="O524" s="135" t="s">
        <v>2069</v>
      </c>
      <c r="P524" s="103" t="s">
        <v>71</v>
      </c>
      <c r="Q524" s="705"/>
      <c r="R524" s="306" t="s">
        <v>2070</v>
      </c>
      <c r="S524" s="91">
        <v>159.0</v>
      </c>
    </row>
    <row r="525">
      <c r="A525" s="92" t="s">
        <v>2071</v>
      </c>
      <c r="B525" s="61" t="s">
        <v>1502</v>
      </c>
      <c r="C525" s="135" t="s">
        <v>2072</v>
      </c>
      <c r="D525" s="194">
        <v>70.0</v>
      </c>
      <c r="E525" s="194">
        <v>2000.0</v>
      </c>
      <c r="F525" s="392">
        <f t="shared" si="29"/>
        <v>29</v>
      </c>
      <c r="G525" s="110">
        <f t="shared" si="30"/>
        <v>1.247219129</v>
      </c>
      <c r="H525" s="100"/>
      <c r="I525" s="117"/>
      <c r="J525" s="100"/>
      <c r="K525" s="83"/>
      <c r="L525" s="195" t="s">
        <v>132</v>
      </c>
      <c r="M525" s="324">
        <v>45108.0</v>
      </c>
      <c r="N525" s="112" t="s">
        <v>34</v>
      </c>
      <c r="O525" s="135" t="s">
        <v>2073</v>
      </c>
      <c r="P525" s="103" t="s">
        <v>71</v>
      </c>
      <c r="Q525" s="705"/>
      <c r="R525" s="306" t="s">
        <v>2074</v>
      </c>
      <c r="S525" s="91">
        <v>158.0</v>
      </c>
    </row>
    <row r="526">
      <c r="A526" s="92" t="s">
        <v>2075</v>
      </c>
      <c r="B526" s="61" t="s">
        <v>1502</v>
      </c>
      <c r="C526" s="135" t="s">
        <v>2076</v>
      </c>
      <c r="D526" s="194">
        <v>65.0</v>
      </c>
      <c r="E526" s="194">
        <v>1400.0</v>
      </c>
      <c r="F526" s="392">
        <f t="shared" si="29"/>
        <v>22</v>
      </c>
      <c r="G526" s="110">
        <f t="shared" si="30"/>
        <v>1.005540209</v>
      </c>
      <c r="H526" s="100"/>
      <c r="I526" s="117"/>
      <c r="J526" s="100"/>
      <c r="K526" s="83"/>
      <c r="L526" s="195" t="s">
        <v>132</v>
      </c>
      <c r="M526" s="324">
        <v>45108.0</v>
      </c>
      <c r="N526" s="112" t="s">
        <v>34</v>
      </c>
      <c r="O526" s="135" t="s">
        <v>2073</v>
      </c>
      <c r="P526" s="103" t="s">
        <v>71</v>
      </c>
      <c r="Q526" s="705"/>
      <c r="R526" s="306" t="s">
        <v>2077</v>
      </c>
      <c r="S526" s="91">
        <v>157.0</v>
      </c>
    </row>
    <row r="527">
      <c r="A527" s="92" t="s">
        <v>2078</v>
      </c>
      <c r="B527" s="189" t="s">
        <v>2079</v>
      </c>
      <c r="C527" s="135" t="s">
        <v>2080</v>
      </c>
      <c r="D527" s="194">
        <v>2.0</v>
      </c>
      <c r="E527" s="194"/>
      <c r="F527" s="392" t="str">
        <f t="shared" si="29"/>
        <v/>
      </c>
      <c r="G527" s="110" t="str">
        <f t="shared" si="30"/>
        <v/>
      </c>
      <c r="H527" s="100"/>
      <c r="I527" s="117"/>
      <c r="J527" s="100"/>
      <c r="K527" s="83"/>
      <c r="L527" s="195" t="s">
        <v>132</v>
      </c>
      <c r="M527" s="324">
        <v>45108.0</v>
      </c>
      <c r="N527" s="112" t="s">
        <v>34</v>
      </c>
      <c r="O527" s="135" t="s">
        <v>2081</v>
      </c>
      <c r="P527" s="103" t="s">
        <v>71</v>
      </c>
      <c r="Q527" s="705"/>
      <c r="R527" s="306" t="s">
        <v>2082</v>
      </c>
      <c r="S527" s="91">
        <v>156.0</v>
      </c>
    </row>
    <row r="528">
      <c r="A528" s="92" t="s">
        <v>2083</v>
      </c>
      <c r="B528" s="61" t="s">
        <v>56</v>
      </c>
      <c r="C528" s="135" t="s">
        <v>2084</v>
      </c>
      <c r="D528" s="194">
        <v>70.0</v>
      </c>
      <c r="E528" s="194">
        <v>2000.0</v>
      </c>
      <c r="F528" s="282">
        <f t="shared" si="29"/>
        <v>29</v>
      </c>
      <c r="G528" s="98">
        <f t="shared" si="30"/>
        <v>1.247219129</v>
      </c>
      <c r="H528" s="127">
        <v>68.9</v>
      </c>
      <c r="I528" s="350">
        <v>37.5</v>
      </c>
      <c r="J528" s="127">
        <v>26.26</v>
      </c>
      <c r="K528" s="83"/>
      <c r="L528" s="195" t="s">
        <v>132</v>
      </c>
      <c r="M528" s="324">
        <v>45108.0</v>
      </c>
      <c r="N528" s="86" t="s">
        <v>34</v>
      </c>
      <c r="O528" s="135" t="s">
        <v>2085</v>
      </c>
      <c r="P528" s="92" t="s">
        <v>71</v>
      </c>
      <c r="Q528" s="133" t="s">
        <v>52</v>
      </c>
      <c r="R528" s="134" t="s">
        <v>2086</v>
      </c>
      <c r="S528" s="91">
        <v>155.0</v>
      </c>
    </row>
    <row r="529">
      <c r="A529" s="92" t="s">
        <v>2087</v>
      </c>
      <c r="B529" s="189" t="s">
        <v>2088</v>
      </c>
      <c r="C529" s="123"/>
      <c r="D529" s="591">
        <v>6.0</v>
      </c>
      <c r="E529" s="109">
        <v>402.0</v>
      </c>
      <c r="F529" s="392">
        <f t="shared" si="29"/>
        <v>67</v>
      </c>
      <c r="G529" s="110">
        <f t="shared" si="30"/>
        <v>0.1637070554</v>
      </c>
      <c r="H529" s="100"/>
      <c r="I529" s="117"/>
      <c r="J529" s="100"/>
      <c r="K529" s="83"/>
      <c r="L529" s="195" t="s">
        <v>132</v>
      </c>
      <c r="M529" s="324">
        <v>45108.0</v>
      </c>
      <c r="N529" s="762" t="s">
        <v>1235</v>
      </c>
      <c r="O529" s="474" t="s">
        <v>2089</v>
      </c>
      <c r="P529" s="103" t="s">
        <v>71</v>
      </c>
      <c r="Q529" s="608"/>
      <c r="R529" s="609" t="s">
        <v>2090</v>
      </c>
      <c r="S529" s="91">
        <v>154.0</v>
      </c>
    </row>
    <row r="530">
      <c r="A530" s="92" t="s">
        <v>2091</v>
      </c>
      <c r="B530" s="189" t="s">
        <v>90</v>
      </c>
      <c r="C530" s="135" t="s">
        <v>368</v>
      </c>
      <c r="D530" s="451">
        <v>130.0</v>
      </c>
      <c r="E530" s="116">
        <v>2500.0</v>
      </c>
      <c r="F530" s="738">
        <f t="shared" si="29"/>
        <v>20</v>
      </c>
      <c r="G530" s="579">
        <f t="shared" si="30"/>
        <v>1.900292375</v>
      </c>
      <c r="H530" s="100">
        <v>78.5</v>
      </c>
      <c r="I530" s="117"/>
      <c r="J530" s="100"/>
      <c r="K530" s="83"/>
      <c r="L530" s="195" t="s">
        <v>132</v>
      </c>
      <c r="M530" s="324">
        <v>45108.0</v>
      </c>
      <c r="N530" s="112" t="s">
        <v>34</v>
      </c>
      <c r="O530" s="474" t="s">
        <v>2092</v>
      </c>
      <c r="P530" s="103" t="s">
        <v>71</v>
      </c>
      <c r="Q530" s="608"/>
      <c r="R530" s="609" t="s">
        <v>2093</v>
      </c>
      <c r="S530" s="91">
        <v>153.0</v>
      </c>
    </row>
    <row r="531">
      <c r="A531" s="92" t="s">
        <v>2094</v>
      </c>
      <c r="B531" s="61" t="s">
        <v>2095</v>
      </c>
      <c r="C531" s="135" t="s">
        <v>2096</v>
      </c>
      <c r="D531" s="553">
        <v>7.0</v>
      </c>
      <c r="E531" s="109">
        <v>1000.0</v>
      </c>
      <c r="F531" s="392">
        <f t="shared" si="29"/>
        <v>143</v>
      </c>
      <c r="G531" s="110">
        <f t="shared" si="30"/>
        <v>0.2788866755</v>
      </c>
      <c r="H531" s="100"/>
      <c r="I531" s="117"/>
      <c r="J531" s="100"/>
      <c r="K531" s="83"/>
      <c r="L531" s="195" t="s">
        <v>132</v>
      </c>
      <c r="M531" s="324">
        <v>45108.0</v>
      </c>
      <c r="N531" s="112" t="s">
        <v>34</v>
      </c>
      <c r="O531" s="205" t="s">
        <v>2097</v>
      </c>
      <c r="P531" s="103" t="s">
        <v>71</v>
      </c>
      <c r="Q531" s="608"/>
      <c r="R531" s="609" t="s">
        <v>2098</v>
      </c>
      <c r="S531" s="91">
        <v>152.0</v>
      </c>
    </row>
    <row r="532">
      <c r="A532" s="92" t="s">
        <v>2099</v>
      </c>
      <c r="B532" s="61" t="s">
        <v>1443</v>
      </c>
      <c r="C532" s="123"/>
      <c r="D532" s="553">
        <v>100.0</v>
      </c>
      <c r="E532" s="109">
        <v>1000.0</v>
      </c>
      <c r="F532" s="392">
        <f t="shared" si="29"/>
        <v>10</v>
      </c>
      <c r="G532" s="110">
        <f t="shared" si="30"/>
        <v>1.054092553</v>
      </c>
      <c r="H532" s="100"/>
      <c r="I532" s="117"/>
      <c r="J532" s="100"/>
      <c r="K532" s="83"/>
      <c r="L532" s="704" t="s">
        <v>103</v>
      </c>
      <c r="M532" s="324">
        <v>45108.0</v>
      </c>
      <c r="N532" s="639" t="s">
        <v>28</v>
      </c>
      <c r="O532" s="205" t="s">
        <v>2100</v>
      </c>
      <c r="P532" s="103" t="s">
        <v>71</v>
      </c>
      <c r="Q532" s="608"/>
      <c r="R532" s="609" t="s">
        <v>2101</v>
      </c>
      <c r="S532" s="91">
        <v>151.0</v>
      </c>
    </row>
    <row r="533">
      <c r="A533" s="92" t="s">
        <v>2102</v>
      </c>
      <c r="B533" s="189" t="s">
        <v>67</v>
      </c>
      <c r="C533" s="135" t="s">
        <v>2103</v>
      </c>
      <c r="D533" s="553">
        <v>7.0</v>
      </c>
      <c r="E533" s="109">
        <v>1500.0</v>
      </c>
      <c r="F533" s="392">
        <f t="shared" si="29"/>
        <v>215</v>
      </c>
      <c r="G533" s="110">
        <f t="shared" si="30"/>
        <v>0.3415650255</v>
      </c>
      <c r="H533" s="100"/>
      <c r="I533" s="117"/>
      <c r="J533" s="100"/>
      <c r="K533" s="83"/>
      <c r="L533" s="195" t="s">
        <v>132</v>
      </c>
      <c r="M533" s="324">
        <v>45108.0</v>
      </c>
      <c r="N533" s="112" t="s">
        <v>34</v>
      </c>
      <c r="O533" s="205" t="s">
        <v>2104</v>
      </c>
      <c r="P533" s="103" t="s">
        <v>71</v>
      </c>
      <c r="Q533" s="608"/>
      <c r="R533" s="609" t="s">
        <v>2105</v>
      </c>
      <c r="S533" s="91">
        <v>150.0</v>
      </c>
    </row>
    <row r="534">
      <c r="A534" s="92" t="s">
        <v>2106</v>
      </c>
      <c r="B534" s="179" t="s">
        <v>2107</v>
      </c>
      <c r="C534" s="135" t="s">
        <v>2108</v>
      </c>
      <c r="D534" s="451">
        <v>100.0</v>
      </c>
      <c r="E534" s="116">
        <v>2000.0</v>
      </c>
      <c r="F534" s="392">
        <f t="shared" si="29"/>
        <v>20</v>
      </c>
      <c r="G534" s="110">
        <f t="shared" si="30"/>
        <v>1.490711985</v>
      </c>
      <c r="H534" s="100"/>
      <c r="I534" s="117"/>
      <c r="J534" s="100"/>
      <c r="K534" s="83"/>
      <c r="L534" s="195" t="s">
        <v>132</v>
      </c>
      <c r="M534" s="324">
        <v>45109.0</v>
      </c>
      <c r="N534" s="112" t="s">
        <v>34</v>
      </c>
      <c r="O534" s="205" t="s">
        <v>2008</v>
      </c>
      <c r="P534" s="103" t="s">
        <v>71</v>
      </c>
      <c r="Q534" s="608"/>
      <c r="R534" s="609"/>
      <c r="S534" s="91">
        <v>149.0</v>
      </c>
    </row>
    <row r="535">
      <c r="A535" s="92" t="s">
        <v>2109</v>
      </c>
      <c r="B535" s="189" t="s">
        <v>265</v>
      </c>
      <c r="C535" s="135" t="s">
        <v>1931</v>
      </c>
      <c r="D535" s="553"/>
      <c r="E535" s="109"/>
      <c r="F535" s="392"/>
      <c r="G535" s="110"/>
      <c r="H535" s="100"/>
      <c r="I535" s="117"/>
      <c r="J535" s="100"/>
      <c r="K535" s="83"/>
      <c r="L535" s="195" t="s">
        <v>132</v>
      </c>
      <c r="M535" s="324">
        <v>45078.0</v>
      </c>
      <c r="N535" s="762" t="s">
        <v>1235</v>
      </c>
      <c r="O535" s="205" t="s">
        <v>1931</v>
      </c>
      <c r="P535" s="103" t="s">
        <v>71</v>
      </c>
      <c r="Q535" s="608"/>
      <c r="R535" s="609" t="s">
        <v>2110</v>
      </c>
      <c r="S535" s="91">
        <v>148.0</v>
      </c>
    </row>
    <row r="536">
      <c r="A536" s="92" t="s">
        <v>2111</v>
      </c>
      <c r="B536" s="189" t="s">
        <v>177</v>
      </c>
      <c r="C536" s="135" t="s">
        <v>2112</v>
      </c>
      <c r="D536" s="553">
        <v>1.6</v>
      </c>
      <c r="E536" s="109">
        <v>360.0</v>
      </c>
      <c r="F536" s="392">
        <f t="shared" ref="F536:F542" si="31">IF(E536&lt;&gt;"", ROUNDUP(E536/D536,0),"")</f>
        <v>225</v>
      </c>
      <c r="G536" s="110">
        <f t="shared" ref="G536:G543" si="32">IF(E536&lt;&gt;"", (SQRT(D536*E536))/300, "")</f>
        <v>0.08</v>
      </c>
      <c r="H536" s="100"/>
      <c r="I536" s="117"/>
      <c r="J536" s="100"/>
      <c r="K536" s="83"/>
      <c r="L536" s="195" t="s">
        <v>132</v>
      </c>
      <c r="M536" s="324">
        <v>45078.0</v>
      </c>
      <c r="N536" s="112" t="s">
        <v>34</v>
      </c>
      <c r="O536" s="205" t="s">
        <v>2113</v>
      </c>
      <c r="P536" s="103" t="s">
        <v>71</v>
      </c>
      <c r="Q536" s="608"/>
      <c r="R536" s="609" t="s">
        <v>2114</v>
      </c>
      <c r="S536" s="91">
        <v>147.0</v>
      </c>
    </row>
    <row r="537">
      <c r="A537" s="92" t="s">
        <v>2115</v>
      </c>
      <c r="B537" s="61" t="s">
        <v>101</v>
      </c>
      <c r="C537" s="135" t="s">
        <v>2116</v>
      </c>
      <c r="D537" s="488">
        <v>340.0</v>
      </c>
      <c r="E537" s="488">
        <v>3600.0</v>
      </c>
      <c r="F537" s="763">
        <f t="shared" si="31"/>
        <v>11</v>
      </c>
      <c r="G537" s="764">
        <f t="shared" si="32"/>
        <v>3.687817783</v>
      </c>
      <c r="H537" s="100"/>
      <c r="I537" s="117"/>
      <c r="J537" s="100"/>
      <c r="K537" s="83"/>
      <c r="L537" s="195" t="s">
        <v>132</v>
      </c>
      <c r="M537" s="324">
        <v>45078.0</v>
      </c>
      <c r="N537" s="639" t="s">
        <v>28</v>
      </c>
      <c r="O537" s="131" t="s">
        <v>2117</v>
      </c>
      <c r="P537" s="103" t="s">
        <v>71</v>
      </c>
      <c r="Q537" s="522"/>
      <c r="R537" s="92" t="s">
        <v>2118</v>
      </c>
      <c r="S537" s="91">
        <v>146.0</v>
      </c>
    </row>
    <row r="538">
      <c r="A538" s="92" t="s">
        <v>2119</v>
      </c>
      <c r="B538" s="189" t="s">
        <v>984</v>
      </c>
      <c r="C538" s="135" t="s">
        <v>2120</v>
      </c>
      <c r="D538" s="362">
        <v>120.0</v>
      </c>
      <c r="E538" s="362">
        <v>2000.0</v>
      </c>
      <c r="F538" s="578">
        <f t="shared" si="31"/>
        <v>17</v>
      </c>
      <c r="G538" s="579">
        <f t="shared" si="32"/>
        <v>1.632993162</v>
      </c>
      <c r="H538" s="100"/>
      <c r="I538" s="117"/>
      <c r="J538" s="100"/>
      <c r="K538" s="83"/>
      <c r="L538" s="195" t="s">
        <v>132</v>
      </c>
      <c r="M538" s="324">
        <v>45078.0</v>
      </c>
      <c r="N538" s="112" t="s">
        <v>34</v>
      </c>
      <c r="O538" s="131" t="s">
        <v>2121</v>
      </c>
      <c r="P538" s="103" t="s">
        <v>71</v>
      </c>
      <c r="Q538" s="522"/>
      <c r="R538" s="92" t="s">
        <v>2122</v>
      </c>
      <c r="S538" s="91">
        <v>145.0</v>
      </c>
    </row>
    <row r="539">
      <c r="A539" s="92" t="s">
        <v>2123</v>
      </c>
      <c r="B539" s="189" t="s">
        <v>177</v>
      </c>
      <c r="C539" s="123"/>
      <c r="D539" s="470">
        <v>1.3</v>
      </c>
      <c r="E539" s="470">
        <v>51.0</v>
      </c>
      <c r="F539" s="460">
        <f t="shared" si="31"/>
        <v>40</v>
      </c>
      <c r="G539" s="110">
        <f t="shared" si="32"/>
        <v>0.02714160398</v>
      </c>
      <c r="H539" s="100"/>
      <c r="I539" s="117"/>
      <c r="J539" s="100"/>
      <c r="K539" s="128"/>
      <c r="L539" s="129" t="s">
        <v>69</v>
      </c>
      <c r="M539" s="324">
        <v>45078.0</v>
      </c>
      <c r="N539" s="143" t="s">
        <v>28</v>
      </c>
      <c r="O539" s="131" t="s">
        <v>2124</v>
      </c>
      <c r="P539" s="103" t="s">
        <v>71</v>
      </c>
      <c r="Q539" s="522"/>
      <c r="R539" s="92" t="s">
        <v>2125</v>
      </c>
      <c r="S539" s="91">
        <v>144.0</v>
      </c>
    </row>
    <row r="540">
      <c r="A540" s="92" t="s">
        <v>2126</v>
      </c>
      <c r="B540" s="648" t="s">
        <v>228</v>
      </c>
      <c r="C540" s="135" t="s">
        <v>2127</v>
      </c>
      <c r="D540" s="470">
        <v>104.0</v>
      </c>
      <c r="E540" s="470">
        <v>1600.0</v>
      </c>
      <c r="F540" s="97">
        <f t="shared" si="31"/>
        <v>16</v>
      </c>
      <c r="G540" s="98">
        <f t="shared" si="32"/>
        <v>1.359738537</v>
      </c>
      <c r="H540" s="100"/>
      <c r="I540" s="117"/>
      <c r="J540" s="100"/>
      <c r="K540" s="83"/>
      <c r="L540" s="195" t="s">
        <v>132</v>
      </c>
      <c r="M540" s="324">
        <v>45078.0</v>
      </c>
      <c r="N540" s="506" t="s">
        <v>28</v>
      </c>
      <c r="O540" s="131" t="s">
        <v>2128</v>
      </c>
      <c r="P540" s="103" t="s">
        <v>71</v>
      </c>
      <c r="Q540" s="522"/>
      <c r="R540" s="92" t="s">
        <v>2129</v>
      </c>
      <c r="S540" s="91">
        <v>143.0</v>
      </c>
    </row>
    <row r="541">
      <c r="A541" s="136" t="s">
        <v>2130</v>
      </c>
      <c r="B541" s="61" t="s">
        <v>56</v>
      </c>
      <c r="C541" s="765" t="s">
        <v>2131</v>
      </c>
      <c r="D541" s="138">
        <v>175.0</v>
      </c>
      <c r="E541" s="138">
        <v>300.0</v>
      </c>
      <c r="F541" s="227">
        <f t="shared" si="31"/>
        <v>2</v>
      </c>
      <c r="G541" s="110">
        <f t="shared" si="32"/>
        <v>0.7637626158</v>
      </c>
      <c r="H541" s="100"/>
      <c r="I541" s="117"/>
      <c r="J541" s="100"/>
      <c r="K541" s="83"/>
      <c r="L541" s="195" t="s">
        <v>132</v>
      </c>
      <c r="M541" s="324">
        <v>45078.0</v>
      </c>
      <c r="N541" s="112" t="s">
        <v>34</v>
      </c>
      <c r="O541" s="267" t="s">
        <v>2132</v>
      </c>
      <c r="P541" s="103" t="s">
        <v>71</v>
      </c>
      <c r="Q541" s="481"/>
      <c r="R541" s="136" t="s">
        <v>2133</v>
      </c>
      <c r="S541" s="91">
        <v>142.0</v>
      </c>
    </row>
    <row r="542">
      <c r="A542" s="92" t="s">
        <v>2134</v>
      </c>
      <c r="B542" s="189" t="s">
        <v>177</v>
      </c>
      <c r="C542" s="135" t="s">
        <v>2135</v>
      </c>
      <c r="D542" s="470">
        <v>13.0</v>
      </c>
      <c r="E542" s="470">
        <v>1000.0</v>
      </c>
      <c r="F542" s="97">
        <f t="shared" si="31"/>
        <v>77</v>
      </c>
      <c r="G542" s="110">
        <f t="shared" si="32"/>
        <v>0.380058475</v>
      </c>
      <c r="H542" s="100"/>
      <c r="I542" s="117"/>
      <c r="J542" s="100"/>
      <c r="K542" s="83"/>
      <c r="L542" s="195" t="s">
        <v>132</v>
      </c>
      <c r="M542" s="324">
        <v>45078.0</v>
      </c>
      <c r="N542" s="762" t="s">
        <v>1235</v>
      </c>
      <c r="O542" s="131" t="s">
        <v>2136</v>
      </c>
      <c r="P542" s="103" t="s">
        <v>71</v>
      </c>
      <c r="Q542" s="206"/>
      <c r="R542" s="105" t="s">
        <v>2137</v>
      </c>
      <c r="S542" s="91">
        <v>141.0</v>
      </c>
    </row>
    <row r="543">
      <c r="A543" s="92" t="s">
        <v>2138</v>
      </c>
      <c r="B543" s="189" t="s">
        <v>172</v>
      </c>
      <c r="C543" s="123"/>
      <c r="D543" s="470"/>
      <c r="E543" s="470"/>
      <c r="F543" s="97"/>
      <c r="G543" s="110" t="str">
        <f t="shared" si="32"/>
        <v/>
      </c>
      <c r="H543" s="100"/>
      <c r="I543" s="117"/>
      <c r="J543" s="100"/>
      <c r="K543" s="83"/>
      <c r="L543" s="704" t="s">
        <v>103</v>
      </c>
      <c r="M543" s="324">
        <v>45078.0</v>
      </c>
      <c r="N543" s="143" t="s">
        <v>28</v>
      </c>
      <c r="O543" s="131" t="s">
        <v>2139</v>
      </c>
      <c r="P543" s="103" t="s">
        <v>71</v>
      </c>
      <c r="Q543" s="522"/>
      <c r="R543" s="92" t="s">
        <v>2140</v>
      </c>
      <c r="S543" s="91">
        <v>140.0</v>
      </c>
    </row>
    <row r="544">
      <c r="A544" s="92" t="s">
        <v>2141</v>
      </c>
      <c r="B544" s="61" t="s">
        <v>45</v>
      </c>
      <c r="C544" s="123"/>
      <c r="D544" s="470"/>
      <c r="E544" s="488">
        <v>37900.0</v>
      </c>
      <c r="F544" s="97"/>
      <c r="G544" s="110"/>
      <c r="H544" s="100"/>
      <c r="I544" s="117"/>
      <c r="J544" s="100"/>
      <c r="K544" s="83"/>
      <c r="L544" s="704" t="s">
        <v>103</v>
      </c>
      <c r="M544" s="324">
        <v>45078.0</v>
      </c>
      <c r="N544" s="143" t="s">
        <v>28</v>
      </c>
      <c r="O544" s="131" t="s">
        <v>2142</v>
      </c>
      <c r="P544" s="103" t="s">
        <v>71</v>
      </c>
      <c r="Q544" s="522"/>
      <c r="R544" s="92" t="s">
        <v>2143</v>
      </c>
      <c r="S544" s="91">
        <v>139.0</v>
      </c>
    </row>
    <row r="545">
      <c r="A545" s="92" t="s">
        <v>2144</v>
      </c>
      <c r="B545" s="189" t="s">
        <v>1071</v>
      </c>
      <c r="C545" s="135" t="s">
        <v>2145</v>
      </c>
      <c r="D545" s="191"/>
      <c r="E545" s="124"/>
      <c r="F545" s="97"/>
      <c r="G545" s="579"/>
      <c r="H545" s="100"/>
      <c r="I545" s="117"/>
      <c r="J545" s="100"/>
      <c r="K545" s="83"/>
      <c r="L545" s="704" t="s">
        <v>103</v>
      </c>
      <c r="M545" s="324">
        <v>45078.0</v>
      </c>
      <c r="N545" s="143" t="s">
        <v>28</v>
      </c>
      <c r="O545" s="131" t="s">
        <v>2145</v>
      </c>
      <c r="P545" s="103" t="s">
        <v>71</v>
      </c>
      <c r="Q545" s="522"/>
      <c r="R545" s="92" t="s">
        <v>2146</v>
      </c>
      <c r="S545" s="91">
        <v>138.0</v>
      </c>
    </row>
    <row r="546">
      <c r="A546" s="92" t="s">
        <v>2147</v>
      </c>
      <c r="B546" s="61" t="s">
        <v>50</v>
      </c>
      <c r="C546" s="123"/>
      <c r="D546" s="181">
        <v>1760.0</v>
      </c>
      <c r="E546" s="124">
        <v>13000.0</v>
      </c>
      <c r="F546" s="766">
        <f t="shared" ref="F546:F548" si="33">IF(E546&lt;&gt;"", ROUNDUP(E546/D546,0),"")</f>
        <v>8</v>
      </c>
      <c r="G546" s="579">
        <f t="shared" ref="G546:G682" si="34">IF(E546&lt;&gt;"", (SQRT(D546*E546))/300, "")</f>
        <v>15.94434766</v>
      </c>
      <c r="H546" s="100"/>
      <c r="I546" s="117"/>
      <c r="J546" s="100"/>
      <c r="K546" s="83"/>
      <c r="L546" s="195" t="s">
        <v>132</v>
      </c>
      <c r="M546" s="324">
        <v>45047.0</v>
      </c>
      <c r="N546" s="143" t="s">
        <v>28</v>
      </c>
      <c r="O546" s="131" t="s">
        <v>2148</v>
      </c>
      <c r="P546" s="103" t="s">
        <v>36</v>
      </c>
      <c r="Q546" s="522"/>
      <c r="R546" s="92" t="s">
        <v>2149</v>
      </c>
      <c r="S546" s="91">
        <v>137.0</v>
      </c>
    </row>
    <row r="547">
      <c r="A547" s="92" t="s">
        <v>2150</v>
      </c>
      <c r="B547" s="61" t="s">
        <v>2151</v>
      </c>
      <c r="C547" s="135" t="s">
        <v>2152</v>
      </c>
      <c r="D547" s="470">
        <v>13.0</v>
      </c>
      <c r="E547" s="470">
        <v>1000.0</v>
      </c>
      <c r="F547" s="399">
        <f t="shared" si="33"/>
        <v>77</v>
      </c>
      <c r="G547" s="110">
        <f t="shared" si="34"/>
        <v>0.380058475</v>
      </c>
      <c r="H547" s="100"/>
      <c r="I547" s="117"/>
      <c r="J547" s="100"/>
      <c r="K547" s="83"/>
      <c r="L547" s="195" t="s">
        <v>132</v>
      </c>
      <c r="M547" s="324">
        <v>45047.0</v>
      </c>
      <c r="N547" s="112" t="s">
        <v>34</v>
      </c>
      <c r="O547" s="131" t="s">
        <v>2153</v>
      </c>
      <c r="P547" s="103" t="s">
        <v>71</v>
      </c>
      <c r="Q547" s="522"/>
      <c r="R547" s="92" t="s">
        <v>2154</v>
      </c>
      <c r="S547" s="91">
        <v>136.0</v>
      </c>
    </row>
    <row r="548">
      <c r="A548" s="92" t="s">
        <v>2155</v>
      </c>
      <c r="B548" s="189" t="s">
        <v>372</v>
      </c>
      <c r="C548" s="767" t="s">
        <v>2156</v>
      </c>
      <c r="D548" s="470">
        <v>40.0</v>
      </c>
      <c r="E548" s="470">
        <v>1000.0</v>
      </c>
      <c r="F548" s="399">
        <f t="shared" si="33"/>
        <v>25</v>
      </c>
      <c r="G548" s="110">
        <f t="shared" si="34"/>
        <v>0.6666666667</v>
      </c>
      <c r="H548" s="100"/>
      <c r="I548" s="117"/>
      <c r="J548" s="100"/>
      <c r="K548" s="83"/>
      <c r="L548" s="195" t="s">
        <v>132</v>
      </c>
      <c r="M548" s="324">
        <v>45047.0</v>
      </c>
      <c r="N548" s="112" t="s">
        <v>34</v>
      </c>
      <c r="O548" s="131" t="s">
        <v>2157</v>
      </c>
      <c r="P548" s="103" t="s">
        <v>71</v>
      </c>
      <c r="Q548" s="522"/>
      <c r="R548" s="92" t="s">
        <v>2158</v>
      </c>
      <c r="S548" s="91">
        <v>135.0</v>
      </c>
    </row>
    <row r="549">
      <c r="A549" s="92" t="s">
        <v>2159</v>
      </c>
      <c r="B549" s="189" t="s">
        <v>2160</v>
      </c>
      <c r="C549" s="135" t="s">
        <v>2161</v>
      </c>
      <c r="D549" s="470">
        <v>1.6</v>
      </c>
      <c r="E549" s="470"/>
      <c r="F549" s="97"/>
      <c r="G549" s="110" t="str">
        <f t="shared" si="34"/>
        <v/>
      </c>
      <c r="H549" s="100"/>
      <c r="I549" s="117"/>
      <c r="J549" s="100"/>
      <c r="K549" s="83"/>
      <c r="L549" s="195" t="s">
        <v>132</v>
      </c>
      <c r="M549" s="324">
        <v>45047.0</v>
      </c>
      <c r="N549" s="762" t="s">
        <v>1235</v>
      </c>
      <c r="O549" s="131" t="s">
        <v>2161</v>
      </c>
      <c r="P549" s="103" t="s">
        <v>71</v>
      </c>
      <c r="Q549" s="522"/>
      <c r="R549" s="92" t="s">
        <v>2162</v>
      </c>
      <c r="S549" s="91">
        <v>134.0</v>
      </c>
    </row>
    <row r="550">
      <c r="A550" s="92" t="s">
        <v>2163</v>
      </c>
      <c r="B550" s="189" t="s">
        <v>2164</v>
      </c>
      <c r="C550" s="135" t="s">
        <v>2165</v>
      </c>
      <c r="D550" s="470">
        <v>65.0</v>
      </c>
      <c r="E550" s="470">
        <v>1400.0</v>
      </c>
      <c r="F550" s="399">
        <f>IF(E550&lt;&gt;"", ROUNDUP(E550/D550,0),"")</f>
        <v>22</v>
      </c>
      <c r="G550" s="110">
        <f t="shared" si="34"/>
        <v>1.005540209</v>
      </c>
      <c r="H550" s="100"/>
      <c r="I550" s="117"/>
      <c r="J550" s="100"/>
      <c r="K550" s="83"/>
      <c r="L550" s="195" t="s">
        <v>132</v>
      </c>
      <c r="M550" s="324">
        <v>45047.0</v>
      </c>
      <c r="N550" s="112" t="s">
        <v>34</v>
      </c>
      <c r="O550" s="131" t="s">
        <v>2166</v>
      </c>
      <c r="P550" s="103" t="s">
        <v>71</v>
      </c>
      <c r="Q550" s="522"/>
      <c r="R550" s="92" t="s">
        <v>2167</v>
      </c>
      <c r="S550" s="91">
        <v>133.0</v>
      </c>
    </row>
    <row r="551">
      <c r="A551" s="92" t="s">
        <v>2168</v>
      </c>
      <c r="B551" s="61" t="s">
        <v>56</v>
      </c>
      <c r="C551" s="123"/>
      <c r="D551" s="470">
        <v>65.0</v>
      </c>
      <c r="E551" s="470"/>
      <c r="F551" s="97"/>
      <c r="G551" s="110" t="str">
        <f t="shared" si="34"/>
        <v/>
      </c>
      <c r="H551" s="100"/>
      <c r="I551" s="117"/>
      <c r="J551" s="100"/>
      <c r="K551" s="83"/>
      <c r="L551" s="195" t="s">
        <v>132</v>
      </c>
      <c r="M551" s="324">
        <v>45047.0</v>
      </c>
      <c r="N551" s="143" t="s">
        <v>28</v>
      </c>
      <c r="O551" s="131" t="s">
        <v>2169</v>
      </c>
      <c r="P551" s="103" t="s">
        <v>71</v>
      </c>
      <c r="Q551" s="522"/>
      <c r="R551" s="92" t="s">
        <v>2170</v>
      </c>
      <c r="S551" s="91">
        <v>132.0</v>
      </c>
    </row>
    <row r="552">
      <c r="A552" s="92" t="s">
        <v>2171</v>
      </c>
      <c r="B552" s="189" t="s">
        <v>2172</v>
      </c>
      <c r="C552" s="123"/>
      <c r="D552" s="470">
        <v>176.0</v>
      </c>
      <c r="E552" s="470">
        <v>366.0</v>
      </c>
      <c r="F552" s="399">
        <f>IF(E552&lt;&gt;"", ROUNDUP(E552/D552,0),"")</f>
        <v>3</v>
      </c>
      <c r="G552" s="110">
        <f t="shared" si="34"/>
        <v>0.8460102442</v>
      </c>
      <c r="H552" s="100"/>
      <c r="I552" s="117"/>
      <c r="J552" s="100"/>
      <c r="K552" s="83"/>
      <c r="L552" s="195" t="s">
        <v>132</v>
      </c>
      <c r="M552" s="324">
        <v>45047.0</v>
      </c>
      <c r="N552" s="762" t="s">
        <v>1235</v>
      </c>
      <c r="O552" s="131" t="s">
        <v>2173</v>
      </c>
      <c r="P552" s="103" t="s">
        <v>71</v>
      </c>
      <c r="Q552" s="206"/>
      <c r="R552" s="105" t="s">
        <v>2174</v>
      </c>
      <c r="S552" s="91">
        <v>131.0</v>
      </c>
    </row>
    <row r="553">
      <c r="A553" s="92" t="s">
        <v>2175</v>
      </c>
      <c r="B553" s="189" t="s">
        <v>67</v>
      </c>
      <c r="C553" s="135" t="s">
        <v>2176</v>
      </c>
      <c r="D553" s="470">
        <v>16.0</v>
      </c>
      <c r="E553" s="470"/>
      <c r="F553" s="470"/>
      <c r="G553" s="110" t="str">
        <f t="shared" si="34"/>
        <v/>
      </c>
      <c r="H553" s="100"/>
      <c r="I553" s="117"/>
      <c r="J553" s="100"/>
      <c r="K553" s="83"/>
      <c r="L553" s="195" t="s">
        <v>132</v>
      </c>
      <c r="M553" s="324">
        <v>45047.0</v>
      </c>
      <c r="N553" s="112" t="s">
        <v>34</v>
      </c>
      <c r="O553" s="131" t="s">
        <v>2177</v>
      </c>
      <c r="P553" s="103" t="s">
        <v>71</v>
      </c>
      <c r="Q553" s="522"/>
      <c r="R553" s="768" t="s">
        <v>2178</v>
      </c>
      <c r="S553" s="91">
        <v>130.0</v>
      </c>
    </row>
    <row r="554">
      <c r="A554" s="92" t="s">
        <v>2179</v>
      </c>
      <c r="B554" s="61" t="s">
        <v>101</v>
      </c>
      <c r="C554" s="135" t="s">
        <v>2180</v>
      </c>
      <c r="D554" s="488">
        <v>340.0</v>
      </c>
      <c r="E554" s="488">
        <v>3600.0</v>
      </c>
      <c r="F554" s="763">
        <f t="shared" ref="F554:F556" si="35">IF(E554&lt;&gt;"", ROUNDUP(E554/D554,0),"")</f>
        <v>11</v>
      </c>
      <c r="G554" s="764">
        <f t="shared" si="34"/>
        <v>3.687817783</v>
      </c>
      <c r="H554" s="127"/>
      <c r="I554" s="627"/>
      <c r="J554" s="127"/>
      <c r="K554" s="83"/>
      <c r="L554" s="195" t="s">
        <v>132</v>
      </c>
      <c r="M554" s="324">
        <v>45047.0</v>
      </c>
      <c r="N554" s="86" t="s">
        <v>34</v>
      </c>
      <c r="O554" s="131" t="s">
        <v>2181</v>
      </c>
      <c r="P554" s="92" t="s">
        <v>71</v>
      </c>
      <c r="Q554" s="522" t="s">
        <v>52</v>
      </c>
      <c r="R554" s="92" t="s">
        <v>2182</v>
      </c>
      <c r="S554" s="91">
        <v>129.0</v>
      </c>
    </row>
    <row r="555">
      <c r="A555" s="92" t="s">
        <v>2183</v>
      </c>
      <c r="B555" s="189" t="s">
        <v>1591</v>
      </c>
      <c r="C555" s="398" t="s">
        <v>2184</v>
      </c>
      <c r="D555" s="194">
        <v>15.5</v>
      </c>
      <c r="E555" s="194">
        <v>1000.0</v>
      </c>
      <c r="F555" s="399">
        <f t="shared" si="35"/>
        <v>65</v>
      </c>
      <c r="G555" s="110">
        <f t="shared" si="34"/>
        <v>0.4149966533</v>
      </c>
      <c r="H555" s="100"/>
      <c r="I555" s="117"/>
      <c r="J555" s="100"/>
      <c r="K555" s="83"/>
      <c r="L555" s="769" t="s">
        <v>1362</v>
      </c>
      <c r="M555" s="324">
        <v>45047.0</v>
      </c>
      <c r="N555" s="112" t="s">
        <v>34</v>
      </c>
      <c r="O555" s="131" t="s">
        <v>2185</v>
      </c>
      <c r="P555" s="103" t="s">
        <v>71</v>
      </c>
      <c r="Q555" s="400"/>
      <c r="R555" s="197"/>
      <c r="S555" s="91">
        <v>128.0</v>
      </c>
    </row>
    <row r="556">
      <c r="A556" s="197" t="s">
        <v>2186</v>
      </c>
      <c r="B556" s="189" t="s">
        <v>1497</v>
      </c>
      <c r="C556" s="135" t="s">
        <v>2187</v>
      </c>
      <c r="D556" s="293">
        <v>7.0</v>
      </c>
      <c r="E556" s="293">
        <v>1000.0</v>
      </c>
      <c r="F556" s="97">
        <f t="shared" si="35"/>
        <v>143</v>
      </c>
      <c r="G556" s="110">
        <f t="shared" si="34"/>
        <v>0.2788866755</v>
      </c>
      <c r="H556" s="100"/>
      <c r="I556" s="117"/>
      <c r="J556" s="100"/>
      <c r="K556" s="83"/>
      <c r="L556" s="195" t="s">
        <v>132</v>
      </c>
      <c r="M556" s="324">
        <v>45047.0</v>
      </c>
      <c r="N556" s="86" t="s">
        <v>34</v>
      </c>
      <c r="O556" s="131" t="s">
        <v>2188</v>
      </c>
      <c r="P556" s="103" t="s">
        <v>71</v>
      </c>
      <c r="Q556" s="400"/>
      <c r="R556" s="770" t="s">
        <v>2189</v>
      </c>
      <c r="S556" s="91">
        <v>127.0</v>
      </c>
    </row>
    <row r="557">
      <c r="A557" s="136" t="s">
        <v>2190</v>
      </c>
      <c r="B557" s="189" t="s">
        <v>984</v>
      </c>
      <c r="C557" s="248" t="s">
        <v>2191</v>
      </c>
      <c r="D557" s="219">
        <v>60.0</v>
      </c>
      <c r="E557" s="109"/>
      <c r="F557" s="392"/>
      <c r="G557" s="110" t="str">
        <f t="shared" si="34"/>
        <v/>
      </c>
      <c r="H557" s="100"/>
      <c r="I557" s="117"/>
      <c r="J557" s="100"/>
      <c r="K557" s="83"/>
      <c r="L557" s="195" t="s">
        <v>132</v>
      </c>
      <c r="M557" s="652">
        <v>45047.0</v>
      </c>
      <c r="N557" s="112" t="s">
        <v>34</v>
      </c>
      <c r="O557" s="514" t="s">
        <v>2192</v>
      </c>
      <c r="P557" s="103" t="s">
        <v>71</v>
      </c>
      <c r="Q557" s="252"/>
      <c r="R557" s="253" t="s">
        <v>2193</v>
      </c>
      <c r="S557" s="91">
        <v>126.0</v>
      </c>
    </row>
    <row r="558">
      <c r="A558" s="136" t="s">
        <v>2194</v>
      </c>
      <c r="B558" s="189" t="s">
        <v>190</v>
      </c>
      <c r="C558" s="248" t="s">
        <v>2195</v>
      </c>
      <c r="D558" s="225">
        <v>2.0</v>
      </c>
      <c r="E558" s="109">
        <v>1100.0</v>
      </c>
      <c r="F558" s="392">
        <f t="shared" ref="F558:F589" si="36">IF(E558&lt;&gt;"", ROUNDUP(E558/D558,0),"")</f>
        <v>550</v>
      </c>
      <c r="G558" s="110">
        <f t="shared" si="34"/>
        <v>0.156347192</v>
      </c>
      <c r="H558" s="100"/>
      <c r="I558" s="117"/>
      <c r="J558" s="100"/>
      <c r="K558" s="83"/>
      <c r="L558" s="195" t="s">
        <v>132</v>
      </c>
      <c r="M558" s="652">
        <v>45047.0</v>
      </c>
      <c r="N558" s="112" t="s">
        <v>34</v>
      </c>
      <c r="O558" s="514" t="s">
        <v>2195</v>
      </c>
      <c r="P558" s="103" t="s">
        <v>71</v>
      </c>
      <c r="Q558" s="252"/>
      <c r="R558" s="253" t="s">
        <v>2196</v>
      </c>
      <c r="S558" s="91">
        <v>125.0</v>
      </c>
    </row>
    <row r="559">
      <c r="A559" s="92" t="s">
        <v>2197</v>
      </c>
      <c r="B559" s="61" t="s">
        <v>857</v>
      </c>
      <c r="C559" s="135" t="s">
        <v>2198</v>
      </c>
      <c r="D559" s="411">
        <v>200.0</v>
      </c>
      <c r="E559" s="411">
        <v>4000.0</v>
      </c>
      <c r="F559" s="282">
        <f t="shared" si="36"/>
        <v>20</v>
      </c>
      <c r="G559" s="98">
        <f t="shared" si="34"/>
        <v>2.98142397</v>
      </c>
      <c r="H559" s="127">
        <v>70.4</v>
      </c>
      <c r="I559" s="627"/>
      <c r="J559" s="127"/>
      <c r="K559" s="83"/>
      <c r="L559" s="195" t="s">
        <v>132</v>
      </c>
      <c r="M559" s="324">
        <v>45017.0</v>
      </c>
      <c r="N559" s="86" t="s">
        <v>34</v>
      </c>
      <c r="O559" s="474" t="s">
        <v>2199</v>
      </c>
      <c r="P559" s="92" t="s">
        <v>71</v>
      </c>
      <c r="Q559" s="206"/>
      <c r="R559" s="105" t="s">
        <v>2200</v>
      </c>
      <c r="S559" s="91">
        <v>124.0</v>
      </c>
    </row>
    <row r="560">
      <c r="A560" s="136" t="s">
        <v>2035</v>
      </c>
      <c r="B560" s="189" t="s">
        <v>177</v>
      </c>
      <c r="C560" s="248" t="s">
        <v>2201</v>
      </c>
      <c r="D560" s="225">
        <v>7.0</v>
      </c>
      <c r="E560" s="109">
        <v>1000.0</v>
      </c>
      <c r="F560" s="392">
        <f t="shared" si="36"/>
        <v>143</v>
      </c>
      <c r="G560" s="110">
        <f t="shared" si="34"/>
        <v>0.2788866755</v>
      </c>
      <c r="H560" s="100"/>
      <c r="I560" s="117"/>
      <c r="J560" s="100"/>
      <c r="K560" s="83"/>
      <c r="L560" s="195" t="s">
        <v>132</v>
      </c>
      <c r="M560" s="652">
        <v>45017.0</v>
      </c>
      <c r="N560" s="112" t="s">
        <v>34</v>
      </c>
      <c r="O560" s="514" t="s">
        <v>2202</v>
      </c>
      <c r="P560" s="103" t="s">
        <v>71</v>
      </c>
      <c r="Q560" s="252"/>
      <c r="R560" s="253" t="s">
        <v>2203</v>
      </c>
      <c r="S560" s="91">
        <v>123.0</v>
      </c>
    </row>
    <row r="561">
      <c r="A561" s="136" t="s">
        <v>2186</v>
      </c>
      <c r="B561" s="189" t="s">
        <v>1497</v>
      </c>
      <c r="C561" s="248" t="s">
        <v>2204</v>
      </c>
      <c r="D561" s="225">
        <v>1.3</v>
      </c>
      <c r="E561" s="109">
        <v>200.0</v>
      </c>
      <c r="F561" s="392">
        <f t="shared" si="36"/>
        <v>154</v>
      </c>
      <c r="G561" s="110">
        <f t="shared" si="34"/>
        <v>0.05374838499</v>
      </c>
      <c r="H561" s="100"/>
      <c r="I561" s="117"/>
      <c r="J561" s="100"/>
      <c r="K561" s="83"/>
      <c r="L561" s="195" t="s">
        <v>132</v>
      </c>
      <c r="M561" s="652">
        <v>45017.0</v>
      </c>
      <c r="N561" s="112" t="s">
        <v>34</v>
      </c>
      <c r="O561" s="514" t="s">
        <v>2205</v>
      </c>
      <c r="P561" s="103" t="s">
        <v>71</v>
      </c>
      <c r="Q561" s="252"/>
      <c r="R561" s="253" t="s">
        <v>2206</v>
      </c>
      <c r="S561" s="91">
        <v>122.0</v>
      </c>
    </row>
    <row r="562">
      <c r="A562" s="136" t="s">
        <v>2207</v>
      </c>
      <c r="B562" s="61" t="s">
        <v>1502</v>
      </c>
      <c r="C562" s="248" t="s">
        <v>2208</v>
      </c>
      <c r="D562" s="225">
        <v>65.0</v>
      </c>
      <c r="E562" s="109">
        <v>1500.0</v>
      </c>
      <c r="F562" s="392">
        <f t="shared" si="36"/>
        <v>24</v>
      </c>
      <c r="G562" s="110">
        <f t="shared" si="34"/>
        <v>1.040833</v>
      </c>
      <c r="H562" s="100"/>
      <c r="I562" s="117"/>
      <c r="J562" s="100"/>
      <c r="K562" s="83"/>
      <c r="L562" s="195" t="s">
        <v>132</v>
      </c>
      <c r="M562" s="652">
        <v>45017.0</v>
      </c>
      <c r="N562" s="112" t="s">
        <v>34</v>
      </c>
      <c r="O562" s="514" t="s">
        <v>2209</v>
      </c>
      <c r="P562" s="103" t="s">
        <v>71</v>
      </c>
      <c r="Q562" s="252"/>
      <c r="R562" s="253" t="s">
        <v>2210</v>
      </c>
      <c r="S562" s="91">
        <v>121.0</v>
      </c>
    </row>
    <row r="563">
      <c r="A563" s="136" t="s">
        <v>2211</v>
      </c>
      <c r="B563" s="189" t="s">
        <v>2212</v>
      </c>
      <c r="C563" s="248" t="s">
        <v>2213</v>
      </c>
      <c r="D563" s="225">
        <v>12.0</v>
      </c>
      <c r="E563" s="109">
        <v>300.0</v>
      </c>
      <c r="F563" s="392">
        <f t="shared" si="36"/>
        <v>25</v>
      </c>
      <c r="G563" s="110">
        <f t="shared" si="34"/>
        <v>0.2</v>
      </c>
      <c r="H563" s="100"/>
      <c r="I563" s="117"/>
      <c r="J563" s="100"/>
      <c r="K563" s="83"/>
      <c r="L563" s="195" t="s">
        <v>132</v>
      </c>
      <c r="M563" s="652">
        <v>45017.0</v>
      </c>
      <c r="N563" s="112" t="s">
        <v>34</v>
      </c>
      <c r="O563" s="514" t="s">
        <v>2214</v>
      </c>
      <c r="P563" s="103" t="s">
        <v>71</v>
      </c>
      <c r="Q563" s="252"/>
      <c r="R563" s="253" t="s">
        <v>2215</v>
      </c>
      <c r="S563" s="91">
        <v>120.0</v>
      </c>
    </row>
    <row r="564">
      <c r="A564" s="136" t="s">
        <v>2216</v>
      </c>
      <c r="B564" s="189" t="s">
        <v>333</v>
      </c>
      <c r="C564" s="248" t="s">
        <v>2217</v>
      </c>
      <c r="D564" s="225">
        <v>12.0</v>
      </c>
      <c r="E564" s="109">
        <v>300.0</v>
      </c>
      <c r="F564" s="392">
        <f t="shared" si="36"/>
        <v>25</v>
      </c>
      <c r="G564" s="110">
        <f t="shared" si="34"/>
        <v>0.2</v>
      </c>
      <c r="H564" s="100"/>
      <c r="I564" s="117"/>
      <c r="J564" s="100"/>
      <c r="K564" s="83"/>
      <c r="L564" s="195" t="s">
        <v>132</v>
      </c>
      <c r="M564" s="652">
        <v>45017.0</v>
      </c>
      <c r="N564" s="112" t="s">
        <v>34</v>
      </c>
      <c r="O564" s="514" t="s">
        <v>2218</v>
      </c>
      <c r="P564" s="103" t="s">
        <v>71</v>
      </c>
      <c r="Q564" s="252"/>
      <c r="R564" s="253"/>
      <c r="S564" s="91">
        <v>119.0</v>
      </c>
    </row>
    <row r="565">
      <c r="A565" s="136" t="s">
        <v>2219</v>
      </c>
      <c r="B565" s="189" t="s">
        <v>736</v>
      </c>
      <c r="C565" s="248" t="s">
        <v>2220</v>
      </c>
      <c r="D565" s="225">
        <v>13.0</v>
      </c>
      <c r="E565" s="109"/>
      <c r="F565" s="392" t="str">
        <f t="shared" si="36"/>
        <v/>
      </c>
      <c r="G565" s="110" t="str">
        <f t="shared" si="34"/>
        <v/>
      </c>
      <c r="H565" s="100"/>
      <c r="I565" s="117"/>
      <c r="J565" s="100"/>
      <c r="K565" s="83"/>
      <c r="L565" s="195" t="s">
        <v>132</v>
      </c>
      <c r="M565" s="652">
        <v>45017.0</v>
      </c>
      <c r="N565" s="112" t="s">
        <v>34</v>
      </c>
      <c r="O565" s="514" t="s">
        <v>2221</v>
      </c>
      <c r="P565" s="103" t="s">
        <v>71</v>
      </c>
      <c r="Q565" s="252"/>
      <c r="R565" s="253" t="s">
        <v>2222</v>
      </c>
      <c r="S565" s="91">
        <v>118.0</v>
      </c>
    </row>
    <row r="566">
      <c r="A566" s="136" t="s">
        <v>2223</v>
      </c>
      <c r="B566" s="189" t="s">
        <v>2224</v>
      </c>
      <c r="C566" s="248" t="s">
        <v>2225</v>
      </c>
      <c r="D566" s="219">
        <v>20.0</v>
      </c>
      <c r="E566" s="116">
        <v>1000.0</v>
      </c>
      <c r="F566" s="392">
        <f t="shared" si="36"/>
        <v>50</v>
      </c>
      <c r="G566" s="110">
        <f t="shared" si="34"/>
        <v>0.4714045208</v>
      </c>
      <c r="H566" s="100"/>
      <c r="I566" s="117"/>
      <c r="J566" s="100"/>
      <c r="K566" s="83"/>
      <c r="L566" s="195" t="s">
        <v>132</v>
      </c>
      <c r="M566" s="652">
        <v>44986.0</v>
      </c>
      <c r="N566" s="112" t="s">
        <v>34</v>
      </c>
      <c r="O566" s="514" t="s">
        <v>2225</v>
      </c>
      <c r="P566" s="103" t="s">
        <v>71</v>
      </c>
      <c r="Q566" s="252"/>
      <c r="R566" s="253" t="s">
        <v>2226</v>
      </c>
      <c r="S566" s="91">
        <v>117.0</v>
      </c>
    </row>
    <row r="567">
      <c r="A567" s="136" t="s">
        <v>2227</v>
      </c>
      <c r="B567" s="189" t="s">
        <v>2228</v>
      </c>
      <c r="C567" s="266"/>
      <c r="D567" s="225">
        <v>50.0</v>
      </c>
      <c r="E567" s="109">
        <v>569.0</v>
      </c>
      <c r="F567" s="392">
        <f t="shared" si="36"/>
        <v>12</v>
      </c>
      <c r="G567" s="110">
        <f t="shared" si="34"/>
        <v>0.5622375931</v>
      </c>
      <c r="H567" s="100">
        <v>39.2</v>
      </c>
      <c r="I567" s="117"/>
      <c r="J567" s="100"/>
      <c r="K567" s="83"/>
      <c r="L567" s="195" t="s">
        <v>132</v>
      </c>
      <c r="M567" s="652">
        <v>44986.0</v>
      </c>
      <c r="N567" s="143" t="s">
        <v>28</v>
      </c>
      <c r="O567" s="514" t="s">
        <v>2229</v>
      </c>
      <c r="P567" s="103" t="s">
        <v>71</v>
      </c>
      <c r="Q567" s="252"/>
      <c r="R567" s="458" t="s">
        <v>2230</v>
      </c>
      <c r="S567" s="91">
        <v>116.0</v>
      </c>
    </row>
    <row r="568">
      <c r="A568" s="136" t="s">
        <v>2231</v>
      </c>
      <c r="B568" s="189" t="s">
        <v>2232</v>
      </c>
      <c r="C568" s="248" t="s">
        <v>2233</v>
      </c>
      <c r="D568" s="225">
        <v>8.3</v>
      </c>
      <c r="E568" s="109">
        <v>1000.0</v>
      </c>
      <c r="F568" s="392">
        <f t="shared" si="36"/>
        <v>121</v>
      </c>
      <c r="G568" s="110">
        <f t="shared" si="34"/>
        <v>0.3036811193</v>
      </c>
      <c r="H568" s="100"/>
      <c r="I568" s="117"/>
      <c r="J568" s="100"/>
      <c r="K568" s="83"/>
      <c r="L568" s="195" t="s">
        <v>132</v>
      </c>
      <c r="M568" s="652">
        <v>44986.0</v>
      </c>
      <c r="N568" s="112" t="s">
        <v>34</v>
      </c>
      <c r="O568" s="514" t="s">
        <v>2234</v>
      </c>
      <c r="P568" s="103" t="s">
        <v>71</v>
      </c>
      <c r="Q568" s="252"/>
      <c r="R568" s="458" t="s">
        <v>2235</v>
      </c>
      <c r="S568" s="91">
        <v>115.0</v>
      </c>
    </row>
    <row r="569">
      <c r="A569" s="136" t="s">
        <v>2236</v>
      </c>
      <c r="B569" s="189" t="s">
        <v>2237</v>
      </c>
      <c r="C569" s="248" t="s">
        <v>2238</v>
      </c>
      <c r="D569" s="225">
        <v>7.0</v>
      </c>
      <c r="E569" s="109">
        <v>1000.0</v>
      </c>
      <c r="F569" s="392">
        <f t="shared" si="36"/>
        <v>143</v>
      </c>
      <c r="G569" s="110">
        <f t="shared" si="34"/>
        <v>0.2788866755</v>
      </c>
      <c r="H569" s="100"/>
      <c r="I569" s="117"/>
      <c r="J569" s="100"/>
      <c r="K569" s="83"/>
      <c r="L569" s="195" t="s">
        <v>132</v>
      </c>
      <c r="M569" s="652">
        <v>44986.0</v>
      </c>
      <c r="N569" s="112" t="s">
        <v>34</v>
      </c>
      <c r="O569" s="514" t="s">
        <v>2239</v>
      </c>
      <c r="P569" s="103" t="s">
        <v>71</v>
      </c>
      <c r="Q569" s="252"/>
      <c r="R569" s="253" t="s">
        <v>2240</v>
      </c>
      <c r="S569" s="91">
        <v>114.0</v>
      </c>
    </row>
    <row r="570">
      <c r="A570" s="136" t="s">
        <v>2241</v>
      </c>
      <c r="B570" s="189" t="s">
        <v>822</v>
      </c>
      <c r="C570" s="248" t="s">
        <v>2242</v>
      </c>
      <c r="D570" s="225">
        <v>13.0</v>
      </c>
      <c r="E570" s="225">
        <v>260.0</v>
      </c>
      <c r="F570" s="392">
        <f t="shared" si="36"/>
        <v>20</v>
      </c>
      <c r="G570" s="110">
        <f t="shared" si="34"/>
        <v>0.193792558</v>
      </c>
      <c r="H570" s="100"/>
      <c r="I570" s="117"/>
      <c r="J570" s="100"/>
      <c r="K570" s="83"/>
      <c r="L570" s="195" t="s">
        <v>132</v>
      </c>
      <c r="M570" s="652">
        <v>44986.0</v>
      </c>
      <c r="N570" s="112" t="s">
        <v>34</v>
      </c>
      <c r="O570" s="267" t="s">
        <v>2243</v>
      </c>
      <c r="P570" s="103" t="s">
        <v>71</v>
      </c>
      <c r="Q570" s="252"/>
      <c r="R570" s="458" t="s">
        <v>2244</v>
      </c>
      <c r="S570" s="91">
        <v>113.0</v>
      </c>
    </row>
    <row r="571">
      <c r="A571" s="136" t="s">
        <v>2245</v>
      </c>
      <c r="B571" s="189" t="s">
        <v>405</v>
      </c>
      <c r="C571" s="713"/>
      <c r="D571" s="225">
        <v>1085.0</v>
      </c>
      <c r="E571" s="138"/>
      <c r="F571" s="392" t="str">
        <f t="shared" si="36"/>
        <v/>
      </c>
      <c r="G571" s="110" t="str">
        <f t="shared" si="34"/>
        <v/>
      </c>
      <c r="H571" s="100"/>
      <c r="I571" s="117"/>
      <c r="J571" s="100"/>
      <c r="K571" s="83"/>
      <c r="L571" s="195" t="s">
        <v>132</v>
      </c>
      <c r="M571" s="652">
        <v>44986.0</v>
      </c>
      <c r="N571" s="143" t="s">
        <v>28</v>
      </c>
      <c r="O571" s="267" t="s">
        <v>2246</v>
      </c>
      <c r="P571" s="103" t="s">
        <v>36</v>
      </c>
      <c r="Q571" s="481"/>
      <c r="R571" s="136" t="s">
        <v>2247</v>
      </c>
      <c r="S571" s="91">
        <v>112.0</v>
      </c>
    </row>
    <row r="572">
      <c r="A572" s="136" t="s">
        <v>2248</v>
      </c>
      <c r="B572" s="61" t="s">
        <v>101</v>
      </c>
      <c r="C572" s="713"/>
      <c r="D572" s="225">
        <v>5.2</v>
      </c>
      <c r="E572" s="138"/>
      <c r="F572" s="392" t="str">
        <f t="shared" si="36"/>
        <v/>
      </c>
      <c r="G572" s="110" t="str">
        <f t="shared" si="34"/>
        <v/>
      </c>
      <c r="H572" s="100"/>
      <c r="I572" s="117"/>
      <c r="J572" s="100"/>
      <c r="K572" s="83"/>
      <c r="L572" s="704" t="s">
        <v>2249</v>
      </c>
      <c r="M572" s="652">
        <v>44986.0</v>
      </c>
      <c r="N572" s="143" t="s">
        <v>28</v>
      </c>
      <c r="O572" s="514" t="s">
        <v>2250</v>
      </c>
      <c r="P572" s="103" t="s">
        <v>71</v>
      </c>
      <c r="Q572" s="520"/>
      <c r="R572" s="146" t="s">
        <v>2251</v>
      </c>
      <c r="S572" s="91">
        <v>111.0</v>
      </c>
    </row>
    <row r="573">
      <c r="A573" s="136" t="s">
        <v>2252</v>
      </c>
      <c r="B573" s="61" t="s">
        <v>45</v>
      </c>
      <c r="C573" s="713"/>
      <c r="D573" s="488">
        <v>340.0</v>
      </c>
      <c r="E573" s="488">
        <v>3600.0</v>
      </c>
      <c r="F573" s="392">
        <f t="shared" si="36"/>
        <v>11</v>
      </c>
      <c r="G573" s="110">
        <f t="shared" si="34"/>
        <v>3.687817783</v>
      </c>
      <c r="H573" s="100"/>
      <c r="I573" s="117"/>
      <c r="J573" s="100"/>
      <c r="K573" s="83"/>
      <c r="L573" s="195" t="s">
        <v>132</v>
      </c>
      <c r="M573" s="652">
        <v>44986.0</v>
      </c>
      <c r="N573" s="143" t="s">
        <v>28</v>
      </c>
      <c r="O573" s="514" t="s">
        <v>2253</v>
      </c>
      <c r="P573" s="103" t="s">
        <v>71</v>
      </c>
      <c r="Q573" s="520"/>
      <c r="R573" s="146" t="s">
        <v>2254</v>
      </c>
      <c r="S573" s="91">
        <v>110.0</v>
      </c>
    </row>
    <row r="574">
      <c r="A574" s="92" t="s">
        <v>2255</v>
      </c>
      <c r="B574" s="61" t="s">
        <v>50</v>
      </c>
      <c r="C574" s="135" t="s">
        <v>1439</v>
      </c>
      <c r="D574" s="181">
        <v>1760.0</v>
      </c>
      <c r="E574" s="124">
        <v>13000.0</v>
      </c>
      <c r="F574" s="707">
        <f t="shared" si="36"/>
        <v>8</v>
      </c>
      <c r="G574" s="764">
        <f t="shared" si="34"/>
        <v>15.94434766</v>
      </c>
      <c r="H574" s="564">
        <v>86.4</v>
      </c>
      <c r="I574" s="484"/>
      <c r="J574" s="535">
        <v>35.7</v>
      </c>
      <c r="K574" s="83"/>
      <c r="L574" s="195" t="s">
        <v>132</v>
      </c>
      <c r="M574" s="324">
        <v>44986.0</v>
      </c>
      <c r="N574" s="86" t="s">
        <v>34</v>
      </c>
      <c r="O574" s="474" t="s">
        <v>1440</v>
      </c>
      <c r="P574" s="92" t="s">
        <v>36</v>
      </c>
      <c r="Q574" s="133" t="s">
        <v>52</v>
      </c>
      <c r="R574" s="134" t="s">
        <v>2256</v>
      </c>
      <c r="S574" s="91">
        <v>109.0</v>
      </c>
    </row>
    <row r="575">
      <c r="A575" s="106" t="s">
        <v>2257</v>
      </c>
      <c r="B575" s="189" t="s">
        <v>681</v>
      </c>
      <c r="C575" s="108" t="s">
        <v>2258</v>
      </c>
      <c r="D575" s="109">
        <v>7.0</v>
      </c>
      <c r="E575" s="109">
        <v>1000.0</v>
      </c>
      <c r="F575" s="392">
        <f t="shared" si="36"/>
        <v>143</v>
      </c>
      <c r="G575" s="125">
        <f t="shared" si="34"/>
        <v>0.2788866755</v>
      </c>
      <c r="H575" s="350"/>
      <c r="I575" s="536"/>
      <c r="J575" s="350"/>
      <c r="K575" s="83"/>
      <c r="L575" s="195" t="s">
        <v>132</v>
      </c>
      <c r="M575" s="662">
        <v>44986.0</v>
      </c>
      <c r="N575" s="394" t="s">
        <v>34</v>
      </c>
      <c r="O575" s="594" t="s">
        <v>2259</v>
      </c>
      <c r="P575" s="106" t="s">
        <v>71</v>
      </c>
      <c r="Q575" s="622"/>
      <c r="R575" s="771" t="s">
        <v>2260</v>
      </c>
      <c r="S575" s="91">
        <v>108.0</v>
      </c>
    </row>
    <row r="576">
      <c r="A576" s="106" t="s">
        <v>2261</v>
      </c>
      <c r="B576" s="735" t="s">
        <v>589</v>
      </c>
      <c r="C576" s="772" t="s">
        <v>2262</v>
      </c>
      <c r="D576" s="591">
        <v>178.0</v>
      </c>
      <c r="E576" s="109"/>
      <c r="F576" s="392" t="str">
        <f t="shared" si="36"/>
        <v/>
      </c>
      <c r="G576" s="125" t="str">
        <f t="shared" si="34"/>
        <v/>
      </c>
      <c r="H576" s="350"/>
      <c r="I576" s="536"/>
      <c r="J576" s="350"/>
      <c r="K576" s="83"/>
      <c r="L576" s="195" t="s">
        <v>132</v>
      </c>
      <c r="M576" s="662">
        <v>44986.0</v>
      </c>
      <c r="N576" s="394" t="s">
        <v>34</v>
      </c>
      <c r="O576" s="474" t="s">
        <v>2263</v>
      </c>
      <c r="P576" s="106" t="s">
        <v>71</v>
      </c>
      <c r="Q576" s="773"/>
      <c r="R576" s="538"/>
      <c r="S576" s="91">
        <v>107.0</v>
      </c>
    </row>
    <row r="577">
      <c r="A577" s="106" t="s">
        <v>2264</v>
      </c>
      <c r="B577" s="189" t="s">
        <v>492</v>
      </c>
      <c r="C577" s="108" t="s">
        <v>2265</v>
      </c>
      <c r="D577" s="109">
        <v>20.0</v>
      </c>
      <c r="E577" s="591"/>
      <c r="F577" s="392" t="str">
        <f t="shared" si="36"/>
        <v/>
      </c>
      <c r="G577" s="125" t="str">
        <f t="shared" si="34"/>
        <v/>
      </c>
      <c r="H577" s="350">
        <v>33.6</v>
      </c>
      <c r="I577" s="536"/>
      <c r="J577" s="350"/>
      <c r="K577" s="83"/>
      <c r="L577" s="195" t="s">
        <v>132</v>
      </c>
      <c r="M577" s="662">
        <v>44986.0</v>
      </c>
      <c r="N577" s="394" t="s">
        <v>34</v>
      </c>
      <c r="O577" s="594" t="s">
        <v>2266</v>
      </c>
      <c r="P577" s="106" t="s">
        <v>71</v>
      </c>
      <c r="Q577" s="622"/>
      <c r="R577" s="771" t="s">
        <v>2267</v>
      </c>
      <c r="S577" s="91">
        <v>106.0</v>
      </c>
    </row>
    <row r="578">
      <c r="A578" s="106" t="s">
        <v>2268</v>
      </c>
      <c r="B578" s="189" t="s">
        <v>177</v>
      </c>
      <c r="C578" s="774"/>
      <c r="D578" s="553">
        <v>1.6</v>
      </c>
      <c r="E578" s="109">
        <v>360.0</v>
      </c>
      <c r="F578" s="392">
        <f t="shared" si="36"/>
        <v>225</v>
      </c>
      <c r="G578" s="125">
        <f t="shared" si="34"/>
        <v>0.08</v>
      </c>
      <c r="H578" s="350"/>
      <c r="I578" s="536"/>
      <c r="J578" s="350"/>
      <c r="K578" s="83"/>
      <c r="L578" s="195" t="s">
        <v>132</v>
      </c>
      <c r="M578" s="662">
        <v>44958.0</v>
      </c>
      <c r="N578" s="639" t="s">
        <v>28</v>
      </c>
      <c r="O578" s="775" t="s">
        <v>2269</v>
      </c>
      <c r="P578" s="106" t="s">
        <v>71</v>
      </c>
      <c r="Q578" s="608"/>
      <c r="R578" s="609" t="s">
        <v>2270</v>
      </c>
      <c r="S578" s="91">
        <v>105.0</v>
      </c>
    </row>
    <row r="579">
      <c r="A579" s="92" t="s">
        <v>2271</v>
      </c>
      <c r="B579" s="61" t="s">
        <v>56</v>
      </c>
      <c r="C579" s="776" t="s">
        <v>2272</v>
      </c>
      <c r="D579" s="470">
        <v>65.0</v>
      </c>
      <c r="E579" s="194">
        <v>1400.0</v>
      </c>
      <c r="F579" s="282">
        <f t="shared" si="36"/>
        <v>22</v>
      </c>
      <c r="G579" s="98">
        <f t="shared" si="34"/>
        <v>1.005540209</v>
      </c>
      <c r="H579" s="127">
        <v>68.9</v>
      </c>
      <c r="I579" s="627"/>
      <c r="J579" s="127"/>
      <c r="K579" s="83"/>
      <c r="L579" s="195" t="s">
        <v>132</v>
      </c>
      <c r="M579" s="324">
        <v>44958.0</v>
      </c>
      <c r="N579" s="86" t="s">
        <v>34</v>
      </c>
      <c r="O579" s="775" t="s">
        <v>2273</v>
      </c>
      <c r="P579" s="92" t="s">
        <v>71</v>
      </c>
      <c r="Q579" s="709" t="s">
        <v>52</v>
      </c>
      <c r="R579" s="710" t="s">
        <v>2274</v>
      </c>
      <c r="S579" s="91">
        <v>104.0</v>
      </c>
    </row>
    <row r="580">
      <c r="A580" s="106" t="s">
        <v>2275</v>
      </c>
      <c r="B580" s="189" t="s">
        <v>1540</v>
      </c>
      <c r="C580" s="777" t="s">
        <v>2276</v>
      </c>
      <c r="D580" s="553">
        <v>16.0</v>
      </c>
      <c r="E580" s="109">
        <v>430.0</v>
      </c>
      <c r="F580" s="392">
        <f t="shared" si="36"/>
        <v>27</v>
      </c>
      <c r="G580" s="125">
        <f t="shared" si="34"/>
        <v>0.2764858847</v>
      </c>
      <c r="H580" s="350"/>
      <c r="I580" s="536"/>
      <c r="J580" s="350"/>
      <c r="K580" s="83"/>
      <c r="L580" s="195" t="s">
        <v>132</v>
      </c>
      <c r="M580" s="662">
        <v>44958.0</v>
      </c>
      <c r="N580" s="86" t="s">
        <v>34</v>
      </c>
      <c r="O580" s="775" t="s">
        <v>2277</v>
      </c>
      <c r="P580" s="106" t="s">
        <v>71</v>
      </c>
      <c r="Q580" s="608"/>
      <c r="R580" s="609" t="s">
        <v>2278</v>
      </c>
      <c r="S580" s="91">
        <v>103.0</v>
      </c>
    </row>
    <row r="581">
      <c r="A581" s="106" t="s">
        <v>2279</v>
      </c>
      <c r="B581" s="189" t="s">
        <v>1122</v>
      </c>
      <c r="C581" s="607" t="s">
        <v>2280</v>
      </c>
      <c r="D581" s="553">
        <v>20.0</v>
      </c>
      <c r="E581" s="109">
        <v>300.0</v>
      </c>
      <c r="F581" s="392">
        <f t="shared" si="36"/>
        <v>15</v>
      </c>
      <c r="G581" s="110">
        <f t="shared" si="34"/>
        <v>0.2581988897</v>
      </c>
      <c r="H581" s="100"/>
      <c r="I581" s="117"/>
      <c r="J581" s="100"/>
      <c r="K581" s="83"/>
      <c r="L581" s="195" t="s">
        <v>132</v>
      </c>
      <c r="M581" s="662">
        <v>44958.0</v>
      </c>
      <c r="N581" s="86" t="s">
        <v>34</v>
      </c>
      <c r="O581" s="775" t="s">
        <v>2281</v>
      </c>
      <c r="P581" s="103" t="s">
        <v>71</v>
      </c>
      <c r="Q581" s="608"/>
      <c r="R581" s="609" t="s">
        <v>2282</v>
      </c>
      <c r="S581" s="91">
        <v>102.0</v>
      </c>
    </row>
    <row r="582">
      <c r="A582" s="106" t="s">
        <v>2283</v>
      </c>
      <c r="B582" s="189" t="s">
        <v>1084</v>
      </c>
      <c r="C582" s="607" t="s">
        <v>2284</v>
      </c>
      <c r="D582" s="778">
        <v>70.0</v>
      </c>
      <c r="E582" s="778">
        <v>588.0</v>
      </c>
      <c r="F582" s="392">
        <f t="shared" si="36"/>
        <v>9</v>
      </c>
      <c r="G582" s="110">
        <f t="shared" si="34"/>
        <v>0.6762642482</v>
      </c>
      <c r="H582" s="100"/>
      <c r="I582" s="117"/>
      <c r="J582" s="100"/>
      <c r="K582" s="83"/>
      <c r="L582" s="195" t="s">
        <v>132</v>
      </c>
      <c r="M582" s="662">
        <v>44958.0</v>
      </c>
      <c r="N582" s="86" t="s">
        <v>34</v>
      </c>
      <c r="O582" s="474" t="s">
        <v>2285</v>
      </c>
      <c r="P582" s="103" t="s">
        <v>71</v>
      </c>
      <c r="Q582" s="608"/>
      <c r="R582" s="609" t="s">
        <v>2286</v>
      </c>
      <c r="S582" s="91">
        <v>101.0</v>
      </c>
    </row>
    <row r="583">
      <c r="A583" s="106" t="s">
        <v>2287</v>
      </c>
      <c r="B583" s="61" t="s">
        <v>56</v>
      </c>
      <c r="C583" s="607" t="s">
        <v>2288</v>
      </c>
      <c r="D583" s="109">
        <v>6.7</v>
      </c>
      <c r="E583" s="109">
        <v>402.0</v>
      </c>
      <c r="F583" s="392">
        <f t="shared" si="36"/>
        <v>60</v>
      </c>
      <c r="G583" s="110">
        <f t="shared" si="34"/>
        <v>0.1729932561</v>
      </c>
      <c r="H583" s="100"/>
      <c r="I583" s="117"/>
      <c r="J583" s="100"/>
      <c r="K583" s="83"/>
      <c r="L583" s="195" t="s">
        <v>132</v>
      </c>
      <c r="M583" s="662">
        <v>44958.0</v>
      </c>
      <c r="N583" s="639" t="s">
        <v>28</v>
      </c>
      <c r="O583" s="775" t="s">
        <v>2289</v>
      </c>
      <c r="P583" s="103" t="s">
        <v>71</v>
      </c>
      <c r="Q583" s="608"/>
      <c r="R583" s="609" t="s">
        <v>2290</v>
      </c>
      <c r="S583" s="91">
        <v>100.0</v>
      </c>
    </row>
    <row r="584">
      <c r="A584" s="106" t="s">
        <v>2291</v>
      </c>
      <c r="B584" s="61" t="s">
        <v>857</v>
      </c>
      <c r="C584" s="607" t="s">
        <v>2292</v>
      </c>
      <c r="D584" s="109">
        <v>0.738</v>
      </c>
      <c r="E584" s="109"/>
      <c r="F584" s="392" t="str">
        <f t="shared" si="36"/>
        <v/>
      </c>
      <c r="G584" s="110" t="str">
        <f t="shared" si="34"/>
        <v/>
      </c>
      <c r="H584" s="100"/>
      <c r="I584" s="117"/>
      <c r="J584" s="100"/>
      <c r="K584" s="83"/>
      <c r="L584" s="195" t="s">
        <v>103</v>
      </c>
      <c r="M584" s="662">
        <v>44958.0</v>
      </c>
      <c r="N584" s="86" t="s">
        <v>34</v>
      </c>
      <c r="O584" s="775" t="s">
        <v>2293</v>
      </c>
      <c r="P584" s="103" t="s">
        <v>71</v>
      </c>
      <c r="Q584" s="608"/>
      <c r="R584" s="609" t="s">
        <v>2294</v>
      </c>
      <c r="S584" s="91">
        <v>99.0</v>
      </c>
    </row>
    <row r="585">
      <c r="A585" s="779" t="s">
        <v>2295</v>
      </c>
      <c r="B585" s="721" t="s">
        <v>177</v>
      </c>
      <c r="C585" s="780"/>
      <c r="D585" s="723">
        <v>0.06</v>
      </c>
      <c r="E585" s="723">
        <v>9.0</v>
      </c>
      <c r="F585" s="724">
        <f t="shared" si="36"/>
        <v>150</v>
      </c>
      <c r="G585" s="494">
        <f t="shared" si="34"/>
        <v>0.002449489743</v>
      </c>
      <c r="H585" s="725"/>
      <c r="I585" s="726"/>
      <c r="J585" s="725"/>
      <c r="K585" s="496"/>
      <c r="L585" s="497" t="s">
        <v>103</v>
      </c>
      <c r="M585" s="781">
        <v>44957.0</v>
      </c>
      <c r="N585" s="782" t="s">
        <v>28</v>
      </c>
      <c r="O585" s="783" t="s">
        <v>2296</v>
      </c>
      <c r="P585" s="729" t="s">
        <v>71</v>
      </c>
      <c r="Q585" s="784"/>
      <c r="R585" s="785" t="s">
        <v>2297</v>
      </c>
      <c r="S585" s="91">
        <v>98.0</v>
      </c>
    </row>
    <row r="586">
      <c r="A586" s="106" t="s">
        <v>2298</v>
      </c>
      <c r="B586" s="61" t="s">
        <v>45</v>
      </c>
      <c r="C586" s="786"/>
      <c r="D586" s="109">
        <v>540.0</v>
      </c>
      <c r="E586" s="109">
        <v>780.0</v>
      </c>
      <c r="F586" s="392">
        <f t="shared" si="36"/>
        <v>2</v>
      </c>
      <c r="G586" s="110">
        <f t="shared" si="34"/>
        <v>2.163330765</v>
      </c>
      <c r="H586" s="100"/>
      <c r="I586" s="117"/>
      <c r="J586" s="100"/>
      <c r="K586" s="83"/>
      <c r="L586" s="195" t="s">
        <v>132</v>
      </c>
      <c r="M586" s="662">
        <v>44896.0</v>
      </c>
      <c r="N586" s="639" t="s">
        <v>28</v>
      </c>
      <c r="O586" s="775" t="s">
        <v>2299</v>
      </c>
      <c r="P586" s="103" t="s">
        <v>71</v>
      </c>
      <c r="Q586" s="608"/>
      <c r="R586" s="609" t="s">
        <v>2300</v>
      </c>
      <c r="S586" s="91">
        <v>97.0</v>
      </c>
    </row>
    <row r="587">
      <c r="A587" s="106" t="s">
        <v>2301</v>
      </c>
      <c r="B587" s="61" t="s">
        <v>56</v>
      </c>
      <c r="C587" s="607" t="s">
        <v>2302</v>
      </c>
      <c r="D587" s="194">
        <v>175.0</v>
      </c>
      <c r="E587" s="194">
        <v>300.0</v>
      </c>
      <c r="F587" s="392">
        <f t="shared" si="36"/>
        <v>2</v>
      </c>
      <c r="G587" s="110">
        <f t="shared" si="34"/>
        <v>0.7637626158</v>
      </c>
      <c r="H587" s="100"/>
      <c r="I587" s="117"/>
      <c r="J587" s="100"/>
      <c r="K587" s="83"/>
      <c r="L587" s="195" t="s">
        <v>132</v>
      </c>
      <c r="M587" s="324">
        <v>44896.0</v>
      </c>
      <c r="N587" s="86" t="s">
        <v>34</v>
      </c>
      <c r="O587" s="205" t="s">
        <v>2303</v>
      </c>
      <c r="P587" s="103" t="s">
        <v>71</v>
      </c>
      <c r="Q587" s="608"/>
      <c r="R587" s="609" t="s">
        <v>2304</v>
      </c>
      <c r="S587" s="91">
        <v>96.0</v>
      </c>
    </row>
    <row r="588">
      <c r="A588" s="106" t="s">
        <v>2305</v>
      </c>
      <c r="B588" s="189" t="s">
        <v>90</v>
      </c>
      <c r="C588" s="761"/>
      <c r="D588" s="109">
        <v>52.0</v>
      </c>
      <c r="E588" s="109">
        <v>400.0</v>
      </c>
      <c r="F588" s="392">
        <f t="shared" si="36"/>
        <v>8</v>
      </c>
      <c r="G588" s="110">
        <f t="shared" si="34"/>
        <v>0.4807401701</v>
      </c>
      <c r="H588" s="100"/>
      <c r="I588" s="117"/>
      <c r="J588" s="100"/>
      <c r="K588" s="83"/>
      <c r="L588" s="195" t="s">
        <v>132</v>
      </c>
      <c r="M588" s="662">
        <v>44896.0</v>
      </c>
      <c r="N588" s="639" t="s">
        <v>28</v>
      </c>
      <c r="O588" s="775" t="s">
        <v>2306</v>
      </c>
      <c r="P588" s="103" t="s">
        <v>71</v>
      </c>
      <c r="Q588" s="608"/>
      <c r="R588" s="609" t="s">
        <v>2307</v>
      </c>
      <c r="S588" s="91">
        <v>95.0</v>
      </c>
    </row>
    <row r="589">
      <c r="A589" s="106" t="s">
        <v>2308</v>
      </c>
      <c r="B589" s="61" t="s">
        <v>41</v>
      </c>
      <c r="C589" s="786"/>
      <c r="D589" s="194">
        <v>0.56</v>
      </c>
      <c r="E589" s="194"/>
      <c r="F589" s="392" t="str">
        <f t="shared" si="36"/>
        <v/>
      </c>
      <c r="G589" s="110" t="str">
        <f t="shared" si="34"/>
        <v/>
      </c>
      <c r="H589" s="100"/>
      <c r="I589" s="117"/>
      <c r="J589" s="100"/>
      <c r="K589" s="83"/>
      <c r="L589" s="195" t="s">
        <v>1362</v>
      </c>
      <c r="M589" s="324">
        <v>44896.0</v>
      </c>
      <c r="N589" s="86" t="s">
        <v>34</v>
      </c>
      <c r="O589" s="775" t="s">
        <v>2309</v>
      </c>
      <c r="P589" s="103" t="s">
        <v>71</v>
      </c>
      <c r="Q589" s="133"/>
      <c r="R589" s="787"/>
      <c r="S589" s="91">
        <v>94.0</v>
      </c>
    </row>
    <row r="590">
      <c r="A590" s="106" t="s">
        <v>2310</v>
      </c>
      <c r="B590" s="61" t="s">
        <v>101</v>
      </c>
      <c r="C590" s="786"/>
      <c r="D590" s="194">
        <v>0.035</v>
      </c>
      <c r="E590" s="194"/>
      <c r="F590" s="392"/>
      <c r="G590" s="110" t="str">
        <f t="shared" si="34"/>
        <v/>
      </c>
      <c r="H590" s="100"/>
      <c r="I590" s="117"/>
      <c r="J590" s="100"/>
      <c r="K590" s="83"/>
      <c r="L590" s="195" t="s">
        <v>103</v>
      </c>
      <c r="M590" s="324">
        <v>44896.0</v>
      </c>
      <c r="N590" s="639" t="s">
        <v>28</v>
      </c>
      <c r="O590" s="775" t="s">
        <v>2311</v>
      </c>
      <c r="P590" s="103" t="s">
        <v>71</v>
      </c>
      <c r="Q590" s="608"/>
      <c r="R590" s="609"/>
      <c r="S590" s="91">
        <v>93.0</v>
      </c>
    </row>
    <row r="591">
      <c r="A591" s="106" t="s">
        <v>2312</v>
      </c>
      <c r="B591" s="61" t="s">
        <v>50</v>
      </c>
      <c r="C591" s="607" t="s">
        <v>1439</v>
      </c>
      <c r="D591" s="411">
        <v>20.0</v>
      </c>
      <c r="E591" s="194"/>
      <c r="F591" s="392" t="str">
        <f t="shared" ref="F591:F592" si="37">IF(E591&lt;&gt;"", ROUNDUP(E591/D591,0),"")</f>
        <v/>
      </c>
      <c r="G591" s="110" t="str">
        <f t="shared" si="34"/>
        <v/>
      </c>
      <c r="H591" s="100">
        <v>70.0</v>
      </c>
      <c r="I591" s="117"/>
      <c r="J591" s="100">
        <v>28.1</v>
      </c>
      <c r="K591" s="83"/>
      <c r="L591" s="195" t="s">
        <v>132</v>
      </c>
      <c r="M591" s="324">
        <v>44866.0</v>
      </c>
      <c r="N591" s="86" t="s">
        <v>34</v>
      </c>
      <c r="O591" s="205" t="s">
        <v>2313</v>
      </c>
      <c r="P591" s="103" t="s">
        <v>71</v>
      </c>
      <c r="Q591" s="608"/>
      <c r="R591" s="609" t="s">
        <v>2314</v>
      </c>
      <c r="S591" s="91">
        <v>92.0</v>
      </c>
    </row>
    <row r="592">
      <c r="A592" s="106" t="s">
        <v>2315</v>
      </c>
      <c r="B592" s="61" t="s">
        <v>50</v>
      </c>
      <c r="C592" s="607" t="s">
        <v>1439</v>
      </c>
      <c r="D592" s="470"/>
      <c r="E592" s="194"/>
      <c r="F592" s="392" t="str">
        <f t="shared" si="37"/>
        <v/>
      </c>
      <c r="G592" s="110" t="str">
        <f t="shared" si="34"/>
        <v/>
      </c>
      <c r="H592" s="100"/>
      <c r="I592" s="117"/>
      <c r="J592" s="100"/>
      <c r="K592" s="83"/>
      <c r="L592" s="195" t="s">
        <v>132</v>
      </c>
      <c r="M592" s="324">
        <v>44866.0</v>
      </c>
      <c r="N592" s="86" t="s">
        <v>34</v>
      </c>
      <c r="O592" s="205" t="s">
        <v>2313</v>
      </c>
      <c r="P592" s="103" t="s">
        <v>71</v>
      </c>
      <c r="Q592" s="608"/>
      <c r="R592" s="609"/>
      <c r="S592" s="91">
        <v>91.0</v>
      </c>
    </row>
    <row r="593">
      <c r="A593" s="106" t="s">
        <v>2316</v>
      </c>
      <c r="B593" s="189" t="s">
        <v>492</v>
      </c>
      <c r="C593" s="607" t="s">
        <v>2317</v>
      </c>
      <c r="D593" s="109">
        <v>6.0</v>
      </c>
      <c r="E593" s="109"/>
      <c r="F593" s="392"/>
      <c r="G593" s="110" t="str">
        <f t="shared" si="34"/>
        <v/>
      </c>
      <c r="H593" s="100"/>
      <c r="I593" s="117"/>
      <c r="J593" s="100"/>
      <c r="K593" s="83"/>
      <c r="L593" s="195" t="s">
        <v>132</v>
      </c>
      <c r="M593" s="85">
        <v>44866.0</v>
      </c>
      <c r="N593" s="394" t="s">
        <v>34</v>
      </c>
      <c r="O593" s="775" t="s">
        <v>2318</v>
      </c>
      <c r="P593" s="103" t="s">
        <v>71</v>
      </c>
      <c r="Q593" s="608"/>
      <c r="R593" s="609"/>
      <c r="S593" s="91">
        <v>90.0</v>
      </c>
    </row>
    <row r="594">
      <c r="A594" s="106" t="s">
        <v>2319</v>
      </c>
      <c r="B594" s="189" t="s">
        <v>772</v>
      </c>
      <c r="C594" s="607" t="s">
        <v>2320</v>
      </c>
      <c r="D594" s="109">
        <v>14.0</v>
      </c>
      <c r="E594" s="109">
        <v>332.0</v>
      </c>
      <c r="F594" s="392">
        <f t="shared" ref="F594:F598" si="38">IF(E594&lt;&gt;"", ROUNDUP(E594/D594,0),"")</f>
        <v>24</v>
      </c>
      <c r="G594" s="110">
        <f t="shared" si="34"/>
        <v>0.2272541407</v>
      </c>
      <c r="H594" s="100"/>
      <c r="I594" s="117"/>
      <c r="J594" s="100"/>
      <c r="K594" s="83"/>
      <c r="L594" s="195" t="s">
        <v>132</v>
      </c>
      <c r="M594" s="85">
        <v>44866.0</v>
      </c>
      <c r="N594" s="394" t="s">
        <v>34</v>
      </c>
      <c r="O594" s="474" t="s">
        <v>2321</v>
      </c>
      <c r="P594" s="103" t="s">
        <v>71</v>
      </c>
      <c r="Q594" s="608"/>
      <c r="R594" s="609" t="s">
        <v>2322</v>
      </c>
      <c r="S594" s="91">
        <v>89.0</v>
      </c>
    </row>
    <row r="595">
      <c r="A595" s="106" t="s">
        <v>2323</v>
      </c>
      <c r="B595" s="61" t="s">
        <v>56</v>
      </c>
      <c r="C595" s="108" t="s">
        <v>2324</v>
      </c>
      <c r="D595" s="109">
        <v>120.0</v>
      </c>
      <c r="E595" s="109">
        <v>450.0</v>
      </c>
      <c r="F595" s="392">
        <f t="shared" si="38"/>
        <v>4</v>
      </c>
      <c r="G595" s="110">
        <f t="shared" si="34"/>
        <v>0.7745966692</v>
      </c>
      <c r="H595" s="100">
        <v>52.6</v>
      </c>
      <c r="I595" s="117"/>
      <c r="J595" s="100"/>
      <c r="K595" s="83"/>
      <c r="L595" s="788" t="s">
        <v>2325</v>
      </c>
      <c r="M595" s="85">
        <v>44866.0</v>
      </c>
      <c r="N595" s="394" t="s">
        <v>34</v>
      </c>
      <c r="O595" s="775" t="s">
        <v>2326</v>
      </c>
      <c r="P595" s="103" t="s">
        <v>71</v>
      </c>
      <c r="Q595" s="789"/>
      <c r="R595" s="790" t="s">
        <v>2327</v>
      </c>
      <c r="S595" s="91">
        <v>88.0</v>
      </c>
    </row>
    <row r="596">
      <c r="A596" s="106" t="s">
        <v>2328</v>
      </c>
      <c r="B596" s="61" t="s">
        <v>2329</v>
      </c>
      <c r="C596" s="654"/>
      <c r="D596" s="716"/>
      <c r="E596" s="109"/>
      <c r="F596" s="392" t="str">
        <f t="shared" si="38"/>
        <v/>
      </c>
      <c r="G596" s="110" t="str">
        <f t="shared" si="34"/>
        <v/>
      </c>
      <c r="H596" s="100"/>
      <c r="I596" s="117"/>
      <c r="J596" s="100"/>
      <c r="K596" s="83"/>
      <c r="L596" s="195" t="s">
        <v>132</v>
      </c>
      <c r="M596" s="85">
        <v>44866.0</v>
      </c>
      <c r="N596" s="639" t="s">
        <v>28</v>
      </c>
      <c r="O596" s="775" t="s">
        <v>2330</v>
      </c>
      <c r="P596" s="103" t="s">
        <v>71</v>
      </c>
      <c r="Q596" s="567" t="s">
        <v>72</v>
      </c>
      <c r="R596" s="106" t="s">
        <v>2331</v>
      </c>
      <c r="S596" s="91">
        <v>87.0</v>
      </c>
    </row>
    <row r="597">
      <c r="A597" s="106" t="s">
        <v>2332</v>
      </c>
      <c r="B597" s="189" t="s">
        <v>2333</v>
      </c>
      <c r="C597" s="108" t="s">
        <v>2334</v>
      </c>
      <c r="D597" s="109">
        <v>13.0</v>
      </c>
      <c r="E597" s="109">
        <v>1000.0</v>
      </c>
      <c r="F597" s="392">
        <f t="shared" si="38"/>
        <v>77</v>
      </c>
      <c r="G597" s="110">
        <f t="shared" si="34"/>
        <v>0.380058475</v>
      </c>
      <c r="H597" s="100"/>
      <c r="I597" s="117"/>
      <c r="J597" s="100"/>
      <c r="K597" s="83"/>
      <c r="L597" s="704" t="s">
        <v>2249</v>
      </c>
      <c r="M597" s="85">
        <v>44866.0</v>
      </c>
      <c r="N597" s="394" t="s">
        <v>34</v>
      </c>
      <c r="O597" s="775" t="s">
        <v>2335</v>
      </c>
      <c r="P597" s="103" t="s">
        <v>71</v>
      </c>
      <c r="Q597" s="567"/>
      <c r="R597" s="106" t="s">
        <v>2336</v>
      </c>
      <c r="S597" s="91">
        <v>86.0</v>
      </c>
    </row>
    <row r="598" ht="22.5" customHeight="1">
      <c r="A598" s="103" t="s">
        <v>2337</v>
      </c>
      <c r="B598" s="189" t="s">
        <v>2333</v>
      </c>
      <c r="C598" s="631" t="s">
        <v>2334</v>
      </c>
      <c r="D598" s="169">
        <v>176.0</v>
      </c>
      <c r="E598" s="226">
        <v>366.0</v>
      </c>
      <c r="F598" s="227">
        <f t="shared" si="38"/>
        <v>3</v>
      </c>
      <c r="G598" s="110">
        <f t="shared" si="34"/>
        <v>0.8460102442</v>
      </c>
      <c r="H598" s="100"/>
      <c r="I598" s="117"/>
      <c r="J598" s="100"/>
      <c r="K598" s="83"/>
      <c r="L598" s="195" t="s">
        <v>132</v>
      </c>
      <c r="M598" s="85">
        <v>44866.0</v>
      </c>
      <c r="N598" s="130" t="s">
        <v>34</v>
      </c>
      <c r="O598" s="474" t="s">
        <v>2335</v>
      </c>
      <c r="P598" s="103" t="s">
        <v>71</v>
      </c>
      <c r="Q598" s="567"/>
      <c r="R598" s="106" t="s">
        <v>2336</v>
      </c>
      <c r="S598" s="91">
        <v>85.0</v>
      </c>
    </row>
    <row r="599" ht="22.5" customHeight="1">
      <c r="A599" s="106" t="s">
        <v>2338</v>
      </c>
      <c r="B599" s="189" t="s">
        <v>177</v>
      </c>
      <c r="C599" s="108" t="s">
        <v>2339</v>
      </c>
      <c r="D599" s="109"/>
      <c r="E599" s="109">
        <v>0.03</v>
      </c>
      <c r="F599" s="392"/>
      <c r="G599" s="110">
        <f t="shared" si="34"/>
        <v>0</v>
      </c>
      <c r="H599" s="100"/>
      <c r="I599" s="117"/>
      <c r="J599" s="100"/>
      <c r="K599" s="83"/>
      <c r="L599" s="195" t="s">
        <v>103</v>
      </c>
      <c r="M599" s="662">
        <v>44835.0</v>
      </c>
      <c r="N599" s="394" t="s">
        <v>34</v>
      </c>
      <c r="O599" s="775" t="s">
        <v>2340</v>
      </c>
      <c r="P599" s="103" t="s">
        <v>71</v>
      </c>
      <c r="Q599" s="718"/>
      <c r="R599" s="719" t="s">
        <v>2341</v>
      </c>
      <c r="S599" s="91">
        <v>84.0</v>
      </c>
    </row>
    <row r="600">
      <c r="A600" s="92" t="s">
        <v>2342</v>
      </c>
      <c r="B600" s="61" t="s">
        <v>101</v>
      </c>
      <c r="C600" s="135" t="s">
        <v>2156</v>
      </c>
      <c r="D600" s="194">
        <v>11.0</v>
      </c>
      <c r="E600" s="194">
        <v>1100.0</v>
      </c>
      <c r="F600" s="282">
        <f t="shared" ref="F600:F602" si="39">IF(E600&lt;&gt;"", ROUNDUP(E600/D600,0),"")</f>
        <v>100</v>
      </c>
      <c r="G600" s="98">
        <f t="shared" si="34"/>
        <v>0.3666666667</v>
      </c>
      <c r="H600" s="127"/>
      <c r="I600" s="627"/>
      <c r="J600" s="127"/>
      <c r="K600" s="83"/>
      <c r="L600" s="195" t="s">
        <v>132</v>
      </c>
      <c r="M600" s="324">
        <v>44835.0</v>
      </c>
      <c r="N600" s="86" t="s">
        <v>34</v>
      </c>
      <c r="O600" s="775" t="s">
        <v>2343</v>
      </c>
      <c r="P600" s="92" t="s">
        <v>71</v>
      </c>
      <c r="Q600" s="522" t="s">
        <v>52</v>
      </c>
      <c r="R600" s="92" t="s">
        <v>2344</v>
      </c>
      <c r="S600" s="91">
        <v>83.0</v>
      </c>
    </row>
    <row r="601">
      <c r="A601" s="106" t="s">
        <v>2345</v>
      </c>
      <c r="B601" s="61" t="s">
        <v>101</v>
      </c>
      <c r="C601" s="761"/>
      <c r="D601" s="109">
        <v>540.0</v>
      </c>
      <c r="E601" s="109">
        <v>780.0</v>
      </c>
      <c r="F601" s="392">
        <f t="shared" si="39"/>
        <v>2</v>
      </c>
      <c r="G601" s="110">
        <f t="shared" si="34"/>
        <v>2.163330765</v>
      </c>
      <c r="H601" s="100">
        <v>73.5</v>
      </c>
      <c r="I601" s="117"/>
      <c r="J601" s="100"/>
      <c r="K601" s="83"/>
      <c r="L601" s="195" t="s">
        <v>132</v>
      </c>
      <c r="M601" s="662">
        <v>44835.0</v>
      </c>
      <c r="N601" s="639" t="s">
        <v>28</v>
      </c>
      <c r="O601" s="474" t="s">
        <v>2343</v>
      </c>
      <c r="P601" s="103" t="s">
        <v>71</v>
      </c>
      <c r="Q601" s="567"/>
      <c r="R601" s="106"/>
      <c r="S601" s="91">
        <v>82.0</v>
      </c>
    </row>
    <row r="602">
      <c r="A602" s="106" t="s">
        <v>2346</v>
      </c>
      <c r="B602" s="61" t="s">
        <v>101</v>
      </c>
      <c r="C602" s="761"/>
      <c r="D602" s="109">
        <v>540.0</v>
      </c>
      <c r="E602" s="109">
        <v>780.0</v>
      </c>
      <c r="F602" s="392">
        <f t="shared" si="39"/>
        <v>2</v>
      </c>
      <c r="G602" s="110">
        <f t="shared" si="34"/>
        <v>2.163330765</v>
      </c>
      <c r="H602" s="100">
        <v>74.1</v>
      </c>
      <c r="I602" s="117"/>
      <c r="J602" s="100"/>
      <c r="K602" s="83"/>
      <c r="L602" s="195" t="s">
        <v>132</v>
      </c>
      <c r="M602" s="662">
        <v>44835.0</v>
      </c>
      <c r="N602" s="639" t="s">
        <v>28</v>
      </c>
      <c r="O602" s="775" t="s">
        <v>2347</v>
      </c>
      <c r="P602" s="103" t="s">
        <v>71</v>
      </c>
      <c r="Q602" s="567"/>
      <c r="R602" s="106"/>
      <c r="S602" s="91">
        <v>81.0</v>
      </c>
    </row>
    <row r="603">
      <c r="A603" s="106" t="s">
        <v>2348</v>
      </c>
      <c r="B603" s="189" t="s">
        <v>190</v>
      </c>
      <c r="C603" s="791" t="s">
        <v>2349</v>
      </c>
      <c r="D603" s="109">
        <v>0.2</v>
      </c>
      <c r="E603" s="109"/>
      <c r="F603" s="392"/>
      <c r="G603" s="110" t="str">
        <f t="shared" si="34"/>
        <v/>
      </c>
      <c r="H603" s="100"/>
      <c r="I603" s="117"/>
      <c r="J603" s="100"/>
      <c r="K603" s="83"/>
      <c r="L603" s="195" t="s">
        <v>103</v>
      </c>
      <c r="M603" s="652">
        <v>44835.0</v>
      </c>
      <c r="N603" s="394" t="s">
        <v>34</v>
      </c>
      <c r="O603" s="775" t="s">
        <v>2350</v>
      </c>
      <c r="P603" s="103" t="s">
        <v>71</v>
      </c>
      <c r="Q603" s="792"/>
      <c r="R603" s="793"/>
      <c r="S603" s="91">
        <v>80.0</v>
      </c>
    </row>
    <row r="604">
      <c r="A604" s="106" t="s">
        <v>2351</v>
      </c>
      <c r="B604" s="61" t="s">
        <v>1443</v>
      </c>
      <c r="C604" s="794" t="s">
        <v>2352</v>
      </c>
      <c r="D604" s="109">
        <v>13.0</v>
      </c>
      <c r="E604" s="109">
        <v>2000.0</v>
      </c>
      <c r="F604" s="392">
        <f t="shared" ref="F604:F608" si="40">IF(E604&lt;&gt;"", ROUNDUP(E604/D604,0),"")</f>
        <v>154</v>
      </c>
      <c r="G604" s="110">
        <f t="shared" si="34"/>
        <v>0.5374838499</v>
      </c>
      <c r="H604" s="100"/>
      <c r="I604" s="117"/>
      <c r="J604" s="100"/>
      <c r="K604" s="83"/>
      <c r="L604" s="195" t="s">
        <v>132</v>
      </c>
      <c r="M604" s="652">
        <v>44805.0</v>
      </c>
      <c r="N604" s="394" t="s">
        <v>34</v>
      </c>
      <c r="O604" s="205" t="s">
        <v>2353</v>
      </c>
      <c r="P604" s="103" t="s">
        <v>71</v>
      </c>
      <c r="Q604" s="795"/>
      <c r="R604" s="796" t="s">
        <v>2354</v>
      </c>
      <c r="S604" s="91">
        <v>79.0</v>
      </c>
    </row>
    <row r="605">
      <c r="A605" s="106" t="s">
        <v>2355</v>
      </c>
      <c r="B605" s="189" t="s">
        <v>2356</v>
      </c>
      <c r="C605" s="794" t="s">
        <v>2357</v>
      </c>
      <c r="D605" s="109">
        <v>10.0</v>
      </c>
      <c r="E605" s="109">
        <v>300.0</v>
      </c>
      <c r="F605" s="392">
        <f t="shared" si="40"/>
        <v>30</v>
      </c>
      <c r="G605" s="110">
        <f t="shared" si="34"/>
        <v>0.1825741858</v>
      </c>
      <c r="H605" s="100"/>
      <c r="I605" s="117"/>
      <c r="J605" s="100"/>
      <c r="K605" s="83"/>
      <c r="L605" s="195" t="s">
        <v>132</v>
      </c>
      <c r="M605" s="652">
        <v>44805.0</v>
      </c>
      <c r="N605" s="394" t="s">
        <v>34</v>
      </c>
      <c r="O605" s="775" t="s">
        <v>2358</v>
      </c>
      <c r="P605" s="103" t="s">
        <v>71</v>
      </c>
      <c r="Q605" s="795"/>
      <c r="R605" s="796" t="s">
        <v>2359</v>
      </c>
      <c r="S605" s="91">
        <v>78.0</v>
      </c>
    </row>
    <row r="606">
      <c r="A606" s="106" t="s">
        <v>2360</v>
      </c>
      <c r="B606" s="797" t="s">
        <v>1443</v>
      </c>
      <c r="C606" s="798"/>
      <c r="D606" s="109">
        <v>13.0</v>
      </c>
      <c r="E606" s="109">
        <v>850.0</v>
      </c>
      <c r="F606" s="392">
        <f t="shared" si="40"/>
        <v>66</v>
      </c>
      <c r="G606" s="110">
        <f t="shared" si="34"/>
        <v>0.3503966007</v>
      </c>
      <c r="H606" s="100"/>
      <c r="I606" s="117"/>
      <c r="J606" s="100"/>
      <c r="K606" s="83"/>
      <c r="L606" s="195" t="s">
        <v>1362</v>
      </c>
      <c r="M606" s="652">
        <v>44805.0</v>
      </c>
      <c r="N606" s="394" t="s">
        <v>34</v>
      </c>
      <c r="O606" s="775" t="s">
        <v>2361</v>
      </c>
      <c r="P606" s="103" t="s">
        <v>71</v>
      </c>
      <c r="Q606" s="795"/>
      <c r="R606" s="796"/>
      <c r="S606" s="91">
        <v>77.0</v>
      </c>
    </row>
    <row r="607">
      <c r="A607" s="106" t="s">
        <v>2362</v>
      </c>
      <c r="B607" s="797" t="s">
        <v>2329</v>
      </c>
      <c r="C607" s="798"/>
      <c r="D607" s="109">
        <v>70.0</v>
      </c>
      <c r="E607" s="109">
        <v>1400.0</v>
      </c>
      <c r="F607" s="392">
        <f t="shared" si="40"/>
        <v>20</v>
      </c>
      <c r="G607" s="110">
        <f t="shared" si="34"/>
        <v>1.043498389</v>
      </c>
      <c r="H607" s="100"/>
      <c r="I607" s="117"/>
      <c r="J607" s="100"/>
      <c r="K607" s="83"/>
      <c r="L607" s="195" t="s">
        <v>132</v>
      </c>
      <c r="M607" s="652">
        <v>44805.0</v>
      </c>
      <c r="N607" s="639" t="s">
        <v>28</v>
      </c>
      <c r="O607" s="775" t="s">
        <v>2363</v>
      </c>
      <c r="P607" s="103" t="s">
        <v>71</v>
      </c>
      <c r="Q607" s="795"/>
      <c r="R607" s="796" t="s">
        <v>2364</v>
      </c>
      <c r="S607" s="91">
        <v>76.0</v>
      </c>
    </row>
    <row r="608">
      <c r="A608" s="106" t="s">
        <v>2365</v>
      </c>
      <c r="B608" s="797" t="s">
        <v>101</v>
      </c>
      <c r="C608" s="798"/>
      <c r="D608" s="109">
        <v>17.0</v>
      </c>
      <c r="E608" s="109"/>
      <c r="F608" s="392" t="str">
        <f t="shared" si="40"/>
        <v/>
      </c>
      <c r="G608" s="110" t="str">
        <f t="shared" si="34"/>
        <v/>
      </c>
      <c r="H608" s="100"/>
      <c r="I608" s="117"/>
      <c r="J608" s="100"/>
      <c r="K608" s="83"/>
      <c r="L608" s="788" t="s">
        <v>103</v>
      </c>
      <c r="M608" s="652">
        <v>44805.0</v>
      </c>
      <c r="N608" s="639" t="s">
        <v>28</v>
      </c>
      <c r="O608" s="775" t="s">
        <v>2366</v>
      </c>
      <c r="P608" s="103" t="s">
        <v>71</v>
      </c>
      <c r="Q608" s="795"/>
      <c r="R608" s="796" t="s">
        <v>2367</v>
      </c>
      <c r="S608" s="91">
        <v>75.0</v>
      </c>
    </row>
    <row r="609">
      <c r="A609" s="106" t="s">
        <v>2368</v>
      </c>
      <c r="B609" s="189" t="s">
        <v>190</v>
      </c>
      <c r="C609" s="739" t="s">
        <v>2369</v>
      </c>
      <c r="D609" s="109">
        <v>20.0</v>
      </c>
      <c r="E609" s="109"/>
      <c r="F609" s="392"/>
      <c r="G609" s="110" t="str">
        <f t="shared" si="34"/>
        <v/>
      </c>
      <c r="H609" s="100"/>
      <c r="I609" s="117"/>
      <c r="J609" s="100"/>
      <c r="K609" s="83"/>
      <c r="L609" s="195" t="s">
        <v>132</v>
      </c>
      <c r="M609" s="652">
        <v>44805.0</v>
      </c>
      <c r="N609" s="394" t="s">
        <v>34</v>
      </c>
      <c r="O609" s="205" t="s">
        <v>2369</v>
      </c>
      <c r="P609" s="103" t="s">
        <v>71</v>
      </c>
      <c r="Q609" s="799"/>
      <c r="R609" s="800"/>
      <c r="S609" s="91">
        <v>74.0</v>
      </c>
    </row>
    <row r="610">
      <c r="A610" s="106" t="s">
        <v>2370</v>
      </c>
      <c r="B610" s="801" t="s">
        <v>177</v>
      </c>
      <c r="C610" s="798"/>
      <c r="D610" s="109">
        <v>0.71</v>
      </c>
      <c r="E610" s="109">
        <v>500.0</v>
      </c>
      <c r="F610" s="392">
        <f t="shared" ref="F610:F632" si="41">IF(E610&lt;&gt;"", ROUNDUP(E610/D610,0),"")</f>
        <v>705</v>
      </c>
      <c r="G610" s="110">
        <f t="shared" si="34"/>
        <v>0.06280481227</v>
      </c>
      <c r="H610" s="100"/>
      <c r="I610" s="117"/>
      <c r="J610" s="100"/>
      <c r="K610" s="83"/>
      <c r="L610" s="195" t="s">
        <v>132</v>
      </c>
      <c r="M610" s="652">
        <v>44774.0</v>
      </c>
      <c r="N610" s="639" t="s">
        <v>28</v>
      </c>
      <c r="O610" s="775" t="s">
        <v>2371</v>
      </c>
      <c r="P610" s="103" t="s">
        <v>71</v>
      </c>
      <c r="Q610" s="799"/>
      <c r="R610" s="800" t="s">
        <v>2372</v>
      </c>
      <c r="S610" s="91">
        <v>73.0</v>
      </c>
    </row>
    <row r="611">
      <c r="A611" s="106" t="s">
        <v>354</v>
      </c>
      <c r="B611" s="61" t="s">
        <v>56</v>
      </c>
      <c r="C611" s="654"/>
      <c r="D611" s="109">
        <v>11.0</v>
      </c>
      <c r="E611" s="109">
        <v>40.0</v>
      </c>
      <c r="F611" s="392">
        <f t="shared" si="41"/>
        <v>4</v>
      </c>
      <c r="G611" s="110">
        <f t="shared" si="34"/>
        <v>0.06992058988</v>
      </c>
      <c r="H611" s="100">
        <v>47.9</v>
      </c>
      <c r="I611" s="117"/>
      <c r="J611" s="100"/>
      <c r="K611" s="83"/>
      <c r="L611" s="195" t="s">
        <v>132</v>
      </c>
      <c r="M611" s="652">
        <v>44774.0</v>
      </c>
      <c r="N611" s="394" t="s">
        <v>34</v>
      </c>
      <c r="O611" s="775" t="s">
        <v>2373</v>
      </c>
      <c r="P611" s="103" t="s">
        <v>71</v>
      </c>
      <c r="Q611" s="567"/>
      <c r="R611" s="106"/>
      <c r="S611" s="91">
        <v>72.0</v>
      </c>
    </row>
    <row r="612">
      <c r="A612" s="106" t="s">
        <v>2374</v>
      </c>
      <c r="B612" s="61" t="s">
        <v>56</v>
      </c>
      <c r="C612" s="108" t="s">
        <v>2375</v>
      </c>
      <c r="D612" s="109">
        <v>175.0</v>
      </c>
      <c r="E612" s="109">
        <v>300.0</v>
      </c>
      <c r="F612" s="392">
        <f t="shared" si="41"/>
        <v>2</v>
      </c>
      <c r="G612" s="110">
        <f t="shared" si="34"/>
        <v>0.7637626158</v>
      </c>
      <c r="H612" s="100"/>
      <c r="I612" s="117"/>
      <c r="J612" s="100"/>
      <c r="K612" s="83"/>
      <c r="L612" s="195" t="s">
        <v>132</v>
      </c>
      <c r="M612" s="652">
        <v>44774.0</v>
      </c>
      <c r="N612" s="394" t="s">
        <v>34</v>
      </c>
      <c r="O612" s="775" t="s">
        <v>2376</v>
      </c>
      <c r="P612" s="103" t="s">
        <v>71</v>
      </c>
      <c r="Q612" s="567"/>
      <c r="R612" s="106"/>
      <c r="S612" s="91">
        <v>71.0</v>
      </c>
    </row>
    <row r="613">
      <c r="A613" s="106" t="s">
        <v>2377</v>
      </c>
      <c r="B613" s="61" t="s">
        <v>1443</v>
      </c>
      <c r="C613" s="108" t="s">
        <v>2378</v>
      </c>
      <c r="D613" s="109">
        <v>130.0</v>
      </c>
      <c r="E613" s="109">
        <v>400.0</v>
      </c>
      <c r="F613" s="392">
        <f t="shared" si="41"/>
        <v>4</v>
      </c>
      <c r="G613" s="110">
        <f t="shared" si="34"/>
        <v>0.7601169501</v>
      </c>
      <c r="H613" s="100"/>
      <c r="I613" s="117"/>
      <c r="J613" s="100"/>
      <c r="K613" s="83"/>
      <c r="L613" s="195" t="s">
        <v>132</v>
      </c>
      <c r="M613" s="652">
        <v>44774.0</v>
      </c>
      <c r="N613" s="394" t="s">
        <v>34</v>
      </c>
      <c r="O613" s="775" t="s">
        <v>2379</v>
      </c>
      <c r="P613" s="103" t="s">
        <v>71</v>
      </c>
      <c r="Q613" s="567"/>
      <c r="R613" s="106" t="s">
        <v>2380</v>
      </c>
      <c r="S613" s="91">
        <v>70.0</v>
      </c>
    </row>
    <row r="614">
      <c r="A614" s="106" t="s">
        <v>2381</v>
      </c>
      <c r="B614" s="61" t="s">
        <v>857</v>
      </c>
      <c r="C614" s="108" t="s">
        <v>2382</v>
      </c>
      <c r="D614" s="109">
        <v>20.0</v>
      </c>
      <c r="E614" s="109">
        <v>1300.0</v>
      </c>
      <c r="F614" s="392">
        <f t="shared" si="41"/>
        <v>65</v>
      </c>
      <c r="G614" s="110">
        <f t="shared" si="34"/>
        <v>0.5374838499</v>
      </c>
      <c r="H614" s="100"/>
      <c r="I614" s="117"/>
      <c r="J614" s="100"/>
      <c r="K614" s="83"/>
      <c r="L614" s="195" t="s">
        <v>132</v>
      </c>
      <c r="M614" s="652">
        <v>44774.0</v>
      </c>
      <c r="N614" s="394" t="s">
        <v>34</v>
      </c>
      <c r="O614" s="775" t="s">
        <v>2383</v>
      </c>
      <c r="P614" s="103" t="s">
        <v>71</v>
      </c>
      <c r="Q614" s="567"/>
      <c r="R614" s="106" t="s">
        <v>2384</v>
      </c>
      <c r="S614" s="91">
        <v>69.0</v>
      </c>
    </row>
    <row r="615">
      <c r="A615" s="106" t="s">
        <v>2385</v>
      </c>
      <c r="B615" s="61" t="s">
        <v>50</v>
      </c>
      <c r="C615" s="654"/>
      <c r="D615" s="109">
        <v>6.9</v>
      </c>
      <c r="E615" s="109">
        <v>100.0</v>
      </c>
      <c r="F615" s="392">
        <f t="shared" si="41"/>
        <v>15</v>
      </c>
      <c r="G615" s="110">
        <f t="shared" si="34"/>
        <v>0.08755950358</v>
      </c>
      <c r="H615" s="100"/>
      <c r="I615" s="117"/>
      <c r="J615" s="100"/>
      <c r="K615" s="83"/>
      <c r="L615" s="195" t="s">
        <v>132</v>
      </c>
      <c r="M615" s="652">
        <v>44743.0</v>
      </c>
      <c r="N615" s="639" t="s">
        <v>28</v>
      </c>
      <c r="O615" s="775" t="s">
        <v>2386</v>
      </c>
      <c r="P615" s="103" t="s">
        <v>71</v>
      </c>
      <c r="Q615" s="567"/>
      <c r="R615" s="106" t="s">
        <v>2387</v>
      </c>
      <c r="S615" s="91">
        <v>68.0</v>
      </c>
    </row>
    <row r="616">
      <c r="A616" s="106" t="s">
        <v>2388</v>
      </c>
      <c r="B616" s="61" t="s">
        <v>101</v>
      </c>
      <c r="C616" s="654"/>
      <c r="D616" s="109">
        <v>0.5</v>
      </c>
      <c r="E616" s="109"/>
      <c r="F616" s="392" t="str">
        <f t="shared" si="41"/>
        <v/>
      </c>
      <c r="G616" s="110" t="str">
        <f t="shared" si="34"/>
        <v/>
      </c>
      <c r="H616" s="100"/>
      <c r="I616" s="117"/>
      <c r="J616" s="100"/>
      <c r="K616" s="83"/>
      <c r="L616" s="195" t="s">
        <v>1362</v>
      </c>
      <c r="M616" s="652">
        <v>44743.0</v>
      </c>
      <c r="N616" s="639" t="s">
        <v>28</v>
      </c>
      <c r="O616" s="775" t="s">
        <v>2389</v>
      </c>
      <c r="P616" s="103" t="s">
        <v>71</v>
      </c>
      <c r="Q616" s="567"/>
      <c r="R616" s="106" t="s">
        <v>2390</v>
      </c>
      <c r="S616" s="91">
        <v>67.0</v>
      </c>
    </row>
    <row r="617">
      <c r="A617" s="106" t="s">
        <v>2391</v>
      </c>
      <c r="B617" s="189" t="s">
        <v>405</v>
      </c>
      <c r="C617" s="654"/>
      <c r="D617" s="109">
        <v>2.6</v>
      </c>
      <c r="E617" s="109"/>
      <c r="F617" s="392" t="str">
        <f t="shared" si="41"/>
        <v/>
      </c>
      <c r="G617" s="110" t="str">
        <f t="shared" si="34"/>
        <v/>
      </c>
      <c r="H617" s="100"/>
      <c r="I617" s="117"/>
      <c r="J617" s="100"/>
      <c r="K617" s="83"/>
      <c r="L617" s="802" t="s">
        <v>103</v>
      </c>
      <c r="M617" s="652">
        <v>44743.0</v>
      </c>
      <c r="N617" s="639" t="s">
        <v>28</v>
      </c>
      <c r="O617" s="775" t="s">
        <v>2392</v>
      </c>
      <c r="P617" s="103" t="s">
        <v>71</v>
      </c>
      <c r="Q617" s="616"/>
      <c r="R617" s="617" t="s">
        <v>2393</v>
      </c>
      <c r="S617" s="91">
        <v>66.0</v>
      </c>
    </row>
    <row r="618">
      <c r="A618" s="106" t="s">
        <v>2394</v>
      </c>
      <c r="B618" s="61" t="s">
        <v>56</v>
      </c>
      <c r="C618" s="108" t="s">
        <v>2395</v>
      </c>
      <c r="D618" s="109">
        <v>54.5</v>
      </c>
      <c r="E618" s="109"/>
      <c r="F618" s="392" t="str">
        <f t="shared" si="41"/>
        <v/>
      </c>
      <c r="G618" s="110" t="str">
        <f t="shared" si="34"/>
        <v/>
      </c>
      <c r="H618" s="100"/>
      <c r="I618" s="117"/>
      <c r="J618" s="100"/>
      <c r="K618" s="83"/>
      <c r="L618" s="802" t="s">
        <v>103</v>
      </c>
      <c r="M618" s="652">
        <v>44743.0</v>
      </c>
      <c r="N618" s="394" t="s">
        <v>34</v>
      </c>
      <c r="O618" s="775" t="s">
        <v>2396</v>
      </c>
      <c r="P618" s="103" t="s">
        <v>36</v>
      </c>
      <c r="Q618" s="616"/>
      <c r="R618" s="617" t="s">
        <v>2397</v>
      </c>
      <c r="S618" s="91">
        <v>65.0</v>
      </c>
    </row>
    <row r="619">
      <c r="A619" s="106" t="s">
        <v>2398</v>
      </c>
      <c r="B619" s="189" t="s">
        <v>589</v>
      </c>
      <c r="C619" s="108" t="s">
        <v>2399</v>
      </c>
      <c r="D619" s="591">
        <v>178.0</v>
      </c>
      <c r="E619" s="109">
        <v>300.0</v>
      </c>
      <c r="F619" s="392">
        <f t="shared" si="41"/>
        <v>2</v>
      </c>
      <c r="G619" s="110">
        <f t="shared" si="34"/>
        <v>0.7702813339</v>
      </c>
      <c r="H619" s="100"/>
      <c r="I619" s="117"/>
      <c r="J619" s="100"/>
      <c r="K619" s="83"/>
      <c r="L619" s="802" t="s">
        <v>103</v>
      </c>
      <c r="M619" s="652">
        <v>44743.0</v>
      </c>
      <c r="N619" s="394" t="s">
        <v>34</v>
      </c>
      <c r="O619" s="775" t="s">
        <v>2400</v>
      </c>
      <c r="P619" s="103" t="s">
        <v>71</v>
      </c>
      <c r="Q619" s="567"/>
      <c r="R619" s="106" t="s">
        <v>2401</v>
      </c>
      <c r="S619" s="91">
        <v>64.0</v>
      </c>
    </row>
    <row r="620">
      <c r="A620" s="106" t="s">
        <v>2402</v>
      </c>
      <c r="B620" s="189" t="s">
        <v>2333</v>
      </c>
      <c r="C620" s="108" t="s">
        <v>2403</v>
      </c>
      <c r="D620" s="109">
        <v>176.0</v>
      </c>
      <c r="E620" s="109">
        <v>366.0</v>
      </c>
      <c r="F620" s="392">
        <f t="shared" si="41"/>
        <v>3</v>
      </c>
      <c r="G620" s="110">
        <f t="shared" si="34"/>
        <v>0.8460102442</v>
      </c>
      <c r="H620" s="100">
        <v>39.1</v>
      </c>
      <c r="I620" s="117"/>
      <c r="J620" s="100"/>
      <c r="K620" s="83"/>
      <c r="L620" s="195" t="s">
        <v>132</v>
      </c>
      <c r="M620" s="652">
        <v>44743.0</v>
      </c>
      <c r="N620" s="394" t="s">
        <v>34</v>
      </c>
      <c r="O620" s="775" t="s">
        <v>2404</v>
      </c>
      <c r="P620" s="103" t="s">
        <v>71</v>
      </c>
      <c r="Q620" s="567"/>
      <c r="R620" s="106"/>
      <c r="S620" s="91">
        <v>63.0</v>
      </c>
    </row>
    <row r="621">
      <c r="A621" s="106" t="s">
        <v>2405</v>
      </c>
      <c r="B621" s="61" t="s">
        <v>101</v>
      </c>
      <c r="C621" s="654"/>
      <c r="D621" s="109">
        <v>540.0</v>
      </c>
      <c r="E621" s="109">
        <v>818.5</v>
      </c>
      <c r="F621" s="392">
        <f t="shared" si="41"/>
        <v>2</v>
      </c>
      <c r="G621" s="110">
        <f t="shared" si="34"/>
        <v>2.216077616</v>
      </c>
      <c r="H621" s="100"/>
      <c r="I621" s="117"/>
      <c r="J621" s="100"/>
      <c r="K621" s="83"/>
      <c r="L621" s="195" t="s">
        <v>132</v>
      </c>
      <c r="M621" s="652">
        <v>44713.0</v>
      </c>
      <c r="N621" s="639" t="s">
        <v>28</v>
      </c>
      <c r="O621" s="775" t="s">
        <v>2406</v>
      </c>
      <c r="P621" s="103" t="s">
        <v>71</v>
      </c>
      <c r="Q621" s="616"/>
      <c r="R621" s="617" t="s">
        <v>2407</v>
      </c>
      <c r="S621" s="91">
        <v>62.0</v>
      </c>
    </row>
    <row r="622">
      <c r="A622" s="106" t="s">
        <v>2408</v>
      </c>
      <c r="B622" s="801" t="s">
        <v>177</v>
      </c>
      <c r="C622" s="798"/>
      <c r="D622" s="109">
        <v>2.7</v>
      </c>
      <c r="E622" s="109"/>
      <c r="F622" s="392" t="str">
        <f t="shared" si="41"/>
        <v/>
      </c>
      <c r="G622" s="110" t="str">
        <f t="shared" si="34"/>
        <v/>
      </c>
      <c r="H622" s="100"/>
      <c r="I622" s="117"/>
      <c r="J622" s="100"/>
      <c r="K622" s="83"/>
      <c r="L622" s="195" t="s">
        <v>2409</v>
      </c>
      <c r="M622" s="652">
        <v>44713.0</v>
      </c>
      <c r="N622" s="394" t="s">
        <v>34</v>
      </c>
      <c r="O622" s="775" t="s">
        <v>2410</v>
      </c>
      <c r="P622" s="103" t="s">
        <v>71</v>
      </c>
      <c r="Q622" s="616"/>
      <c r="R622" s="617" t="s">
        <v>2411</v>
      </c>
      <c r="S622" s="91">
        <v>61.0</v>
      </c>
    </row>
    <row r="623">
      <c r="A623" s="106" t="s">
        <v>2412</v>
      </c>
      <c r="B623" s="189" t="s">
        <v>2413</v>
      </c>
      <c r="C623" s="108" t="s">
        <v>2414</v>
      </c>
      <c r="D623" s="109">
        <v>100.0</v>
      </c>
      <c r="E623" s="109">
        <v>300.0</v>
      </c>
      <c r="F623" s="392">
        <f t="shared" si="41"/>
        <v>3</v>
      </c>
      <c r="G623" s="110">
        <f t="shared" si="34"/>
        <v>0.5773502692</v>
      </c>
      <c r="H623" s="100"/>
      <c r="I623" s="117"/>
      <c r="J623" s="100"/>
      <c r="K623" s="83"/>
      <c r="L623" s="195" t="s">
        <v>132</v>
      </c>
      <c r="M623" s="652">
        <v>44713.0</v>
      </c>
      <c r="N623" s="394" t="s">
        <v>34</v>
      </c>
      <c r="O623" s="775" t="s">
        <v>2415</v>
      </c>
      <c r="P623" s="103" t="s">
        <v>71</v>
      </c>
      <c r="Q623" s="616"/>
      <c r="R623" s="618" t="s">
        <v>2416</v>
      </c>
      <c r="S623" s="91">
        <v>60.0</v>
      </c>
    </row>
    <row r="624">
      <c r="A624" s="106" t="s">
        <v>2417</v>
      </c>
      <c r="B624" s="189" t="s">
        <v>252</v>
      </c>
      <c r="C624" s="108" t="s">
        <v>2418</v>
      </c>
      <c r="D624" s="109">
        <v>2.8</v>
      </c>
      <c r="E624" s="109"/>
      <c r="F624" s="392" t="str">
        <f t="shared" si="41"/>
        <v/>
      </c>
      <c r="G624" s="110" t="str">
        <f t="shared" si="34"/>
        <v/>
      </c>
      <c r="H624" s="100"/>
      <c r="I624" s="117"/>
      <c r="J624" s="100"/>
      <c r="K624" s="83"/>
      <c r="L624" s="195" t="s">
        <v>132</v>
      </c>
      <c r="M624" s="652">
        <v>44713.0</v>
      </c>
      <c r="N624" s="639" t="s">
        <v>28</v>
      </c>
      <c r="O624" s="775" t="s">
        <v>2419</v>
      </c>
      <c r="P624" s="103" t="s">
        <v>71</v>
      </c>
      <c r="Q624" s="567"/>
      <c r="R624" s="106" t="s">
        <v>2420</v>
      </c>
      <c r="S624" s="91">
        <v>59.0</v>
      </c>
    </row>
    <row r="625">
      <c r="A625" s="106" t="s">
        <v>2421</v>
      </c>
      <c r="B625" s="61" t="s">
        <v>2329</v>
      </c>
      <c r="C625" s="654"/>
      <c r="D625" s="109">
        <v>1.0</v>
      </c>
      <c r="E625" s="109"/>
      <c r="F625" s="392" t="str">
        <f t="shared" si="41"/>
        <v/>
      </c>
      <c r="G625" s="110" t="str">
        <f t="shared" si="34"/>
        <v/>
      </c>
      <c r="H625" s="100"/>
      <c r="I625" s="117"/>
      <c r="J625" s="100"/>
      <c r="K625" s="83"/>
      <c r="L625" s="195" t="s">
        <v>132</v>
      </c>
      <c r="M625" s="652">
        <v>44713.0</v>
      </c>
      <c r="N625" s="639" t="s">
        <v>28</v>
      </c>
      <c r="O625" s="775" t="s">
        <v>2422</v>
      </c>
      <c r="P625" s="103" t="s">
        <v>71</v>
      </c>
      <c r="Q625" s="567"/>
      <c r="R625" s="106" t="s">
        <v>2423</v>
      </c>
      <c r="S625" s="91">
        <v>58.0</v>
      </c>
    </row>
    <row r="626">
      <c r="A626" s="106" t="s">
        <v>2424</v>
      </c>
      <c r="B626" s="61" t="s">
        <v>101</v>
      </c>
      <c r="C626" s="761"/>
      <c r="D626" s="109">
        <v>5.6</v>
      </c>
      <c r="E626" s="109"/>
      <c r="F626" s="392" t="str">
        <f t="shared" si="41"/>
        <v/>
      </c>
      <c r="G626" s="110" t="str">
        <f t="shared" si="34"/>
        <v/>
      </c>
      <c r="H626" s="100"/>
      <c r="I626" s="117"/>
      <c r="J626" s="100"/>
      <c r="K626" s="83"/>
      <c r="L626" s="195" t="s">
        <v>132</v>
      </c>
      <c r="M626" s="652">
        <v>44713.0</v>
      </c>
      <c r="N626" s="639" t="s">
        <v>28</v>
      </c>
      <c r="O626" s="775" t="s">
        <v>2425</v>
      </c>
      <c r="P626" s="103" t="s">
        <v>36</v>
      </c>
      <c r="Q626" s="567"/>
      <c r="R626" s="106"/>
      <c r="S626" s="91">
        <v>57.0</v>
      </c>
    </row>
    <row r="627">
      <c r="A627" s="106" t="s">
        <v>2426</v>
      </c>
      <c r="B627" s="189" t="s">
        <v>1348</v>
      </c>
      <c r="C627" s="108" t="s">
        <v>2427</v>
      </c>
      <c r="D627" s="109">
        <v>6.0</v>
      </c>
      <c r="E627" s="109"/>
      <c r="F627" s="392" t="str">
        <f t="shared" si="41"/>
        <v/>
      </c>
      <c r="G627" s="110" t="str">
        <f t="shared" si="34"/>
        <v/>
      </c>
      <c r="H627" s="100"/>
      <c r="I627" s="117"/>
      <c r="J627" s="100"/>
      <c r="K627" s="83"/>
      <c r="L627" s="195" t="s">
        <v>132</v>
      </c>
      <c r="M627" s="652">
        <v>44713.0</v>
      </c>
      <c r="N627" s="394" t="s">
        <v>34</v>
      </c>
      <c r="O627" s="775" t="s">
        <v>2428</v>
      </c>
      <c r="P627" s="103" t="s">
        <v>71</v>
      </c>
      <c r="Q627" s="567"/>
      <c r="R627" s="106" t="s">
        <v>2429</v>
      </c>
      <c r="S627" s="91">
        <v>56.0</v>
      </c>
    </row>
    <row r="628">
      <c r="A628" s="106" t="s">
        <v>2430</v>
      </c>
      <c r="B628" s="189" t="s">
        <v>681</v>
      </c>
      <c r="C628" s="108" t="s">
        <v>2431</v>
      </c>
      <c r="D628" s="109">
        <v>0.3</v>
      </c>
      <c r="E628" s="109"/>
      <c r="F628" s="392" t="str">
        <f t="shared" si="41"/>
        <v/>
      </c>
      <c r="G628" s="110" t="str">
        <f t="shared" si="34"/>
        <v/>
      </c>
      <c r="H628" s="100"/>
      <c r="I628" s="117"/>
      <c r="J628" s="100"/>
      <c r="K628" s="83"/>
      <c r="L628" s="638" t="s">
        <v>2432</v>
      </c>
      <c r="M628" s="652">
        <v>44682.0</v>
      </c>
      <c r="N628" s="394" t="s">
        <v>34</v>
      </c>
      <c r="O628" s="775" t="s">
        <v>2433</v>
      </c>
      <c r="P628" s="103" t="s">
        <v>71</v>
      </c>
      <c r="Q628" s="567" t="s">
        <v>72</v>
      </c>
      <c r="R628" s="106" t="s">
        <v>2434</v>
      </c>
      <c r="S628" s="91">
        <v>55.0</v>
      </c>
    </row>
    <row r="629">
      <c r="A629" s="106" t="s">
        <v>2435</v>
      </c>
      <c r="B629" s="61" t="s">
        <v>101</v>
      </c>
      <c r="C629" s="654"/>
      <c r="D629" s="109">
        <v>20.0</v>
      </c>
      <c r="E629" s="109">
        <v>1000.0</v>
      </c>
      <c r="F629" s="392">
        <f t="shared" si="41"/>
        <v>50</v>
      </c>
      <c r="G629" s="110">
        <f t="shared" si="34"/>
        <v>0.4714045208</v>
      </c>
      <c r="H629" s="100">
        <v>39.2</v>
      </c>
      <c r="I629" s="117"/>
      <c r="J629" s="100"/>
      <c r="K629" s="83"/>
      <c r="L629" s="195" t="s">
        <v>132</v>
      </c>
      <c r="M629" s="652">
        <v>44682.0</v>
      </c>
      <c r="N629" s="639" t="s">
        <v>28</v>
      </c>
      <c r="O629" s="775" t="s">
        <v>2436</v>
      </c>
      <c r="P629" s="103" t="s">
        <v>71</v>
      </c>
      <c r="Q629" s="567"/>
      <c r="R629" s="106" t="s">
        <v>2437</v>
      </c>
      <c r="S629" s="91">
        <v>54.0</v>
      </c>
    </row>
    <row r="630">
      <c r="A630" s="106" t="s">
        <v>2438</v>
      </c>
      <c r="B630" s="797" t="s">
        <v>2329</v>
      </c>
      <c r="C630" s="798"/>
      <c r="D630" s="109">
        <v>1.0</v>
      </c>
      <c r="E630" s="109"/>
      <c r="F630" s="392" t="str">
        <f t="shared" si="41"/>
        <v/>
      </c>
      <c r="G630" s="110" t="str">
        <f t="shared" si="34"/>
        <v/>
      </c>
      <c r="H630" s="100"/>
      <c r="I630" s="117"/>
      <c r="J630" s="100"/>
      <c r="K630" s="83"/>
      <c r="L630" s="195" t="s">
        <v>132</v>
      </c>
      <c r="M630" s="652">
        <v>44682.0</v>
      </c>
      <c r="N630" s="639" t="s">
        <v>28</v>
      </c>
      <c r="O630" s="775" t="s">
        <v>2439</v>
      </c>
      <c r="P630" s="103" t="s">
        <v>71</v>
      </c>
      <c r="Q630" s="567" t="s">
        <v>52</v>
      </c>
      <c r="R630" s="106" t="s">
        <v>2440</v>
      </c>
      <c r="S630" s="91">
        <v>53.0</v>
      </c>
    </row>
    <row r="631">
      <c r="A631" s="136" t="s">
        <v>2441</v>
      </c>
      <c r="B631" s="61" t="s">
        <v>101</v>
      </c>
      <c r="C631" s="803" t="s">
        <v>2442</v>
      </c>
      <c r="D631" s="804">
        <v>137.0</v>
      </c>
      <c r="E631" s="805"/>
      <c r="F631" s="392" t="str">
        <f t="shared" si="41"/>
        <v/>
      </c>
      <c r="G631" s="110" t="str">
        <f t="shared" si="34"/>
        <v/>
      </c>
      <c r="H631" s="100"/>
      <c r="I631" s="117"/>
      <c r="J631" s="100"/>
      <c r="K631" s="83"/>
      <c r="L631" s="638" t="s">
        <v>2432</v>
      </c>
      <c r="M631" s="652">
        <v>44682.0</v>
      </c>
      <c r="N631" s="762" t="s">
        <v>1235</v>
      </c>
      <c r="O631" s="806" t="s">
        <v>2443</v>
      </c>
      <c r="P631" s="103" t="s">
        <v>71</v>
      </c>
      <c r="Q631" s="481"/>
      <c r="R631" s="136" t="s">
        <v>2444</v>
      </c>
      <c r="S631" s="91">
        <v>52.0</v>
      </c>
    </row>
    <row r="632">
      <c r="A632" s="106" t="s">
        <v>2445</v>
      </c>
      <c r="B632" s="61" t="s">
        <v>56</v>
      </c>
      <c r="C632" s="108" t="s">
        <v>2446</v>
      </c>
      <c r="D632" s="109">
        <v>175.0</v>
      </c>
      <c r="E632" s="109">
        <v>300.0</v>
      </c>
      <c r="F632" s="392">
        <f t="shared" si="41"/>
        <v>2</v>
      </c>
      <c r="G632" s="110">
        <f t="shared" si="34"/>
        <v>0.7637626158</v>
      </c>
      <c r="H632" s="100"/>
      <c r="I632" s="117"/>
      <c r="J632" s="100"/>
      <c r="K632" s="83"/>
      <c r="L632" s="195" t="s">
        <v>132</v>
      </c>
      <c r="M632" s="662">
        <v>44682.0</v>
      </c>
      <c r="N632" s="394" t="s">
        <v>34</v>
      </c>
      <c r="O632" s="775" t="s">
        <v>2447</v>
      </c>
      <c r="P632" s="103" t="s">
        <v>71</v>
      </c>
      <c r="Q632" s="807"/>
      <c r="R632" s="808" t="s">
        <v>2448</v>
      </c>
      <c r="S632" s="91">
        <v>51.0</v>
      </c>
    </row>
    <row r="633">
      <c r="A633" s="106" t="s">
        <v>2449</v>
      </c>
      <c r="B633" s="189" t="s">
        <v>940</v>
      </c>
      <c r="C633" s="108" t="s">
        <v>2450</v>
      </c>
      <c r="D633" s="109">
        <v>11.0</v>
      </c>
      <c r="E633" s="109"/>
      <c r="F633" s="392"/>
      <c r="G633" s="110" t="str">
        <f t="shared" si="34"/>
        <v/>
      </c>
      <c r="H633" s="100"/>
      <c r="I633" s="117"/>
      <c r="J633" s="100"/>
      <c r="K633" s="83"/>
      <c r="L633" s="704" t="s">
        <v>2249</v>
      </c>
      <c r="M633" s="662">
        <v>44652.0</v>
      </c>
      <c r="N633" s="394" t="s">
        <v>34</v>
      </c>
      <c r="O633" s="205" t="s">
        <v>2451</v>
      </c>
      <c r="P633" s="103" t="s">
        <v>71</v>
      </c>
      <c r="Q633" s="807"/>
      <c r="R633" s="808" t="s">
        <v>2452</v>
      </c>
      <c r="S633" s="91">
        <v>50.0</v>
      </c>
    </row>
    <row r="634">
      <c r="A634" s="106" t="s">
        <v>2453</v>
      </c>
      <c r="B634" s="61" t="s">
        <v>56</v>
      </c>
      <c r="C634" s="108" t="s">
        <v>2454</v>
      </c>
      <c r="D634" s="109">
        <v>6.7</v>
      </c>
      <c r="E634" s="109"/>
      <c r="F634" s="392" t="str">
        <f t="shared" ref="F634:F645" si="42">IF(E634&lt;&gt;"", ROUNDUP(E634/D634,0),"")</f>
        <v/>
      </c>
      <c r="G634" s="110" t="str">
        <f t="shared" si="34"/>
        <v/>
      </c>
      <c r="H634" s="100"/>
      <c r="I634" s="117"/>
      <c r="J634" s="100"/>
      <c r="K634" s="83"/>
      <c r="L634" s="195" t="s">
        <v>1362</v>
      </c>
      <c r="M634" s="662">
        <v>44652.0</v>
      </c>
      <c r="N634" s="394" t="s">
        <v>34</v>
      </c>
      <c r="O634" s="775" t="s">
        <v>2455</v>
      </c>
      <c r="P634" s="103" t="s">
        <v>71</v>
      </c>
      <c r="Q634" s="807"/>
      <c r="R634" s="808" t="s">
        <v>2456</v>
      </c>
      <c r="S634" s="91">
        <v>49.0</v>
      </c>
    </row>
    <row r="635">
      <c r="A635" s="106" t="s">
        <v>2457</v>
      </c>
      <c r="B635" s="189" t="s">
        <v>372</v>
      </c>
      <c r="C635" s="761"/>
      <c r="D635" s="109">
        <v>10.0</v>
      </c>
      <c r="E635" s="109"/>
      <c r="F635" s="392" t="str">
        <f t="shared" si="42"/>
        <v/>
      </c>
      <c r="G635" s="110" t="str">
        <f t="shared" si="34"/>
        <v/>
      </c>
      <c r="H635" s="100"/>
      <c r="I635" s="117"/>
      <c r="J635" s="100"/>
      <c r="K635" s="83"/>
      <c r="L635" s="195" t="s">
        <v>132</v>
      </c>
      <c r="M635" s="662">
        <v>44652.0</v>
      </c>
      <c r="N635" s="639" t="s">
        <v>28</v>
      </c>
      <c r="O635" s="775" t="s">
        <v>2458</v>
      </c>
      <c r="P635" s="103" t="s">
        <v>71</v>
      </c>
      <c r="Q635" s="807"/>
      <c r="R635" s="808" t="s">
        <v>2459</v>
      </c>
      <c r="S635" s="91">
        <v>48.0</v>
      </c>
    </row>
    <row r="636">
      <c r="A636" s="106" t="s">
        <v>2460</v>
      </c>
      <c r="B636" s="189" t="s">
        <v>2461</v>
      </c>
      <c r="C636" s="108" t="s">
        <v>940</v>
      </c>
      <c r="D636" s="109">
        <v>13.0</v>
      </c>
      <c r="E636" s="109"/>
      <c r="F636" s="392" t="str">
        <f t="shared" si="42"/>
        <v/>
      </c>
      <c r="G636" s="110" t="str">
        <f t="shared" si="34"/>
        <v/>
      </c>
      <c r="H636" s="100"/>
      <c r="I636" s="117"/>
      <c r="J636" s="100"/>
      <c r="K636" s="83"/>
      <c r="L636" s="195" t="s">
        <v>132</v>
      </c>
      <c r="M636" s="662">
        <v>44652.0</v>
      </c>
      <c r="N636" s="762" t="s">
        <v>1235</v>
      </c>
      <c r="O636" s="775" t="s">
        <v>2462</v>
      </c>
      <c r="P636" s="103" t="s">
        <v>71</v>
      </c>
      <c r="Q636" s="807"/>
      <c r="R636" s="808" t="s">
        <v>2463</v>
      </c>
      <c r="S636" s="91">
        <v>47.0</v>
      </c>
    </row>
    <row r="637">
      <c r="A637" s="106" t="s">
        <v>2464</v>
      </c>
      <c r="B637" s="61" t="s">
        <v>101</v>
      </c>
      <c r="C637" s="761"/>
      <c r="D637" s="109">
        <v>540.0</v>
      </c>
      <c r="E637" s="109">
        <v>780.0</v>
      </c>
      <c r="F637" s="392">
        <f t="shared" si="42"/>
        <v>2</v>
      </c>
      <c r="G637" s="110">
        <f t="shared" si="34"/>
        <v>2.163330765</v>
      </c>
      <c r="H637" s="100"/>
      <c r="I637" s="117"/>
      <c r="J637" s="100"/>
      <c r="K637" s="83"/>
      <c r="L637" s="195" t="s">
        <v>2465</v>
      </c>
      <c r="M637" s="662">
        <v>44652.0</v>
      </c>
      <c r="N637" s="639" t="s">
        <v>28</v>
      </c>
      <c r="O637" s="775" t="s">
        <v>2466</v>
      </c>
      <c r="P637" s="103" t="s">
        <v>71</v>
      </c>
      <c r="Q637" s="567"/>
      <c r="R637" s="106"/>
      <c r="S637" s="91">
        <v>46.0</v>
      </c>
    </row>
    <row r="638">
      <c r="A638" s="106" t="s">
        <v>2467</v>
      </c>
      <c r="B638" s="61" t="s">
        <v>101</v>
      </c>
      <c r="C638" s="761"/>
      <c r="D638" s="109">
        <v>540.0</v>
      </c>
      <c r="E638" s="109">
        <v>780.0</v>
      </c>
      <c r="F638" s="392">
        <f t="shared" si="42"/>
        <v>2</v>
      </c>
      <c r="G638" s="110">
        <f t="shared" si="34"/>
        <v>2.163330765</v>
      </c>
      <c r="H638" s="100"/>
      <c r="I638" s="117"/>
      <c r="J638" s="100"/>
      <c r="K638" s="83"/>
      <c r="L638" s="195" t="s">
        <v>132</v>
      </c>
      <c r="M638" s="662">
        <v>44652.0</v>
      </c>
      <c r="N638" s="639" t="s">
        <v>28</v>
      </c>
      <c r="O638" s="775" t="s">
        <v>2468</v>
      </c>
      <c r="P638" s="103" t="s">
        <v>71</v>
      </c>
      <c r="Q638" s="567" t="s">
        <v>52</v>
      </c>
      <c r="R638" s="106"/>
      <c r="S638" s="91">
        <v>45.0</v>
      </c>
    </row>
    <row r="639">
      <c r="A639" s="106" t="s">
        <v>2469</v>
      </c>
      <c r="B639" s="61" t="s">
        <v>56</v>
      </c>
      <c r="C639" s="809"/>
      <c r="D639" s="109">
        <v>2.7</v>
      </c>
      <c r="E639" s="109"/>
      <c r="F639" s="392" t="str">
        <f t="shared" si="42"/>
        <v/>
      </c>
      <c r="G639" s="110" t="str">
        <f t="shared" si="34"/>
        <v/>
      </c>
      <c r="H639" s="100"/>
      <c r="I639" s="117"/>
      <c r="J639" s="100"/>
      <c r="K639" s="83"/>
      <c r="L639" s="195" t="s">
        <v>132</v>
      </c>
      <c r="M639" s="662">
        <v>44650.0</v>
      </c>
      <c r="N639" s="394" t="s">
        <v>34</v>
      </c>
      <c r="O639" s="775" t="s">
        <v>2470</v>
      </c>
      <c r="P639" s="103" t="s">
        <v>71</v>
      </c>
      <c r="Q639" s="567"/>
      <c r="R639" s="106" t="s">
        <v>2471</v>
      </c>
      <c r="S639" s="91">
        <v>44.0</v>
      </c>
    </row>
    <row r="640">
      <c r="A640" s="106" t="s">
        <v>2472</v>
      </c>
      <c r="B640" s="189" t="s">
        <v>67</v>
      </c>
      <c r="C640" s="809" t="s">
        <v>2473</v>
      </c>
      <c r="D640" s="109">
        <v>16.0</v>
      </c>
      <c r="E640" s="109"/>
      <c r="F640" s="392" t="str">
        <f t="shared" si="42"/>
        <v/>
      </c>
      <c r="G640" s="110" t="str">
        <f t="shared" si="34"/>
        <v/>
      </c>
      <c r="H640" s="100"/>
      <c r="I640" s="117"/>
      <c r="J640" s="100"/>
      <c r="K640" s="83"/>
      <c r="L640" s="195" t="s">
        <v>2474</v>
      </c>
      <c r="M640" s="662">
        <v>44650.0</v>
      </c>
      <c r="N640" s="394" t="s">
        <v>34</v>
      </c>
      <c r="O640" s="775" t="s">
        <v>2475</v>
      </c>
      <c r="P640" s="103" t="s">
        <v>71</v>
      </c>
      <c r="Q640" s="567"/>
      <c r="R640" s="106" t="s">
        <v>2476</v>
      </c>
      <c r="S640" s="91">
        <v>43.0</v>
      </c>
    </row>
    <row r="641">
      <c r="A641" s="106" t="s">
        <v>2477</v>
      </c>
      <c r="B641" s="189" t="s">
        <v>2056</v>
      </c>
      <c r="C641" s="108" t="s">
        <v>2478</v>
      </c>
      <c r="D641" s="194">
        <v>10.0</v>
      </c>
      <c r="E641" s="194"/>
      <c r="F641" s="392" t="str">
        <f t="shared" si="42"/>
        <v/>
      </c>
      <c r="G641" s="110" t="str">
        <f t="shared" si="34"/>
        <v/>
      </c>
      <c r="H641" s="100"/>
      <c r="I641" s="117"/>
      <c r="J641" s="100"/>
      <c r="K641" s="83"/>
      <c r="L641" s="195" t="s">
        <v>132</v>
      </c>
      <c r="M641" s="662">
        <v>44621.0</v>
      </c>
      <c r="N641" s="394" t="s">
        <v>34</v>
      </c>
      <c r="O641" s="775" t="s">
        <v>2192</v>
      </c>
      <c r="P641" s="103" t="s">
        <v>71</v>
      </c>
      <c r="Q641" s="567"/>
      <c r="R641" s="106" t="s">
        <v>2479</v>
      </c>
      <c r="S641" s="91">
        <v>42.0</v>
      </c>
    </row>
    <row r="642">
      <c r="A642" s="779" t="s">
        <v>2480</v>
      </c>
      <c r="B642" s="810" t="s">
        <v>56</v>
      </c>
      <c r="C642" s="811"/>
      <c r="D642" s="812">
        <v>13.0</v>
      </c>
      <c r="E642" s="812"/>
      <c r="F642" s="724" t="str">
        <f t="shared" si="42"/>
        <v/>
      </c>
      <c r="G642" s="494" t="str">
        <f t="shared" si="34"/>
        <v/>
      </c>
      <c r="H642" s="725"/>
      <c r="I642" s="726"/>
      <c r="J642" s="725"/>
      <c r="K642" s="496"/>
      <c r="L642" s="813" t="s">
        <v>2481</v>
      </c>
      <c r="M642" s="781">
        <v>44562.0</v>
      </c>
      <c r="N642" s="814" t="s">
        <v>34</v>
      </c>
      <c r="O642" s="783" t="s">
        <v>2482</v>
      </c>
      <c r="P642" s="729" t="s">
        <v>71</v>
      </c>
      <c r="Q642" s="815"/>
      <c r="R642" s="779" t="s">
        <v>2483</v>
      </c>
      <c r="S642" s="816">
        <v>41.0</v>
      </c>
    </row>
    <row r="643">
      <c r="A643" s="106" t="s">
        <v>2484</v>
      </c>
      <c r="B643" s="189" t="s">
        <v>1084</v>
      </c>
      <c r="C643" s="108" t="s">
        <v>2485</v>
      </c>
      <c r="D643" s="805">
        <v>200.0</v>
      </c>
      <c r="E643" s="805"/>
      <c r="F643" s="392" t="str">
        <f t="shared" si="42"/>
        <v/>
      </c>
      <c r="G643" s="110" t="str">
        <f t="shared" si="34"/>
        <v/>
      </c>
      <c r="H643" s="100"/>
      <c r="I643" s="117"/>
      <c r="J643" s="100"/>
      <c r="K643" s="83"/>
      <c r="L643" s="195" t="s">
        <v>132</v>
      </c>
      <c r="M643" s="662">
        <v>44501.0</v>
      </c>
      <c r="N643" s="394" t="s">
        <v>34</v>
      </c>
      <c r="O643" s="775" t="s">
        <v>2486</v>
      </c>
      <c r="P643" s="103" t="s">
        <v>71</v>
      </c>
      <c r="Q643" s="567"/>
      <c r="R643" s="106" t="s">
        <v>2487</v>
      </c>
      <c r="S643" s="91">
        <v>40.0</v>
      </c>
    </row>
    <row r="644">
      <c r="A644" s="92" t="s">
        <v>2488</v>
      </c>
      <c r="B644" s="61" t="s">
        <v>2329</v>
      </c>
      <c r="C644" s="123"/>
      <c r="D644" s="194">
        <v>70.0</v>
      </c>
      <c r="E644" s="194">
        <v>1400.0</v>
      </c>
      <c r="F644" s="282">
        <f t="shared" si="42"/>
        <v>20</v>
      </c>
      <c r="G644" s="98">
        <f t="shared" si="34"/>
        <v>1.043498389</v>
      </c>
      <c r="H644" s="127">
        <v>67.5</v>
      </c>
      <c r="I644" s="627"/>
      <c r="J644" s="127"/>
      <c r="K644" s="83"/>
      <c r="L644" s="195" t="s">
        <v>132</v>
      </c>
      <c r="M644" s="324">
        <v>44621.0</v>
      </c>
      <c r="N644" s="506" t="s">
        <v>28</v>
      </c>
      <c r="O644" s="817" t="s">
        <v>2489</v>
      </c>
      <c r="P644" s="92" t="s">
        <v>71</v>
      </c>
      <c r="Q644" s="522" t="s">
        <v>52</v>
      </c>
      <c r="R644" s="92" t="s">
        <v>2490</v>
      </c>
      <c r="S644" s="91">
        <v>39.0</v>
      </c>
    </row>
    <row r="645">
      <c r="A645" s="538" t="s">
        <v>2491</v>
      </c>
      <c r="B645" s="189" t="s">
        <v>333</v>
      </c>
      <c r="C645" s="108" t="s">
        <v>2492</v>
      </c>
      <c r="D645" s="109">
        <v>20.0</v>
      </c>
      <c r="E645" s="109"/>
      <c r="F645" s="392" t="str">
        <f t="shared" si="42"/>
        <v/>
      </c>
      <c r="G645" s="110" t="str">
        <f t="shared" si="34"/>
        <v/>
      </c>
      <c r="H645" s="100"/>
      <c r="I645" s="117"/>
      <c r="J645" s="100"/>
      <c r="K645" s="83"/>
      <c r="L645" s="195" t="s">
        <v>132</v>
      </c>
      <c r="M645" s="545">
        <v>44593.0</v>
      </c>
      <c r="N645" s="394" t="s">
        <v>34</v>
      </c>
      <c r="O645" s="775" t="s">
        <v>2493</v>
      </c>
      <c r="P645" s="103" t="s">
        <v>71</v>
      </c>
      <c r="Q645" s="567"/>
      <c r="R645" s="106" t="s">
        <v>2494</v>
      </c>
      <c r="S645" s="91">
        <v>38.0</v>
      </c>
    </row>
    <row r="646">
      <c r="A646" s="106" t="s">
        <v>2495</v>
      </c>
      <c r="B646" s="61" t="s">
        <v>41</v>
      </c>
      <c r="C646" s="809"/>
      <c r="D646" s="109">
        <v>260.0</v>
      </c>
      <c r="E646" s="109"/>
      <c r="F646" s="392"/>
      <c r="G646" s="110" t="str">
        <f t="shared" si="34"/>
        <v/>
      </c>
      <c r="H646" s="100"/>
      <c r="I646" s="117"/>
      <c r="J646" s="100"/>
      <c r="K646" s="83"/>
      <c r="L646" s="195" t="s">
        <v>132</v>
      </c>
      <c r="M646" s="662">
        <v>44531.0</v>
      </c>
      <c r="N646" s="394" t="s">
        <v>34</v>
      </c>
      <c r="O646" s="775" t="s">
        <v>2496</v>
      </c>
      <c r="P646" s="103" t="s">
        <v>71</v>
      </c>
      <c r="Q646" s="567"/>
      <c r="R646" s="106"/>
      <c r="S646" s="91">
        <v>37.0</v>
      </c>
    </row>
    <row r="647">
      <c r="A647" s="106" t="s">
        <v>2497</v>
      </c>
      <c r="B647" s="61" t="s">
        <v>56</v>
      </c>
      <c r="C647" s="809"/>
      <c r="D647" s="109">
        <v>7.5</v>
      </c>
      <c r="E647" s="109"/>
      <c r="F647" s="392" t="str">
        <f t="shared" ref="F647:F682" si="43">IF(E647&lt;&gt;"", ROUNDUP(E647/D647,0),"")</f>
        <v/>
      </c>
      <c r="G647" s="110" t="str">
        <f t="shared" si="34"/>
        <v/>
      </c>
      <c r="H647" s="100"/>
      <c r="I647" s="117"/>
      <c r="J647" s="100"/>
      <c r="K647" s="83"/>
      <c r="L647" s="195" t="s">
        <v>132</v>
      </c>
      <c r="M647" s="545">
        <v>44531.0</v>
      </c>
      <c r="N647" s="394" t="s">
        <v>34</v>
      </c>
      <c r="O647" s="775" t="s">
        <v>2498</v>
      </c>
      <c r="P647" s="103" t="s">
        <v>71</v>
      </c>
      <c r="Q647" s="567"/>
      <c r="R647" s="106" t="s">
        <v>2499</v>
      </c>
      <c r="S647" s="91">
        <v>36.0</v>
      </c>
    </row>
    <row r="648">
      <c r="A648" s="538" t="s">
        <v>2500</v>
      </c>
      <c r="B648" s="61" t="s">
        <v>56</v>
      </c>
      <c r="C648" s="654"/>
      <c r="D648" s="109">
        <v>1100.0</v>
      </c>
      <c r="E648" s="591"/>
      <c r="F648" s="392" t="str">
        <f t="shared" si="43"/>
        <v/>
      </c>
      <c r="G648" s="110" t="str">
        <f t="shared" si="34"/>
        <v/>
      </c>
      <c r="H648" s="100"/>
      <c r="I648" s="117"/>
      <c r="J648" s="100"/>
      <c r="K648" s="83"/>
      <c r="L648" s="195" t="s">
        <v>132</v>
      </c>
      <c r="M648" s="545">
        <v>44531.0</v>
      </c>
      <c r="N648" s="394" t="s">
        <v>34</v>
      </c>
      <c r="O648" s="775" t="s">
        <v>2501</v>
      </c>
      <c r="P648" s="103" t="s">
        <v>71</v>
      </c>
      <c r="Q648" s="567"/>
      <c r="R648" s="106" t="s">
        <v>2502</v>
      </c>
      <c r="S648" s="91">
        <v>35.0</v>
      </c>
    </row>
    <row r="649">
      <c r="A649" s="538" t="s">
        <v>2503</v>
      </c>
      <c r="B649" s="61" t="s">
        <v>2329</v>
      </c>
      <c r="C649" s="654"/>
      <c r="D649" s="109">
        <v>280.0</v>
      </c>
      <c r="E649" s="109">
        <v>300.0</v>
      </c>
      <c r="F649" s="392">
        <f t="shared" si="43"/>
        <v>2</v>
      </c>
      <c r="G649" s="110">
        <f t="shared" si="34"/>
        <v>0.9660917831</v>
      </c>
      <c r="H649" s="100">
        <v>60.0</v>
      </c>
      <c r="I649" s="117"/>
      <c r="J649" s="100"/>
      <c r="K649" s="83"/>
      <c r="L649" s="195" t="s">
        <v>132</v>
      </c>
      <c r="M649" s="545">
        <v>44531.0</v>
      </c>
      <c r="N649" s="639" t="s">
        <v>28</v>
      </c>
      <c r="O649" s="775" t="s">
        <v>2504</v>
      </c>
      <c r="P649" s="103" t="s">
        <v>71</v>
      </c>
      <c r="Q649" s="616" t="s">
        <v>52</v>
      </c>
      <c r="R649" s="618" t="s">
        <v>2505</v>
      </c>
      <c r="S649" s="91">
        <v>34.0</v>
      </c>
    </row>
    <row r="650">
      <c r="A650" s="106" t="s">
        <v>2506</v>
      </c>
      <c r="B650" s="61" t="s">
        <v>101</v>
      </c>
      <c r="C650" s="761"/>
      <c r="D650" s="109">
        <v>1200.0</v>
      </c>
      <c r="E650" s="109"/>
      <c r="F650" s="392" t="str">
        <f t="shared" si="43"/>
        <v/>
      </c>
      <c r="G650" s="110" t="str">
        <f t="shared" si="34"/>
        <v/>
      </c>
      <c r="H650" s="100"/>
      <c r="I650" s="117"/>
      <c r="J650" s="100"/>
      <c r="K650" s="83"/>
      <c r="L650" s="195" t="s">
        <v>132</v>
      </c>
      <c r="M650" s="662">
        <v>44531.0</v>
      </c>
      <c r="N650" s="639" t="s">
        <v>28</v>
      </c>
      <c r="O650" s="775" t="s">
        <v>2507</v>
      </c>
      <c r="P650" s="103" t="s">
        <v>36</v>
      </c>
      <c r="Q650" s="773"/>
      <c r="R650" s="538"/>
      <c r="S650" s="91">
        <v>33.0</v>
      </c>
    </row>
    <row r="651">
      <c r="A651" s="106" t="s">
        <v>2508</v>
      </c>
      <c r="B651" s="189" t="s">
        <v>90</v>
      </c>
      <c r="C651" s="761"/>
      <c r="D651" s="109">
        <v>52.0</v>
      </c>
      <c r="E651" s="109">
        <v>400.0</v>
      </c>
      <c r="F651" s="392">
        <f t="shared" si="43"/>
        <v>8</v>
      </c>
      <c r="G651" s="110">
        <f t="shared" si="34"/>
        <v>0.4807401701</v>
      </c>
      <c r="H651" s="100"/>
      <c r="I651" s="117"/>
      <c r="J651" s="100"/>
      <c r="K651" s="83"/>
      <c r="L651" s="195" t="s">
        <v>132</v>
      </c>
      <c r="M651" s="662">
        <v>44531.0</v>
      </c>
      <c r="N651" s="639" t="s">
        <v>28</v>
      </c>
      <c r="O651" s="775" t="s">
        <v>2509</v>
      </c>
      <c r="P651" s="103" t="s">
        <v>71</v>
      </c>
      <c r="Q651" s="567"/>
      <c r="R651" s="106" t="s">
        <v>2510</v>
      </c>
      <c r="S651" s="91">
        <v>32.0</v>
      </c>
    </row>
    <row r="652">
      <c r="A652" s="106" t="s">
        <v>2511</v>
      </c>
      <c r="B652" s="61" t="s">
        <v>2329</v>
      </c>
      <c r="C652" s="761"/>
      <c r="D652" s="109">
        <v>7.5</v>
      </c>
      <c r="E652" s="109"/>
      <c r="F652" s="392" t="str">
        <f t="shared" si="43"/>
        <v/>
      </c>
      <c r="G652" s="110" t="str">
        <f t="shared" si="34"/>
        <v/>
      </c>
      <c r="H652" s="100"/>
      <c r="I652" s="117"/>
      <c r="J652" s="100"/>
      <c r="K652" s="83"/>
      <c r="L652" s="195" t="s">
        <v>132</v>
      </c>
      <c r="M652" s="662">
        <v>44531.0</v>
      </c>
      <c r="N652" s="639" t="s">
        <v>28</v>
      </c>
      <c r="O652" s="775" t="s">
        <v>2512</v>
      </c>
      <c r="P652" s="103" t="s">
        <v>71</v>
      </c>
      <c r="Q652" s="616"/>
      <c r="R652" s="617" t="s">
        <v>2513</v>
      </c>
      <c r="S652" s="91">
        <v>31.0</v>
      </c>
    </row>
    <row r="653">
      <c r="A653" s="106" t="s">
        <v>2514</v>
      </c>
      <c r="B653" s="179" t="s">
        <v>177</v>
      </c>
      <c r="C653" s="761"/>
      <c r="D653" s="109">
        <v>1.5</v>
      </c>
      <c r="E653" s="116">
        <v>162.0</v>
      </c>
      <c r="F653" s="392">
        <f t="shared" si="43"/>
        <v>108</v>
      </c>
      <c r="G653" s="110">
        <f t="shared" si="34"/>
        <v>0.05196152423</v>
      </c>
      <c r="H653" s="100"/>
      <c r="I653" s="117"/>
      <c r="J653" s="100"/>
      <c r="K653" s="83"/>
      <c r="L653" s="195" t="s">
        <v>132</v>
      </c>
      <c r="M653" s="545">
        <v>44501.0</v>
      </c>
      <c r="N653" s="394" t="s">
        <v>34</v>
      </c>
      <c r="O653" s="205" t="s">
        <v>2515</v>
      </c>
      <c r="P653" s="103" t="s">
        <v>71</v>
      </c>
      <c r="Q653" s="616"/>
      <c r="R653" s="617" t="s">
        <v>2516</v>
      </c>
      <c r="S653" s="91">
        <v>30.0</v>
      </c>
    </row>
    <row r="654">
      <c r="A654" s="106" t="s">
        <v>2517</v>
      </c>
      <c r="B654" s="61" t="s">
        <v>101</v>
      </c>
      <c r="C654" s="761"/>
      <c r="D654" s="109">
        <v>480.0</v>
      </c>
      <c r="E654" s="109"/>
      <c r="F654" s="392" t="str">
        <f t="shared" si="43"/>
        <v/>
      </c>
      <c r="G654" s="110" t="str">
        <f t="shared" si="34"/>
        <v/>
      </c>
      <c r="H654" s="100"/>
      <c r="I654" s="117"/>
      <c r="J654" s="100"/>
      <c r="K654" s="83"/>
      <c r="L654" s="195" t="s">
        <v>132</v>
      </c>
      <c r="M654" s="545">
        <v>44501.0</v>
      </c>
      <c r="N654" s="639" t="s">
        <v>28</v>
      </c>
      <c r="O654" s="775" t="s">
        <v>2518</v>
      </c>
      <c r="P654" s="103" t="s">
        <v>71</v>
      </c>
      <c r="Q654" s="616"/>
      <c r="R654" s="618" t="s">
        <v>2519</v>
      </c>
      <c r="S654" s="91">
        <v>29.0</v>
      </c>
    </row>
    <row r="655">
      <c r="A655" s="106" t="s">
        <v>2520</v>
      </c>
      <c r="B655" s="61" t="s">
        <v>101</v>
      </c>
      <c r="C655" s="761"/>
      <c r="D655" s="109">
        <v>200.0</v>
      </c>
      <c r="E655" s="109"/>
      <c r="F655" s="392" t="str">
        <f t="shared" si="43"/>
        <v/>
      </c>
      <c r="G655" s="110" t="str">
        <f t="shared" si="34"/>
        <v/>
      </c>
      <c r="H655" s="100"/>
      <c r="I655" s="117"/>
      <c r="J655" s="100"/>
      <c r="K655" s="83"/>
      <c r="L655" s="195" t="s">
        <v>132</v>
      </c>
      <c r="M655" s="545">
        <v>44501.0</v>
      </c>
      <c r="N655" s="639" t="s">
        <v>28</v>
      </c>
      <c r="O655" s="775" t="s">
        <v>2521</v>
      </c>
      <c r="P655" s="103" t="s">
        <v>71</v>
      </c>
      <c r="Q655" s="616"/>
      <c r="R655" s="618" t="s">
        <v>2522</v>
      </c>
      <c r="S655" s="91">
        <v>28.0</v>
      </c>
    </row>
    <row r="656">
      <c r="A656" s="106" t="s">
        <v>2523</v>
      </c>
      <c r="B656" s="189" t="s">
        <v>2524</v>
      </c>
      <c r="C656" s="108" t="s">
        <v>2525</v>
      </c>
      <c r="D656" s="591">
        <v>6.0</v>
      </c>
      <c r="E656" s="591"/>
      <c r="F656" s="392" t="str">
        <f t="shared" si="43"/>
        <v/>
      </c>
      <c r="G656" s="110" t="str">
        <f t="shared" si="34"/>
        <v/>
      </c>
      <c r="H656" s="100"/>
      <c r="I656" s="117"/>
      <c r="J656" s="100"/>
      <c r="K656" s="83"/>
      <c r="L656" s="195" t="s">
        <v>132</v>
      </c>
      <c r="M656" s="545">
        <v>44501.0</v>
      </c>
      <c r="N656" s="394" t="s">
        <v>34</v>
      </c>
      <c r="O656" s="775" t="s">
        <v>2526</v>
      </c>
      <c r="P656" s="103" t="s">
        <v>71</v>
      </c>
      <c r="Q656" s="567"/>
      <c r="R656" s="106" t="s">
        <v>2527</v>
      </c>
      <c r="S656" s="91">
        <v>27.0</v>
      </c>
    </row>
    <row r="657">
      <c r="A657" s="538" t="s">
        <v>2528</v>
      </c>
      <c r="B657" s="735" t="s">
        <v>2529</v>
      </c>
      <c r="C657" s="818"/>
      <c r="D657" s="591">
        <v>530.0</v>
      </c>
      <c r="E657" s="109">
        <v>270.0</v>
      </c>
      <c r="F657" s="392">
        <f t="shared" si="43"/>
        <v>1</v>
      </c>
      <c r="G657" s="110">
        <f t="shared" si="34"/>
        <v>1.260952021</v>
      </c>
      <c r="H657" s="100"/>
      <c r="I657" s="117"/>
      <c r="J657" s="100"/>
      <c r="K657" s="83"/>
      <c r="L657" s="195" t="s">
        <v>132</v>
      </c>
      <c r="M657" s="545">
        <v>44470.0</v>
      </c>
      <c r="N657" s="639" t="s">
        <v>28</v>
      </c>
      <c r="O657" s="775" t="s">
        <v>2530</v>
      </c>
      <c r="P657" s="103" t="s">
        <v>71</v>
      </c>
      <c r="Q657" s="773"/>
      <c r="R657" s="538"/>
      <c r="S657" s="91">
        <v>26.0</v>
      </c>
    </row>
    <row r="658">
      <c r="A658" s="106" t="s">
        <v>2531</v>
      </c>
      <c r="B658" s="61" t="s">
        <v>101</v>
      </c>
      <c r="C658" s="761"/>
      <c r="D658" s="109">
        <v>137.0</v>
      </c>
      <c r="E658" s="109"/>
      <c r="F658" s="392" t="str">
        <f t="shared" si="43"/>
        <v/>
      </c>
      <c r="G658" s="110" t="str">
        <f t="shared" si="34"/>
        <v/>
      </c>
      <c r="H658" s="100"/>
      <c r="I658" s="117"/>
      <c r="J658" s="100"/>
      <c r="K658" s="83"/>
      <c r="L658" s="819" t="s">
        <v>2532</v>
      </c>
      <c r="M658" s="662">
        <v>44440.0</v>
      </c>
      <c r="N658" s="639" t="s">
        <v>28</v>
      </c>
      <c r="O658" s="775" t="s">
        <v>2533</v>
      </c>
      <c r="P658" s="103" t="s">
        <v>71</v>
      </c>
      <c r="Q658" s="567"/>
      <c r="R658" s="106" t="s">
        <v>2534</v>
      </c>
      <c r="S658" s="91">
        <v>25.0</v>
      </c>
    </row>
    <row r="659">
      <c r="A659" s="106" t="s">
        <v>2535</v>
      </c>
      <c r="B659" s="189" t="s">
        <v>568</v>
      </c>
      <c r="C659" s="761"/>
      <c r="D659" s="109">
        <v>52.4</v>
      </c>
      <c r="E659" s="109"/>
      <c r="F659" s="392" t="str">
        <f t="shared" si="43"/>
        <v/>
      </c>
      <c r="G659" s="110" t="str">
        <f t="shared" si="34"/>
        <v/>
      </c>
      <c r="H659" s="100"/>
      <c r="I659" s="117"/>
      <c r="J659" s="100"/>
      <c r="K659" s="83"/>
      <c r="L659" s="788" t="s">
        <v>2536</v>
      </c>
      <c r="M659" s="662">
        <v>44440.0</v>
      </c>
      <c r="N659" s="394" t="s">
        <v>34</v>
      </c>
      <c r="O659" s="775" t="s">
        <v>2537</v>
      </c>
      <c r="P659" s="103" t="s">
        <v>71</v>
      </c>
      <c r="Q659" s="567"/>
      <c r="R659" s="106" t="s">
        <v>2538</v>
      </c>
      <c r="S659" s="91">
        <v>24.0</v>
      </c>
    </row>
    <row r="660">
      <c r="A660" s="106" t="s">
        <v>2539</v>
      </c>
      <c r="B660" s="61" t="s">
        <v>41</v>
      </c>
      <c r="C660" s="108" t="s">
        <v>41</v>
      </c>
      <c r="D660" s="109">
        <v>11.0</v>
      </c>
      <c r="E660" s="109"/>
      <c r="F660" s="392" t="str">
        <f t="shared" si="43"/>
        <v/>
      </c>
      <c r="G660" s="110" t="str">
        <f t="shared" si="34"/>
        <v/>
      </c>
      <c r="H660" s="100"/>
      <c r="I660" s="117"/>
      <c r="J660" s="100"/>
      <c r="K660" s="83"/>
      <c r="L660" s="820" t="s">
        <v>2540</v>
      </c>
      <c r="M660" s="662">
        <v>44440.0</v>
      </c>
      <c r="N660" s="394" t="s">
        <v>34</v>
      </c>
      <c r="O660" s="775" t="s">
        <v>2541</v>
      </c>
      <c r="P660" s="103" t="s">
        <v>71</v>
      </c>
      <c r="Q660" s="567"/>
      <c r="R660" s="106" t="s">
        <v>2542</v>
      </c>
      <c r="S660" s="91">
        <v>23.0</v>
      </c>
    </row>
    <row r="661">
      <c r="A661" s="106" t="s">
        <v>2543</v>
      </c>
      <c r="B661" s="189" t="s">
        <v>252</v>
      </c>
      <c r="C661" s="821" t="s">
        <v>2544</v>
      </c>
      <c r="D661" s="109">
        <v>11.0</v>
      </c>
      <c r="E661" s="109"/>
      <c r="F661" s="392" t="str">
        <f t="shared" si="43"/>
        <v/>
      </c>
      <c r="G661" s="110" t="str">
        <f t="shared" si="34"/>
        <v/>
      </c>
      <c r="H661" s="100"/>
      <c r="I661" s="117"/>
      <c r="J661" s="100"/>
      <c r="K661" s="83"/>
      <c r="L661" s="820" t="s">
        <v>2540</v>
      </c>
      <c r="M661" s="662">
        <v>44440.0</v>
      </c>
      <c r="N661" s="762" t="s">
        <v>1235</v>
      </c>
      <c r="O661" s="775" t="s">
        <v>2545</v>
      </c>
      <c r="P661" s="103" t="s">
        <v>71</v>
      </c>
      <c r="Q661" s="567"/>
      <c r="R661" s="106" t="s">
        <v>2546</v>
      </c>
      <c r="S661" s="91">
        <v>22.0</v>
      </c>
    </row>
    <row r="662">
      <c r="A662" s="106" t="s">
        <v>2547</v>
      </c>
      <c r="B662" s="189" t="s">
        <v>67</v>
      </c>
      <c r="C662" s="809"/>
      <c r="D662" s="109">
        <v>0.7</v>
      </c>
      <c r="E662" s="109"/>
      <c r="F662" s="392" t="str">
        <f t="shared" si="43"/>
        <v/>
      </c>
      <c r="G662" s="110" t="str">
        <f t="shared" si="34"/>
        <v/>
      </c>
      <c r="H662" s="100"/>
      <c r="I662" s="117"/>
      <c r="J662" s="100"/>
      <c r="K662" s="83"/>
      <c r="L662" s="195" t="s">
        <v>2474</v>
      </c>
      <c r="M662" s="662">
        <v>44650.0</v>
      </c>
      <c r="N662" s="394" t="s">
        <v>34</v>
      </c>
      <c r="O662" s="775" t="s">
        <v>2548</v>
      </c>
      <c r="P662" s="103" t="s">
        <v>71</v>
      </c>
      <c r="Q662" s="616"/>
      <c r="R662" s="618" t="s">
        <v>2549</v>
      </c>
      <c r="S662" s="91">
        <v>21.0</v>
      </c>
    </row>
    <row r="663">
      <c r="A663" s="106" t="s">
        <v>2550</v>
      </c>
      <c r="B663" s="61" t="s">
        <v>50</v>
      </c>
      <c r="C663" s="767" t="s">
        <v>7</v>
      </c>
      <c r="D663" s="109">
        <v>12.0</v>
      </c>
      <c r="E663" s="109"/>
      <c r="F663" s="392" t="str">
        <f t="shared" si="43"/>
        <v/>
      </c>
      <c r="G663" s="110" t="str">
        <f t="shared" si="34"/>
        <v/>
      </c>
      <c r="H663" s="100"/>
      <c r="I663" s="117"/>
      <c r="J663" s="100"/>
      <c r="K663" s="83"/>
      <c r="L663" s="195" t="s">
        <v>1362</v>
      </c>
      <c r="M663" s="545">
        <v>44409.0</v>
      </c>
      <c r="N663" s="394" t="s">
        <v>34</v>
      </c>
      <c r="O663" s="775" t="s">
        <v>2551</v>
      </c>
      <c r="P663" s="103" t="s">
        <v>71</v>
      </c>
      <c r="Q663" s="567"/>
      <c r="R663" s="106" t="s">
        <v>2476</v>
      </c>
      <c r="S663" s="91">
        <v>20.0</v>
      </c>
    </row>
    <row r="664">
      <c r="A664" s="106" t="s">
        <v>2552</v>
      </c>
      <c r="B664" s="735" t="s">
        <v>589</v>
      </c>
      <c r="C664" s="822" t="s">
        <v>2553</v>
      </c>
      <c r="D664" s="591">
        <v>178.0</v>
      </c>
      <c r="E664" s="109">
        <v>300.0</v>
      </c>
      <c r="F664" s="392">
        <f t="shared" si="43"/>
        <v>2</v>
      </c>
      <c r="G664" s="110">
        <f t="shared" si="34"/>
        <v>0.7702813339</v>
      </c>
      <c r="H664" s="100"/>
      <c r="I664" s="117"/>
      <c r="J664" s="100"/>
      <c r="K664" s="83"/>
      <c r="L664" s="195" t="s">
        <v>132</v>
      </c>
      <c r="M664" s="545">
        <v>44409.0</v>
      </c>
      <c r="N664" s="394" t="s">
        <v>34</v>
      </c>
      <c r="O664" s="775" t="s">
        <v>2400</v>
      </c>
      <c r="P664" s="103" t="s">
        <v>71</v>
      </c>
      <c r="Q664" s="773"/>
      <c r="R664" s="538" t="s">
        <v>2554</v>
      </c>
      <c r="S664" s="91">
        <v>19.0</v>
      </c>
    </row>
    <row r="665">
      <c r="A665" s="106" t="s">
        <v>2555</v>
      </c>
      <c r="B665" s="61" t="s">
        <v>56</v>
      </c>
      <c r="C665" s="809"/>
      <c r="D665" s="109">
        <v>9.4</v>
      </c>
      <c r="E665" s="109"/>
      <c r="F665" s="392" t="str">
        <f t="shared" si="43"/>
        <v/>
      </c>
      <c r="G665" s="110" t="str">
        <f t="shared" si="34"/>
        <v/>
      </c>
      <c r="H665" s="100"/>
      <c r="I665" s="117"/>
      <c r="J665" s="100"/>
      <c r="K665" s="83"/>
      <c r="L665" s="638" t="s">
        <v>2432</v>
      </c>
      <c r="M665" s="662">
        <v>44378.0</v>
      </c>
      <c r="N665" s="394" t="s">
        <v>34</v>
      </c>
      <c r="O665" s="775" t="s">
        <v>2556</v>
      </c>
      <c r="P665" s="103" t="s">
        <v>71</v>
      </c>
      <c r="Q665" s="567"/>
      <c r="R665" s="106" t="s">
        <v>2546</v>
      </c>
      <c r="S665" s="91">
        <v>18.0</v>
      </c>
    </row>
    <row r="666">
      <c r="A666" s="538" t="s">
        <v>2557</v>
      </c>
      <c r="B666" s="189" t="s">
        <v>333</v>
      </c>
      <c r="C666" s="108" t="s">
        <v>2492</v>
      </c>
      <c r="D666" s="591">
        <v>6.0</v>
      </c>
      <c r="E666" s="109">
        <v>402.0</v>
      </c>
      <c r="F666" s="392">
        <f t="shared" si="43"/>
        <v>67</v>
      </c>
      <c r="G666" s="110">
        <f t="shared" si="34"/>
        <v>0.1637070554</v>
      </c>
      <c r="H666" s="100"/>
      <c r="I666" s="117"/>
      <c r="J666" s="100"/>
      <c r="K666" s="83"/>
      <c r="L666" s="195" t="s">
        <v>132</v>
      </c>
      <c r="M666" s="545">
        <v>44348.0</v>
      </c>
      <c r="N666" s="394" t="s">
        <v>34</v>
      </c>
      <c r="O666" s="775" t="s">
        <v>2558</v>
      </c>
      <c r="P666" s="103" t="s">
        <v>71</v>
      </c>
      <c r="Q666" s="773"/>
      <c r="R666" s="538" t="s">
        <v>2559</v>
      </c>
      <c r="S666" s="91">
        <v>17.0</v>
      </c>
    </row>
    <row r="667">
      <c r="A667" s="538" t="s">
        <v>2560</v>
      </c>
      <c r="B667" s="61" t="s">
        <v>101</v>
      </c>
      <c r="C667" s="821" t="s">
        <v>2561</v>
      </c>
      <c r="D667" s="591">
        <v>137.0</v>
      </c>
      <c r="E667" s="109"/>
      <c r="F667" s="392" t="str">
        <f t="shared" si="43"/>
        <v/>
      </c>
      <c r="G667" s="110" t="str">
        <f t="shared" si="34"/>
        <v/>
      </c>
      <c r="H667" s="100"/>
      <c r="I667" s="117"/>
      <c r="J667" s="100"/>
      <c r="K667" s="83"/>
      <c r="L667" s="819" t="s">
        <v>2532</v>
      </c>
      <c r="M667" s="545">
        <v>44348.0</v>
      </c>
      <c r="N667" s="639" t="s">
        <v>28</v>
      </c>
      <c r="O667" s="775" t="s">
        <v>2443</v>
      </c>
      <c r="P667" s="103" t="s">
        <v>71</v>
      </c>
      <c r="Q667" s="567" t="s">
        <v>52</v>
      </c>
      <c r="R667" s="538" t="s">
        <v>2546</v>
      </c>
      <c r="S667" s="91">
        <v>16.0</v>
      </c>
    </row>
    <row r="668">
      <c r="A668" s="106" t="s">
        <v>2562</v>
      </c>
      <c r="B668" s="189" t="s">
        <v>2563</v>
      </c>
      <c r="C668" s="767" t="s">
        <v>2564</v>
      </c>
      <c r="D668" s="109">
        <v>1.3</v>
      </c>
      <c r="E668" s="109"/>
      <c r="F668" s="392" t="str">
        <f t="shared" si="43"/>
        <v/>
      </c>
      <c r="G668" s="110" t="str">
        <f t="shared" si="34"/>
        <v/>
      </c>
      <c r="H668" s="100"/>
      <c r="I668" s="117"/>
      <c r="J668" s="100"/>
      <c r="K668" s="83"/>
      <c r="L668" s="195" t="s">
        <v>132</v>
      </c>
      <c r="M668" s="662">
        <v>44228.0</v>
      </c>
      <c r="N668" s="394" t="s">
        <v>34</v>
      </c>
      <c r="O668" s="775" t="s">
        <v>2565</v>
      </c>
      <c r="P668" s="103" t="s">
        <v>71</v>
      </c>
      <c r="Q668" s="567"/>
      <c r="R668" s="106" t="s">
        <v>2566</v>
      </c>
      <c r="S668" s="91">
        <v>15.0</v>
      </c>
    </row>
    <row r="669" ht="20.25" customHeight="1">
      <c r="A669" s="779" t="s">
        <v>2567</v>
      </c>
      <c r="B669" s="823" t="s">
        <v>101</v>
      </c>
      <c r="C669" s="824"/>
      <c r="D669" s="723">
        <v>1600.0</v>
      </c>
      <c r="E669" s="723">
        <v>576.0</v>
      </c>
      <c r="F669" s="825">
        <f t="shared" si="43"/>
        <v>1</v>
      </c>
      <c r="G669" s="826">
        <f t="shared" si="34"/>
        <v>3.2</v>
      </c>
      <c r="H669" s="725"/>
      <c r="I669" s="726"/>
      <c r="J669" s="725"/>
      <c r="K669" s="496"/>
      <c r="L669" s="827" t="s">
        <v>2568</v>
      </c>
      <c r="M669" s="781">
        <v>44197.0</v>
      </c>
      <c r="N669" s="828" t="s">
        <v>34</v>
      </c>
      <c r="O669" s="500" t="s">
        <v>2569</v>
      </c>
      <c r="P669" s="729" t="s">
        <v>36</v>
      </c>
      <c r="Q669" s="829"/>
      <c r="R669" s="830"/>
      <c r="S669" s="816">
        <v>14.0</v>
      </c>
    </row>
    <row r="670">
      <c r="A670" s="197" t="s">
        <v>2570</v>
      </c>
      <c r="B670" s="61" t="s">
        <v>50</v>
      </c>
      <c r="C670" s="822" t="s">
        <v>2553</v>
      </c>
      <c r="D670" s="293">
        <v>175.0</v>
      </c>
      <c r="E670" s="194">
        <v>300.0</v>
      </c>
      <c r="F670" s="282">
        <f t="shared" si="43"/>
        <v>2</v>
      </c>
      <c r="G670" s="98">
        <f t="shared" si="34"/>
        <v>0.7637626158</v>
      </c>
      <c r="H670" s="127">
        <v>43.9</v>
      </c>
      <c r="I670" s="627"/>
      <c r="J670" s="127"/>
      <c r="K670" s="240"/>
      <c r="L670" s="831" t="s">
        <v>132</v>
      </c>
      <c r="M670" s="542">
        <v>43952.0</v>
      </c>
      <c r="N670" s="86" t="s">
        <v>34</v>
      </c>
      <c r="O670" s="817" t="s">
        <v>2571</v>
      </c>
      <c r="P670" s="92" t="s">
        <v>71</v>
      </c>
      <c r="Q670" s="206" t="s">
        <v>52</v>
      </c>
      <c r="R670" s="105" t="s">
        <v>2572</v>
      </c>
      <c r="S670" s="91">
        <v>13.0</v>
      </c>
    </row>
    <row r="671">
      <c r="A671" s="538" t="s">
        <v>2573</v>
      </c>
      <c r="B671" s="832" t="s">
        <v>56</v>
      </c>
      <c r="C671" s="772" t="s">
        <v>2574</v>
      </c>
      <c r="D671" s="591">
        <v>11.0</v>
      </c>
      <c r="E671" s="109">
        <v>2200.0</v>
      </c>
      <c r="F671" s="392">
        <f t="shared" si="43"/>
        <v>200</v>
      </c>
      <c r="G671" s="110">
        <f t="shared" si="34"/>
        <v>0.5185449729</v>
      </c>
      <c r="H671" s="100"/>
      <c r="I671" s="117"/>
      <c r="J671" s="100"/>
      <c r="K671" s="83"/>
      <c r="L671" s="195" t="s">
        <v>132</v>
      </c>
      <c r="M671" s="545">
        <v>43922.0</v>
      </c>
      <c r="N671" s="394" t="s">
        <v>34</v>
      </c>
      <c r="O671" s="775" t="s">
        <v>2575</v>
      </c>
      <c r="P671" s="103" t="s">
        <v>71</v>
      </c>
      <c r="Q671" s="616"/>
      <c r="R671" s="618" t="s">
        <v>2576</v>
      </c>
      <c r="S671" s="91">
        <v>12.0</v>
      </c>
    </row>
    <row r="672" ht="20.25" customHeight="1">
      <c r="A672" s="106" t="s">
        <v>2577</v>
      </c>
      <c r="B672" s="735" t="s">
        <v>2578</v>
      </c>
      <c r="C672" s="736"/>
      <c r="D672" s="109">
        <v>0.212</v>
      </c>
      <c r="E672" s="109">
        <v>0.1</v>
      </c>
      <c r="F672" s="392">
        <f t="shared" si="43"/>
        <v>1</v>
      </c>
      <c r="G672" s="110">
        <f t="shared" si="34"/>
        <v>0.0004853406593</v>
      </c>
      <c r="H672" s="100"/>
      <c r="I672" s="117"/>
      <c r="J672" s="100"/>
      <c r="K672" s="83"/>
      <c r="L672" s="833" t="s">
        <v>1015</v>
      </c>
      <c r="M672" s="662">
        <v>43891.0</v>
      </c>
      <c r="N672" s="639" t="s">
        <v>28</v>
      </c>
      <c r="O672" s="205" t="s">
        <v>2579</v>
      </c>
      <c r="P672" s="103" t="s">
        <v>71</v>
      </c>
      <c r="Q672" s="113"/>
      <c r="R672" s="114" t="s">
        <v>2580</v>
      </c>
      <c r="S672" s="91">
        <v>11.0</v>
      </c>
    </row>
    <row r="673" ht="20.25" customHeight="1">
      <c r="A673" s="779" t="s">
        <v>2581</v>
      </c>
      <c r="B673" s="823" t="s">
        <v>101</v>
      </c>
      <c r="C673" s="824"/>
      <c r="D673" s="723">
        <v>2.6</v>
      </c>
      <c r="E673" s="723">
        <v>10000.0</v>
      </c>
      <c r="F673" s="724">
        <f t="shared" si="43"/>
        <v>3847</v>
      </c>
      <c r="G673" s="494">
        <f t="shared" si="34"/>
        <v>0.5374838499</v>
      </c>
      <c r="H673" s="725"/>
      <c r="I673" s="726"/>
      <c r="J673" s="725"/>
      <c r="K673" s="496"/>
      <c r="L673" s="497" t="s">
        <v>132</v>
      </c>
      <c r="M673" s="781">
        <v>43831.0</v>
      </c>
      <c r="N673" s="782" t="s">
        <v>28</v>
      </c>
      <c r="O673" s="783" t="s">
        <v>2582</v>
      </c>
      <c r="P673" s="729" t="s">
        <v>71</v>
      </c>
      <c r="Q673" s="829" t="s">
        <v>52</v>
      </c>
      <c r="R673" s="830" t="s">
        <v>2583</v>
      </c>
      <c r="S673" s="816">
        <v>10.0</v>
      </c>
    </row>
    <row r="674">
      <c r="A674" s="106" t="s">
        <v>2584</v>
      </c>
      <c r="B674" s="61" t="s">
        <v>101</v>
      </c>
      <c r="C674" s="767" t="s">
        <v>2585</v>
      </c>
      <c r="D674" s="109">
        <v>11.0</v>
      </c>
      <c r="E674" s="109">
        <v>1000.0</v>
      </c>
      <c r="F674" s="392">
        <f t="shared" si="43"/>
        <v>91</v>
      </c>
      <c r="G674" s="125">
        <f t="shared" si="34"/>
        <v>0.3496029494</v>
      </c>
      <c r="H674" s="100"/>
      <c r="I674" s="117"/>
      <c r="J674" s="100"/>
      <c r="K674" s="83"/>
      <c r="L674" s="638" t="s">
        <v>2568</v>
      </c>
      <c r="M674" s="662">
        <v>43739.0</v>
      </c>
      <c r="N674" s="834" t="s">
        <v>34</v>
      </c>
      <c r="O674" s="775" t="s">
        <v>2586</v>
      </c>
      <c r="P674" s="103" t="s">
        <v>71</v>
      </c>
      <c r="Q674" s="567"/>
      <c r="R674" s="106" t="s">
        <v>2587</v>
      </c>
      <c r="S674" s="91">
        <v>9.0</v>
      </c>
    </row>
    <row r="675" ht="20.25" customHeight="1">
      <c r="A675" s="106" t="s">
        <v>2588</v>
      </c>
      <c r="B675" s="189" t="s">
        <v>190</v>
      </c>
      <c r="C675" s="736"/>
      <c r="D675" s="109">
        <v>8.3</v>
      </c>
      <c r="E675" s="116">
        <v>800.0</v>
      </c>
      <c r="F675" s="392">
        <f t="shared" si="43"/>
        <v>97</v>
      </c>
      <c r="G675" s="125">
        <f t="shared" si="34"/>
        <v>0.2716206505</v>
      </c>
      <c r="H675" s="117"/>
      <c r="I675" s="117"/>
      <c r="J675" s="117"/>
      <c r="K675" s="83"/>
      <c r="L675" s="195" t="s">
        <v>132</v>
      </c>
      <c r="M675" s="662">
        <v>43709.0</v>
      </c>
      <c r="N675" s="834" t="s">
        <v>34</v>
      </c>
      <c r="O675" s="592" t="s">
        <v>2589</v>
      </c>
      <c r="P675" s="156" t="s">
        <v>71</v>
      </c>
      <c r="Q675" s="835"/>
      <c r="R675" s="836"/>
      <c r="S675" s="91">
        <v>8.0</v>
      </c>
    </row>
    <row r="676" ht="20.25" customHeight="1">
      <c r="A676" s="106" t="s">
        <v>2590</v>
      </c>
      <c r="B676" s="832" t="s">
        <v>56</v>
      </c>
      <c r="C676" s="660" t="s">
        <v>2591</v>
      </c>
      <c r="D676" s="109">
        <v>0.355</v>
      </c>
      <c r="E676" s="109">
        <v>2200.0</v>
      </c>
      <c r="F676" s="392">
        <f t="shared" si="43"/>
        <v>6198</v>
      </c>
      <c r="G676" s="125">
        <f t="shared" si="34"/>
        <v>0.09315459075</v>
      </c>
      <c r="H676" s="100">
        <v>27.9</v>
      </c>
      <c r="I676" s="117"/>
      <c r="J676" s="100"/>
      <c r="K676" s="83"/>
      <c r="L676" s="195" t="s">
        <v>132</v>
      </c>
      <c r="M676" s="662">
        <v>43647.0</v>
      </c>
      <c r="N676" s="834" t="s">
        <v>34</v>
      </c>
      <c r="O676" s="775" t="s">
        <v>2592</v>
      </c>
      <c r="P676" s="103" t="s">
        <v>71</v>
      </c>
      <c r="Q676" s="539"/>
      <c r="R676" s="837" t="s">
        <v>2593</v>
      </c>
      <c r="S676" s="91">
        <v>7.0</v>
      </c>
    </row>
    <row r="677">
      <c r="A677" s="838" t="s">
        <v>2594</v>
      </c>
      <c r="B677" s="823" t="s">
        <v>50</v>
      </c>
      <c r="C677" s="839" t="s">
        <v>2595</v>
      </c>
      <c r="D677" s="840">
        <v>1.5</v>
      </c>
      <c r="E677" s="723">
        <v>40.0</v>
      </c>
      <c r="F677" s="724">
        <f t="shared" si="43"/>
        <v>27</v>
      </c>
      <c r="G677" s="841">
        <f t="shared" si="34"/>
        <v>0.02581988897</v>
      </c>
      <c r="H677" s="725">
        <v>32.4</v>
      </c>
      <c r="I677" s="726"/>
      <c r="J677" s="725"/>
      <c r="K677" s="842"/>
      <c r="L677" s="843" t="s">
        <v>2596</v>
      </c>
      <c r="M677" s="844">
        <v>43497.0</v>
      </c>
      <c r="N677" s="828" t="s">
        <v>34</v>
      </c>
      <c r="O677" s="845" t="s">
        <v>2597</v>
      </c>
      <c r="P677" s="729" t="s">
        <v>71</v>
      </c>
      <c r="Q677" s="846" t="s">
        <v>52</v>
      </c>
      <c r="R677" s="779" t="s">
        <v>2598</v>
      </c>
      <c r="S677" s="816">
        <v>6.0</v>
      </c>
    </row>
    <row r="678">
      <c r="A678" s="106" t="s">
        <v>2599</v>
      </c>
      <c r="B678" s="832" t="s">
        <v>101</v>
      </c>
      <c r="C678" s="660" t="s">
        <v>2600</v>
      </c>
      <c r="D678" s="109">
        <v>0.34</v>
      </c>
      <c r="E678" s="109">
        <v>137.0</v>
      </c>
      <c r="F678" s="392">
        <f t="shared" si="43"/>
        <v>403</v>
      </c>
      <c r="G678" s="125">
        <f t="shared" si="34"/>
        <v>0.02274984737</v>
      </c>
      <c r="H678" s="100"/>
      <c r="I678" s="117"/>
      <c r="J678" s="100"/>
      <c r="K678" s="83"/>
      <c r="L678" s="847" t="s">
        <v>2601</v>
      </c>
      <c r="M678" s="662">
        <v>43374.0</v>
      </c>
      <c r="N678" s="834" t="s">
        <v>34</v>
      </c>
      <c r="O678" s="775" t="s">
        <v>2602</v>
      </c>
      <c r="P678" s="103" t="s">
        <v>71</v>
      </c>
      <c r="Q678" s="522" t="s">
        <v>52</v>
      </c>
      <c r="R678" s="848" t="s">
        <v>2603</v>
      </c>
      <c r="S678" s="91">
        <v>5.0</v>
      </c>
    </row>
    <row r="679">
      <c r="A679" s="106" t="s">
        <v>2604</v>
      </c>
      <c r="B679" s="61" t="s">
        <v>50</v>
      </c>
      <c r="C679" s="108" t="s">
        <v>2605</v>
      </c>
      <c r="D679" s="109">
        <v>0.117</v>
      </c>
      <c r="E679" s="109">
        <v>98.4</v>
      </c>
      <c r="F679" s="392">
        <f t="shared" si="43"/>
        <v>842</v>
      </c>
      <c r="G679" s="125">
        <f t="shared" si="34"/>
        <v>0.01131017241</v>
      </c>
      <c r="H679" s="100"/>
      <c r="I679" s="117"/>
      <c r="J679" s="100"/>
      <c r="K679" s="620"/>
      <c r="L679" s="833" t="s">
        <v>1015</v>
      </c>
      <c r="M679" s="545">
        <v>43252.0</v>
      </c>
      <c r="N679" s="834" t="s">
        <v>34</v>
      </c>
      <c r="O679" s="775" t="s">
        <v>2606</v>
      </c>
      <c r="P679" s="103" t="s">
        <v>71</v>
      </c>
      <c r="Q679" s="567" t="s">
        <v>52</v>
      </c>
      <c r="R679" s="106" t="s">
        <v>2607</v>
      </c>
      <c r="S679" s="91">
        <v>4.0</v>
      </c>
    </row>
    <row r="680">
      <c r="A680" s="779" t="s">
        <v>2608</v>
      </c>
      <c r="B680" s="721" t="s">
        <v>2609</v>
      </c>
      <c r="C680" s="839" t="s">
        <v>2610</v>
      </c>
      <c r="D680" s="849">
        <v>0.034</v>
      </c>
      <c r="E680" s="850">
        <v>1.44</v>
      </c>
      <c r="F680" s="724">
        <f t="shared" si="43"/>
        <v>43</v>
      </c>
      <c r="G680" s="841">
        <f t="shared" si="34"/>
        <v>0.0007375635566</v>
      </c>
      <c r="H680" s="725"/>
      <c r="I680" s="726"/>
      <c r="J680" s="725"/>
      <c r="K680" s="496"/>
      <c r="L680" s="851" t="s">
        <v>2611</v>
      </c>
      <c r="M680" s="781">
        <v>43101.0</v>
      </c>
      <c r="N680" s="828" t="s">
        <v>34</v>
      </c>
      <c r="O680" s="852" t="s">
        <v>2612</v>
      </c>
      <c r="P680" s="729" t="s">
        <v>71</v>
      </c>
      <c r="Q680" s="853"/>
      <c r="R680" s="854" t="s">
        <v>2613</v>
      </c>
      <c r="S680" s="816">
        <v>3.0</v>
      </c>
    </row>
    <row r="681">
      <c r="A681" s="106" t="s">
        <v>2614</v>
      </c>
      <c r="B681" s="61" t="s">
        <v>101</v>
      </c>
      <c r="C681" s="660" t="s">
        <v>2615</v>
      </c>
      <c r="D681" s="553">
        <v>0.213</v>
      </c>
      <c r="E681" s="553">
        <v>9.8</v>
      </c>
      <c r="F681" s="392">
        <f t="shared" si="43"/>
        <v>47</v>
      </c>
      <c r="G681" s="125">
        <f t="shared" si="34"/>
        <v>0.004815945736</v>
      </c>
      <c r="H681" s="100"/>
      <c r="I681" s="117"/>
      <c r="J681" s="100"/>
      <c r="K681" s="620"/>
      <c r="L681" s="833" t="s">
        <v>1015</v>
      </c>
      <c r="M681" s="662">
        <v>42887.0</v>
      </c>
      <c r="N681" s="834" t="s">
        <v>34</v>
      </c>
      <c r="O681" s="474" t="s">
        <v>2616</v>
      </c>
      <c r="P681" s="103" t="s">
        <v>71</v>
      </c>
      <c r="Q681" s="206" t="s">
        <v>52</v>
      </c>
      <c r="R681" s="855" t="s">
        <v>2617</v>
      </c>
      <c r="S681" s="91">
        <v>2.0</v>
      </c>
    </row>
    <row r="682">
      <c r="A682" s="106" t="s">
        <v>2618</v>
      </c>
      <c r="B682" s="61" t="s">
        <v>101</v>
      </c>
      <c r="C682" s="660" t="s">
        <v>2615</v>
      </c>
      <c r="D682" s="553">
        <v>0.065</v>
      </c>
      <c r="E682" s="553">
        <v>3.3</v>
      </c>
      <c r="F682" s="392">
        <f t="shared" si="43"/>
        <v>51</v>
      </c>
      <c r="G682" s="125">
        <f t="shared" si="34"/>
        <v>0.001543804824</v>
      </c>
      <c r="H682" s="100"/>
      <c r="I682" s="117"/>
      <c r="J682" s="100"/>
      <c r="K682" s="620"/>
      <c r="L682" s="833" t="s">
        <v>1015</v>
      </c>
      <c r="M682" s="662">
        <v>42887.0</v>
      </c>
      <c r="N682" s="834" t="s">
        <v>34</v>
      </c>
      <c r="O682" s="474" t="s">
        <v>2616</v>
      </c>
      <c r="P682" s="103" t="s">
        <v>71</v>
      </c>
      <c r="Q682" s="206" t="s">
        <v>52</v>
      </c>
      <c r="R682" s="855" t="s">
        <v>2619</v>
      </c>
      <c r="S682" s="91">
        <v>1.0</v>
      </c>
    </row>
    <row r="683">
      <c r="A683" s="856" t="s">
        <v>2620</v>
      </c>
      <c r="B683" s="857"/>
      <c r="C683" s="858"/>
      <c r="D683" s="553"/>
      <c r="E683" s="553"/>
      <c r="F683" s="392"/>
      <c r="G683" s="125"/>
      <c r="H683" s="100"/>
      <c r="I683" s="117"/>
      <c r="J683" s="100"/>
      <c r="K683" s="859"/>
      <c r="L683" s="860"/>
      <c r="M683" s="662"/>
      <c r="N683" s="834"/>
      <c r="O683" s="861"/>
      <c r="P683" s="103"/>
      <c r="Q683" s="862"/>
      <c r="R683" s="787"/>
      <c r="S683" s="863"/>
    </row>
  </sheetData>
  <conditionalFormatting sqref="F2:F683">
    <cfRule type="cellIs" dxfId="0" priority="1" operator="between">
      <formula>0</formula>
      <formula>7</formula>
    </cfRule>
  </conditionalFormatting>
  <conditionalFormatting sqref="F2:F683">
    <cfRule type="cellIs" dxfId="1" priority="2" operator="between">
      <formula>8</formula>
      <formula>16</formula>
    </cfRule>
  </conditionalFormatting>
  <conditionalFormatting sqref="F2:F683">
    <cfRule type="cellIs" dxfId="2" priority="3" operator="between">
      <formula>17</formula>
      <formula>499</formula>
    </cfRule>
  </conditionalFormatting>
  <conditionalFormatting sqref="B1:B2 B4:B204 B207:B683 A263">
    <cfRule type="containsText" dxfId="3" priority="4" operator="containsText" text="OpenAI">
      <formula>NOT(ISERROR(SEARCH(("OpenAI"),(B1))))</formula>
    </cfRule>
  </conditionalFormatting>
  <conditionalFormatting sqref="B1:B2 B4:B204 B207:B683 A263">
    <cfRule type="expression" dxfId="4" priority="5">
      <formula>regexmatch(B1,"Google|DeepMind")</formula>
    </cfRule>
  </conditionalFormatting>
  <conditionalFormatting sqref="B1:B2 B4:B204 B207:B683 A263">
    <cfRule type="containsText" dxfId="5" priority="6" operator="containsText" text="Microsoft">
      <formula>NOT(ISERROR(SEARCH(("Microsoft"),(B1))))</formula>
    </cfRule>
  </conditionalFormatting>
  <conditionalFormatting sqref="B1:B2 B4:B204 B207:B683 A263">
    <cfRule type="containsText" dxfId="6" priority="7" operator="containsText" text="Stability">
      <formula>NOT(ISERROR(SEARCH(("Stability"),(B1))))</formula>
    </cfRule>
  </conditionalFormatting>
  <conditionalFormatting sqref="B1:B2 B4:B204 B207:B683 A263">
    <cfRule type="containsText" dxfId="7" priority="8" operator="containsText" text="Mistral">
      <formula>NOT(ISERROR(SEARCH(("Mistral"),(B1))))</formula>
    </cfRule>
  </conditionalFormatting>
  <conditionalFormatting sqref="B1:B2 B4:B204 B207:B683 A263">
    <cfRule type="containsText" dxfId="8" priority="9" operator="containsText" text="Meta">
      <formula>NOT(ISERROR(SEARCH(("Meta"),(B1))))</formula>
    </cfRule>
  </conditionalFormatting>
  <conditionalFormatting sqref="B1:B2 B4:B204 B207:B683 A263">
    <cfRule type="expression" dxfId="9" priority="10">
      <formula>regexmatch(B1,"01|360|AiWaves|Alibaba|Bai|BAAI|Byte|cn|DeepSeek|Fudan|Hua|iFly|Kuaishou|Kunlun|Moonshot|Red|Sense|Tencent|Tsing|Wechat|Wenge|Xiao|zh")</formula>
    </cfRule>
  </conditionalFormatting>
  <conditionalFormatting sqref="B1:B2 B4:B204 B207:B683 A263">
    <cfRule type="containsText" dxfId="10" priority="11" operator="containsText" text="Apple">
      <formula>NOT(ISERROR(SEARCH(("Apple"),(B1))))</formula>
    </cfRule>
  </conditionalFormatting>
  <conditionalFormatting sqref="B1:B2 B4:B204 B207:B683 A263">
    <cfRule type="containsText" dxfId="11" priority="12" operator="containsText" text="Amazon">
      <formula>NOT(ISERROR(SEARCH(("Amazon"),(B1))))</formula>
    </cfRule>
  </conditionalFormatting>
  <conditionalFormatting sqref="B1:B2 B4:B204 B207:B683 A263">
    <cfRule type="containsText" dxfId="12" priority="13" operator="containsText" text="xAI">
      <formula>NOT(ISERROR(SEARCH(("xAI"),(B1))))</formula>
    </cfRule>
  </conditionalFormatting>
  <conditionalFormatting sqref="B1:B2 B4:B204 B207:B683 A263">
    <cfRule type="containsText" dxfId="13" priority="14" operator="containsText" text="NVIDIA">
      <formula>NOT(ISERROR(SEARCH(("NVIDIA"),(B1))))</formula>
    </cfRule>
  </conditionalFormatting>
  <conditionalFormatting sqref="B1:B2 B4:B204 B207:B683 A263">
    <cfRule type="containsText" dxfId="14" priority="15" operator="containsText" text="Anthropic">
      <formula>NOT(ISERROR(SEARCH(("Anthropic"),(B1))))</formula>
    </cfRule>
  </conditionalFormatting>
  <conditionalFormatting sqref="F1:F683">
    <cfRule type="cellIs" dxfId="15" priority="16" operator="between">
      <formula>500</formula>
      <formula>99999</formula>
    </cfRule>
  </conditionalFormatting>
  <conditionalFormatting sqref="B1:B2 B4:B204 B207:B683 A263">
    <cfRule type="containsText" dxfId="16" priority="17" operator="containsText" text="AI21">
      <formula>NOT(ISERROR(SEARCH(("AI21"),(B1))))</formula>
    </cfRule>
  </conditionalFormatting>
  <conditionalFormatting sqref="G1:I683 J2:J683 K11:K15 K43:K57">
    <cfRule type="colorScale" priority="18">
      <colorScale>
        <cfvo type="min"/>
        <cfvo type="max"/>
        <color rgb="FFE8F0FE"/>
        <color rgb="FF6D9EEB"/>
      </colorScale>
    </cfRule>
  </conditionalFormatting>
  <conditionalFormatting sqref="K2:K683">
    <cfRule type="colorScale" priority="19">
      <colorScale>
        <cfvo type="min"/>
        <cfvo type="max"/>
        <color rgb="FFE8F0FE"/>
        <color rgb="FF6D9EEB"/>
      </colorScale>
    </cfRule>
  </conditionalFormatting>
  <dataValidations>
    <dataValidation type="list" allowBlank="1" showErrorMessage="1" sqref="Q3:Q682">
      <formula1>"Diffusion,Reasoning,SOTA"</formula1>
    </dataValidation>
  </dataValidations>
  <hyperlinks>
    <hyperlink r:id="rId1" ref="B1"/>
    <hyperlink r:id="rId2" ref="F1"/>
    <hyperlink r:id="rId3" ref="K1"/>
    <hyperlink r:id="rId4" ref="C3"/>
    <hyperlink r:id="rId5" ref="C4"/>
    <hyperlink r:id="rId6" ref="O4"/>
    <hyperlink r:id="rId7" ref="R4"/>
    <hyperlink r:id="rId8" ref="C5"/>
    <hyperlink r:id="rId9" ref="C6"/>
    <hyperlink r:id="rId10" ref="C7"/>
    <hyperlink r:id="rId11" ref="C8"/>
    <hyperlink r:id="rId12" ref="O8"/>
    <hyperlink r:id="rId13" ref="C9"/>
    <hyperlink r:id="rId14" ref="C10"/>
    <hyperlink r:id="rId15" ref="C11"/>
    <hyperlink r:id="rId16" ref="O11"/>
    <hyperlink r:id="rId17" ref="C12"/>
    <hyperlink r:id="rId18" ref="O12"/>
    <hyperlink r:id="rId19" ref="R12"/>
    <hyperlink r:id="rId20" ref="B13"/>
    <hyperlink r:id="rId21" ref="C13"/>
    <hyperlink r:id="rId22" ref="O13"/>
    <hyperlink r:id="rId23" ref="C14"/>
    <hyperlink r:id="rId24" ref="O14"/>
    <hyperlink r:id="rId25" ref="C15"/>
    <hyperlink r:id="rId26" ref="O15"/>
    <hyperlink r:id="rId27" ref="R15"/>
    <hyperlink r:id="rId28" ref="O16"/>
    <hyperlink r:id="rId29" ref="C17"/>
    <hyperlink r:id="rId30" ref="O17"/>
    <hyperlink r:id="rId31" ref="C18"/>
    <hyperlink r:id="rId32" ref="O18"/>
    <hyperlink r:id="rId33" ref="C19"/>
    <hyperlink r:id="rId34" ref="O19"/>
    <hyperlink r:id="rId35" ref="C20"/>
    <hyperlink r:id="rId36" ref="O20"/>
    <hyperlink r:id="rId37" ref="C21"/>
    <hyperlink r:id="rId38" ref="O21"/>
    <hyperlink r:id="rId39" ref="R21"/>
    <hyperlink r:id="rId40" ref="C22"/>
    <hyperlink r:id="rId41" ref="O22"/>
    <hyperlink r:id="rId42" ref="C23"/>
    <hyperlink r:id="rId43" ref="O23"/>
    <hyperlink r:id="rId44" ref="C24"/>
    <hyperlink r:id="rId45" ref="O24"/>
    <hyperlink r:id="rId46" ref="R24"/>
    <hyperlink r:id="rId47" ref="C25"/>
    <hyperlink r:id="rId48" ref="O25"/>
    <hyperlink r:id="rId49" ref="C26"/>
    <hyperlink r:id="rId50" ref="O26"/>
    <hyperlink r:id="rId51" ref="C27"/>
    <hyperlink r:id="rId52" ref="O27"/>
    <hyperlink r:id="rId53" ref="C28"/>
    <hyperlink r:id="rId54" ref="O28"/>
    <hyperlink r:id="rId55" ref="C29"/>
    <hyperlink r:id="rId56" ref="O29"/>
    <hyperlink r:id="rId57" ref="C30"/>
    <hyperlink r:id="rId58" ref="O30"/>
    <hyperlink r:id="rId59" ref="C31"/>
    <hyperlink r:id="rId60" ref="O31"/>
    <hyperlink r:id="rId61" ref="C32"/>
    <hyperlink r:id="rId62" location="/doc/?type=model&amp;url=2840914_2&amp;modelId=qwen3-max-preview" ref="O32"/>
    <hyperlink r:id="rId63" ref="C33"/>
    <hyperlink r:id="rId64" ref="O33"/>
    <hyperlink r:id="rId65" ref="C34"/>
    <hyperlink r:id="rId66" ref="O34"/>
    <hyperlink r:id="rId67" ref="R34"/>
    <hyperlink r:id="rId68" ref="C35"/>
    <hyperlink r:id="rId69" ref="O35"/>
    <hyperlink r:id="rId70" ref="C36"/>
    <hyperlink r:id="rId71" ref="O36"/>
    <hyperlink r:id="rId72" ref="R36"/>
    <hyperlink r:id="rId73" ref="C37"/>
    <hyperlink r:id="rId74" ref="O37"/>
    <hyperlink r:id="rId75" ref="R37"/>
    <hyperlink r:id="rId76" ref="C38"/>
    <hyperlink r:id="rId77" ref="O38"/>
    <hyperlink r:id="rId78" ref="C39"/>
    <hyperlink r:id="rId79" ref="K39"/>
    <hyperlink r:id="rId80" ref="O39"/>
    <hyperlink r:id="rId81" ref="R39"/>
    <hyperlink r:id="rId82" ref="C40"/>
    <hyperlink r:id="rId83" ref="O40"/>
    <hyperlink r:id="rId84" ref="R40"/>
    <hyperlink r:id="rId85" ref="C41"/>
    <hyperlink r:id="rId86" ref="O41"/>
    <hyperlink r:id="rId87" ref="C42"/>
    <hyperlink r:id="rId88" ref="O42"/>
    <hyperlink r:id="rId89" ref="R42"/>
    <hyperlink r:id="rId90" ref="C43"/>
    <hyperlink r:id="rId91" ref="O43"/>
    <hyperlink r:id="rId92" ref="R43"/>
    <hyperlink r:id="rId93" ref="C44"/>
    <hyperlink r:id="rId94" ref="O44"/>
    <hyperlink r:id="rId95" ref="R44"/>
    <hyperlink r:id="rId96" ref="C45"/>
    <hyperlink r:id="rId97" ref="O45"/>
    <hyperlink r:id="rId98" ref="B46"/>
    <hyperlink r:id="rId99" ref="C46"/>
    <hyperlink r:id="rId100" ref="O46"/>
    <hyperlink r:id="rId101" ref="C47"/>
    <hyperlink r:id="rId102" ref="O47"/>
    <hyperlink r:id="rId103" ref="C48"/>
    <hyperlink r:id="rId104" ref="O48"/>
    <hyperlink r:id="rId105" ref="C49"/>
    <hyperlink r:id="rId106" ref="O49"/>
    <hyperlink r:id="rId107" ref="R49"/>
    <hyperlink r:id="rId108" ref="C50"/>
    <hyperlink r:id="rId109" ref="O50"/>
    <hyperlink r:id="rId110" ref="O51"/>
    <hyperlink r:id="rId111" ref="C52"/>
    <hyperlink r:id="rId112" ref="O52"/>
    <hyperlink r:id="rId113" ref="C53"/>
    <hyperlink r:id="rId114" ref="O53"/>
    <hyperlink r:id="rId115" ref="C54"/>
    <hyperlink r:id="rId116" ref="O54"/>
    <hyperlink r:id="rId117" ref="C55"/>
    <hyperlink r:id="rId118" ref="O55"/>
    <hyperlink r:id="rId119" ref="C56"/>
    <hyperlink r:id="rId120" ref="O56"/>
    <hyperlink r:id="rId121" ref="C57"/>
    <hyperlink r:id="rId122" ref="O57"/>
    <hyperlink r:id="rId123" ref="C58"/>
    <hyperlink r:id="rId124" ref="O58"/>
    <hyperlink r:id="rId125" ref="C59"/>
    <hyperlink r:id="rId126" ref="O59"/>
    <hyperlink r:id="rId127" ref="C60"/>
    <hyperlink r:id="rId128" ref="O60"/>
    <hyperlink r:id="rId129" ref="C61"/>
    <hyperlink r:id="rId130" ref="O61"/>
    <hyperlink r:id="rId131" ref="C62"/>
    <hyperlink r:id="rId132" ref="O62"/>
    <hyperlink r:id="rId133" ref="R62"/>
    <hyperlink r:id="rId134" ref="C63"/>
    <hyperlink r:id="rId135" ref="O63"/>
    <hyperlink r:id="rId136" ref="C64"/>
    <hyperlink r:id="rId137" ref="O64"/>
    <hyperlink r:id="rId138" ref="R64"/>
    <hyperlink r:id="rId139" ref="O65"/>
    <hyperlink r:id="rId140" ref="C66"/>
    <hyperlink r:id="rId141" ref="O66"/>
    <hyperlink r:id="rId142" ref="C67"/>
    <hyperlink r:id="rId143" ref="O67"/>
    <hyperlink r:id="rId144" ref="C68"/>
    <hyperlink r:id="rId145" ref="O68"/>
    <hyperlink r:id="rId146" ref="C69"/>
    <hyperlink r:id="rId147" ref="O69"/>
    <hyperlink r:id="rId148" ref="C70"/>
    <hyperlink r:id="rId149" ref="O70"/>
    <hyperlink r:id="rId150" ref="R70"/>
    <hyperlink r:id="rId151" ref="C71"/>
    <hyperlink r:id="rId152" ref="C72"/>
    <hyperlink r:id="rId153" ref="O72"/>
    <hyperlink r:id="rId154" ref="R72"/>
    <hyperlink r:id="rId155" ref="C73"/>
    <hyperlink r:id="rId156" ref="O73"/>
    <hyperlink r:id="rId157" ref="R73"/>
    <hyperlink r:id="rId158" ref="C74"/>
    <hyperlink r:id="rId159" ref="O74"/>
    <hyperlink r:id="rId160" ref="C75"/>
    <hyperlink r:id="rId161" ref="O75"/>
    <hyperlink r:id="rId162" ref="C76"/>
    <hyperlink r:id="rId163" ref="O76"/>
    <hyperlink r:id="rId164" ref="C77"/>
    <hyperlink r:id="rId165" ref="O77"/>
    <hyperlink r:id="rId166" ref="O78"/>
    <hyperlink r:id="rId167" ref="O79"/>
    <hyperlink r:id="rId168" ref="C80"/>
    <hyperlink r:id="rId169" ref="O80"/>
    <hyperlink r:id="rId170" ref="C81"/>
    <hyperlink r:id="rId171" ref="O81"/>
    <hyperlink r:id="rId172" ref="C82"/>
    <hyperlink r:id="rId173" ref="O82"/>
    <hyperlink r:id="rId174" ref="C83"/>
    <hyperlink r:id="rId175" ref="O83"/>
    <hyperlink r:id="rId176" ref="C84"/>
    <hyperlink r:id="rId177" ref="O84"/>
    <hyperlink r:id="rId178" ref="C85"/>
    <hyperlink r:id="rId179" ref="O85"/>
    <hyperlink r:id="rId180" ref="C86"/>
    <hyperlink r:id="rId181" ref="O86"/>
    <hyperlink r:id="rId182" ref="C87"/>
    <hyperlink r:id="rId183" ref="O87"/>
    <hyperlink r:id="rId184" ref="C88"/>
    <hyperlink r:id="rId185" ref="O88"/>
    <hyperlink r:id="rId186" ref="C89"/>
    <hyperlink r:id="rId187" ref="O89"/>
    <hyperlink r:id="rId188" ref="C90"/>
    <hyperlink r:id="rId189" ref="O90"/>
    <hyperlink r:id="rId190" ref="C91"/>
    <hyperlink r:id="rId191" ref="O91"/>
    <hyperlink r:id="rId192" ref="R91"/>
    <hyperlink r:id="rId193" ref="C92"/>
    <hyperlink r:id="rId194" ref="O92"/>
    <hyperlink r:id="rId195" ref="C93"/>
    <hyperlink r:id="rId196" ref="O93"/>
    <hyperlink r:id="rId197" ref="C94"/>
    <hyperlink r:id="rId198" ref="O94"/>
    <hyperlink r:id="rId199" ref="C95"/>
    <hyperlink r:id="rId200" ref="O95"/>
    <hyperlink r:id="rId201" ref="C96"/>
    <hyperlink r:id="rId202" ref="O96"/>
    <hyperlink r:id="rId203" ref="C97"/>
    <hyperlink r:id="rId204" ref="O97"/>
    <hyperlink r:id="rId205" ref="C98"/>
    <hyperlink r:id="rId206" ref="J98"/>
    <hyperlink r:id="rId207" ref="O98"/>
    <hyperlink r:id="rId208" ref="R98"/>
    <hyperlink r:id="rId209" ref="C99"/>
    <hyperlink r:id="rId210" ref="H99"/>
    <hyperlink r:id="rId211" ref="O99"/>
    <hyperlink r:id="rId212" ref="R99"/>
    <hyperlink r:id="rId213" ref="C100"/>
    <hyperlink r:id="rId214" ref="O100"/>
    <hyperlink r:id="rId215" ref="C101"/>
    <hyperlink r:id="rId216" ref="O101"/>
    <hyperlink r:id="rId217" ref="R101"/>
    <hyperlink r:id="rId218" ref="C102"/>
    <hyperlink r:id="rId219" ref="O102"/>
    <hyperlink r:id="rId220" ref="R102"/>
    <hyperlink r:id="rId221" ref="C103"/>
    <hyperlink r:id="rId222" ref="O103"/>
    <hyperlink r:id="rId223" ref="R103"/>
    <hyperlink r:id="rId224" ref="C104"/>
    <hyperlink r:id="rId225" ref="O104"/>
    <hyperlink r:id="rId226" ref="C105"/>
    <hyperlink r:id="rId227" ref="O105"/>
    <hyperlink r:id="rId228" ref="C106"/>
    <hyperlink r:id="rId229" ref="O106"/>
    <hyperlink r:id="rId230" ref="C107"/>
    <hyperlink r:id="rId231" ref="I107"/>
    <hyperlink r:id="rId232" ref="O107"/>
    <hyperlink r:id="rId233" ref="C108"/>
    <hyperlink r:id="rId234" ref="O108"/>
    <hyperlink r:id="rId235" ref="C109"/>
    <hyperlink r:id="rId236" ref="O109"/>
    <hyperlink r:id="rId237" ref="C110"/>
    <hyperlink r:id="rId238" ref="O110"/>
    <hyperlink r:id="rId239" ref="C111"/>
    <hyperlink r:id="rId240" ref="O111"/>
    <hyperlink r:id="rId241" ref="C112"/>
    <hyperlink r:id="rId242" ref="O112"/>
    <hyperlink r:id="rId243" ref="C113"/>
    <hyperlink r:id="rId244" ref="O113"/>
    <hyperlink r:id="rId245" ref="C114"/>
    <hyperlink r:id="rId246" ref="O114"/>
    <hyperlink r:id="rId247" ref="C115"/>
    <hyperlink r:id="rId248" ref="O115"/>
    <hyperlink r:id="rId249" ref="C116"/>
    <hyperlink r:id="rId250" ref="O116"/>
    <hyperlink r:id="rId251" ref="R116"/>
    <hyperlink r:id="rId252" ref="C117"/>
    <hyperlink r:id="rId253" ref="O117"/>
    <hyperlink r:id="rId254" ref="O118"/>
    <hyperlink r:id="rId255" ref="C119"/>
    <hyperlink r:id="rId256" ref="E119"/>
    <hyperlink r:id="rId257" ref="O119"/>
    <hyperlink r:id="rId258" ref="C120"/>
    <hyperlink r:id="rId259" ref="E120"/>
    <hyperlink r:id="rId260" ref="O120"/>
    <hyperlink r:id="rId261" ref="C121"/>
    <hyperlink r:id="rId262" ref="O121"/>
    <hyperlink r:id="rId263" ref="O122"/>
    <hyperlink r:id="rId264" ref="C123"/>
    <hyperlink r:id="rId265" ref="O123"/>
    <hyperlink r:id="rId266" ref="C124"/>
    <hyperlink r:id="rId267" ref="O124"/>
    <hyperlink r:id="rId268" ref="C125"/>
    <hyperlink r:id="rId269" ref="O125"/>
    <hyperlink r:id="rId270" ref="C126"/>
    <hyperlink r:id="rId271" ref="O126"/>
    <hyperlink r:id="rId272" ref="C127"/>
    <hyperlink r:id="rId273" location="building-on-best-gemini" ref="O127"/>
    <hyperlink r:id="rId274" ref="R127"/>
    <hyperlink r:id="rId275" ref="C128"/>
    <hyperlink r:id="rId276" ref="O128"/>
    <hyperlink r:id="rId277" ref="C129"/>
    <hyperlink r:id="rId278" ref="O129"/>
    <hyperlink r:id="rId279" ref="C130"/>
    <hyperlink r:id="rId280" ref="O130"/>
    <hyperlink r:id="rId281" ref="R130"/>
    <hyperlink r:id="rId282" ref="C131"/>
    <hyperlink r:id="rId283" ref="O131"/>
    <hyperlink r:id="rId284" ref="C132"/>
    <hyperlink r:id="rId285" ref="O132"/>
    <hyperlink r:id="rId286" ref="R132"/>
    <hyperlink r:id="rId287" ref="C133"/>
    <hyperlink r:id="rId288" ref="O133"/>
    <hyperlink r:id="rId289" ref="C134"/>
    <hyperlink r:id="rId290" ref="O134"/>
    <hyperlink r:id="rId291" ref="C135"/>
    <hyperlink r:id="rId292" ref="H135"/>
    <hyperlink r:id="rId293" ref="O135"/>
    <hyperlink r:id="rId294" ref="O136"/>
    <hyperlink r:id="rId295" ref="H137"/>
    <hyperlink r:id="rId296" ref="O137"/>
    <hyperlink r:id="rId297" ref="C138"/>
    <hyperlink r:id="rId298" ref="O138"/>
    <hyperlink r:id="rId299" ref="C139"/>
    <hyperlink r:id="rId300" ref="O139"/>
    <hyperlink r:id="rId301" ref="C140"/>
    <hyperlink r:id="rId302" ref="O140"/>
    <hyperlink r:id="rId303" ref="C141"/>
    <hyperlink r:id="rId304" ref="O141"/>
    <hyperlink r:id="rId305" ref="C142"/>
    <hyperlink r:id="rId306" ref="O142"/>
    <hyperlink r:id="rId307" ref="C143"/>
    <hyperlink r:id="rId308" ref="O143"/>
    <hyperlink r:id="rId309" ref="C144"/>
    <hyperlink r:id="rId310" ref="O144"/>
    <hyperlink r:id="rId311" ref="C145"/>
    <hyperlink r:id="rId312" ref="O145"/>
    <hyperlink r:id="rId313" ref="C146"/>
    <hyperlink r:id="rId314" ref="O146"/>
    <hyperlink r:id="rId315" ref="R146"/>
    <hyperlink r:id="rId316" ref="C147"/>
    <hyperlink r:id="rId317" ref="O147"/>
    <hyperlink r:id="rId318" ref="C148"/>
    <hyperlink r:id="rId319" ref="O148"/>
    <hyperlink r:id="rId320" ref="C149"/>
    <hyperlink r:id="rId321" ref="O149"/>
    <hyperlink r:id="rId322" ref="R149"/>
    <hyperlink r:id="rId323" ref="C150"/>
    <hyperlink r:id="rId324" ref="O150"/>
    <hyperlink r:id="rId325" ref="R150"/>
    <hyperlink r:id="rId326" ref="C151"/>
    <hyperlink r:id="rId327" ref="O151"/>
    <hyperlink r:id="rId328" ref="R151"/>
    <hyperlink r:id="rId329" ref="C152"/>
    <hyperlink r:id="rId330" ref="O152"/>
    <hyperlink r:id="rId331" ref="R152"/>
    <hyperlink r:id="rId332" ref="C153"/>
    <hyperlink r:id="rId333" ref="O153"/>
    <hyperlink r:id="rId334" ref="R153"/>
    <hyperlink r:id="rId335" ref="C154"/>
    <hyperlink r:id="rId336" ref="O154"/>
    <hyperlink r:id="rId337" ref="R154"/>
    <hyperlink r:id="rId338" ref="O155"/>
    <hyperlink r:id="rId339" ref="O156"/>
    <hyperlink r:id="rId340" ref="C157"/>
    <hyperlink r:id="rId341" ref="O157"/>
    <hyperlink r:id="rId342" ref="C158"/>
    <hyperlink r:id="rId343" ref="O158"/>
    <hyperlink r:id="rId344" ref="C159"/>
    <hyperlink r:id="rId345" ref="O159"/>
    <hyperlink r:id="rId346" ref="C160"/>
    <hyperlink r:id="rId347" ref="O160"/>
    <hyperlink r:id="rId348" ref="R160"/>
    <hyperlink r:id="rId349" ref="C161"/>
    <hyperlink r:id="rId350" ref="O161"/>
    <hyperlink r:id="rId351" ref="C162"/>
    <hyperlink r:id="rId352" ref="O162"/>
    <hyperlink r:id="rId353" ref="C163"/>
    <hyperlink r:id="rId354" ref="O163"/>
    <hyperlink r:id="rId355" ref="R163"/>
    <hyperlink r:id="rId356" ref="C164"/>
    <hyperlink r:id="rId357" ref="O164"/>
    <hyperlink r:id="rId358" ref="C165"/>
    <hyperlink r:id="rId359" ref="O165"/>
    <hyperlink r:id="rId360" ref="R165"/>
    <hyperlink r:id="rId361" ref="C166"/>
    <hyperlink r:id="rId362" ref="O166"/>
    <hyperlink r:id="rId363" ref="C167"/>
    <hyperlink r:id="rId364" ref="O167"/>
    <hyperlink r:id="rId365" ref="C168"/>
    <hyperlink r:id="rId366" ref="O168"/>
    <hyperlink r:id="rId367" ref="C169"/>
    <hyperlink r:id="rId368" ref="O169"/>
    <hyperlink r:id="rId369" ref="C170"/>
    <hyperlink r:id="rId370" ref="O170"/>
    <hyperlink r:id="rId371" ref="C171"/>
    <hyperlink r:id="rId372" ref="O171"/>
    <hyperlink r:id="rId373" ref="C172"/>
    <hyperlink r:id="rId374" ref="O172"/>
    <hyperlink r:id="rId375" location="474f7dec" ref="C173"/>
    <hyperlink r:id="rId376" ref="O173"/>
    <hyperlink r:id="rId377" ref="C174"/>
    <hyperlink r:id="rId378" ref="O174"/>
    <hyperlink r:id="rId379" ref="C175"/>
    <hyperlink r:id="rId380" ref="O175"/>
    <hyperlink r:id="rId381" ref="O176"/>
    <hyperlink r:id="rId382" ref="R176"/>
    <hyperlink r:id="rId383" ref="C177"/>
    <hyperlink r:id="rId384" ref="O177"/>
    <hyperlink r:id="rId385" ref="C178"/>
    <hyperlink r:id="rId386" ref="O178"/>
    <hyperlink r:id="rId387" ref="R178"/>
    <hyperlink r:id="rId388" ref="C179"/>
    <hyperlink r:id="rId389" ref="O179"/>
    <hyperlink r:id="rId390" ref="R179"/>
    <hyperlink r:id="rId391" ref="C180"/>
    <hyperlink r:id="rId392" ref="O180"/>
    <hyperlink r:id="rId393" ref="C181"/>
    <hyperlink r:id="rId394" ref="E181"/>
    <hyperlink r:id="rId395" ref="O181"/>
    <hyperlink r:id="rId396" ref="R181"/>
    <hyperlink r:id="rId397" ref="C182"/>
    <hyperlink r:id="rId398" ref="E182"/>
    <hyperlink r:id="rId399" ref="O182"/>
    <hyperlink r:id="rId400" ref="R182"/>
    <hyperlink r:id="rId401" ref="C183"/>
    <hyperlink r:id="rId402" ref="O183"/>
    <hyperlink r:id="rId403" ref="C184"/>
    <hyperlink r:id="rId404" ref="O184"/>
    <hyperlink r:id="rId405" ref="C185"/>
    <hyperlink r:id="rId406" ref="O185"/>
    <hyperlink r:id="rId407" ref="C186"/>
    <hyperlink r:id="rId408" ref="O186"/>
    <hyperlink r:id="rId409" ref="R186"/>
    <hyperlink r:id="rId410" ref="C187"/>
    <hyperlink r:id="rId411" ref="O187"/>
    <hyperlink r:id="rId412" ref="C188"/>
    <hyperlink r:id="rId413" ref="O188"/>
    <hyperlink r:id="rId414" ref="C189"/>
    <hyperlink r:id="rId415" ref="O189"/>
    <hyperlink r:id="rId416" ref="C190"/>
    <hyperlink r:id="rId417" ref="O190"/>
    <hyperlink r:id="rId418" ref="R190"/>
    <hyperlink r:id="rId419" ref="C191"/>
    <hyperlink r:id="rId420" ref="O191"/>
    <hyperlink r:id="rId421" ref="C192"/>
    <hyperlink r:id="rId422" ref="O192"/>
    <hyperlink r:id="rId423" ref="C193"/>
    <hyperlink r:id="rId424" ref="O193"/>
    <hyperlink r:id="rId425" ref="C194"/>
    <hyperlink r:id="rId426" ref="O194"/>
    <hyperlink r:id="rId427" ref="C195"/>
    <hyperlink r:id="rId428" ref="O195"/>
    <hyperlink r:id="rId429" ref="C196"/>
    <hyperlink r:id="rId430" ref="O196"/>
    <hyperlink r:id="rId431" ref="C197"/>
    <hyperlink r:id="rId432" ref="O197"/>
    <hyperlink r:id="rId433" ref="C198"/>
    <hyperlink r:id="rId434" ref="O198"/>
    <hyperlink r:id="rId435" ref="C199"/>
    <hyperlink r:id="rId436" ref="O199"/>
    <hyperlink r:id="rId437" ref="R199"/>
    <hyperlink r:id="rId438" ref="C200"/>
    <hyperlink r:id="rId439" ref="H200"/>
    <hyperlink r:id="rId440" ref="O200"/>
    <hyperlink r:id="rId441" ref="R200"/>
    <hyperlink r:id="rId442" ref="C201"/>
    <hyperlink r:id="rId443" ref="O201"/>
    <hyperlink r:id="rId444" ref="C202"/>
    <hyperlink r:id="rId445" ref="O202"/>
    <hyperlink r:id="rId446" ref="C203"/>
    <hyperlink r:id="rId447" ref="H203"/>
    <hyperlink r:id="rId448" ref="I203"/>
    <hyperlink r:id="rId449" ref="J203"/>
    <hyperlink r:id="rId450" ref="O203"/>
    <hyperlink r:id="rId451" ref="R203"/>
    <hyperlink r:id="rId452" ref="C204"/>
    <hyperlink r:id="rId453" ref="O204"/>
    <hyperlink r:id="rId454" ref="C205"/>
    <hyperlink r:id="rId455" ref="O205"/>
    <hyperlink r:id="rId456" ref="C206"/>
    <hyperlink r:id="rId457" ref="O206"/>
    <hyperlink r:id="rId458" ref="C207"/>
    <hyperlink r:id="rId459" ref="O207"/>
    <hyperlink r:id="rId460" ref="R207"/>
    <hyperlink r:id="rId461" ref="C208"/>
    <hyperlink r:id="rId462" ref="O208"/>
    <hyperlink r:id="rId463" ref="C209"/>
    <hyperlink r:id="rId464" ref="I209"/>
    <hyperlink r:id="rId465" ref="O209"/>
    <hyperlink r:id="rId466" ref="R209"/>
    <hyperlink r:id="rId467" ref="C210"/>
    <hyperlink r:id="rId468" ref="O210"/>
    <hyperlink r:id="rId469" ref="R210"/>
    <hyperlink r:id="rId470" ref="C211"/>
    <hyperlink r:id="rId471" ref="O211"/>
    <hyperlink r:id="rId472" ref="R211"/>
    <hyperlink r:id="rId473" ref="C212"/>
    <hyperlink r:id="rId474" ref="O212"/>
    <hyperlink r:id="rId475" ref="C213"/>
    <hyperlink r:id="rId476" ref="O213"/>
    <hyperlink r:id="rId477" ref="C214"/>
    <hyperlink r:id="rId478" ref="O214"/>
    <hyperlink r:id="rId479" ref="R214"/>
    <hyperlink r:id="rId480" ref="C215"/>
    <hyperlink r:id="rId481" ref="O215"/>
    <hyperlink r:id="rId482" ref="R215"/>
    <hyperlink r:id="rId483" ref="O216"/>
    <hyperlink r:id="rId484" ref="C217"/>
    <hyperlink r:id="rId485" ref="O217"/>
    <hyperlink r:id="rId486" ref="C218"/>
    <hyperlink r:id="rId487" ref="O218"/>
    <hyperlink r:id="rId488" ref="C219"/>
    <hyperlink r:id="rId489" ref="O219"/>
    <hyperlink r:id="rId490" ref="C220"/>
    <hyperlink r:id="rId491" location="size" ref="D220"/>
    <hyperlink r:id="rId492" location="size" ref="E220"/>
    <hyperlink r:id="rId493" location="gpt-4o" ref="O220"/>
    <hyperlink r:id="rId494" ref="R220"/>
    <hyperlink r:id="rId495" ref="C221"/>
    <hyperlink r:id="rId496" ref="O221"/>
    <hyperlink r:id="rId497" ref="R221"/>
    <hyperlink r:id="rId498" ref="C222"/>
    <hyperlink r:id="rId499" ref="O222"/>
    <hyperlink r:id="rId500" ref="C223"/>
    <hyperlink r:id="rId501" ref="O223"/>
    <hyperlink r:id="rId502" ref="C224"/>
    <hyperlink r:id="rId503" ref="O224"/>
    <hyperlink r:id="rId504" ref="C225"/>
    <hyperlink r:id="rId505" ref="O225"/>
    <hyperlink r:id="rId506" ref="R225"/>
    <hyperlink r:id="rId507" ref="C226"/>
    <hyperlink r:id="rId508" ref="O226"/>
    <hyperlink r:id="rId509" ref="C227"/>
    <hyperlink r:id="rId510" ref="O227"/>
    <hyperlink r:id="rId511" ref="C228"/>
    <hyperlink r:id="rId512" ref="O228"/>
    <hyperlink r:id="rId513" ref="R228"/>
    <hyperlink r:id="rId514" ref="C229"/>
    <hyperlink r:id="rId515" ref="O229"/>
    <hyperlink r:id="rId516" ref="C230"/>
    <hyperlink r:id="rId517" ref="O230"/>
    <hyperlink r:id="rId518" ref="C231"/>
    <hyperlink r:id="rId519" ref="O231"/>
    <hyperlink r:id="rId520" ref="C232"/>
    <hyperlink r:id="rId521" location="page=51" ref="O232"/>
    <hyperlink r:id="rId522" ref="C233"/>
    <hyperlink r:id="rId523" ref="O233"/>
    <hyperlink r:id="rId524" ref="C234"/>
    <hyperlink r:id="rId525" ref="O234"/>
    <hyperlink r:id="rId526" ref="C235"/>
    <hyperlink r:id="rId527" ref="O235"/>
    <hyperlink r:id="rId528" ref="C236"/>
    <hyperlink r:id="rId529" ref="O236"/>
    <hyperlink r:id="rId530" ref="C237"/>
    <hyperlink r:id="rId531" ref="O237"/>
    <hyperlink r:id="rId532" ref="C238"/>
    <hyperlink r:id="rId533" location="%E6%A8%A1%E5%9E%8B%E4%B8%8E%E8%AE%A1%E8%B4%B9" ref="O238"/>
    <hyperlink r:id="rId534" ref="R238"/>
    <hyperlink r:id="rId535" ref="C239"/>
    <hyperlink r:id="rId536" ref="H239"/>
    <hyperlink r:id="rId537" ref="O239"/>
    <hyperlink r:id="rId538" ref="C240"/>
    <hyperlink r:id="rId539" ref="O240"/>
    <hyperlink r:id="rId540" ref="C241"/>
    <hyperlink r:id="rId541" ref="O241"/>
    <hyperlink r:id="rId542" ref="C242"/>
    <hyperlink r:id="rId543" ref="O242"/>
    <hyperlink r:id="rId544" ref="C243"/>
    <hyperlink r:id="rId545" ref="O243"/>
    <hyperlink r:id="rId546" ref="C244"/>
    <hyperlink r:id="rId547" ref="O244"/>
    <hyperlink r:id="rId548" ref="R244"/>
    <hyperlink r:id="rId549" ref="C245"/>
    <hyperlink r:id="rId550" ref="O245"/>
    <hyperlink r:id="rId551" ref="R245"/>
    <hyperlink r:id="rId552" ref="C246"/>
    <hyperlink r:id="rId553" ref="O246"/>
    <hyperlink r:id="rId554" ref="O247"/>
    <hyperlink r:id="rId555" ref="R247"/>
    <hyperlink r:id="rId556" ref="C248"/>
    <hyperlink r:id="rId557" ref="O248"/>
    <hyperlink r:id="rId558" ref="R248"/>
    <hyperlink r:id="rId559" ref="C249"/>
    <hyperlink r:id="rId560" ref="O249"/>
    <hyperlink r:id="rId561" ref="C250"/>
    <hyperlink r:id="rId562" ref="O250"/>
    <hyperlink r:id="rId563" ref="C251"/>
    <hyperlink r:id="rId564" ref="O251"/>
    <hyperlink r:id="rId565" ref="C252"/>
    <hyperlink r:id="rId566" ref="O252"/>
    <hyperlink r:id="rId567" ref="R252"/>
    <hyperlink r:id="rId568" ref="C253"/>
    <hyperlink r:id="rId569" ref="O253"/>
    <hyperlink r:id="rId570" ref="R253"/>
    <hyperlink r:id="rId571" ref="C254"/>
    <hyperlink r:id="rId572" ref="O254"/>
    <hyperlink r:id="rId573" ref="C255"/>
    <hyperlink r:id="rId574" ref="O255"/>
    <hyperlink r:id="rId575" ref="C256"/>
    <hyperlink r:id="rId576" ref="O256"/>
    <hyperlink r:id="rId577" ref="C257"/>
    <hyperlink r:id="rId578" location="size" ref="D257"/>
    <hyperlink r:id="rId579" location="size" ref="E257"/>
    <hyperlink r:id="rId580" ref="I257"/>
    <hyperlink r:id="rId581" ref="O257"/>
    <hyperlink r:id="rId582" ref="C258"/>
    <hyperlink r:id="rId583" ref="O258"/>
    <hyperlink r:id="rId584" ref="C259"/>
    <hyperlink r:id="rId585" ref="O259"/>
    <hyperlink r:id="rId586" ref="C260"/>
    <hyperlink r:id="rId587" ref="O260"/>
    <hyperlink r:id="rId588" ref="C261"/>
    <hyperlink r:id="rId589" ref="O261"/>
    <hyperlink r:id="rId590" ref="C262"/>
    <hyperlink r:id="rId591" ref="O262"/>
    <hyperlink r:id="rId592" ref="O263"/>
    <hyperlink r:id="rId593" ref="C264"/>
    <hyperlink r:id="rId594" ref="O264"/>
    <hyperlink r:id="rId595" ref="C265"/>
    <hyperlink r:id="rId596" ref="O265"/>
    <hyperlink r:id="rId597" ref="C266"/>
    <hyperlink r:id="rId598" ref="O266"/>
    <hyperlink r:id="rId599" ref="C267"/>
    <hyperlink r:id="rId600" ref="O267"/>
    <hyperlink r:id="rId601" ref="R267"/>
    <hyperlink r:id="rId602" ref="C268"/>
    <hyperlink r:id="rId603" ref="O268"/>
    <hyperlink r:id="rId604" ref="C269"/>
    <hyperlink r:id="rId605" ref="O269"/>
    <hyperlink r:id="rId606" ref="C270"/>
    <hyperlink r:id="rId607" ref="O270"/>
    <hyperlink r:id="rId608" ref="C271"/>
    <hyperlink r:id="rId609" ref="O271"/>
    <hyperlink r:id="rId610" ref="C272"/>
    <hyperlink r:id="rId611" ref="O272"/>
    <hyperlink r:id="rId612" ref="C273"/>
    <hyperlink r:id="rId613" ref="O273"/>
    <hyperlink r:id="rId614" ref="R273"/>
    <hyperlink r:id="rId615" ref="C274"/>
    <hyperlink r:id="rId616" ref="O274"/>
    <hyperlink r:id="rId617" ref="C275"/>
    <hyperlink r:id="rId618" ref="O275"/>
    <hyperlink r:id="rId619" ref="R275"/>
    <hyperlink r:id="rId620" ref="C276"/>
    <hyperlink r:id="rId621" ref="O276"/>
    <hyperlink r:id="rId622" ref="C277"/>
    <hyperlink r:id="rId623" ref="O277"/>
    <hyperlink r:id="rId624" ref="R277"/>
    <hyperlink r:id="rId625" ref="C278"/>
    <hyperlink r:id="rId626" ref="O278"/>
    <hyperlink r:id="rId627" ref="C279"/>
    <hyperlink r:id="rId628" ref="O279"/>
    <hyperlink r:id="rId629" ref="C280"/>
    <hyperlink r:id="rId630" ref="O280"/>
    <hyperlink r:id="rId631" ref="C281"/>
    <hyperlink r:id="rId632" ref="O281"/>
    <hyperlink r:id="rId633" ref="R281"/>
    <hyperlink r:id="rId634" ref="C282"/>
    <hyperlink r:id="rId635" ref="O282"/>
    <hyperlink r:id="rId636" ref="C283"/>
    <hyperlink r:id="rId637" ref="O283"/>
    <hyperlink r:id="rId638" ref="R283"/>
    <hyperlink r:id="rId639" ref="C284"/>
    <hyperlink r:id="rId640" ref="O284"/>
    <hyperlink r:id="rId641" ref="R284"/>
    <hyperlink r:id="rId642" ref="C285"/>
    <hyperlink r:id="rId643" ref="O285"/>
    <hyperlink r:id="rId644" ref="R285"/>
    <hyperlink r:id="rId645" ref="C286"/>
    <hyperlink r:id="rId646" ref="O286"/>
    <hyperlink r:id="rId647" ref="C287"/>
    <hyperlink r:id="rId648" ref="O287"/>
    <hyperlink r:id="rId649" ref="O288"/>
    <hyperlink r:id="rId650" ref="C289"/>
    <hyperlink r:id="rId651" ref="O289"/>
    <hyperlink r:id="rId652" ref="C290"/>
    <hyperlink r:id="rId653" ref="O290"/>
    <hyperlink r:id="rId654" ref="C291"/>
    <hyperlink r:id="rId655" ref="O291"/>
    <hyperlink r:id="rId656" ref="C292"/>
    <hyperlink r:id="rId657" ref="O292"/>
    <hyperlink r:id="rId658" ref="O293"/>
    <hyperlink r:id="rId659" location="language-step2" ref="C294"/>
    <hyperlink r:id="rId660" ref="O294"/>
    <hyperlink r:id="rId661" ref="R294"/>
    <hyperlink r:id="rId662" ref="C295"/>
    <hyperlink r:id="rId663" ref="O295"/>
    <hyperlink r:id="rId664" ref="R295"/>
    <hyperlink r:id="rId665" ref="O296"/>
    <hyperlink r:id="rId666" location="/home" ref="C297"/>
    <hyperlink r:id="rId667" ref="O297"/>
    <hyperlink r:id="rId668" ref="C298"/>
    <hyperlink r:id="rId669" ref="O298"/>
    <hyperlink r:id="rId670" ref="C299"/>
    <hyperlink r:id="rId671" ref="O299"/>
    <hyperlink r:id="rId672" ref="C300"/>
    <hyperlink r:id="rId673" ref="O300"/>
    <hyperlink r:id="rId674" ref="C301"/>
    <hyperlink r:id="rId675" ref="O301"/>
    <hyperlink r:id="rId676" ref="C302"/>
    <hyperlink r:id="rId677" ref="O302"/>
    <hyperlink r:id="rId678" ref="C303"/>
    <hyperlink r:id="rId679" ref="O303"/>
    <hyperlink r:id="rId680" ref="R303"/>
    <hyperlink r:id="rId681" ref="O304"/>
    <hyperlink r:id="rId682" ref="R304"/>
    <hyperlink r:id="rId683" ref="C305"/>
    <hyperlink r:id="rId684" ref="O305"/>
    <hyperlink r:id="rId685" ref="R305"/>
    <hyperlink r:id="rId686" ref="C306"/>
    <hyperlink r:id="rId687" ref="O306"/>
    <hyperlink r:id="rId688" ref="C307"/>
    <hyperlink r:id="rId689" ref="O307"/>
    <hyperlink r:id="rId690" ref="R307"/>
    <hyperlink r:id="rId691" ref="C308"/>
    <hyperlink r:id="rId692" ref="O308"/>
    <hyperlink r:id="rId693" ref="R308"/>
    <hyperlink r:id="rId694" ref="C309"/>
    <hyperlink display="63.63" location="'Models Table'!A1" ref="I309"/>
    <hyperlink r:id="rId695" ref="O309"/>
    <hyperlink r:id="rId696" ref="C310"/>
    <hyperlink r:id="rId697" ref="O310"/>
    <hyperlink r:id="rId698" ref="R310"/>
    <hyperlink r:id="rId699" ref="C311"/>
    <hyperlink r:id="rId700" ref="O311"/>
    <hyperlink r:id="rId701" ref="R311"/>
    <hyperlink r:id="rId702" ref="C312"/>
    <hyperlink r:id="rId703" ref="O312"/>
    <hyperlink r:id="rId704" ref="R312"/>
    <hyperlink r:id="rId705" ref="C313"/>
    <hyperlink r:id="rId706" ref="O313"/>
    <hyperlink r:id="rId707" ref="C314"/>
    <hyperlink r:id="rId708" ref="O314"/>
    <hyperlink r:id="rId709" ref="C315"/>
    <hyperlink r:id="rId710" ref="O315"/>
    <hyperlink r:id="rId711" ref="R315"/>
    <hyperlink r:id="rId712" ref="C316"/>
    <hyperlink r:id="rId713" ref="O316"/>
    <hyperlink r:id="rId714" ref="R316"/>
    <hyperlink r:id="rId715" ref="C317"/>
    <hyperlink r:id="rId716" ref="O317"/>
    <hyperlink r:id="rId717" ref="C318"/>
    <hyperlink r:id="rId718" ref="O318"/>
    <hyperlink r:id="rId719" ref="R318"/>
    <hyperlink r:id="rId720" ref="C319"/>
    <hyperlink r:id="rId721" ref="O319"/>
    <hyperlink r:id="rId722" ref="C320"/>
    <hyperlink r:id="rId723" ref="O320"/>
    <hyperlink r:id="rId724" ref="C321"/>
    <hyperlink r:id="rId725" ref="O321"/>
    <hyperlink r:id="rId726" ref="C322"/>
    <hyperlink r:id="rId727" ref="O322"/>
    <hyperlink r:id="rId728" ref="C323"/>
    <hyperlink r:id="rId729" ref="O323"/>
    <hyperlink r:id="rId730" ref="R323"/>
    <hyperlink r:id="rId731" ref="C324"/>
    <hyperlink r:id="rId732" ref="D324"/>
    <hyperlink r:id="rId733" ref="O324"/>
    <hyperlink r:id="rId734" ref="C325"/>
    <hyperlink r:id="rId735" ref="O325"/>
    <hyperlink r:id="rId736" ref="C326"/>
    <hyperlink r:id="rId737" ref="O326"/>
    <hyperlink r:id="rId738" ref="C327"/>
    <hyperlink r:id="rId739" ref="O327"/>
    <hyperlink r:id="rId740" ref="R327"/>
    <hyperlink r:id="rId741" ref="C328"/>
    <hyperlink r:id="rId742" ref="O328"/>
    <hyperlink r:id="rId743" ref="R328"/>
    <hyperlink r:id="rId744" ref="C329"/>
    <hyperlink r:id="rId745" location="size" ref="D329"/>
    <hyperlink r:id="rId746" location="size" ref="E329"/>
    <hyperlink r:id="rId747" ref="O329"/>
    <hyperlink r:id="rId748" ref="R329"/>
    <hyperlink r:id="rId749" ref="C330"/>
    <hyperlink r:id="rId750" ref="O330"/>
    <hyperlink r:id="rId751" ref="R330"/>
    <hyperlink r:id="rId752" ref="C331"/>
    <hyperlink r:id="rId753" ref="O331"/>
    <hyperlink r:id="rId754" ref="R331"/>
    <hyperlink r:id="rId755" ref="C332"/>
    <hyperlink r:id="rId756" ref="O332"/>
    <hyperlink r:id="rId757" ref="C333"/>
    <hyperlink r:id="rId758" ref="O333"/>
    <hyperlink r:id="rId759" ref="C334"/>
    <hyperlink r:id="rId760" ref="O334"/>
    <hyperlink r:id="rId761" ref="C335"/>
    <hyperlink r:id="rId762" ref="O335"/>
    <hyperlink r:id="rId763" ref="C336"/>
    <hyperlink r:id="rId764" ref="O336"/>
    <hyperlink r:id="rId765" ref="R336"/>
    <hyperlink r:id="rId766" ref="O337"/>
    <hyperlink r:id="rId767" ref="C338"/>
    <hyperlink r:id="rId768" ref="O338"/>
    <hyperlink r:id="rId769" ref="C339"/>
    <hyperlink r:id="rId770" ref="O339"/>
    <hyperlink r:id="rId771" ref="R339"/>
    <hyperlink r:id="rId772" ref="C340"/>
    <hyperlink r:id="rId773" ref="O340"/>
    <hyperlink r:id="rId774" ref="C341"/>
    <hyperlink r:id="rId775" ref="O341"/>
    <hyperlink r:id="rId776" ref="C342"/>
    <hyperlink r:id="rId777" ref="O342"/>
    <hyperlink r:id="rId778" ref="C343"/>
    <hyperlink r:id="rId779" ref="O343"/>
    <hyperlink r:id="rId780" ref="C344"/>
    <hyperlink r:id="rId781" ref="O344"/>
    <hyperlink r:id="rId782" ref="O345"/>
    <hyperlink r:id="rId783" ref="R345"/>
    <hyperlink r:id="rId784" ref="C346"/>
    <hyperlink r:id="rId785" ref="O346"/>
    <hyperlink r:id="rId786" ref="R346"/>
    <hyperlink r:id="rId787" ref="C347"/>
    <hyperlink r:id="rId788" ref="O347"/>
    <hyperlink r:id="rId789" ref="C348"/>
    <hyperlink r:id="rId790" ref="O348"/>
    <hyperlink r:id="rId791" ref="C349"/>
    <hyperlink r:id="rId792" ref="O349"/>
    <hyperlink r:id="rId793" ref="C350"/>
    <hyperlink r:id="rId794" ref="O350"/>
    <hyperlink r:id="rId795" ref="O351"/>
    <hyperlink r:id="rId796" ref="R351"/>
    <hyperlink r:id="rId797" ref="C352"/>
    <hyperlink r:id="rId798" ref="O352"/>
    <hyperlink r:id="rId799" ref="C353"/>
    <hyperlink r:id="rId800" ref="O353"/>
    <hyperlink r:id="rId801" ref="R353"/>
    <hyperlink r:id="rId802" ref="C354"/>
    <hyperlink r:id="rId803" ref="O354"/>
    <hyperlink r:id="rId804" ref="C355"/>
    <hyperlink r:id="rId805" ref="O355"/>
    <hyperlink r:id="rId806" ref="C356"/>
    <hyperlink r:id="rId807" ref="O356"/>
    <hyperlink r:id="rId808" ref="C357"/>
    <hyperlink r:id="rId809" ref="O357"/>
    <hyperlink r:id="rId810" ref="C358"/>
    <hyperlink r:id="rId811" ref="O358"/>
    <hyperlink r:id="rId812" ref="R358"/>
    <hyperlink r:id="rId813" ref="C359"/>
    <hyperlink r:id="rId814" ref="O359"/>
    <hyperlink r:id="rId815" ref="C360"/>
    <hyperlink r:id="rId816" ref="O360"/>
    <hyperlink r:id="rId817" ref="C361"/>
    <hyperlink r:id="rId818" ref="O361"/>
    <hyperlink r:id="rId819" ref="C362"/>
    <hyperlink r:id="rId820" ref="O362"/>
    <hyperlink r:id="rId821" ref="C363"/>
    <hyperlink r:id="rId822" ref="O363"/>
    <hyperlink r:id="rId823" ref="C364"/>
    <hyperlink r:id="rId824" ref="O364"/>
    <hyperlink r:id="rId825" ref="C365"/>
    <hyperlink r:id="rId826" ref="O365"/>
    <hyperlink r:id="rId827" ref="O366"/>
    <hyperlink r:id="rId828" ref="C367"/>
    <hyperlink r:id="rId829" ref="O367"/>
    <hyperlink r:id="rId830" ref="C368"/>
    <hyperlink r:id="rId831" ref="O368"/>
    <hyperlink r:id="rId832" ref="O369"/>
    <hyperlink r:id="rId833" ref="C370"/>
    <hyperlink r:id="rId834" ref="O370"/>
    <hyperlink r:id="rId835" ref="C371"/>
    <hyperlink r:id="rId836" ref="O371"/>
    <hyperlink r:id="rId837" ref="C372"/>
    <hyperlink r:id="rId838" ref="O372"/>
    <hyperlink r:id="rId839" ref="R372"/>
    <hyperlink r:id="rId840" ref="C373"/>
    <hyperlink r:id="rId841" ref="O373"/>
    <hyperlink r:id="rId842" ref="C374"/>
    <hyperlink r:id="rId843" ref="O374"/>
    <hyperlink r:id="rId844" ref="C375"/>
    <hyperlink r:id="rId845" ref="E375"/>
    <hyperlink r:id="rId846" ref="O375"/>
    <hyperlink r:id="rId847" ref="C376"/>
    <hyperlink r:id="rId848" ref="O376"/>
    <hyperlink r:id="rId849" ref="C377"/>
    <hyperlink r:id="rId850" location="39745702" ref="O377"/>
    <hyperlink r:id="rId851" ref="C378"/>
    <hyperlink r:id="rId852" ref="O378"/>
    <hyperlink r:id="rId853" ref="O379"/>
    <hyperlink r:id="rId854" ref="C380"/>
    <hyperlink r:id="rId855" ref="O380"/>
    <hyperlink r:id="rId856" ref="C381"/>
    <hyperlink r:id="rId857" ref="O381"/>
    <hyperlink r:id="rId858" ref="C382"/>
    <hyperlink r:id="rId859" ref="O382"/>
    <hyperlink r:id="rId860" ref="C383"/>
    <hyperlink r:id="rId861" ref="O383"/>
    <hyperlink r:id="rId862" ref="O384"/>
    <hyperlink r:id="rId863" ref="C385"/>
    <hyperlink r:id="rId864" ref="O385"/>
    <hyperlink r:id="rId865" ref="C386"/>
    <hyperlink r:id="rId866" ref="O386"/>
    <hyperlink r:id="rId867" ref="C387"/>
    <hyperlink r:id="rId868" ref="O387"/>
    <hyperlink r:id="rId869" ref="O388"/>
    <hyperlink r:id="rId870" ref="C389"/>
    <hyperlink r:id="rId871" ref="O389"/>
    <hyperlink r:id="rId872" ref="O390"/>
    <hyperlink r:id="rId873" ref="O391"/>
    <hyperlink r:id="rId874" ref="C392"/>
    <hyperlink r:id="rId875" ref="O392"/>
    <hyperlink r:id="rId876" ref="C393"/>
    <hyperlink r:id="rId877" ref="O393"/>
    <hyperlink r:id="rId878" ref="C394"/>
    <hyperlink r:id="rId879" ref="O394"/>
    <hyperlink r:id="rId880" ref="C395"/>
    <hyperlink r:id="rId881" ref="O395"/>
    <hyperlink r:id="rId882" ref="C396"/>
    <hyperlink r:id="rId883" ref="O396"/>
    <hyperlink r:id="rId884" ref="O397"/>
    <hyperlink r:id="rId885" ref="O398"/>
    <hyperlink r:id="rId886" ref="O399"/>
    <hyperlink r:id="rId887" ref="C400"/>
    <hyperlink r:id="rId888" ref="O400"/>
    <hyperlink r:id="rId889" ref="C401"/>
    <hyperlink r:id="rId890" ref="O401"/>
    <hyperlink r:id="rId891" ref="O402"/>
    <hyperlink r:id="rId892" ref="O403"/>
    <hyperlink r:id="rId893" ref="C404"/>
    <hyperlink r:id="rId894" ref="O404"/>
    <hyperlink r:id="rId895" ref="C405"/>
    <hyperlink r:id="rId896" ref="O405"/>
    <hyperlink r:id="rId897" ref="C406"/>
    <hyperlink r:id="rId898" ref="O406"/>
    <hyperlink r:id="rId899" ref="C407"/>
    <hyperlink r:id="rId900" ref="O407"/>
    <hyperlink r:id="rId901" ref="R407"/>
    <hyperlink r:id="rId902" ref="C408"/>
    <hyperlink r:id="rId903" ref="O408"/>
    <hyperlink r:id="rId904" ref="C409"/>
    <hyperlink r:id="rId905" ref="O409"/>
    <hyperlink r:id="rId906" ref="C410"/>
    <hyperlink r:id="rId907" ref="O410"/>
    <hyperlink r:id="rId908" ref="R410"/>
    <hyperlink r:id="rId909" ref="O411"/>
    <hyperlink r:id="rId910" ref="C412"/>
    <hyperlink r:id="rId911" ref="O412"/>
    <hyperlink r:id="rId912" ref="C413"/>
    <hyperlink r:id="rId913" ref="O413"/>
    <hyperlink r:id="rId914" ref="C414"/>
    <hyperlink r:id="rId915" ref="O414"/>
    <hyperlink r:id="rId916" ref="C415"/>
    <hyperlink r:id="rId917" ref="O415"/>
    <hyperlink r:id="rId918" ref="R415"/>
    <hyperlink r:id="rId919" ref="C416"/>
    <hyperlink r:id="rId920" ref="O416"/>
    <hyperlink r:id="rId921" ref="C417"/>
    <hyperlink r:id="rId922" ref="O417"/>
    <hyperlink r:id="rId923" ref="R417"/>
    <hyperlink r:id="rId924" ref="C418"/>
    <hyperlink r:id="rId925" ref="O418"/>
    <hyperlink r:id="rId926" ref="R418"/>
    <hyperlink r:id="rId927" ref="C419"/>
    <hyperlink r:id="rId928" ref="O419"/>
    <hyperlink r:id="rId929" ref="O420"/>
    <hyperlink r:id="rId930" ref="R420"/>
    <hyperlink r:id="rId931" ref="C421"/>
    <hyperlink r:id="rId932" ref="O421"/>
    <hyperlink r:id="rId933" ref="C422"/>
    <hyperlink r:id="rId934" ref="O422"/>
    <hyperlink r:id="rId935" ref="C423"/>
    <hyperlink r:id="rId936" ref="O423"/>
    <hyperlink r:id="rId937" ref="R423"/>
    <hyperlink r:id="rId938" ref="C424"/>
    <hyperlink r:id="rId939" ref="O424"/>
    <hyperlink r:id="rId940" ref="C425"/>
    <hyperlink r:id="rId941" ref="O425"/>
    <hyperlink r:id="rId942" ref="C426"/>
    <hyperlink r:id="rId943" ref="O426"/>
    <hyperlink r:id="rId944" ref="C427"/>
    <hyperlink r:id="rId945" ref="O427"/>
    <hyperlink r:id="rId946" ref="O428"/>
    <hyperlink r:id="rId947" ref="C429"/>
    <hyperlink r:id="rId948" ref="O429"/>
    <hyperlink r:id="rId949" ref="C430"/>
    <hyperlink r:id="rId950" ref="O430"/>
    <hyperlink r:id="rId951" ref="C431"/>
    <hyperlink r:id="rId952" ref="O431"/>
    <hyperlink r:id="rId953" ref="R431"/>
    <hyperlink r:id="rId954" ref="O432"/>
    <hyperlink r:id="rId955" ref="C433"/>
    <hyperlink r:id="rId956" ref="O433"/>
    <hyperlink r:id="rId957" ref="C434"/>
    <hyperlink r:id="rId958" ref="O434"/>
    <hyperlink r:id="rId959" ref="O435"/>
    <hyperlink r:id="rId960" ref="R435"/>
    <hyperlink r:id="rId961" ref="C436"/>
    <hyperlink r:id="rId962" ref="O436"/>
    <hyperlink r:id="rId963" ref="O437"/>
    <hyperlink r:id="rId964" ref="C438"/>
    <hyperlink r:id="rId965" ref="O438"/>
    <hyperlink r:id="rId966" ref="O439"/>
    <hyperlink r:id="rId967" ref="O440"/>
    <hyperlink r:id="rId968" ref="O441"/>
    <hyperlink r:id="rId969" ref="C442"/>
    <hyperlink r:id="rId970" ref="O442"/>
    <hyperlink r:id="rId971" ref="C443"/>
    <hyperlink r:id="rId972" ref="O443"/>
    <hyperlink r:id="rId973" ref="C444"/>
    <hyperlink r:id="rId974" ref="O444"/>
    <hyperlink r:id="rId975" ref="C445"/>
    <hyperlink r:id="rId976" ref="O445"/>
    <hyperlink r:id="rId977" ref="C446"/>
    <hyperlink r:id="rId978" ref="O446"/>
    <hyperlink r:id="rId979" ref="C447"/>
    <hyperlink r:id="rId980" ref="O447"/>
    <hyperlink r:id="rId981" ref="C448"/>
    <hyperlink r:id="rId982" ref="O448"/>
    <hyperlink r:id="rId983" ref="C449"/>
    <hyperlink r:id="rId984" ref="O449"/>
    <hyperlink r:id="rId985" ref="C450"/>
    <hyperlink r:id="rId986" ref="O450"/>
    <hyperlink r:id="rId987" ref="C451"/>
    <hyperlink r:id="rId988" ref="O451"/>
    <hyperlink r:id="rId989" ref="R451"/>
    <hyperlink r:id="rId990" ref="C452"/>
    <hyperlink r:id="rId991" ref="O452"/>
    <hyperlink r:id="rId992" ref="O453"/>
    <hyperlink r:id="rId993" ref="C454"/>
    <hyperlink r:id="rId994" ref="O454"/>
    <hyperlink r:id="rId995" ref="C455"/>
    <hyperlink r:id="rId996" ref="O455"/>
    <hyperlink r:id="rId997" ref="C456"/>
    <hyperlink r:id="rId998" ref="O456"/>
    <hyperlink r:id="rId999" ref="R456"/>
    <hyperlink r:id="rId1000" ref="C457"/>
    <hyperlink r:id="rId1001" ref="O457"/>
    <hyperlink r:id="rId1002" ref="C458"/>
    <hyperlink r:id="rId1003" ref="O458"/>
    <hyperlink r:id="rId1004" ref="C459"/>
    <hyperlink r:id="rId1005" ref="O459"/>
    <hyperlink r:id="rId1006" ref="O460"/>
    <hyperlink r:id="rId1007" ref="C461"/>
    <hyperlink r:id="rId1008" ref="O461"/>
    <hyperlink r:id="rId1009" ref="C462"/>
    <hyperlink r:id="rId1010" ref="O462"/>
    <hyperlink r:id="rId1011" ref="C463"/>
    <hyperlink r:id="rId1012" ref="O463"/>
    <hyperlink r:id="rId1013" ref="C464"/>
    <hyperlink r:id="rId1014" ref="O464"/>
    <hyperlink r:id="rId1015" ref="C465"/>
    <hyperlink r:id="rId1016" ref="O465"/>
    <hyperlink r:id="rId1017" ref="O466"/>
    <hyperlink r:id="rId1018" ref="R466"/>
    <hyperlink r:id="rId1019" ref="O467"/>
    <hyperlink r:id="rId1020" ref="R467"/>
    <hyperlink r:id="rId1021" ref="C468"/>
    <hyperlink r:id="rId1022" ref="O468"/>
    <hyperlink r:id="rId1023" ref="R468"/>
    <hyperlink r:id="rId1024" ref="C469"/>
    <hyperlink r:id="rId1025" ref="O469"/>
    <hyperlink r:id="rId1026" ref="O470"/>
    <hyperlink r:id="rId1027" ref="C471"/>
    <hyperlink r:id="rId1028" ref="O471"/>
    <hyperlink r:id="rId1029" ref="C472"/>
    <hyperlink r:id="rId1030" ref="O472"/>
    <hyperlink r:id="rId1031" ref="C473"/>
    <hyperlink r:id="rId1032" ref="D473"/>
    <hyperlink r:id="rId1033" ref="O473"/>
    <hyperlink r:id="rId1034" ref="R473"/>
    <hyperlink r:id="rId1035" ref="C474"/>
    <hyperlink r:id="rId1036" ref="D474"/>
    <hyperlink r:id="rId1037" ref="O474"/>
    <hyperlink r:id="rId1038" ref="C475"/>
    <hyperlink r:id="rId1039" ref="O475"/>
    <hyperlink r:id="rId1040" ref="R475"/>
    <hyperlink r:id="rId1041" ref="C476"/>
    <hyperlink r:id="rId1042" ref="O476"/>
    <hyperlink r:id="rId1043" ref="R476"/>
    <hyperlink r:id="rId1044" ref="O477"/>
    <hyperlink r:id="rId1045" ref="O478"/>
    <hyperlink r:id="rId1046" ref="C479"/>
    <hyperlink r:id="rId1047" ref="O479"/>
    <hyperlink r:id="rId1048" ref="C480"/>
    <hyperlink r:id="rId1049" ref="O480"/>
    <hyperlink r:id="rId1050" ref="R480"/>
    <hyperlink r:id="rId1051" ref="C481"/>
    <hyperlink r:id="rId1052" ref="O481"/>
    <hyperlink r:id="rId1053" ref="C482"/>
    <hyperlink r:id="rId1054" ref="O482"/>
    <hyperlink r:id="rId1055" ref="C483"/>
    <hyperlink r:id="rId1056" ref="E483"/>
    <hyperlink r:id="rId1057" ref="O483"/>
    <hyperlink r:id="rId1058" ref="O484"/>
    <hyperlink r:id="rId1059" ref="R484"/>
    <hyperlink r:id="rId1060" ref="O485"/>
    <hyperlink r:id="rId1061" ref="C486"/>
    <hyperlink r:id="rId1062" ref="O486"/>
    <hyperlink r:id="rId1063" ref="C487"/>
    <hyperlink r:id="rId1064" ref="O487"/>
    <hyperlink r:id="rId1065" ref="R487"/>
    <hyperlink r:id="rId1066" ref="C488"/>
    <hyperlink r:id="rId1067" ref="O488"/>
    <hyperlink r:id="rId1068" ref="C489"/>
    <hyperlink r:id="rId1069" ref="O489"/>
    <hyperlink r:id="rId1070" ref="C490"/>
    <hyperlink r:id="rId1071" ref="O490"/>
    <hyperlink r:id="rId1072" ref="O491"/>
    <hyperlink r:id="rId1073" ref="R491"/>
    <hyperlink r:id="rId1074" ref="C492"/>
    <hyperlink r:id="rId1075" ref="O492"/>
    <hyperlink r:id="rId1076" ref="C493"/>
    <hyperlink r:id="rId1077" ref="O493"/>
    <hyperlink r:id="rId1078" ref="O494"/>
    <hyperlink r:id="rId1079" ref="C495"/>
    <hyperlink r:id="rId1080" ref="O495"/>
    <hyperlink r:id="rId1081" ref="C496"/>
    <hyperlink r:id="rId1082" ref="E496"/>
    <hyperlink r:id="rId1083" ref="O496"/>
    <hyperlink r:id="rId1084" ref="O497"/>
    <hyperlink r:id="rId1085" ref="C498"/>
    <hyperlink r:id="rId1086" ref="O498"/>
    <hyperlink r:id="rId1087" ref="C499"/>
    <hyperlink r:id="rId1088" ref="O499"/>
    <hyperlink r:id="rId1089" ref="C500"/>
    <hyperlink r:id="rId1090" ref="O500"/>
    <hyperlink r:id="rId1091" ref="C501"/>
    <hyperlink r:id="rId1092" ref="O501"/>
    <hyperlink r:id="rId1093" ref="C502"/>
    <hyperlink r:id="rId1094" ref="O502"/>
    <hyperlink r:id="rId1095" ref="C503"/>
    <hyperlink r:id="rId1096" ref="O503"/>
    <hyperlink r:id="rId1097" ref="C504"/>
    <hyperlink r:id="rId1098" ref="O504"/>
    <hyperlink r:id="rId1099" ref="C505"/>
    <hyperlink r:id="rId1100" ref="O505"/>
    <hyperlink r:id="rId1101" ref="C506"/>
    <hyperlink r:id="rId1102" ref="O506"/>
    <hyperlink r:id="rId1103" ref="C507"/>
    <hyperlink r:id="rId1104" ref="O507"/>
    <hyperlink r:id="rId1105" ref="C508"/>
    <hyperlink r:id="rId1106" ref="O508"/>
    <hyperlink r:id="rId1107" ref="O509"/>
    <hyperlink r:id="rId1108" ref="C510"/>
    <hyperlink r:id="rId1109" ref="O510"/>
    <hyperlink r:id="rId1110" ref="C511"/>
    <hyperlink r:id="rId1111" ref="O511"/>
    <hyperlink r:id="rId1112" ref="C512"/>
    <hyperlink r:id="rId1113" ref="O512"/>
    <hyperlink r:id="rId1114" ref="C513"/>
    <hyperlink r:id="rId1115" ref="O513"/>
    <hyperlink r:id="rId1116" ref="O514"/>
    <hyperlink r:id="rId1117" ref="C515"/>
    <hyperlink r:id="rId1118" ref="O515"/>
    <hyperlink r:id="rId1119" ref="C516"/>
    <hyperlink r:id="rId1120" ref="O516"/>
    <hyperlink r:id="rId1121" ref="C517"/>
    <hyperlink r:id="rId1122" ref="O517"/>
    <hyperlink r:id="rId1123" ref="C518"/>
    <hyperlink r:id="rId1124" ref="O518"/>
    <hyperlink r:id="rId1125" ref="C519"/>
    <hyperlink r:id="rId1126" ref="O519"/>
    <hyperlink r:id="rId1127" ref="C520"/>
    <hyperlink r:id="rId1128" ref="O520"/>
    <hyperlink r:id="rId1129" ref="C521"/>
    <hyperlink r:id="rId1130" ref="O521"/>
    <hyperlink r:id="rId1131" ref="C522"/>
    <hyperlink r:id="rId1132" ref="O522"/>
    <hyperlink r:id="rId1133" ref="O523"/>
    <hyperlink r:id="rId1134" ref="C524"/>
    <hyperlink r:id="rId1135" ref="O524"/>
    <hyperlink r:id="rId1136" ref="C525"/>
    <hyperlink r:id="rId1137" ref="O525"/>
    <hyperlink r:id="rId1138" ref="C526"/>
    <hyperlink r:id="rId1139" ref="O526"/>
    <hyperlink r:id="rId1140" ref="C527"/>
    <hyperlink r:id="rId1141" ref="O527"/>
    <hyperlink r:id="rId1142" ref="C528"/>
    <hyperlink r:id="rId1143" ref="O528"/>
    <hyperlink r:id="rId1144" ref="O529"/>
    <hyperlink r:id="rId1145" ref="C530"/>
    <hyperlink r:id="rId1146" ref="O530"/>
    <hyperlink r:id="rId1147" ref="C531"/>
    <hyperlink r:id="rId1148" ref="O531"/>
    <hyperlink r:id="rId1149" ref="O532"/>
    <hyperlink r:id="rId1150" ref="C533"/>
    <hyperlink r:id="rId1151" ref="O533"/>
    <hyperlink r:id="rId1152" ref="C534"/>
    <hyperlink r:id="rId1153" ref="O534"/>
    <hyperlink r:id="rId1154" ref="C535"/>
    <hyperlink r:id="rId1155" ref="O535"/>
    <hyperlink r:id="rId1156" ref="C536"/>
    <hyperlink r:id="rId1157" ref="O536"/>
    <hyperlink r:id="rId1158" ref="C537"/>
    <hyperlink r:id="rId1159" ref="D537"/>
    <hyperlink r:id="rId1160" ref="E537"/>
    <hyperlink r:id="rId1161" ref="O537"/>
    <hyperlink r:id="rId1162" ref="C538"/>
    <hyperlink r:id="rId1163" ref="O538"/>
    <hyperlink r:id="rId1164" ref="O539"/>
    <hyperlink r:id="rId1165" ref="C540"/>
    <hyperlink r:id="rId1166" ref="O540"/>
    <hyperlink r:id="rId1167" ref="C541"/>
    <hyperlink r:id="rId1168" ref="O541"/>
    <hyperlink r:id="rId1169" ref="C542"/>
    <hyperlink r:id="rId1170" ref="O542"/>
    <hyperlink r:id="rId1171" ref="R542"/>
    <hyperlink r:id="rId1172" ref="O543"/>
    <hyperlink r:id="rId1173" ref="E544"/>
    <hyperlink r:id="rId1174" ref="O544"/>
    <hyperlink r:id="rId1175" ref="C545"/>
    <hyperlink r:id="rId1176" ref="O545"/>
    <hyperlink r:id="rId1177" ref="O546"/>
    <hyperlink r:id="rId1178" ref="C547"/>
    <hyperlink r:id="rId1179" ref="O547"/>
    <hyperlink r:id="rId1180" ref="C548"/>
    <hyperlink r:id="rId1181" ref="O548"/>
    <hyperlink r:id="rId1182" ref="C549"/>
    <hyperlink r:id="rId1183" ref="O549"/>
    <hyperlink r:id="rId1184" ref="C550"/>
    <hyperlink r:id="rId1185" ref="O550"/>
    <hyperlink r:id="rId1186" ref="O551"/>
    <hyperlink r:id="rId1187" ref="O552"/>
    <hyperlink r:id="rId1188" ref="R552"/>
    <hyperlink r:id="rId1189" ref="C553"/>
    <hyperlink r:id="rId1190" ref="O553"/>
    <hyperlink r:id="rId1191" ref="C554"/>
    <hyperlink r:id="rId1192" ref="D554"/>
    <hyperlink r:id="rId1193" ref="E554"/>
    <hyperlink r:id="rId1194" ref="O554"/>
    <hyperlink r:id="rId1195" ref="C555"/>
    <hyperlink r:id="rId1196" ref="O555"/>
    <hyperlink r:id="rId1197" ref="C556"/>
    <hyperlink r:id="rId1198" ref="O556"/>
    <hyperlink r:id="rId1199" ref="C557"/>
    <hyperlink r:id="rId1200" ref="O557"/>
    <hyperlink r:id="rId1201" ref="C558"/>
    <hyperlink r:id="rId1202" ref="O558"/>
    <hyperlink r:id="rId1203" ref="C559"/>
    <hyperlink r:id="rId1204" ref="D559"/>
    <hyperlink r:id="rId1205" ref="E559"/>
    <hyperlink r:id="rId1206" ref="O559"/>
    <hyperlink r:id="rId1207" ref="R559"/>
    <hyperlink r:id="rId1208" ref="C560"/>
    <hyperlink r:id="rId1209" ref="O560"/>
    <hyperlink r:id="rId1210" ref="C561"/>
    <hyperlink r:id="rId1211" ref="O561"/>
    <hyperlink r:id="rId1212" ref="C562"/>
    <hyperlink r:id="rId1213" ref="O562"/>
    <hyperlink r:id="rId1214" ref="C563"/>
    <hyperlink r:id="rId1215" ref="O563"/>
    <hyperlink r:id="rId1216" ref="C564"/>
    <hyperlink r:id="rId1217" ref="O564"/>
    <hyperlink r:id="rId1218" ref="C565"/>
    <hyperlink r:id="rId1219" ref="O565"/>
    <hyperlink r:id="rId1220" ref="C566"/>
    <hyperlink r:id="rId1221" ref="O566"/>
    <hyperlink r:id="rId1222" ref="O567"/>
    <hyperlink r:id="rId1223" ref="R567"/>
    <hyperlink r:id="rId1224" ref="C568"/>
    <hyperlink r:id="rId1225" ref="O568"/>
    <hyperlink r:id="rId1226" ref="R568"/>
    <hyperlink r:id="rId1227" ref="C569"/>
    <hyperlink r:id="rId1228" ref="O569"/>
    <hyperlink r:id="rId1229" ref="C570"/>
    <hyperlink r:id="rId1230" ref="O570"/>
    <hyperlink r:id="rId1231" ref="R570"/>
    <hyperlink r:id="rId1232" ref="O571"/>
    <hyperlink r:id="rId1233" ref="O572"/>
    <hyperlink r:id="rId1234" ref="D573"/>
    <hyperlink r:id="rId1235" ref="E573"/>
    <hyperlink r:id="rId1236" ref="O573"/>
    <hyperlink r:id="rId1237" ref="C574"/>
    <hyperlink r:id="rId1238" ref="J574"/>
    <hyperlink r:id="rId1239" ref="O574"/>
    <hyperlink r:id="rId1240" ref="C575"/>
    <hyperlink r:id="rId1241" ref="O575"/>
    <hyperlink r:id="rId1242" ref="C576"/>
    <hyperlink r:id="rId1243" ref="O576"/>
    <hyperlink r:id="rId1244" ref="C577"/>
    <hyperlink r:id="rId1245" ref="O577"/>
    <hyperlink r:id="rId1246" ref="O578"/>
    <hyperlink r:id="rId1247" ref="C579"/>
    <hyperlink r:id="rId1248" ref="O579"/>
    <hyperlink r:id="rId1249" ref="C580"/>
    <hyperlink r:id="rId1250" ref="O580"/>
    <hyperlink r:id="rId1251" ref="C581"/>
    <hyperlink r:id="rId1252" ref="O581"/>
    <hyperlink r:id="rId1253" ref="R581"/>
    <hyperlink r:id="rId1254" ref="C582"/>
    <hyperlink r:id="rId1255" ref="D582"/>
    <hyperlink r:id="rId1256" ref="E582"/>
    <hyperlink r:id="rId1257" location="zero-shot-learning-with-luminous-supreme-control" ref="O582"/>
    <hyperlink r:id="rId1258" ref="C583"/>
    <hyperlink r:id="rId1259" ref="O583"/>
    <hyperlink r:id="rId1260" ref="C584"/>
    <hyperlink r:id="rId1261" ref="O584"/>
    <hyperlink r:id="rId1262" ref="O585"/>
    <hyperlink r:id="rId1263" ref="O586"/>
    <hyperlink r:id="rId1264" ref="C587"/>
    <hyperlink r:id="rId1265" ref="O587"/>
    <hyperlink r:id="rId1266" ref="O588"/>
    <hyperlink r:id="rId1267" location="baidu" ref="O589"/>
    <hyperlink r:id="rId1268" ref="O590"/>
    <hyperlink r:id="rId1269" ref="C591"/>
    <hyperlink r:id="rId1270" ref="D591"/>
    <hyperlink r:id="rId1271" ref="O591"/>
    <hyperlink r:id="rId1272" ref="C592"/>
    <hyperlink r:id="rId1273" ref="O592"/>
    <hyperlink r:id="rId1274" ref="C593"/>
    <hyperlink r:id="rId1275" ref="O593"/>
    <hyperlink r:id="rId1276" ref="C594"/>
    <hyperlink r:id="rId1277" ref="O594"/>
    <hyperlink r:id="rId1278" ref="R594"/>
    <hyperlink r:id="rId1279" ref="C595"/>
    <hyperlink r:id="rId1280" ref="O595"/>
    <hyperlink r:id="rId1281" ref="O596"/>
    <hyperlink r:id="rId1282" ref="C597"/>
    <hyperlink r:id="rId1283" ref="O597"/>
    <hyperlink r:id="rId1284" ref="C598"/>
    <hyperlink r:id="rId1285" ref="O598"/>
    <hyperlink r:id="rId1286" ref="C599"/>
    <hyperlink r:id="rId1287" ref="O599"/>
    <hyperlink r:id="rId1288" ref="C600"/>
    <hyperlink r:id="rId1289" ref="O600"/>
    <hyperlink r:id="rId1290" ref="O601"/>
    <hyperlink r:id="rId1291" ref="O602"/>
    <hyperlink r:id="rId1292" ref="C603"/>
    <hyperlink r:id="rId1293" ref="O603"/>
    <hyperlink r:id="rId1294" ref="C604"/>
    <hyperlink r:id="rId1295" ref="O604"/>
    <hyperlink r:id="rId1296" ref="C605"/>
    <hyperlink r:id="rId1297" ref="O605"/>
    <hyperlink r:id="rId1298" ref="O606"/>
    <hyperlink r:id="rId1299" ref="O607"/>
    <hyperlink r:id="rId1300" ref="O608"/>
    <hyperlink r:id="rId1301" ref="C609"/>
    <hyperlink r:id="rId1302" ref="O609"/>
    <hyperlink r:id="rId1303" ref="O610"/>
    <hyperlink r:id="rId1304" ref="O611"/>
    <hyperlink r:id="rId1305" ref="C612"/>
    <hyperlink r:id="rId1306" ref="O612"/>
    <hyperlink r:id="rId1307" ref="C613"/>
    <hyperlink r:id="rId1308" ref="O613"/>
    <hyperlink r:id="rId1309" ref="C614"/>
    <hyperlink r:id="rId1310" ref="O614"/>
    <hyperlink r:id="rId1311" ref="O615"/>
    <hyperlink r:id="rId1312" ref="O616"/>
    <hyperlink r:id="rId1313" ref="O617"/>
    <hyperlink r:id="rId1314" ref="C618"/>
    <hyperlink r:id="rId1315" ref="O618"/>
    <hyperlink r:id="rId1316" ref="C619"/>
    <hyperlink r:id="rId1317" ref="O619"/>
    <hyperlink r:id="rId1318" ref="C620"/>
    <hyperlink r:id="rId1319" ref="O620"/>
    <hyperlink r:id="rId1320" ref="O621"/>
    <hyperlink r:id="rId1321" location="microsoft" ref="O622"/>
    <hyperlink r:id="rId1322" ref="C623"/>
    <hyperlink r:id="rId1323" ref="O623"/>
    <hyperlink r:id="rId1324" ref="R623"/>
    <hyperlink r:id="rId1325" ref="C624"/>
    <hyperlink r:id="rId1326" ref="O624"/>
    <hyperlink r:id="rId1327" ref="O625"/>
    <hyperlink r:id="rId1328" ref="O626"/>
    <hyperlink r:id="rId1329" ref="C627"/>
    <hyperlink r:id="rId1330" ref="O627"/>
    <hyperlink r:id="rId1331" ref="C628"/>
    <hyperlink r:id="rId1332" ref="O628"/>
    <hyperlink r:id="rId1333" ref="O629"/>
    <hyperlink r:id="rId1334" ref="O630"/>
    <hyperlink r:id="rId1335" ref="C631"/>
    <hyperlink r:id="rId1336" ref="O631"/>
    <hyperlink r:id="rId1337" ref="C632"/>
    <hyperlink r:id="rId1338" ref="O632"/>
    <hyperlink r:id="rId1339" ref="C633"/>
    <hyperlink r:id="rId1340" ref="O633"/>
    <hyperlink r:id="rId1341" ref="C634"/>
    <hyperlink r:id="rId1342" ref="O634"/>
    <hyperlink r:id="rId1343" ref="O635"/>
    <hyperlink r:id="rId1344" ref="C636"/>
    <hyperlink r:id="rId1345" ref="O636"/>
    <hyperlink r:id="rId1346" ref="O637"/>
    <hyperlink r:id="rId1347" ref="O638"/>
    <hyperlink r:id="rId1348" ref="O639"/>
    <hyperlink r:id="rId1349" ref="O640"/>
    <hyperlink r:id="rId1350" ref="C641"/>
    <hyperlink r:id="rId1351" ref="O641"/>
    <hyperlink r:id="rId1352" ref="O642"/>
    <hyperlink r:id="rId1353" ref="C643"/>
    <hyperlink r:id="rId1354" ref="D643"/>
    <hyperlink r:id="rId1355" ref="O643"/>
    <hyperlink r:id="rId1356" ref="O644"/>
    <hyperlink r:id="rId1357" ref="C645"/>
    <hyperlink r:id="rId1358" ref="O645"/>
    <hyperlink r:id="rId1359" ref="O646"/>
    <hyperlink r:id="rId1360" ref="O647"/>
    <hyperlink r:id="rId1361" ref="O648"/>
    <hyperlink r:id="rId1362" ref="O649"/>
    <hyperlink r:id="rId1363" ref="R649"/>
    <hyperlink r:id="rId1364" ref="O650"/>
    <hyperlink r:id="rId1365" ref="O651"/>
    <hyperlink r:id="rId1366" ref="O652"/>
    <hyperlink r:id="rId1367" ref="O653"/>
    <hyperlink r:id="rId1368" ref="O654"/>
    <hyperlink r:id="rId1369" ref="R654"/>
    <hyperlink r:id="rId1370" ref="O655"/>
    <hyperlink r:id="rId1371" ref="R655"/>
    <hyperlink r:id="rId1372" ref="C656"/>
    <hyperlink r:id="rId1373" ref="O656"/>
    <hyperlink r:id="rId1374" ref="O657"/>
    <hyperlink r:id="rId1375" ref="O658"/>
    <hyperlink r:id="rId1376" ref="O659"/>
    <hyperlink r:id="rId1377" ref="C660"/>
    <hyperlink r:id="rId1378" ref="O660"/>
    <hyperlink r:id="rId1379" ref="C661"/>
    <hyperlink r:id="rId1380" ref="O661"/>
    <hyperlink r:id="rId1381" ref="O662"/>
    <hyperlink r:id="rId1382" ref="R662"/>
    <hyperlink r:id="rId1383" ref="C663"/>
    <hyperlink r:id="rId1384" ref="O663"/>
    <hyperlink r:id="rId1385" ref="O664"/>
    <hyperlink r:id="rId1386" ref="O665"/>
    <hyperlink r:id="rId1387" ref="C666"/>
    <hyperlink r:id="rId1388" ref="O666"/>
    <hyperlink r:id="rId1389" ref="C667"/>
    <hyperlink r:id="rId1390" ref="O667"/>
    <hyperlink r:id="rId1391" ref="C668"/>
    <hyperlink r:id="rId1392" ref="O668"/>
    <hyperlink r:id="rId1393" ref="O669"/>
    <hyperlink r:id="rId1394" ref="O670"/>
    <hyperlink r:id="rId1395" ref="R670"/>
    <hyperlink r:id="rId1396" ref="C671"/>
    <hyperlink r:id="rId1397" ref="O671"/>
    <hyperlink r:id="rId1398" ref="R671"/>
    <hyperlink r:id="rId1399" ref="O672"/>
    <hyperlink r:id="rId1400" ref="O673"/>
    <hyperlink r:id="rId1401" ref="C674"/>
    <hyperlink r:id="rId1402" ref="O674"/>
    <hyperlink r:id="rId1403" ref="O675"/>
    <hyperlink r:id="rId1404" ref="C676"/>
    <hyperlink r:id="rId1405" ref="O676"/>
    <hyperlink r:id="rId1406" ref="R676"/>
    <hyperlink r:id="rId1407" ref="C677"/>
    <hyperlink r:id="rId1408" ref="O677"/>
    <hyperlink r:id="rId1409" ref="C678"/>
    <hyperlink r:id="rId1410" ref="O678"/>
    <hyperlink r:id="rId1411" ref="C679"/>
    <hyperlink r:id="rId1412" ref="O679"/>
    <hyperlink r:id="rId1413" ref="C680"/>
    <hyperlink r:id="rId1414" ref="D680"/>
    <hyperlink r:id="rId1415" ref="O680"/>
    <hyperlink r:id="rId1416" ref="R680"/>
    <hyperlink r:id="rId1417" location="walkthrough" ref="C681"/>
    <hyperlink r:id="rId1418" ref="O681"/>
    <hyperlink r:id="rId1419" location="walkthrough" ref="C682"/>
    <hyperlink r:id="rId1420" ref="O682"/>
    <hyperlink display="About this sheet" location="About!A1" ref="A683"/>
  </hyperlinks>
  <printOptions gridLines="1" horizontalCentered="1"/>
  <pageMargins bottom="0.75" footer="0.0" header="0.0" left="0.7" right="0.7" top="0.75"/>
  <pageSetup fitToHeight="0" paperSize="8" cellComments="atEnd" orientation="portrait" pageOrder="overThenDown"/>
  <drawing r:id="rId1421"/>
  <tableParts count="1">
    <tablePart r:id="rId14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75"/>
    <col customWidth="1" min="2" max="2" width="7.25"/>
    <col customWidth="1" min="3" max="3" width="4.38"/>
    <col customWidth="1" min="4" max="4" width="38.0"/>
    <col customWidth="1" min="5" max="5" width="20.13"/>
    <col customWidth="1" min="6" max="6" width="11.38"/>
    <col customWidth="1" min="7" max="7" width="10.75"/>
    <col customWidth="1" min="8" max="8" width="1.38"/>
    <col customWidth="1" min="9" max="9" width="7.25"/>
    <col customWidth="1" min="10" max="10" width="4.38"/>
    <col customWidth="1" min="11" max="11" width="38.0"/>
    <col customWidth="1" min="12" max="12" width="20.13"/>
    <col customWidth="1" min="13" max="13" width="11.63"/>
    <col customWidth="1" min="14" max="14" width="10.88"/>
    <col customWidth="1" min="15" max="15" width="1.38"/>
  </cols>
  <sheetData>
    <row r="1" ht="54.0" customHeight="1">
      <c r="A1" s="864" t="s">
        <v>14</v>
      </c>
      <c r="H1" s="864" t="s">
        <v>15</v>
      </c>
    </row>
    <row r="2">
      <c r="A2" s="865"/>
      <c r="B2" s="866" t="s">
        <v>2621</v>
      </c>
      <c r="C2" s="867"/>
      <c r="D2" s="865" t="str">
        <f>IFERROR(__xludf.DUMMYFUNCTION("QUERY(SORT('Models Table'!A:N, 1, TRUE),
""SELECT Col1, Col2, Col13, Col10
WHERE Col10 IS NOT NULL AND Col14 = '🟢'
ORDER BY Col10 DESC
LIMIT 12
LABEL Col1 'Model', Col2 'Lab', Col13 'Date', Col10 'GPQA'""
)"),"Model")</f>
        <v>Model</v>
      </c>
      <c r="E2" s="868" t="str">
        <f>IFERROR(__xludf.DUMMYFUNCTION("""COMPUTED_VALUE"""),"Lab")</f>
        <v>Lab</v>
      </c>
      <c r="F2" s="866" t="str">
        <f>IFERROR(__xludf.DUMMYFUNCTION("""COMPUTED_VALUE"""),"Date")</f>
        <v>Date</v>
      </c>
      <c r="G2" s="866" t="str">
        <f>IFERROR(__xludf.DUMMYFUNCTION("""COMPUTED_VALUE"""),"GPQA")</f>
        <v>GPQA</v>
      </c>
      <c r="H2" s="865"/>
      <c r="I2" s="869" t="s">
        <v>2621</v>
      </c>
      <c r="J2" s="867"/>
      <c r="K2" s="865" t="str">
        <f>IFERROR(__xludf.DUMMYFUNCTION("QUERY(SORT('Models Table'!A:N, 1, TRUE),
""SELECT Col1, Col2, Col13, Col11
WHERE Col11 IS NOT NULL AND Col14 = '🟢'
ORDER BY Col11 DESC
LIMIT 12
LABEL Col1 'Model', Col2 'Lab', Col13 'Date', Col11 'HLE'""
)"),"Model")</f>
        <v>Model</v>
      </c>
      <c r="L2" s="865" t="str">
        <f>IFERROR(__xludf.DUMMYFUNCTION("""COMPUTED_VALUE"""),"Lab")</f>
        <v>Lab</v>
      </c>
      <c r="M2" s="866" t="str">
        <f>IFERROR(__xludf.DUMMYFUNCTION("""COMPUTED_VALUE"""),"Date")</f>
        <v>Date</v>
      </c>
      <c r="N2" s="869" t="str">
        <f>IFERROR(__xludf.DUMMYFUNCTION("""COMPUTED_VALUE"""),"HLE")</f>
        <v>HLE</v>
      </c>
      <c r="O2" s="865"/>
    </row>
    <row r="3">
      <c r="A3" s="870"/>
      <c r="B3" s="871">
        <v>1.0</v>
      </c>
      <c r="C3" s="872" t="str">
        <f>IFERROR(__xludf.DUMMYFUNCTION("ARRAYFORMULA(
  IF(ROW(C3:C14)-ROW(C3)&lt;12,
    IF(REGEXMATCH(E3:E14, ""Ali|Baidu|Byte|DeepS|Hua|MiniMax|Moon|Shanghai|Ten|Z.""), ""🇨🇳"",
      IF(REGEXMATCH(E3:E14, ""Allen|Anthropic|Arg|Goog|Meta|Microsoft|OpenAI|Perplex|Rubik|Stanford|xAI""), ""🇺🇸"""&amp;",
        IF(REGEXMATCH(E3:E14, ""LG|Korea""), ""🇰🇷"", """")
      )
    ),
    """")
)"),"🇺🇸")</f>
        <v>🇺🇸</v>
      </c>
      <c r="D3" s="873" t="str">
        <f>IFERROR(__xludf.DUMMYFUNCTION("""COMPUTED_VALUE"""),"GPT-5")</f>
        <v>GPT-5</v>
      </c>
      <c r="E3" s="874" t="str">
        <f>IFERROR(__xludf.DUMMYFUNCTION("""COMPUTED_VALUE"""),"OpenAI")</f>
        <v>OpenAI</v>
      </c>
      <c r="F3" s="875">
        <f>IFERROR(__xludf.DUMMYFUNCTION("""COMPUTED_VALUE"""),45870.0)</f>
        <v>45870</v>
      </c>
      <c r="G3" s="876">
        <f>IFERROR(__xludf.DUMMYFUNCTION("""COMPUTED_VALUE"""),89.4)</f>
        <v>89.4</v>
      </c>
      <c r="H3" s="870"/>
      <c r="I3" s="877">
        <v>1.0</v>
      </c>
      <c r="J3" s="878" t="str">
        <f>IFERROR(__xludf.DUMMYFUNCTION("ARRAYFORMULA(
  IF(ROW(J3:J14)-ROW(J3)&lt;12,
    IF(REGEXMATCH(L3:L14, ""Ali|Baidu|Byte|DeepS|MiniMax|Moon|Shanghai|Ten|Z.""), ""🇨🇳"",
      IF(REGEXMATCH(L3:L14, ""Allen|Anthropic|Arg|Goog|Meta|Microsoft|OpenAI|Perplex|Rubik|Stanford|xAI""), ""🇺🇸"",
  "&amp;"      IF(REGEXMATCH(L3:L14, ""LG|Korea""), ""🇰🇷"", """")
      )
    ),
    """")
)"),"🇺🇸")</f>
        <v>🇺🇸</v>
      </c>
      <c r="K3" s="873" t="str">
        <f>IFERROR(__xludf.DUMMYFUNCTION("""COMPUTED_VALUE"""),"Grok 4")</f>
        <v>Grok 4</v>
      </c>
      <c r="L3" s="879" t="str">
        <f>IFERROR(__xludf.DUMMYFUNCTION("""COMPUTED_VALUE"""),"xAI")</f>
        <v>xAI</v>
      </c>
      <c r="M3" s="875">
        <f>IFERROR(__xludf.DUMMYFUNCTION("""COMPUTED_VALUE"""),45839.0)</f>
        <v>45839</v>
      </c>
      <c r="N3" s="876">
        <f>IFERROR(__xludf.DUMMYFUNCTION("""COMPUTED_VALUE"""),44.4)</f>
        <v>44.4</v>
      </c>
      <c r="O3" s="870"/>
    </row>
    <row r="4">
      <c r="A4" s="870"/>
      <c r="B4" s="871">
        <v>2.0</v>
      </c>
      <c r="C4" s="872" t="str">
        <f>IFERROR(__xludf.DUMMYFUNCTION("""COMPUTED_VALUE"""),"🇺🇸")</f>
        <v>🇺🇸</v>
      </c>
      <c r="D4" s="880" t="str">
        <f>IFERROR(__xludf.DUMMYFUNCTION("""COMPUTED_VALUE"""),"Grok 4")</f>
        <v>Grok 4</v>
      </c>
      <c r="E4" s="881" t="str">
        <f>IFERROR(__xludf.DUMMYFUNCTION("""COMPUTED_VALUE"""),"xAI")</f>
        <v>xAI</v>
      </c>
      <c r="F4" s="882">
        <f>IFERROR(__xludf.DUMMYFUNCTION("""COMPUTED_VALUE"""),45839.0)</f>
        <v>45839</v>
      </c>
      <c r="G4" s="871">
        <f>IFERROR(__xludf.DUMMYFUNCTION("""COMPUTED_VALUE"""),88.9)</f>
        <v>88.9</v>
      </c>
      <c r="H4" s="870"/>
      <c r="I4" s="877">
        <v>2.0</v>
      </c>
      <c r="J4" s="878" t="str">
        <f>IFERROR(__xludf.DUMMYFUNCTION("""COMPUTED_VALUE"""),"🇺🇸")</f>
        <v>🇺🇸</v>
      </c>
      <c r="K4" s="873" t="str">
        <f>IFERROR(__xludf.DUMMYFUNCTION("""COMPUTED_VALUE"""),"GPT-5")</f>
        <v>GPT-5</v>
      </c>
      <c r="L4" s="879" t="str">
        <f>IFERROR(__xludf.DUMMYFUNCTION("""COMPUTED_VALUE"""),"OpenAI")</f>
        <v>OpenAI</v>
      </c>
      <c r="M4" s="875">
        <f>IFERROR(__xludf.DUMMYFUNCTION("""COMPUTED_VALUE"""),45870.0)</f>
        <v>45870</v>
      </c>
      <c r="N4" s="876">
        <f>IFERROR(__xludf.DUMMYFUNCTION("""COMPUTED_VALUE"""),42.0)</f>
        <v>42</v>
      </c>
      <c r="O4" s="870"/>
    </row>
    <row r="5">
      <c r="A5" s="870"/>
      <c r="B5" s="871">
        <v>3.0</v>
      </c>
      <c r="C5" s="872" t="str">
        <f>IFERROR(__xludf.DUMMYFUNCTION("""COMPUTED_VALUE"""),"🇺🇸")</f>
        <v>🇺🇸</v>
      </c>
      <c r="D5" s="880" t="str">
        <f>IFERROR(__xludf.DUMMYFUNCTION("""COMPUTED_VALUE"""),"o3-preview")</f>
        <v>o3-preview</v>
      </c>
      <c r="E5" s="881" t="str">
        <f>IFERROR(__xludf.DUMMYFUNCTION("""COMPUTED_VALUE"""),"OpenAI")</f>
        <v>OpenAI</v>
      </c>
      <c r="F5" s="882">
        <f>IFERROR(__xludf.DUMMYFUNCTION("""COMPUTED_VALUE"""),45627.0)</f>
        <v>45627</v>
      </c>
      <c r="G5" s="871">
        <f>IFERROR(__xludf.DUMMYFUNCTION("""COMPUTED_VALUE"""),87.7)</f>
        <v>87.7</v>
      </c>
      <c r="H5" s="870"/>
      <c r="I5" s="877">
        <v>3.0</v>
      </c>
      <c r="J5" s="878" t="str">
        <f>IFERROR(__xludf.DUMMYFUNCTION("""COMPUTED_VALUE"""),"🇨🇳")</f>
        <v>🇨🇳</v>
      </c>
      <c r="K5" s="873" t="str">
        <f>IFERROR(__xludf.DUMMYFUNCTION("""COMPUTED_VALUE"""),"GLM-4.6")</f>
        <v>GLM-4.6</v>
      </c>
      <c r="L5" s="883" t="str">
        <f>IFERROR(__xludf.DUMMYFUNCTION("""COMPUTED_VALUE"""),"Z.AI")</f>
        <v>Z.AI</v>
      </c>
      <c r="M5" s="875">
        <f>IFERROR(__xludf.DUMMYFUNCTION("""COMPUTED_VALUE"""),45901.0)</f>
        <v>45901</v>
      </c>
      <c r="N5" s="876">
        <f>IFERROR(__xludf.DUMMYFUNCTION("""COMPUTED_VALUE"""),30.4)</f>
        <v>30.4</v>
      </c>
      <c r="O5" s="870"/>
    </row>
    <row r="6">
      <c r="A6" s="870"/>
      <c r="B6" s="871">
        <v>4.0</v>
      </c>
      <c r="C6" s="872" t="str">
        <f>IFERROR(__xludf.DUMMYFUNCTION("""COMPUTED_VALUE"""),"🇺🇸")</f>
        <v>🇺🇸</v>
      </c>
      <c r="D6" s="880" t="str">
        <f>IFERROR(__xludf.DUMMYFUNCTION("""COMPUTED_VALUE"""),"Gemini 2.5 Pro 06-05")</f>
        <v>Gemini 2.5 Pro 06-05</v>
      </c>
      <c r="E6" s="881" t="str">
        <f>IFERROR(__xludf.DUMMYFUNCTION("""COMPUTED_VALUE"""),"Google DeepMind")</f>
        <v>Google DeepMind</v>
      </c>
      <c r="F6" s="882">
        <f>IFERROR(__xludf.DUMMYFUNCTION("""COMPUTED_VALUE"""),45809.0)</f>
        <v>45809</v>
      </c>
      <c r="G6" s="871">
        <f>IFERROR(__xludf.DUMMYFUNCTION("""COMPUTED_VALUE"""),86.4)</f>
        <v>86.4</v>
      </c>
      <c r="H6" s="870"/>
      <c r="I6" s="877">
        <v>4.0</v>
      </c>
      <c r="J6" s="878" t="str">
        <f>IFERROR(__xludf.DUMMYFUNCTION("""COMPUTED_VALUE"""),"🇨🇳")</f>
        <v>🇨🇳</v>
      </c>
      <c r="K6" s="873" t="str">
        <f>IFERROR(__xludf.DUMMYFUNCTION("""COMPUTED_VALUE"""),"DeepSeek-V3.1-Base")</f>
        <v>DeepSeek-V3.1-Base</v>
      </c>
      <c r="L6" s="879" t="str">
        <f>IFERROR(__xludf.DUMMYFUNCTION("""COMPUTED_VALUE"""),"DeepSeek-AI")</f>
        <v>DeepSeek-AI</v>
      </c>
      <c r="M6" s="875">
        <f>IFERROR(__xludf.DUMMYFUNCTION("""COMPUTED_VALUE"""),45870.0)</f>
        <v>45870</v>
      </c>
      <c r="N6" s="876">
        <f>IFERROR(__xludf.DUMMYFUNCTION("""COMPUTED_VALUE"""),29.8)</f>
        <v>29.8</v>
      </c>
      <c r="O6" s="870"/>
    </row>
    <row r="7">
      <c r="A7" s="870"/>
      <c r="B7" s="871">
        <v>5.0</v>
      </c>
      <c r="C7" s="872" t="str">
        <f>IFERROR(__xludf.DUMMYFUNCTION("""COMPUTED_VALUE"""),"🇺🇸")</f>
        <v>🇺🇸</v>
      </c>
      <c r="D7" s="880" t="str">
        <f>IFERROR(__xludf.DUMMYFUNCTION("""COMPUTED_VALUE"""),"Grok 4 Fast")</f>
        <v>Grok 4 Fast</v>
      </c>
      <c r="E7" s="881" t="str">
        <f>IFERROR(__xludf.DUMMYFUNCTION("""COMPUTED_VALUE"""),"xAI")</f>
        <v>xAI</v>
      </c>
      <c r="F7" s="882">
        <f>IFERROR(__xludf.DUMMYFUNCTION("""COMPUTED_VALUE"""),45901.0)</f>
        <v>45901</v>
      </c>
      <c r="G7" s="871">
        <f>IFERROR(__xludf.DUMMYFUNCTION("""COMPUTED_VALUE"""),85.7)</f>
        <v>85.7</v>
      </c>
      <c r="H7" s="870"/>
      <c r="I7" s="877">
        <v>5.0</v>
      </c>
      <c r="J7" s="878" t="str">
        <f>IFERROR(__xludf.DUMMYFUNCTION("""COMPUTED_VALUE"""),"🇺🇸")</f>
        <v>🇺🇸</v>
      </c>
      <c r="K7" s="873" t="str">
        <f>IFERROR(__xludf.DUMMYFUNCTION("""COMPUTED_VALUE"""),"o3")</f>
        <v>o3</v>
      </c>
      <c r="L7" s="879" t="str">
        <f>IFERROR(__xludf.DUMMYFUNCTION("""COMPUTED_VALUE"""),"OpenAI")</f>
        <v>OpenAI</v>
      </c>
      <c r="M7" s="875">
        <f>IFERROR(__xludf.DUMMYFUNCTION("""COMPUTED_VALUE"""),45748.0)</f>
        <v>45748</v>
      </c>
      <c r="N7" s="876">
        <f>IFERROR(__xludf.DUMMYFUNCTION("""COMPUTED_VALUE"""),24.9)</f>
        <v>24.9</v>
      </c>
      <c r="O7" s="870"/>
    </row>
    <row r="8">
      <c r="A8" s="870"/>
      <c r="B8" s="871">
        <v>6.0</v>
      </c>
      <c r="C8" s="872" t="str">
        <f>IFERROR(__xludf.DUMMYFUNCTION("""COMPUTED_VALUE"""),"🇨🇳")</f>
        <v>🇨🇳</v>
      </c>
      <c r="D8" s="880" t="str">
        <f>IFERROR(__xludf.DUMMYFUNCTION("""COMPUTED_VALUE"""),"Qwen3-Max")</f>
        <v>Qwen3-Max</v>
      </c>
      <c r="E8" s="881" t="str">
        <f>IFERROR(__xludf.DUMMYFUNCTION("""COMPUTED_VALUE"""),"Alibaba")</f>
        <v>Alibaba</v>
      </c>
      <c r="F8" s="882">
        <f>IFERROR(__xludf.DUMMYFUNCTION("""COMPUTED_VALUE"""),45901.0)</f>
        <v>45901</v>
      </c>
      <c r="G8" s="871">
        <f>IFERROR(__xludf.DUMMYFUNCTION("""COMPUTED_VALUE"""),85.4)</f>
        <v>85.4</v>
      </c>
      <c r="H8" s="870"/>
      <c r="I8" s="877">
        <v>6.0</v>
      </c>
      <c r="J8" s="878" t="str">
        <f>IFERROR(__xludf.DUMMYFUNCTION("""COMPUTED_VALUE"""),"🇨🇳")</f>
        <v>🇨🇳</v>
      </c>
      <c r="K8" s="873" t="str">
        <f>IFERROR(__xludf.DUMMYFUNCTION("""COMPUTED_VALUE"""),"DeepSeek-V3.1-Terminus")</f>
        <v>DeepSeek-V3.1-Terminus</v>
      </c>
      <c r="L8" s="879" t="str">
        <f>IFERROR(__xludf.DUMMYFUNCTION("""COMPUTED_VALUE"""),"DeepSeek-AI")</f>
        <v>DeepSeek-AI</v>
      </c>
      <c r="M8" s="875">
        <f>IFERROR(__xludf.DUMMYFUNCTION("""COMPUTED_VALUE"""),45901.0)</f>
        <v>45901</v>
      </c>
      <c r="N8" s="876">
        <f>IFERROR(__xludf.DUMMYFUNCTION("""COMPUTED_VALUE"""),21.7)</f>
        <v>21.7</v>
      </c>
      <c r="O8" s="870"/>
    </row>
    <row r="9">
      <c r="A9" s="870"/>
      <c r="B9" s="871">
        <v>7.0</v>
      </c>
      <c r="C9" s="872" t="str">
        <f>IFERROR(__xludf.DUMMYFUNCTION("""COMPUTED_VALUE"""),"🇺🇸")</f>
        <v>🇺🇸</v>
      </c>
      <c r="D9" s="880" t="str">
        <f>IFERROR(__xludf.DUMMYFUNCTION("""COMPUTED_VALUE"""),"Claude 3.7 Sonnet")</f>
        <v>Claude 3.7 Sonnet</v>
      </c>
      <c r="E9" s="881" t="str">
        <f>IFERROR(__xludf.DUMMYFUNCTION("""COMPUTED_VALUE"""),"Anthropic")</f>
        <v>Anthropic</v>
      </c>
      <c r="F9" s="882">
        <f>IFERROR(__xludf.DUMMYFUNCTION("""COMPUTED_VALUE"""),45689.0)</f>
        <v>45689</v>
      </c>
      <c r="G9" s="871">
        <f>IFERROR(__xludf.DUMMYFUNCTION("""COMPUTED_VALUE"""),84.8)</f>
        <v>84.8</v>
      </c>
      <c r="H9" s="870"/>
      <c r="I9" s="877">
        <v>7.0</v>
      </c>
      <c r="J9" s="878" t="str">
        <f>IFERROR(__xludf.DUMMYFUNCTION("""COMPUTED_VALUE"""),"🇺🇸")</f>
        <v>🇺🇸</v>
      </c>
      <c r="K9" s="873" t="str">
        <f>IFERROR(__xludf.DUMMYFUNCTION("""COMPUTED_VALUE"""),"Gemini 2.5 Pro 06-05")</f>
        <v>Gemini 2.5 Pro 06-05</v>
      </c>
      <c r="L9" s="879" t="str">
        <f>IFERROR(__xludf.DUMMYFUNCTION("""COMPUTED_VALUE"""),"Google DeepMind")</f>
        <v>Google DeepMind</v>
      </c>
      <c r="M9" s="875">
        <f>IFERROR(__xludf.DUMMYFUNCTION("""COMPUTED_VALUE"""),45809.0)</f>
        <v>45809</v>
      </c>
      <c r="N9" s="876">
        <f>IFERROR(__xludf.DUMMYFUNCTION("""COMPUTED_VALUE"""),21.6)</f>
        <v>21.6</v>
      </c>
      <c r="O9" s="870"/>
    </row>
    <row r="10">
      <c r="A10" s="870"/>
      <c r="B10" s="871">
        <v>8.0</v>
      </c>
      <c r="C10" s="872" t="str">
        <f>IFERROR(__xludf.DUMMYFUNCTION("""COMPUTED_VALUE"""),"🇺🇸")</f>
        <v>🇺🇸</v>
      </c>
      <c r="D10" s="880" t="str">
        <f>IFERROR(__xludf.DUMMYFUNCTION("""COMPUTED_VALUE"""),"Grok-3")</f>
        <v>Grok-3</v>
      </c>
      <c r="E10" s="881" t="str">
        <f>IFERROR(__xludf.DUMMYFUNCTION("""COMPUTED_VALUE"""),"xAI")</f>
        <v>xAI</v>
      </c>
      <c r="F10" s="882">
        <f>IFERROR(__xludf.DUMMYFUNCTION("""COMPUTED_VALUE"""),45689.0)</f>
        <v>45689</v>
      </c>
      <c r="G10" s="871">
        <f>IFERROR(__xludf.DUMMYFUNCTION("""COMPUTED_VALUE"""),84.6)</f>
        <v>84.6</v>
      </c>
      <c r="H10" s="870"/>
      <c r="I10" s="877">
        <v>8.0</v>
      </c>
      <c r="J10" s="878" t="str">
        <f>IFERROR(__xludf.DUMMYFUNCTION("""COMPUTED_VALUE"""),"🇺🇸")</f>
        <v>🇺🇸</v>
      </c>
      <c r="K10" s="873" t="str">
        <f>IFERROR(__xludf.DUMMYFUNCTION("""COMPUTED_VALUE"""),"Grok 4 Fast")</f>
        <v>Grok 4 Fast</v>
      </c>
      <c r="L10" s="879" t="str">
        <f>IFERROR(__xludf.DUMMYFUNCTION("""COMPUTED_VALUE"""),"xAI")</f>
        <v>xAI</v>
      </c>
      <c r="M10" s="875">
        <f>IFERROR(__xludf.DUMMYFUNCTION("""COMPUTED_VALUE"""),45901.0)</f>
        <v>45901</v>
      </c>
      <c r="N10" s="876">
        <f>IFERROR(__xludf.DUMMYFUNCTION("""COMPUTED_VALUE"""),20.0)</f>
        <v>20</v>
      </c>
      <c r="O10" s="870"/>
    </row>
    <row r="11">
      <c r="A11" s="870"/>
      <c r="B11" s="871">
        <v>9.0</v>
      </c>
      <c r="C11" s="872" t="str">
        <f>IFERROR(__xludf.DUMMYFUNCTION("""COMPUTED_VALUE"""),"🇺🇸")</f>
        <v>🇺🇸</v>
      </c>
      <c r="D11" s="880" t="str">
        <f>IFERROR(__xludf.DUMMYFUNCTION("""COMPUTED_VALUE"""),"Gemini 2.5 Pro Preview")</f>
        <v>Gemini 2.5 Pro Preview</v>
      </c>
      <c r="E11" s="881" t="str">
        <f>IFERROR(__xludf.DUMMYFUNCTION("""COMPUTED_VALUE"""),"Google DeepMind")</f>
        <v>Google DeepMind</v>
      </c>
      <c r="F11" s="882">
        <f>IFERROR(__xludf.DUMMYFUNCTION("""COMPUTED_VALUE"""),45717.0)</f>
        <v>45717</v>
      </c>
      <c r="G11" s="871">
        <f>IFERROR(__xludf.DUMMYFUNCTION("""COMPUTED_VALUE"""),84.0)</f>
        <v>84</v>
      </c>
      <c r="H11" s="870"/>
      <c r="I11" s="877">
        <v>9.0</v>
      </c>
      <c r="J11" s="878" t="str">
        <f>IFERROR(__xludf.DUMMYFUNCTION("""COMPUTED_VALUE"""),"🇺🇸")</f>
        <v>🇺🇸</v>
      </c>
      <c r="K11" s="873" t="str">
        <f>IFERROR(__xludf.DUMMYFUNCTION("""COMPUTED_VALUE"""),"gpt-oss-120b")</f>
        <v>gpt-oss-120b</v>
      </c>
      <c r="L11" s="879" t="str">
        <f>IFERROR(__xludf.DUMMYFUNCTION("""COMPUTED_VALUE"""),"OpenAI")</f>
        <v>OpenAI</v>
      </c>
      <c r="M11" s="875">
        <f>IFERROR(__xludf.DUMMYFUNCTION("""COMPUTED_VALUE"""),45870.0)</f>
        <v>45870</v>
      </c>
      <c r="N11" s="876">
        <f>IFERROR(__xludf.DUMMYFUNCTION("""COMPUTED_VALUE"""),19.0)</f>
        <v>19</v>
      </c>
      <c r="O11" s="870"/>
    </row>
    <row r="12">
      <c r="A12" s="870"/>
      <c r="B12" s="871">
        <v>10.0</v>
      </c>
      <c r="C12" s="872" t="str">
        <f>IFERROR(__xludf.DUMMYFUNCTION("""COMPUTED_VALUE"""),"🇺🇸")</f>
        <v>🇺🇸</v>
      </c>
      <c r="D12" s="880" t="str">
        <f>IFERROR(__xludf.DUMMYFUNCTION("""COMPUTED_VALUE"""),"Claude Sonnet 4.5")</f>
        <v>Claude Sonnet 4.5</v>
      </c>
      <c r="E12" s="881" t="str">
        <f>IFERROR(__xludf.DUMMYFUNCTION("""COMPUTED_VALUE"""),"Anthropic")</f>
        <v>Anthropic</v>
      </c>
      <c r="F12" s="882">
        <f>IFERROR(__xludf.DUMMYFUNCTION("""COMPUTED_VALUE"""),45901.0)</f>
        <v>45901</v>
      </c>
      <c r="G12" s="871">
        <f>IFERROR(__xludf.DUMMYFUNCTION("""COMPUTED_VALUE"""),83.4)</f>
        <v>83.4</v>
      </c>
      <c r="H12" s="870"/>
      <c r="I12" s="877">
        <v>10.0</v>
      </c>
      <c r="J12" s="878" t="str">
        <f>IFERROR(__xludf.DUMMYFUNCTION("""COMPUTED_VALUE"""),"🇺🇸")</f>
        <v>🇺🇸</v>
      </c>
      <c r="K12" s="873" t="str">
        <f>IFERROR(__xludf.DUMMYFUNCTION("""COMPUTED_VALUE"""),"Gemini 2.5 Pro Preview")</f>
        <v>Gemini 2.5 Pro Preview</v>
      </c>
      <c r="L12" s="879" t="str">
        <f>IFERROR(__xludf.DUMMYFUNCTION("""COMPUTED_VALUE"""),"Google DeepMind")</f>
        <v>Google DeepMind</v>
      </c>
      <c r="M12" s="875">
        <f>IFERROR(__xludf.DUMMYFUNCTION("""COMPUTED_VALUE"""),45717.0)</f>
        <v>45717</v>
      </c>
      <c r="N12" s="876">
        <f>IFERROR(__xludf.DUMMYFUNCTION("""COMPUTED_VALUE"""),18.8)</f>
        <v>18.8</v>
      </c>
      <c r="O12" s="870"/>
    </row>
    <row r="13">
      <c r="A13" s="884"/>
      <c r="B13" s="885">
        <v>11.0</v>
      </c>
      <c r="C13" s="886" t="str">
        <f>IFERROR(__xludf.DUMMYFUNCTION("""COMPUTED_VALUE"""),"🇺🇸")</f>
        <v>🇺🇸</v>
      </c>
      <c r="D13" s="887" t="str">
        <f>IFERROR(__xludf.DUMMYFUNCTION("""COMPUTED_VALUE"""),"Claude Opus 4")</f>
        <v>Claude Opus 4</v>
      </c>
      <c r="E13" s="888" t="str">
        <f>IFERROR(__xludf.DUMMYFUNCTION("""COMPUTED_VALUE"""),"Anthropic")</f>
        <v>Anthropic</v>
      </c>
      <c r="F13" s="889">
        <f>IFERROR(__xludf.DUMMYFUNCTION("""COMPUTED_VALUE"""),45778.0)</f>
        <v>45778</v>
      </c>
      <c r="G13" s="885">
        <f>IFERROR(__xludf.DUMMYFUNCTION("""COMPUTED_VALUE"""),83.3)</f>
        <v>83.3</v>
      </c>
      <c r="H13" s="884"/>
      <c r="I13" s="885">
        <v>11.0</v>
      </c>
      <c r="J13" s="890" t="str">
        <f>IFERROR(__xludf.DUMMYFUNCTION("""COMPUTED_VALUE"""),"🇨🇳")</f>
        <v>🇨🇳</v>
      </c>
      <c r="K13" s="891" t="str">
        <f>IFERROR(__xludf.DUMMYFUNCTION("""COMPUTED_VALUE"""),"DeepSeek-R1-0528")</f>
        <v>DeepSeek-R1-0528</v>
      </c>
      <c r="L13" s="892" t="str">
        <f>IFERROR(__xludf.DUMMYFUNCTION("""COMPUTED_VALUE"""),"DeepSeek-AI")</f>
        <v>DeepSeek-AI</v>
      </c>
      <c r="M13" s="893">
        <f>IFERROR(__xludf.DUMMYFUNCTION("""COMPUTED_VALUE"""),45778.0)</f>
        <v>45778</v>
      </c>
      <c r="N13" s="894">
        <f>IFERROR(__xludf.DUMMYFUNCTION("""COMPUTED_VALUE"""),17.7)</f>
        <v>17.7</v>
      </c>
      <c r="O13" s="884"/>
    </row>
    <row r="14">
      <c r="A14" s="895"/>
      <c r="B14" s="885">
        <v>12.0</v>
      </c>
      <c r="C14" s="886" t="str">
        <f>IFERROR(__xludf.DUMMYFUNCTION("""COMPUTED_VALUE"""),"🇺🇸")</f>
        <v>🇺🇸</v>
      </c>
      <c r="D14" s="887" t="str">
        <f>IFERROR(__xludf.DUMMYFUNCTION("""COMPUTED_VALUE"""),"Gemini Robotics-ER 1.5")</f>
        <v>Gemini Robotics-ER 1.5</v>
      </c>
      <c r="E14" s="888" t="str">
        <f>IFERROR(__xludf.DUMMYFUNCTION("""COMPUTED_VALUE"""),"Google DeepMind")</f>
        <v>Google DeepMind</v>
      </c>
      <c r="F14" s="889">
        <f>IFERROR(__xludf.DUMMYFUNCTION("""COMPUTED_VALUE"""),45901.0)</f>
        <v>45901</v>
      </c>
      <c r="G14" s="885">
        <f>IFERROR(__xludf.DUMMYFUNCTION("""COMPUTED_VALUE"""),83.3)</f>
        <v>83.3</v>
      </c>
      <c r="H14" s="895"/>
      <c r="I14" s="885">
        <v>12.0</v>
      </c>
      <c r="J14" s="890" t="str">
        <f>IFERROR(__xludf.DUMMYFUNCTION("""COMPUTED_VALUE"""),"🇺🇸")</f>
        <v>🇺🇸</v>
      </c>
      <c r="K14" s="891" t="str">
        <f>IFERROR(__xludf.DUMMYFUNCTION("""COMPUTED_VALUE"""),"gpt-oss-20b")</f>
        <v>gpt-oss-20b</v>
      </c>
      <c r="L14" s="892" t="str">
        <f>IFERROR(__xludf.DUMMYFUNCTION("""COMPUTED_VALUE"""),"OpenAI")</f>
        <v>OpenAI</v>
      </c>
      <c r="M14" s="893">
        <f>IFERROR(__xludf.DUMMYFUNCTION("""COMPUTED_VALUE"""),45870.0)</f>
        <v>45870</v>
      </c>
      <c r="N14" s="894">
        <f>IFERROR(__xludf.DUMMYFUNCTION("""COMPUTED_VALUE"""),17.3)</f>
        <v>17.3</v>
      </c>
      <c r="O14" s="895"/>
    </row>
    <row r="15" ht="31.5" customHeight="1">
      <c r="A15" s="896"/>
      <c r="B15" s="897" t="s">
        <v>2622</v>
      </c>
      <c r="C15" s="898" t="s">
        <v>2622</v>
      </c>
      <c r="D15" s="899" t="s">
        <v>2623</v>
      </c>
      <c r="E15" s="900" t="s">
        <v>2622</v>
      </c>
      <c r="F15" s="898" t="s">
        <v>2622</v>
      </c>
      <c r="G15" s="901">
        <v>34.0</v>
      </c>
      <c r="H15" s="896"/>
      <c r="I15" s="897" t="s">
        <v>2622</v>
      </c>
      <c r="J15" s="898" t="s">
        <v>2622</v>
      </c>
      <c r="K15" s="899" t="s">
        <v>2624</v>
      </c>
      <c r="L15" s="900" t="s">
        <v>2622</v>
      </c>
      <c r="M15" s="898" t="s">
        <v>2622</v>
      </c>
      <c r="N15" s="901">
        <v>0.0</v>
      </c>
      <c r="O15" s="896"/>
    </row>
    <row r="16" ht="31.5" customHeight="1">
      <c r="A16" s="902"/>
      <c r="B16" s="903" t="str">
        <f>IFERROR(__xludf.DUMMYFUNCTION("""Models Table Rankings. Alan D. Thompson. Live, last model "" &amp; TEXT(INDEX(FILTER('Models Table'!M:M, 'Models Table'!M:M&lt;&gt;""TBA"", ISNUMBER('Models Table'!M:M)),1),""mmm/yyyy"") &amp; ""."""),"Models Table Rankings. Alan D. Thompson. Live, last model Oct/2025.")</f>
        <v>Models Table Rankings. Alan D. Thompson. Live, last model Oct/2025.</v>
      </c>
      <c r="C16" s="904"/>
      <c r="D16" s="905"/>
      <c r="E16" s="905"/>
      <c r="F16" s="905"/>
      <c r="G16" s="906" t="s">
        <v>2625</v>
      </c>
      <c r="H16" s="902"/>
      <c r="I16" s="903" t="str">
        <f>IFERROR(__xludf.DUMMYFUNCTION("""Models Table Rankings. Alan D. Thompson. Live, last model "" &amp; TEXT(INDEX(FILTER('Models Table'!M:M, 'Models Table'!M:M&lt;&gt;""TBA"", ISNUMBER('Models Table'!M:M)),1),""mmm/yyyy"") &amp; ""."""),"Models Table Rankings. Alan D. Thompson. Live, last model Oct/2025.")</f>
        <v>Models Table Rankings. Alan D. Thompson. Live, last model Oct/2025.</v>
      </c>
      <c r="J16" s="904"/>
      <c r="K16" s="905"/>
      <c r="L16" s="905"/>
      <c r="M16" s="907"/>
      <c r="N16" s="906" t="s">
        <v>2625</v>
      </c>
      <c r="O16" s="902"/>
    </row>
    <row r="17" ht="32.25" customHeight="1">
      <c r="A17" s="908"/>
      <c r="B17" s="909"/>
      <c r="C17" s="890"/>
      <c r="D17" s="910"/>
      <c r="E17" s="911"/>
      <c r="F17" s="912"/>
      <c r="G17" s="908"/>
      <c r="H17" s="913"/>
      <c r="I17" s="908"/>
      <c r="J17" s="914"/>
      <c r="K17" s="913"/>
      <c r="L17" s="915"/>
      <c r="M17" s="912"/>
      <c r="N17" s="908"/>
      <c r="O17" s="913"/>
    </row>
    <row r="18">
      <c r="A18" s="866"/>
      <c r="B18" s="866" t="s">
        <v>2621</v>
      </c>
      <c r="C18" s="916"/>
      <c r="D18" s="868" t="str">
        <f>IFERROR(__xludf.DUMMYFUNCTION("QUERY(SORT('Models Table'!A:N, 1, TRUE),
""SELECT Col1, Col2, Col13, Col8
WHERE Col8 IS NOT NULL AND Col14 = '🟢'
ORDER BY Col8 DESC
LIMIT 12
LABEL Col1 'Model', Col2 'Lab', Col13 'Date', Col8 'MMLU'""
)"),"Model")</f>
        <v>Model</v>
      </c>
      <c r="E18" s="868" t="str">
        <f>IFERROR(__xludf.DUMMYFUNCTION("""COMPUTED_VALUE"""),"Lab")</f>
        <v>Lab</v>
      </c>
      <c r="F18" s="866" t="str">
        <f>IFERROR(__xludf.DUMMYFUNCTION("""COMPUTED_VALUE"""),"Date")</f>
        <v>Date</v>
      </c>
      <c r="G18" s="866" t="str">
        <f>IFERROR(__xludf.DUMMYFUNCTION("""COMPUTED_VALUE"""),"MMLU")</f>
        <v>MMLU</v>
      </c>
      <c r="H18" s="865"/>
      <c r="I18" s="917"/>
      <c r="J18" s="918"/>
      <c r="K18" s="919"/>
      <c r="L18" s="920"/>
      <c r="M18" s="917"/>
      <c r="N18" s="917"/>
      <c r="O18" s="919"/>
    </row>
    <row r="19">
      <c r="A19" s="921"/>
      <c r="B19" s="871">
        <v>1.0</v>
      </c>
      <c r="C19" s="872" t="str">
        <f>IFERROR(__xludf.DUMMYFUNCTION("ARRAYFORMULA(
  IF(ROW(C19:C30)-ROW(C19)&lt;12,
    IF(REGEXMATCH(E19:E30, ""Ali|Baidu|Byte|DeepS|Hua|MiniMax|Moon|Shanghai|Ten""), ""🇨🇳"",
      IF(REGEXMATCH(E19:E30, ""Allen|Anthropic|Arg|Deep Cogito|Goog|Meta|Microsoft|OpenAI|Perplex|Rubik|Stanford|xAI"&amp;"""), ""🇺🇸"",
        IF(REGEXMATCH(E19:E30, ""LG|Korea""), ""🇰🇷"", """")
      )
    ),
    """")
)"),"🇨🇳")</f>
        <v>🇨🇳</v>
      </c>
      <c r="D19" s="922" t="str">
        <f>IFERROR(__xludf.DUMMYFUNCTION("""COMPUTED_VALUE"""),"Qwen3-235B-A22B-Thinking-2507")</f>
        <v>Qwen3-235B-A22B-Thinking-2507</v>
      </c>
      <c r="E19" s="881" t="str">
        <f>IFERROR(__xludf.DUMMYFUNCTION("""COMPUTED_VALUE"""),"Alibaba")</f>
        <v>Alibaba</v>
      </c>
      <c r="F19" s="882">
        <f>IFERROR(__xludf.DUMMYFUNCTION("""COMPUTED_VALUE"""),45839.0)</f>
        <v>45839</v>
      </c>
      <c r="G19" s="876">
        <f>IFERROR(__xludf.DUMMYFUNCTION("""COMPUTED_VALUE"""),93.8)</f>
        <v>93.8</v>
      </c>
      <c r="H19" s="870"/>
      <c r="I19" s="923"/>
      <c r="J19" s="924"/>
      <c r="K19" s="925"/>
      <c r="L19" s="926"/>
      <c r="M19" s="927"/>
      <c r="N19" s="923"/>
      <c r="O19" s="925"/>
    </row>
    <row r="20">
      <c r="A20" s="921"/>
      <c r="B20" s="871">
        <v>2.0</v>
      </c>
      <c r="C20" s="872" t="str">
        <f>IFERROR(__xludf.DUMMYFUNCTION("""COMPUTED_VALUE"""),"🇨🇳")</f>
        <v>🇨🇳</v>
      </c>
      <c r="D20" s="922" t="str">
        <f>IFERROR(__xludf.DUMMYFUNCTION("""COMPUTED_VALUE"""),"DeepSeek-V3.1-Base")</f>
        <v>DeepSeek-V3.1-Base</v>
      </c>
      <c r="E20" s="881" t="str">
        <f>IFERROR(__xludf.DUMMYFUNCTION("""COMPUTED_VALUE"""),"DeepSeek-AI")</f>
        <v>DeepSeek-AI</v>
      </c>
      <c r="F20" s="882">
        <f>IFERROR(__xludf.DUMMYFUNCTION("""COMPUTED_VALUE"""),45870.0)</f>
        <v>45870</v>
      </c>
      <c r="G20" s="876">
        <f>IFERROR(__xludf.DUMMYFUNCTION("""COMPUTED_VALUE"""),93.7)</f>
        <v>93.7</v>
      </c>
      <c r="H20" s="870"/>
      <c r="I20" s="923"/>
      <c r="J20" s="924"/>
      <c r="K20" s="925"/>
      <c r="L20" s="926"/>
      <c r="M20" s="927"/>
      <c r="N20" s="923"/>
      <c r="O20" s="925"/>
    </row>
    <row r="21">
      <c r="A21" s="921"/>
      <c r="B21" s="871">
        <v>3.0</v>
      </c>
      <c r="C21" s="872" t="str">
        <f>IFERROR(__xludf.DUMMYFUNCTION("""COMPUTED_VALUE"""),"🇨🇳")</f>
        <v>🇨🇳</v>
      </c>
      <c r="D21" s="922" t="str">
        <f>IFERROR(__xludf.DUMMYFUNCTION("""COMPUTED_VALUE"""),"DeepSeek-R1-0528")</f>
        <v>DeepSeek-R1-0528</v>
      </c>
      <c r="E21" s="881" t="str">
        <f>IFERROR(__xludf.DUMMYFUNCTION("""COMPUTED_VALUE"""),"DeepSeek-AI")</f>
        <v>DeepSeek-AI</v>
      </c>
      <c r="F21" s="882">
        <f>IFERROR(__xludf.DUMMYFUNCTION("""COMPUTED_VALUE"""),45778.0)</f>
        <v>45778</v>
      </c>
      <c r="G21" s="876">
        <f>IFERROR(__xludf.DUMMYFUNCTION("""COMPUTED_VALUE"""),93.4)</f>
        <v>93.4</v>
      </c>
      <c r="H21" s="870"/>
      <c r="I21" s="923"/>
      <c r="J21" s="924"/>
      <c r="K21" s="925"/>
      <c r="L21" s="926"/>
      <c r="M21" s="927"/>
      <c r="N21" s="923"/>
      <c r="O21" s="925"/>
    </row>
    <row r="22">
      <c r="A22" s="921"/>
      <c r="B22" s="871">
        <v>4.0</v>
      </c>
      <c r="C22" s="872" t="str">
        <f>IFERROR(__xludf.DUMMYFUNCTION("""COMPUTED_VALUE"""),"🇨🇳")</f>
        <v>🇨🇳</v>
      </c>
      <c r="D22" s="922" t="str">
        <f>IFERROR(__xludf.DUMMYFUNCTION("""COMPUTED_VALUE"""),"Qwen3-235B-A22B-Instruct-2507")</f>
        <v>Qwen3-235B-A22B-Instruct-2507</v>
      </c>
      <c r="E22" s="881" t="str">
        <f>IFERROR(__xludf.DUMMYFUNCTION("""COMPUTED_VALUE"""),"Alibaba")</f>
        <v>Alibaba</v>
      </c>
      <c r="F22" s="882">
        <f>IFERROR(__xludf.DUMMYFUNCTION("""COMPUTED_VALUE"""),45839.0)</f>
        <v>45839</v>
      </c>
      <c r="G22" s="876">
        <f>IFERROR(__xludf.DUMMYFUNCTION("""COMPUTED_VALUE"""),93.1)</f>
        <v>93.1</v>
      </c>
      <c r="H22" s="870"/>
      <c r="I22" s="923"/>
      <c r="J22" s="924"/>
      <c r="K22" s="925"/>
      <c r="L22" s="926"/>
      <c r="M22" s="927"/>
      <c r="N22" s="923"/>
      <c r="O22" s="925"/>
    </row>
    <row r="23">
      <c r="A23" s="921"/>
      <c r="B23" s="871">
        <v>5.0</v>
      </c>
      <c r="C23" s="872" t="str">
        <f>IFERROR(__xludf.DUMMYFUNCTION("""COMPUTED_VALUE"""),"🇰🇷")</f>
        <v>🇰🇷</v>
      </c>
      <c r="D23" s="922" t="str">
        <f>IFERROR(__xludf.DUMMYFUNCTION("""COMPUTED_VALUE"""),"EXAONE 4.0")</f>
        <v>EXAONE 4.0</v>
      </c>
      <c r="E23" s="881" t="str">
        <f>IFERROR(__xludf.DUMMYFUNCTION("""COMPUTED_VALUE"""),"LG")</f>
        <v>LG</v>
      </c>
      <c r="F23" s="882">
        <f>IFERROR(__xludf.DUMMYFUNCTION("""COMPUTED_VALUE"""),45839.0)</f>
        <v>45839</v>
      </c>
      <c r="G23" s="876">
        <f>IFERROR(__xludf.DUMMYFUNCTION("""COMPUTED_VALUE"""),92.3)</f>
        <v>92.3</v>
      </c>
      <c r="H23" s="870"/>
      <c r="I23" s="923"/>
      <c r="J23" s="924"/>
      <c r="K23" s="925"/>
      <c r="L23" s="926"/>
      <c r="M23" s="927"/>
      <c r="N23" s="923"/>
      <c r="O23" s="925"/>
    </row>
    <row r="24">
      <c r="A24" s="921"/>
      <c r="B24" s="871">
        <v>6.0</v>
      </c>
      <c r="C24" s="872" t="str">
        <f>IFERROR(__xludf.DUMMYFUNCTION("""COMPUTED_VALUE"""),"🇺🇸")</f>
        <v>🇺🇸</v>
      </c>
      <c r="D24" s="922" t="str">
        <f>IFERROR(__xludf.DUMMYFUNCTION("""COMPUTED_VALUE"""),"o1")</f>
        <v>o1</v>
      </c>
      <c r="E24" s="881" t="str">
        <f>IFERROR(__xludf.DUMMYFUNCTION("""COMPUTED_VALUE"""),"OpenAI")</f>
        <v>OpenAI</v>
      </c>
      <c r="F24" s="882">
        <f>IFERROR(__xludf.DUMMYFUNCTION("""COMPUTED_VALUE"""),45627.0)</f>
        <v>45627</v>
      </c>
      <c r="G24" s="876">
        <f>IFERROR(__xludf.DUMMYFUNCTION("""COMPUTED_VALUE"""),92.3)</f>
        <v>92.3</v>
      </c>
      <c r="H24" s="870"/>
      <c r="I24" s="923"/>
      <c r="J24" s="924"/>
      <c r="K24" s="925"/>
      <c r="L24" s="926"/>
      <c r="M24" s="927"/>
      <c r="N24" s="923"/>
      <c r="O24" s="925"/>
    </row>
    <row r="25">
      <c r="A25" s="921"/>
      <c r="B25" s="871">
        <v>7.0</v>
      </c>
      <c r="C25" s="872" t="str">
        <f>IFERROR(__xludf.DUMMYFUNCTION("""COMPUTED_VALUE"""),"🇺🇸")</f>
        <v>🇺🇸</v>
      </c>
      <c r="D25" s="922" t="str">
        <f>IFERROR(__xludf.DUMMYFUNCTION("""COMPUTED_VALUE"""),"o3")</f>
        <v>o3</v>
      </c>
      <c r="E25" s="881" t="str">
        <f>IFERROR(__xludf.DUMMYFUNCTION("""COMPUTED_VALUE"""),"OpenAI")</f>
        <v>OpenAI</v>
      </c>
      <c r="F25" s="882">
        <f>IFERROR(__xludf.DUMMYFUNCTION("""COMPUTED_VALUE"""),45748.0)</f>
        <v>45748</v>
      </c>
      <c r="G25" s="876">
        <f>IFERROR(__xludf.DUMMYFUNCTION("""COMPUTED_VALUE"""),91.2)</f>
        <v>91.2</v>
      </c>
      <c r="H25" s="870"/>
      <c r="I25" s="923"/>
      <c r="J25" s="924"/>
      <c r="K25" s="925"/>
      <c r="L25" s="926"/>
      <c r="M25" s="927"/>
      <c r="N25" s="923"/>
      <c r="O25" s="925"/>
    </row>
    <row r="26">
      <c r="A26" s="921"/>
      <c r="B26" s="871">
        <v>8.0</v>
      </c>
      <c r="C26" s="872" t="str">
        <f>IFERROR(__xludf.DUMMYFUNCTION("""COMPUTED_VALUE"""),"🇺🇸")</f>
        <v>🇺🇸</v>
      </c>
      <c r="D26" s="922" t="str">
        <f>IFERROR(__xludf.DUMMYFUNCTION("""COMPUTED_VALUE"""),"Cogito 70B")</f>
        <v>Cogito 70B</v>
      </c>
      <c r="E26" s="881" t="str">
        <f>IFERROR(__xludf.DUMMYFUNCTION("""COMPUTED_VALUE"""),"Deep Cogito")</f>
        <v>Deep Cogito</v>
      </c>
      <c r="F26" s="882">
        <f>IFERROR(__xludf.DUMMYFUNCTION("""COMPUTED_VALUE"""),45748.0)</f>
        <v>45748</v>
      </c>
      <c r="G26" s="876">
        <f>IFERROR(__xludf.DUMMYFUNCTION("""COMPUTED_VALUE"""),91.0)</f>
        <v>91</v>
      </c>
      <c r="H26" s="870"/>
      <c r="I26" s="923"/>
      <c r="J26" s="924"/>
      <c r="K26" s="925"/>
      <c r="L26" s="926"/>
      <c r="M26" s="927"/>
      <c r="N26" s="923"/>
      <c r="O26" s="925"/>
    </row>
    <row r="27">
      <c r="A27" s="921"/>
      <c r="B27" s="871">
        <v>9.0</v>
      </c>
      <c r="C27" s="872" t="str">
        <f>IFERROR(__xludf.DUMMYFUNCTION("""COMPUTED_VALUE"""),"🇺🇸")</f>
        <v>🇺🇸</v>
      </c>
      <c r="D27" s="922" t="str">
        <f>IFERROR(__xludf.DUMMYFUNCTION("""COMPUTED_VALUE"""),"GPT-5")</f>
        <v>GPT-5</v>
      </c>
      <c r="E27" s="881" t="str">
        <f>IFERROR(__xludf.DUMMYFUNCTION("""COMPUTED_VALUE"""),"OpenAI")</f>
        <v>OpenAI</v>
      </c>
      <c r="F27" s="882">
        <f>IFERROR(__xludf.DUMMYFUNCTION("""COMPUTED_VALUE"""),45870.0)</f>
        <v>45870</v>
      </c>
      <c r="G27" s="876">
        <f>IFERROR(__xludf.DUMMYFUNCTION("""COMPUTED_VALUE"""),91.0)</f>
        <v>91</v>
      </c>
      <c r="H27" s="870"/>
      <c r="I27" s="923"/>
      <c r="J27" s="924"/>
      <c r="K27" s="925"/>
      <c r="L27" s="926"/>
      <c r="M27" s="927"/>
      <c r="N27" s="923"/>
      <c r="O27" s="925"/>
    </row>
    <row r="28">
      <c r="A28" s="921"/>
      <c r="B28" s="871">
        <v>10.0</v>
      </c>
      <c r="C28" s="872" t="str">
        <f>IFERROR(__xludf.DUMMYFUNCTION("""COMPUTED_VALUE"""),"🇨🇳")</f>
        <v>🇨🇳</v>
      </c>
      <c r="D28" s="922" t="str">
        <f>IFERROR(__xludf.DUMMYFUNCTION("""COMPUTED_VALUE"""),"DeepSeek-R1")</f>
        <v>DeepSeek-R1</v>
      </c>
      <c r="E28" s="881" t="str">
        <f>IFERROR(__xludf.DUMMYFUNCTION("""COMPUTED_VALUE"""),"DeepSeek-AI")</f>
        <v>DeepSeek-AI</v>
      </c>
      <c r="F28" s="882">
        <f>IFERROR(__xludf.DUMMYFUNCTION("""COMPUTED_VALUE"""),45658.0)</f>
        <v>45658</v>
      </c>
      <c r="G28" s="876">
        <f>IFERROR(__xludf.DUMMYFUNCTION("""COMPUTED_VALUE"""),90.8)</f>
        <v>90.8</v>
      </c>
      <c r="H28" s="870"/>
      <c r="I28" s="923"/>
      <c r="J28" s="924"/>
      <c r="K28" s="925"/>
      <c r="L28" s="926"/>
      <c r="M28" s="927"/>
      <c r="N28" s="923"/>
      <c r="O28" s="925"/>
    </row>
    <row r="29">
      <c r="A29" s="928"/>
      <c r="B29" s="885">
        <v>11.0</v>
      </c>
      <c r="C29" s="886" t="str">
        <f>IFERROR(__xludf.DUMMYFUNCTION("""COMPUTED_VALUE"""),"🇺🇸")</f>
        <v>🇺🇸</v>
      </c>
      <c r="D29" s="929" t="str">
        <f>IFERROR(__xludf.DUMMYFUNCTION("""COMPUTED_VALUE"""),"Claude 3.5 Sonnet (new)")</f>
        <v>Claude 3.5 Sonnet (new)</v>
      </c>
      <c r="E29" s="888" t="str">
        <f>IFERROR(__xludf.DUMMYFUNCTION("""COMPUTED_VALUE"""),"Anthropic")</f>
        <v>Anthropic</v>
      </c>
      <c r="F29" s="889">
        <f>IFERROR(__xludf.DUMMYFUNCTION("""COMPUTED_VALUE"""),45566.0)</f>
        <v>45566</v>
      </c>
      <c r="G29" s="894">
        <f>IFERROR(__xludf.DUMMYFUNCTION("""COMPUTED_VALUE"""),90.5)</f>
        <v>90.5</v>
      </c>
      <c r="H29" s="884"/>
      <c r="I29" s="930"/>
      <c r="J29" s="931"/>
      <c r="K29" s="932"/>
      <c r="L29" s="933"/>
      <c r="M29" s="934"/>
      <c r="N29" s="930"/>
      <c r="O29" s="932"/>
    </row>
    <row r="30">
      <c r="A30" s="935"/>
      <c r="B30" s="936">
        <v>12.0</v>
      </c>
      <c r="C30" s="937" t="str">
        <f>IFERROR(__xludf.DUMMYFUNCTION("""COMPUTED_VALUE"""),"🇺🇸")</f>
        <v>🇺🇸</v>
      </c>
      <c r="D30" s="938" t="str">
        <f>IFERROR(__xludf.DUMMYFUNCTION("""COMPUTED_VALUE"""),"R1 1776")</f>
        <v>R1 1776</v>
      </c>
      <c r="E30" s="939" t="str">
        <f>IFERROR(__xludf.DUMMYFUNCTION("""COMPUTED_VALUE"""),"Perplexity")</f>
        <v>Perplexity</v>
      </c>
      <c r="F30" s="940">
        <f>IFERROR(__xludf.DUMMYFUNCTION("""COMPUTED_VALUE"""),45689.0)</f>
        <v>45689</v>
      </c>
      <c r="G30" s="941">
        <f>IFERROR(__xludf.DUMMYFUNCTION("""COMPUTED_VALUE"""),90.5)</f>
        <v>90.5</v>
      </c>
      <c r="H30" s="895"/>
      <c r="I30" s="942"/>
      <c r="J30" s="943"/>
      <c r="K30" s="944"/>
      <c r="L30" s="945"/>
      <c r="M30" s="946"/>
      <c r="N30" s="942"/>
      <c r="O30" s="944"/>
    </row>
    <row r="31" ht="31.5" customHeight="1">
      <c r="A31" s="947"/>
      <c r="B31" s="903" t="str">
        <f>IFERROR(__xludf.DUMMYFUNCTION("""Models Table Rankings. Alan D. Thompson. Live, last model "" &amp; TEXT(INDEX(FILTER('Models Table'!M:M, 'Models Table'!M:M&lt;&gt;""TBA"", ISNUMBER('Models Table'!M:M)),1),""mmm/yyyy"") &amp; ""."""),"Models Table Rankings. Alan D. Thompson. Live, last model Oct/2025.")</f>
        <v>Models Table Rankings. Alan D. Thompson. Live, last model Oct/2025.</v>
      </c>
      <c r="C31" s="904"/>
      <c r="D31" s="905"/>
      <c r="E31" s="905"/>
      <c r="F31" s="907"/>
      <c r="G31" s="906" t="s">
        <v>2625</v>
      </c>
      <c r="H31" s="902"/>
      <c r="I31" s="948"/>
      <c r="J31" s="948"/>
      <c r="K31" s="949"/>
      <c r="L31" s="950"/>
      <c r="M31" s="950"/>
      <c r="N31" s="948"/>
      <c r="O31" s="949"/>
    </row>
    <row r="32" ht="32.25" customHeight="1">
      <c r="A32" s="908"/>
      <c r="B32" s="951"/>
      <c r="C32" s="890"/>
      <c r="D32" s="910"/>
      <c r="E32" s="952"/>
      <c r="F32" s="912"/>
      <c r="G32" s="908"/>
      <c r="H32" s="913"/>
      <c r="I32" s="908"/>
      <c r="J32" s="914"/>
      <c r="K32" s="913"/>
      <c r="L32" s="915"/>
      <c r="M32" s="912"/>
      <c r="N32" s="908"/>
      <c r="O32" s="913"/>
    </row>
    <row r="33" ht="32.25" customHeight="1">
      <c r="A33" s="908"/>
      <c r="B33" s="951" t="s">
        <v>2626</v>
      </c>
      <c r="C33" s="890"/>
      <c r="D33" s="910"/>
      <c r="E33" s="952">
        <v>45383.0</v>
      </c>
      <c r="F33" s="912"/>
      <c r="G33" s="908"/>
      <c r="H33" s="913"/>
      <c r="I33" s="908"/>
      <c r="J33" s="914"/>
      <c r="K33" s="913"/>
      <c r="L33" s="915"/>
      <c r="M33" s="912"/>
      <c r="N33" s="908"/>
      <c r="O33" s="913"/>
    </row>
    <row r="34" ht="32.25" customHeight="1">
      <c r="A34" s="953"/>
      <c r="B34" s="954" t="s">
        <v>2621</v>
      </c>
      <c r="C34" s="953"/>
      <c r="D34" s="955" t="str">
        <f>IFERROR(__xludf.DUMMYFUNCTION("QUERY(SORT('Models Table'!A:N, 1, TRUE), 
  ""SELECT Col1, Col2, Col13, Col8 
   WHERE Col8 IS NOT NULL 
   AND Col14 = '🟢'
   AND Col13 &lt;= date '""&amp;TEXT(DATEVALUE(""01 ""&amp;SUBSTITUTE(E33, ""/"", "" "")),""yyyy-mm-dd"")&amp;""'
   ORDER BY Col8 DESC 
   LIMIT"&amp;" 12 
   LABEL Col1 'Model', Col2 'Lab', Col13 'Date', Col8 'MMLU'""
)"),"Model")</f>
        <v>Model</v>
      </c>
      <c r="E34" s="955" t="str">
        <f>IFERROR(__xludf.DUMMYFUNCTION("""COMPUTED_VALUE"""),"Lab")</f>
        <v>Lab</v>
      </c>
      <c r="F34" s="954" t="str">
        <f>IFERROR(__xludf.DUMMYFUNCTION("""COMPUTED_VALUE"""),"Date")</f>
        <v>Date</v>
      </c>
      <c r="G34" s="954" t="str">
        <f>IFERROR(__xludf.DUMMYFUNCTION("""COMPUTED_VALUE"""),"MMLU")</f>
        <v>MMLU</v>
      </c>
      <c r="H34" s="953"/>
      <c r="I34" s="954" t="s">
        <v>2621</v>
      </c>
      <c r="J34" s="953"/>
      <c r="K34" s="955" t="str">
        <f>IFERROR(__xludf.DUMMYFUNCTION("QUERY(SORT('Models Table'!A:N, 1, TRUE),
""SELECT Col1, Col2, Col13, Col10
WHERE Col10 IS NOT NULL 
AND Col14 = '🟢'
AND Col13 &lt;= date '""&amp;TEXT(DATEVALUE(""01 ""&amp;SUBSTITUTE(E33, ""/"", "" "")),""yyyy-mm-dd"")&amp;""'
ORDER BY Col10 DESC
LIMIT 12
LABEL Col1 'M"&amp;"odel', Col2 'Lab', Col13 'Date', Col10 'GPQA'""
)"),"Model")</f>
        <v>Model</v>
      </c>
      <c r="L34" s="955" t="str">
        <f>IFERROR(__xludf.DUMMYFUNCTION("""COMPUTED_VALUE"""),"Lab")</f>
        <v>Lab</v>
      </c>
      <c r="M34" s="954" t="str">
        <f>IFERROR(__xludf.DUMMYFUNCTION("""COMPUTED_VALUE"""),"Date")</f>
        <v>Date</v>
      </c>
      <c r="N34" s="954" t="str">
        <f>IFERROR(__xludf.DUMMYFUNCTION("""COMPUTED_VALUE"""),"GPQA")</f>
        <v>GPQA</v>
      </c>
      <c r="O34" s="953"/>
    </row>
    <row r="35" ht="32.25" customHeight="1">
      <c r="A35" s="953"/>
      <c r="B35" s="956">
        <v>1.0</v>
      </c>
      <c r="C35" s="957" t="str">
        <f>IFERROR(__xludf.DUMMYFUNCTION("ARRAYFORMULA(
  IF(REGEXMATCH(E35:E48, ""01|Ali|Baidu|Byte|DeepS|MiniMax|Moon|Sense|Ten""), ""🇨🇳"",
    IF(REGEXMATCH(E35:E48, ""Mistral""), ""🇫🇷"",
    IF(REGEXMATCH(E35:E48, ""Allen|Ama|Anthropic|Arg|Goog|Inflection|Meta|Microsoft|OpenAI|Reka|Rubik|"&amp;"Stanford|xAI""), ""🇺🇸"",
      """")
  )
))"),"🇺🇸")</f>
        <v>🇺🇸</v>
      </c>
      <c r="D35" s="958" t="str">
        <f>IFERROR(__xludf.DUMMYFUNCTION("""COMPUTED_VALUE"""),"Claude 3 Opus")</f>
        <v>Claude 3 Opus</v>
      </c>
      <c r="E35" s="959" t="str">
        <f>IFERROR(__xludf.DUMMYFUNCTION("""COMPUTED_VALUE"""),"Anthropic")</f>
        <v>Anthropic</v>
      </c>
      <c r="F35" s="960">
        <f>IFERROR(__xludf.DUMMYFUNCTION("""COMPUTED_VALUE"""),45352.0)</f>
        <v>45352</v>
      </c>
      <c r="G35" s="956">
        <f>IFERROR(__xludf.DUMMYFUNCTION("""COMPUTED_VALUE"""),86.8)</f>
        <v>86.8</v>
      </c>
      <c r="H35" s="953"/>
      <c r="I35" s="956">
        <v>1.0</v>
      </c>
      <c r="J35" s="957" t="str">
        <f>IFERROR(__xludf.DUMMYFUNCTION("ARRAYFORMULA(
  IF(REGEXMATCH(L35:L48, ""01|Ali|Baidu|Byte|DeepS|MiniMax|Moon|Sense|Ten""), ""🇨🇳"",
    IF(REGEXMATCH(L35:L48, ""Allen|Ama|Anthropic|Arg|Goog|Inflection|Meta|Microsoft|OpenAI|Reka|Rubik|Stanford|xAI""), ""🇺🇸"",
      """")
  )
)"),"🇺🇸")</f>
        <v>🇺🇸</v>
      </c>
      <c r="K35" s="958" t="str">
        <f>IFERROR(__xludf.DUMMYFUNCTION("""COMPUTED_VALUE"""),"Claude 3 Opus")</f>
        <v>Claude 3 Opus</v>
      </c>
      <c r="L35" s="959" t="str">
        <f>IFERROR(__xludf.DUMMYFUNCTION("""COMPUTED_VALUE"""),"Anthropic")</f>
        <v>Anthropic</v>
      </c>
      <c r="M35" s="960">
        <f>IFERROR(__xludf.DUMMYFUNCTION("""COMPUTED_VALUE"""),45352.0)</f>
        <v>45352</v>
      </c>
      <c r="N35" s="956">
        <f>IFERROR(__xludf.DUMMYFUNCTION("""COMPUTED_VALUE"""),59.5)</f>
        <v>59.5</v>
      </c>
      <c r="O35" s="953"/>
    </row>
    <row r="36" ht="32.25" customHeight="1">
      <c r="A36" s="953"/>
      <c r="B36" s="961">
        <v>2.0</v>
      </c>
      <c r="C36" s="962" t="str">
        <f>IFERROR(__xludf.DUMMYFUNCTION("""COMPUTED_VALUE"""),"🇺🇸")</f>
        <v>🇺🇸</v>
      </c>
      <c r="D36" s="963" t="str">
        <f>IFERROR(__xludf.DUMMYFUNCTION("""COMPUTED_VALUE"""),"gpt-4-turbo-2024-04-09")</f>
        <v>gpt-4-turbo-2024-04-09</v>
      </c>
      <c r="E36" s="964" t="str">
        <f>IFERROR(__xludf.DUMMYFUNCTION("""COMPUTED_VALUE"""),"OpenAI")</f>
        <v>OpenAI</v>
      </c>
      <c r="F36" s="965">
        <f>IFERROR(__xludf.DUMMYFUNCTION("""COMPUTED_VALUE"""),45383.0)</f>
        <v>45383</v>
      </c>
      <c r="G36" s="961">
        <f>IFERROR(__xludf.DUMMYFUNCTION("""COMPUTED_VALUE"""),86.5)</f>
        <v>86.5</v>
      </c>
      <c r="H36" s="953"/>
      <c r="I36" s="961">
        <v>2.0</v>
      </c>
      <c r="J36" s="962" t="str">
        <f>IFERROR(__xludf.DUMMYFUNCTION("""COMPUTED_VALUE"""),"🇺🇸")</f>
        <v>🇺🇸</v>
      </c>
      <c r="K36" s="963" t="str">
        <f>IFERROR(__xludf.DUMMYFUNCTION("""COMPUTED_VALUE"""),"gpt-4-turbo-2024-04-09")</f>
        <v>gpt-4-turbo-2024-04-09</v>
      </c>
      <c r="L36" s="964" t="str">
        <f>IFERROR(__xludf.DUMMYFUNCTION("""COMPUTED_VALUE"""),"OpenAI")</f>
        <v>OpenAI</v>
      </c>
      <c r="M36" s="965">
        <f>IFERROR(__xludf.DUMMYFUNCTION("""COMPUTED_VALUE"""),45383.0)</f>
        <v>45383</v>
      </c>
      <c r="N36" s="961">
        <f>IFERROR(__xludf.DUMMYFUNCTION("""COMPUTED_VALUE"""),49.1)</f>
        <v>49.1</v>
      </c>
      <c r="O36" s="953"/>
    </row>
    <row r="37" ht="32.25" customHeight="1">
      <c r="A37" s="953"/>
      <c r="B37" s="956">
        <v>3.0</v>
      </c>
      <c r="C37" s="957" t="str">
        <f>IFERROR(__xludf.DUMMYFUNCTION("""COMPUTED_VALUE"""),"🇺🇸")</f>
        <v>🇺🇸</v>
      </c>
      <c r="D37" s="958" t="str">
        <f>IFERROR(__xludf.DUMMYFUNCTION("""COMPUTED_VALUE"""),"GPT-4 Classic (gpt-4-0314 &amp; gpt-4-0613, non-Turbo)")</f>
        <v>GPT-4 Classic (gpt-4-0314 &amp; gpt-4-0613, non-Turbo)</v>
      </c>
      <c r="E37" s="959" t="str">
        <f>IFERROR(__xludf.DUMMYFUNCTION("""COMPUTED_VALUE"""),"OpenAI")</f>
        <v>OpenAI</v>
      </c>
      <c r="F37" s="960">
        <f>IFERROR(__xludf.DUMMYFUNCTION("""COMPUTED_VALUE"""),44986.0)</f>
        <v>44986</v>
      </c>
      <c r="G37" s="956">
        <f>IFERROR(__xludf.DUMMYFUNCTION("""COMPUTED_VALUE"""),86.4)</f>
        <v>86.4</v>
      </c>
      <c r="H37" s="953"/>
      <c r="I37" s="956">
        <v>3.0</v>
      </c>
      <c r="J37" s="957" t="str">
        <f>IFERROR(__xludf.DUMMYFUNCTION("""COMPUTED_VALUE"""),"🇺🇸")</f>
        <v>🇺🇸</v>
      </c>
      <c r="K37" s="958" t="str">
        <f>IFERROR(__xludf.DUMMYFUNCTION("""COMPUTED_VALUE"""),"GPT-4 Turbo")</f>
        <v>GPT-4 Turbo</v>
      </c>
      <c r="L37" s="959" t="str">
        <f>IFERROR(__xludf.DUMMYFUNCTION("""COMPUTED_VALUE"""),"OpenAI")</f>
        <v>OpenAI</v>
      </c>
      <c r="M37" s="960">
        <f>IFERROR(__xludf.DUMMYFUNCTION("""COMPUTED_VALUE"""),45231.0)</f>
        <v>45231</v>
      </c>
      <c r="N37" s="956">
        <f>IFERROR(__xludf.DUMMYFUNCTION("""COMPUTED_VALUE"""),46.5)</f>
        <v>46.5</v>
      </c>
      <c r="O37" s="953"/>
    </row>
    <row r="38" ht="32.25" customHeight="1">
      <c r="A38" s="953"/>
      <c r="B38" s="961">
        <v>4.0</v>
      </c>
      <c r="C38" s="962" t="str">
        <f>IFERROR(__xludf.DUMMYFUNCTION("""COMPUTED_VALUE"""),"🇺🇸")</f>
        <v>🇺🇸</v>
      </c>
      <c r="D38" s="963" t="str">
        <f>IFERROR(__xludf.DUMMYFUNCTION("""COMPUTED_VALUE"""),"GPT-4 Turbo")</f>
        <v>GPT-4 Turbo</v>
      </c>
      <c r="E38" s="964" t="str">
        <f>IFERROR(__xludf.DUMMYFUNCTION("""COMPUTED_VALUE"""),"OpenAI")</f>
        <v>OpenAI</v>
      </c>
      <c r="F38" s="965">
        <f>IFERROR(__xludf.DUMMYFUNCTION("""COMPUTED_VALUE"""),45231.0)</f>
        <v>45231</v>
      </c>
      <c r="G38" s="961">
        <f>IFERROR(__xludf.DUMMYFUNCTION("""COMPUTED_VALUE"""),86.4)</f>
        <v>86.4</v>
      </c>
      <c r="H38" s="953"/>
      <c r="I38" s="961">
        <v>4.0</v>
      </c>
      <c r="J38" s="962" t="str">
        <f>IFERROR(__xludf.DUMMYFUNCTION("""COMPUTED_VALUE"""),"🇺🇸")</f>
        <v>🇺🇸</v>
      </c>
      <c r="K38" s="963" t="str">
        <f>IFERROR(__xludf.DUMMYFUNCTION("""COMPUTED_VALUE"""),"Gemini 1.5 Pro")</f>
        <v>Gemini 1.5 Pro</v>
      </c>
      <c r="L38" s="964" t="str">
        <f>IFERROR(__xludf.DUMMYFUNCTION("""COMPUTED_VALUE"""),"Google DeepMind")</f>
        <v>Google DeepMind</v>
      </c>
      <c r="M38" s="965">
        <f>IFERROR(__xludf.DUMMYFUNCTION("""COMPUTED_VALUE"""),45323.0)</f>
        <v>45323</v>
      </c>
      <c r="N38" s="961">
        <f>IFERROR(__xludf.DUMMYFUNCTION("""COMPUTED_VALUE"""),46.2)</f>
        <v>46.2</v>
      </c>
      <c r="O38" s="953"/>
    </row>
    <row r="39" ht="32.25" customHeight="1">
      <c r="A39" s="953"/>
      <c r="B39" s="956">
        <v>5.0</v>
      </c>
      <c r="C39" s="957" t="str">
        <f>IFERROR(__xludf.DUMMYFUNCTION("""COMPUTED_VALUE"""),"🇺🇸")</f>
        <v>🇺🇸</v>
      </c>
      <c r="D39" s="958" t="str">
        <f>IFERROR(__xludf.DUMMYFUNCTION("""COMPUTED_VALUE"""),"Gemini 1.5 Pro")</f>
        <v>Gemini 1.5 Pro</v>
      </c>
      <c r="E39" s="959" t="str">
        <f>IFERROR(__xludf.DUMMYFUNCTION("""COMPUTED_VALUE"""),"Google DeepMind")</f>
        <v>Google DeepMind</v>
      </c>
      <c r="F39" s="960">
        <f>IFERROR(__xludf.DUMMYFUNCTION("""COMPUTED_VALUE"""),45323.0)</f>
        <v>45323</v>
      </c>
      <c r="G39" s="956">
        <f>IFERROR(__xludf.DUMMYFUNCTION("""COMPUTED_VALUE"""),85.9)</f>
        <v>85.9</v>
      </c>
      <c r="H39" s="953"/>
      <c r="I39" s="956">
        <v>5.0</v>
      </c>
      <c r="J39" s="957" t="str">
        <f>IFERROR(__xludf.DUMMYFUNCTION("""COMPUTED_VALUE"""),"🇨🇳")</f>
        <v>🇨🇳</v>
      </c>
      <c r="K39" s="958" t="str">
        <f>IFERROR(__xludf.DUMMYFUNCTION("""COMPUTED_VALUE"""),"SenseNova 5.0")</f>
        <v>SenseNova 5.0</v>
      </c>
      <c r="L39" s="959" t="str">
        <f>IFERROR(__xludf.DUMMYFUNCTION("""COMPUTED_VALUE"""),"SenseTime")</f>
        <v>SenseTime</v>
      </c>
      <c r="M39" s="960">
        <f>IFERROR(__xludf.DUMMYFUNCTION("""COMPUTED_VALUE"""),45383.0)</f>
        <v>45383</v>
      </c>
      <c r="N39" s="956">
        <f>IFERROR(__xludf.DUMMYFUNCTION("""COMPUTED_VALUE"""),42.93)</f>
        <v>42.93</v>
      </c>
      <c r="O39" s="953"/>
    </row>
    <row r="40" ht="32.25" customHeight="1">
      <c r="A40" s="953"/>
      <c r="B40" s="961">
        <v>6.0</v>
      </c>
      <c r="C40" s="962" t="str">
        <f>IFERROR(__xludf.DUMMYFUNCTION("""COMPUTED_VALUE"""),"🇺🇸")</f>
        <v>🇺🇸</v>
      </c>
      <c r="D40" s="963" t="str">
        <f>IFERROR(__xludf.DUMMYFUNCTION("""COMPUTED_VALUE"""),"Inflection-2.5")</f>
        <v>Inflection-2.5</v>
      </c>
      <c r="E40" s="964" t="str">
        <f>IFERROR(__xludf.DUMMYFUNCTION("""COMPUTED_VALUE"""),"Inflection AI")</f>
        <v>Inflection AI</v>
      </c>
      <c r="F40" s="965">
        <f>IFERROR(__xludf.DUMMYFUNCTION("""COMPUTED_VALUE"""),45352.0)</f>
        <v>45352</v>
      </c>
      <c r="G40" s="961">
        <f>IFERROR(__xludf.DUMMYFUNCTION("""COMPUTED_VALUE"""),85.5)</f>
        <v>85.5</v>
      </c>
      <c r="H40" s="953"/>
      <c r="I40" s="961">
        <v>6.0</v>
      </c>
      <c r="J40" s="962" t="str">
        <f>IFERROR(__xludf.DUMMYFUNCTION("""COMPUTED_VALUE"""),"🇺🇸")</f>
        <v>🇺🇸</v>
      </c>
      <c r="K40" s="963" t="str">
        <f>IFERROR(__xludf.DUMMYFUNCTION("""COMPUTED_VALUE"""),"Inflection-2.5")</f>
        <v>Inflection-2.5</v>
      </c>
      <c r="L40" s="964" t="str">
        <f>IFERROR(__xludf.DUMMYFUNCTION("""COMPUTED_VALUE"""),"Inflection AI")</f>
        <v>Inflection AI</v>
      </c>
      <c r="M40" s="965">
        <f>IFERROR(__xludf.DUMMYFUNCTION("""COMPUTED_VALUE"""),45352.0)</f>
        <v>45352</v>
      </c>
      <c r="N40" s="961">
        <f>IFERROR(__xludf.DUMMYFUNCTION("""COMPUTED_VALUE"""),38.4)</f>
        <v>38.4</v>
      </c>
      <c r="O40" s="953"/>
    </row>
    <row r="41" ht="32.25" customHeight="1">
      <c r="A41" s="953"/>
      <c r="B41" s="956">
        <v>7.0</v>
      </c>
      <c r="C41" s="957" t="str">
        <f>IFERROR(__xludf.DUMMYFUNCTION("""COMPUTED_VALUE"""),"🇨🇳")</f>
        <v>🇨🇳</v>
      </c>
      <c r="D41" s="958" t="str">
        <f>IFERROR(__xludf.DUMMYFUNCTION("""COMPUTED_VALUE"""),"SenseNova 5.0")</f>
        <v>SenseNova 5.0</v>
      </c>
      <c r="E41" s="959" t="str">
        <f>IFERROR(__xludf.DUMMYFUNCTION("""COMPUTED_VALUE"""),"SenseTime")</f>
        <v>SenseTime</v>
      </c>
      <c r="F41" s="960">
        <f>IFERROR(__xludf.DUMMYFUNCTION("""COMPUTED_VALUE"""),45383.0)</f>
        <v>45383</v>
      </c>
      <c r="G41" s="956">
        <f>IFERROR(__xludf.DUMMYFUNCTION("""COMPUTED_VALUE"""),84.78)</f>
        <v>84.78</v>
      </c>
      <c r="H41" s="953"/>
      <c r="I41" s="956">
        <v>7.0</v>
      </c>
      <c r="J41" s="957" t="str">
        <f>IFERROR(__xludf.DUMMYFUNCTION("""COMPUTED_VALUE"""),"🇺🇸")</f>
        <v>🇺🇸</v>
      </c>
      <c r="K41" s="958" t="str">
        <f>IFERROR(__xludf.DUMMYFUNCTION("""COMPUTED_VALUE"""),"Reka Core")</f>
        <v>Reka Core</v>
      </c>
      <c r="L41" s="959" t="str">
        <f>IFERROR(__xludf.DUMMYFUNCTION("""COMPUTED_VALUE"""),"Reka AI")</f>
        <v>Reka AI</v>
      </c>
      <c r="M41" s="960">
        <f>IFERROR(__xludf.DUMMYFUNCTION("""COMPUTED_VALUE"""),45383.0)</f>
        <v>45383</v>
      </c>
      <c r="N41" s="956">
        <f>IFERROR(__xludf.DUMMYFUNCTION("""COMPUTED_VALUE"""),38.2)</f>
        <v>38.2</v>
      </c>
      <c r="O41" s="953"/>
    </row>
    <row r="42" ht="32.25" customHeight="1">
      <c r="A42" s="953"/>
      <c r="B42" s="961">
        <v>8.0</v>
      </c>
      <c r="C42" s="962" t="str">
        <f>IFERROR(__xludf.DUMMYFUNCTION("""COMPUTED_VALUE"""),"🇺🇸")</f>
        <v>🇺🇸</v>
      </c>
      <c r="D42" s="963" t="str">
        <f>IFERROR(__xludf.DUMMYFUNCTION("""COMPUTED_VALUE"""),"Gemini Ultra 1.0")</f>
        <v>Gemini Ultra 1.0</v>
      </c>
      <c r="E42" s="964" t="str">
        <f>IFERROR(__xludf.DUMMYFUNCTION("""COMPUTED_VALUE"""),"Google DeepMind")</f>
        <v>Google DeepMind</v>
      </c>
      <c r="F42" s="965">
        <f>IFERROR(__xludf.DUMMYFUNCTION("""COMPUTED_VALUE"""),45261.0)</f>
        <v>45261</v>
      </c>
      <c r="G42" s="961">
        <f>IFERROR(__xludf.DUMMYFUNCTION("""COMPUTED_VALUE"""),83.7)</f>
        <v>83.7</v>
      </c>
      <c r="H42" s="953"/>
      <c r="I42" s="961">
        <v>8.0</v>
      </c>
      <c r="J42" s="962" t="str">
        <f>IFERROR(__xludf.DUMMYFUNCTION("""COMPUTED_VALUE"""),"🇨🇳")</f>
        <v>🇨🇳</v>
      </c>
      <c r="K42" s="963" t="str">
        <f>IFERROR(__xludf.DUMMYFUNCTION("""COMPUTED_VALUE"""),"Qwen-1.5 72B")</f>
        <v>Qwen-1.5 72B</v>
      </c>
      <c r="L42" s="964" t="str">
        <f>IFERROR(__xludf.DUMMYFUNCTION("""COMPUTED_VALUE"""),"Alibaba")</f>
        <v>Alibaba</v>
      </c>
      <c r="M42" s="965">
        <f>IFERROR(__xludf.DUMMYFUNCTION("""COMPUTED_VALUE"""),45323.0)</f>
        <v>45323</v>
      </c>
      <c r="N42" s="961">
        <f>IFERROR(__xludf.DUMMYFUNCTION("""COMPUTED_VALUE"""),36.3)</f>
        <v>36.3</v>
      </c>
      <c r="O42" s="953"/>
    </row>
    <row r="43" ht="32.25" customHeight="1">
      <c r="A43" s="953"/>
      <c r="B43" s="956">
        <v>9.0</v>
      </c>
      <c r="C43" s="957" t="str">
        <f>IFERROR(__xludf.DUMMYFUNCTION("""COMPUTED_VALUE"""),"🇺🇸")</f>
        <v>🇺🇸</v>
      </c>
      <c r="D43" s="958" t="str">
        <f>IFERROR(__xludf.DUMMYFUNCTION("""COMPUTED_VALUE"""),"Reka Core")</f>
        <v>Reka Core</v>
      </c>
      <c r="E43" s="959" t="str">
        <f>IFERROR(__xludf.DUMMYFUNCTION("""COMPUTED_VALUE"""),"Reka AI")</f>
        <v>Reka AI</v>
      </c>
      <c r="F43" s="960">
        <f>IFERROR(__xludf.DUMMYFUNCTION("""COMPUTED_VALUE"""),45383.0)</f>
        <v>45383</v>
      </c>
      <c r="G43" s="956">
        <f>IFERROR(__xludf.DUMMYFUNCTION("""COMPUTED_VALUE"""),83.2)</f>
        <v>83.2</v>
      </c>
      <c r="H43" s="953"/>
      <c r="I43" s="956">
        <v>9.0</v>
      </c>
      <c r="J43" s="957" t="str">
        <f>IFERROR(__xludf.DUMMYFUNCTION("""COMPUTED_VALUE"""),"🇨🇳")</f>
        <v>🇨🇳</v>
      </c>
      <c r="K43" s="958" t="str">
        <f>IFERROR(__xludf.DUMMYFUNCTION("""COMPUTED_VALUE"""),"Qwen-1.5 110B")</f>
        <v>Qwen-1.5 110B</v>
      </c>
      <c r="L43" s="959" t="str">
        <f>IFERROR(__xludf.DUMMYFUNCTION("""COMPUTED_VALUE"""),"Alibaba")</f>
        <v>Alibaba</v>
      </c>
      <c r="M43" s="960">
        <f>IFERROR(__xludf.DUMMYFUNCTION("""COMPUTED_VALUE"""),45383.0)</f>
        <v>45383</v>
      </c>
      <c r="N43" s="956">
        <f>IFERROR(__xludf.DUMMYFUNCTION("""COMPUTED_VALUE"""),35.9)</f>
        <v>35.9</v>
      </c>
      <c r="O43" s="953"/>
    </row>
    <row r="44" ht="32.25" customHeight="1">
      <c r="A44" s="953"/>
      <c r="B44" s="961">
        <v>10.0</v>
      </c>
      <c r="C44" s="962" t="str">
        <f>IFERROR(__xludf.DUMMYFUNCTION("""COMPUTED_VALUE"""),"🇺🇸")</f>
        <v>🇺🇸</v>
      </c>
      <c r="D44" s="963" t="str">
        <f>IFERROR(__xludf.DUMMYFUNCTION("""COMPUTED_VALUE"""),"Llama 3 70B")</f>
        <v>Llama 3 70B</v>
      </c>
      <c r="E44" s="964" t="str">
        <f>IFERROR(__xludf.DUMMYFUNCTION("""COMPUTED_VALUE"""),"Meta AI")</f>
        <v>Meta AI</v>
      </c>
      <c r="F44" s="965">
        <f>IFERROR(__xludf.DUMMYFUNCTION("""COMPUTED_VALUE"""),45383.0)</f>
        <v>45383</v>
      </c>
      <c r="G44" s="961">
        <f>IFERROR(__xludf.DUMMYFUNCTION("""COMPUTED_VALUE"""),82.0)</f>
        <v>82</v>
      </c>
      <c r="H44" s="953"/>
      <c r="I44" s="961">
        <v>10.0</v>
      </c>
      <c r="J44" s="962" t="str">
        <f>IFERROR(__xludf.DUMMYFUNCTION("""COMPUTED_VALUE"""),"🇺🇸")</f>
        <v>🇺🇸</v>
      </c>
      <c r="K44" s="963" t="str">
        <f>IFERROR(__xludf.DUMMYFUNCTION("""COMPUTED_VALUE"""),"Gemini Ultra 1.0")</f>
        <v>Gemini Ultra 1.0</v>
      </c>
      <c r="L44" s="964" t="str">
        <f>IFERROR(__xludf.DUMMYFUNCTION("""COMPUTED_VALUE"""),"Google DeepMind")</f>
        <v>Google DeepMind</v>
      </c>
      <c r="M44" s="965">
        <f>IFERROR(__xludf.DUMMYFUNCTION("""COMPUTED_VALUE"""),45261.0)</f>
        <v>45261</v>
      </c>
      <c r="N44" s="961">
        <f>IFERROR(__xludf.DUMMYFUNCTION("""COMPUTED_VALUE"""),35.7)</f>
        <v>35.7</v>
      </c>
      <c r="O44" s="953"/>
    </row>
    <row r="45" ht="32.25" customHeight="1">
      <c r="A45" s="953"/>
      <c r="B45" s="966">
        <v>11.0</v>
      </c>
      <c r="C45" s="967" t="str">
        <f>IFERROR(__xludf.DUMMYFUNCTION("""COMPUTED_VALUE"""),"🇺🇸")</f>
        <v>🇺🇸</v>
      </c>
      <c r="D45" s="968" t="str">
        <f>IFERROR(__xludf.DUMMYFUNCTION("""COMPUTED_VALUE"""),"Grok-1.5")</f>
        <v>Grok-1.5</v>
      </c>
      <c r="E45" s="969" t="str">
        <f>IFERROR(__xludf.DUMMYFUNCTION("""COMPUTED_VALUE"""),"xAI")</f>
        <v>xAI</v>
      </c>
      <c r="F45" s="970">
        <f>IFERROR(__xludf.DUMMYFUNCTION("""COMPUTED_VALUE"""),45352.0)</f>
        <v>45352</v>
      </c>
      <c r="G45" s="966">
        <f>IFERROR(__xludf.DUMMYFUNCTION("""COMPUTED_VALUE"""),81.3)</f>
        <v>81.3</v>
      </c>
      <c r="H45" s="953"/>
      <c r="I45" s="966">
        <v>11.0</v>
      </c>
      <c r="J45" s="967" t="str">
        <f>IFERROR(__xludf.DUMMYFUNCTION("""COMPUTED_VALUE"""),"🇺🇸")</f>
        <v>🇺🇸</v>
      </c>
      <c r="K45" s="968" t="str">
        <f>IFERROR(__xludf.DUMMYFUNCTION("""COMPUTED_VALUE"""),"GPT-4 Classic (gpt-4-0314 &amp; gpt-4-0613, non-Turbo)")</f>
        <v>GPT-4 Classic (gpt-4-0314 &amp; gpt-4-0613, non-Turbo)</v>
      </c>
      <c r="L45" s="969" t="str">
        <f>IFERROR(__xludf.DUMMYFUNCTION("""COMPUTED_VALUE"""),"OpenAI")</f>
        <v>OpenAI</v>
      </c>
      <c r="M45" s="970">
        <f>IFERROR(__xludf.DUMMYFUNCTION("""COMPUTED_VALUE"""),44986.0)</f>
        <v>44986</v>
      </c>
      <c r="N45" s="966">
        <f>IFERROR(__xludf.DUMMYFUNCTION("""COMPUTED_VALUE"""),35.7)</f>
        <v>35.7</v>
      </c>
      <c r="O45" s="953"/>
    </row>
    <row r="46" ht="32.25" customHeight="1">
      <c r="A46" s="953"/>
      <c r="B46" s="971">
        <v>12.0</v>
      </c>
      <c r="C46" s="972" t="str">
        <f>IFERROR(__xludf.DUMMYFUNCTION("""COMPUTED_VALUE"""),"🇫🇷")</f>
        <v>🇫🇷</v>
      </c>
      <c r="D46" s="973" t="str">
        <f>IFERROR(__xludf.DUMMYFUNCTION("""COMPUTED_VALUE"""),"Mistral Large")</f>
        <v>Mistral Large</v>
      </c>
      <c r="E46" s="974" t="str">
        <f>IFERROR(__xludf.DUMMYFUNCTION("""COMPUTED_VALUE"""),"Mistral")</f>
        <v>Mistral</v>
      </c>
      <c r="F46" s="975">
        <f>IFERROR(__xludf.DUMMYFUNCTION("""COMPUTED_VALUE"""),45323.0)</f>
        <v>45323</v>
      </c>
      <c r="G46" s="971">
        <f>IFERROR(__xludf.DUMMYFUNCTION("""COMPUTED_VALUE"""),81.2)</f>
        <v>81.2</v>
      </c>
      <c r="H46" s="953"/>
      <c r="I46" s="971">
        <v>12.0</v>
      </c>
      <c r="J46" s="972" t="str">
        <f>IFERROR(__xludf.DUMMYFUNCTION("""COMPUTED_VALUE"""),"🇺🇸")</f>
        <v>🇺🇸</v>
      </c>
      <c r="K46" s="973" t="str">
        <f>IFERROR(__xludf.DUMMYFUNCTION("""COMPUTED_VALUE"""),"Reka Flash")</f>
        <v>Reka Flash</v>
      </c>
      <c r="L46" s="974" t="str">
        <f>IFERROR(__xludf.DUMMYFUNCTION("""COMPUTED_VALUE"""),"Reka AI")</f>
        <v>Reka AI</v>
      </c>
      <c r="M46" s="975">
        <f>IFERROR(__xludf.DUMMYFUNCTION("""COMPUTED_VALUE"""),45323.0)</f>
        <v>45323</v>
      </c>
      <c r="N46" s="971">
        <f>IFERROR(__xludf.DUMMYFUNCTION("""COMPUTED_VALUE"""),34.0)</f>
        <v>34</v>
      </c>
      <c r="O46" s="953"/>
    </row>
    <row r="47" ht="32.25" customHeight="1">
      <c r="A47" s="953"/>
      <c r="B47" s="976" t="str">
        <f>"Models Table Rankings. Alan D. Thompson. Snapshot of models up to " &amp; TEXT(E33, "mmm/yyyy") &amp; "."</f>
        <v>Models Table Rankings. Alan D. Thompson. Snapshot of models up to Apr/2024.</v>
      </c>
      <c r="C47" s="953" t="str">
        <f>IFERROR(__xludf.DUMMYFUNCTION("""COMPUTED_VALUE"""),"")</f>
        <v/>
      </c>
      <c r="D47" s="953"/>
      <c r="E47" s="953"/>
      <c r="F47" s="953"/>
      <c r="G47" s="953"/>
      <c r="H47" s="953"/>
      <c r="I47" s="953"/>
      <c r="J47" s="953" t="str">
        <f>IFERROR(__xludf.DUMMYFUNCTION("""COMPUTED_VALUE"""),"")</f>
        <v/>
      </c>
      <c r="K47" s="953"/>
      <c r="L47" s="977" t="s">
        <v>2625</v>
      </c>
      <c r="M47" s="953"/>
      <c r="N47" s="953"/>
      <c r="O47" s="953"/>
    </row>
    <row r="48" ht="32.25" customHeight="1">
      <c r="A48" s="908"/>
      <c r="B48" s="909"/>
      <c r="C48" s="890" t="str">
        <f>IFERROR(__xludf.DUMMYFUNCTION("""COMPUTED_VALUE"""),"")</f>
        <v/>
      </c>
      <c r="D48" s="910"/>
      <c r="E48" s="911"/>
      <c r="F48" s="912"/>
      <c r="G48" s="908"/>
      <c r="H48" s="913"/>
      <c r="I48" s="908"/>
      <c r="J48" s="914" t="str">
        <f>IFERROR(__xludf.DUMMYFUNCTION("""COMPUTED_VALUE"""),"")</f>
        <v/>
      </c>
      <c r="K48" s="913"/>
      <c r="L48" s="915"/>
      <c r="M48" s="912"/>
      <c r="N48" s="908"/>
      <c r="O48" s="913"/>
    </row>
  </sheetData>
  <mergeCells count="2">
    <mergeCell ref="A1:G1"/>
    <mergeCell ref="H1:O1"/>
  </mergeCells>
  <dataValidations>
    <dataValidation type="list" allowBlank="1" showErrorMessage="1" sqref="E33">
      <formula1>"Jan/2025,Jun/2024,Apr/2024,Jan/2024,Jun/2023,Jan/2023,Jun/2022,Jan/2022,Jun/2021,Jan/2021,Jun/2020"</formula1>
    </dataValidation>
  </dataValidations>
  <hyperlinks>
    <hyperlink r:id="rId1" ref="L5"/>
    <hyperlink r:id="rId2" ref="G16"/>
    <hyperlink r:id="rId3" ref="N16"/>
    <hyperlink r:id="rId4" ref="G31"/>
    <hyperlink r:id="rId5" ref="L47"/>
  </hyperlinks>
  <drawing r:id="rId6"/>
  <tableParts count="2">
    <tablePart r:id="rId9"/>
    <tablePart r:id="rId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15.88"/>
    <col customWidth="1" min="2" max="2" width="32.63"/>
    <col customWidth="1" min="3" max="3" width="8.63"/>
    <col customWidth="1" min="4" max="4" width="24.38"/>
    <col customWidth="1" min="5" max="5" width="1.63"/>
    <col customWidth="1" min="6" max="6" width="20.88"/>
    <col customWidth="1" min="7" max="7" width="8.0"/>
    <col customWidth="1" min="8" max="8" width="186.63"/>
  </cols>
  <sheetData>
    <row r="1" ht="19.5" customHeight="1">
      <c r="A1" s="978" t="s">
        <v>2627</v>
      </c>
      <c r="B1" s="979"/>
      <c r="C1" s="978"/>
      <c r="D1" s="979"/>
      <c r="E1" s="979"/>
      <c r="F1" s="978" t="s">
        <v>2628</v>
      </c>
      <c r="G1" s="978" t="s">
        <v>2629</v>
      </c>
      <c r="H1" s="978" t="s">
        <v>2630</v>
      </c>
    </row>
    <row r="2" ht="19.5" customHeight="1">
      <c r="A2" s="980" t="s">
        <v>2631</v>
      </c>
      <c r="B2" s="981">
        <f>COUNTIFS('Models Table'!M3:M35, "&lt;&gt;TBA", 'Models Table'!M3:M35, "&lt;&gt;")</f>
        <v>672</v>
      </c>
      <c r="C2" s="982"/>
      <c r="D2" s="982"/>
      <c r="E2" s="982"/>
      <c r="F2" s="983" t="s">
        <v>5</v>
      </c>
      <c r="G2" s="984" t="s">
        <v>2632</v>
      </c>
      <c r="H2" s="984" t="s">
        <v>2633</v>
      </c>
    </row>
    <row r="3" ht="19.5" customHeight="1">
      <c r="A3" s="980" t="s">
        <v>2634</v>
      </c>
      <c r="B3" s="985" t="s">
        <v>2635</v>
      </c>
      <c r="C3" s="982"/>
      <c r="D3" s="982"/>
      <c r="E3" s="982"/>
      <c r="F3" s="986" t="s">
        <v>6</v>
      </c>
      <c r="G3" s="984" t="s">
        <v>2632</v>
      </c>
      <c r="H3" s="987" t="s">
        <v>2636</v>
      </c>
    </row>
    <row r="4" ht="19.5" customHeight="1">
      <c r="A4" s="980" t="s">
        <v>2637</v>
      </c>
      <c r="B4" s="988" t="s">
        <v>2638</v>
      </c>
      <c r="C4" s="982"/>
      <c r="D4" s="982"/>
      <c r="E4" s="982"/>
      <c r="F4" s="983" t="s">
        <v>7</v>
      </c>
      <c r="G4" s="984" t="s">
        <v>2639</v>
      </c>
      <c r="H4" s="984" t="s">
        <v>2640</v>
      </c>
    </row>
    <row r="5" ht="19.5" customHeight="1">
      <c r="A5" s="980" t="s">
        <v>2641</v>
      </c>
      <c r="B5" s="988" t="s">
        <v>2642</v>
      </c>
      <c r="C5" s="982"/>
      <c r="D5" s="982"/>
      <c r="E5" s="982"/>
      <c r="F5" s="983" t="s">
        <v>2643</v>
      </c>
      <c r="G5" s="984" t="s">
        <v>2644</v>
      </c>
      <c r="H5" s="984" t="s">
        <v>2645</v>
      </c>
    </row>
    <row r="6" ht="19.5" customHeight="1">
      <c r="A6" s="980" t="s">
        <v>2646</v>
      </c>
      <c r="B6" s="837" t="s">
        <v>2647</v>
      </c>
      <c r="C6" s="982"/>
      <c r="D6" s="982"/>
      <c r="E6" s="982"/>
      <c r="F6" s="983" t="s">
        <v>2648</v>
      </c>
      <c r="G6" s="984" t="s">
        <v>2649</v>
      </c>
      <c r="H6" s="984" t="s">
        <v>2650</v>
      </c>
    </row>
    <row r="7" ht="19.5" customHeight="1">
      <c r="A7" s="980" t="s">
        <v>2651</v>
      </c>
      <c r="B7" s="989" t="s">
        <v>2652</v>
      </c>
      <c r="C7" s="990"/>
      <c r="D7" s="990"/>
      <c r="E7" s="990"/>
      <c r="F7" s="991" t="s">
        <v>2653</v>
      </c>
      <c r="G7" s="992" t="s">
        <v>2654</v>
      </c>
      <c r="H7" s="993" t="s">
        <v>2655</v>
      </c>
    </row>
    <row r="8" ht="19.5" customHeight="1">
      <c r="A8" s="980" t="s">
        <v>2656</v>
      </c>
      <c r="B8" s="837" t="s">
        <v>2657</v>
      </c>
      <c r="C8" s="979"/>
      <c r="D8" s="980"/>
      <c r="E8" s="994"/>
      <c r="F8" s="995" t="s">
        <v>2658</v>
      </c>
      <c r="G8" s="996" t="s">
        <v>2644</v>
      </c>
      <c r="H8" s="997" t="s">
        <v>2659</v>
      </c>
    </row>
    <row r="9" ht="19.5" customHeight="1">
      <c r="A9" s="980" t="s">
        <v>2660</v>
      </c>
      <c r="B9" s="998" t="s">
        <v>2661</v>
      </c>
      <c r="C9" s="979"/>
      <c r="D9" s="988"/>
      <c r="E9" s="979"/>
      <c r="F9" s="983" t="s">
        <v>12</v>
      </c>
      <c r="G9" s="996" t="s">
        <v>2644</v>
      </c>
      <c r="H9" s="999" t="s">
        <v>2662</v>
      </c>
    </row>
    <row r="10" ht="19.5" customHeight="1">
      <c r="A10" s="980" t="s">
        <v>2663</v>
      </c>
      <c r="B10" s="989" t="s">
        <v>2664</v>
      </c>
      <c r="C10" s="979"/>
      <c r="D10" s="979"/>
      <c r="E10" s="979"/>
      <c r="F10" s="983" t="s">
        <v>2665</v>
      </c>
      <c r="G10" s="996" t="s">
        <v>2644</v>
      </c>
      <c r="H10" s="1000" t="s">
        <v>2666</v>
      </c>
    </row>
    <row r="11" ht="19.5" customHeight="1">
      <c r="A11" s="980" t="s">
        <v>2667</v>
      </c>
      <c r="B11" s="989" t="s">
        <v>2668</v>
      </c>
      <c r="C11" s="979"/>
      <c r="D11" s="979"/>
      <c r="E11" s="979"/>
      <c r="F11" s="983" t="s">
        <v>14</v>
      </c>
      <c r="G11" s="996" t="s">
        <v>2644</v>
      </c>
      <c r="H11" s="1000" t="s">
        <v>2669</v>
      </c>
    </row>
    <row r="12" ht="19.5" customHeight="1">
      <c r="A12" s="980" t="s">
        <v>2670</v>
      </c>
      <c r="B12" s="989" t="s">
        <v>2671</v>
      </c>
      <c r="C12" s="979"/>
      <c r="D12" s="979"/>
      <c r="E12" s="979"/>
      <c r="F12" s="983" t="s">
        <v>15</v>
      </c>
      <c r="G12" s="996" t="s">
        <v>2644</v>
      </c>
      <c r="H12" s="1000" t="s">
        <v>2672</v>
      </c>
    </row>
    <row r="13" ht="19.5" customHeight="1">
      <c r="A13" s="980" t="s">
        <v>2673</v>
      </c>
      <c r="B13" s="837" t="s">
        <v>2674</v>
      </c>
      <c r="C13" s="979"/>
      <c r="D13" s="979"/>
      <c r="E13" s="979"/>
      <c r="F13" s="1001" t="s">
        <v>16</v>
      </c>
      <c r="G13" s="984" t="s">
        <v>2632</v>
      </c>
      <c r="H13" s="984" t="s">
        <v>2675</v>
      </c>
    </row>
    <row r="14" ht="19.5" customHeight="1">
      <c r="A14" s="980" t="s">
        <v>2676</v>
      </c>
      <c r="B14" s="988" t="s">
        <v>2677</v>
      </c>
      <c r="C14" s="979"/>
      <c r="D14" s="979"/>
      <c r="E14" s="979"/>
      <c r="F14" s="983" t="s">
        <v>2678</v>
      </c>
      <c r="G14" s="984" t="s">
        <v>2679</v>
      </c>
      <c r="H14" s="984" t="s">
        <v>2680</v>
      </c>
    </row>
    <row r="15" ht="19.5" customHeight="1">
      <c r="A15" s="979"/>
      <c r="B15" s="988" t="s">
        <v>2681</v>
      </c>
      <c r="C15" s="979"/>
      <c r="D15" s="979"/>
      <c r="E15" s="979"/>
      <c r="F15" s="1002" t="s">
        <v>18</v>
      </c>
      <c r="G15" s="984" t="s">
        <v>2682</v>
      </c>
      <c r="H15" s="984" t="s">
        <v>2683</v>
      </c>
    </row>
    <row r="16" ht="19.5" customHeight="1">
      <c r="A16" s="1003"/>
      <c r="B16" s="1004"/>
      <c r="C16" s="990"/>
      <c r="D16" s="990"/>
      <c r="E16" s="979"/>
      <c r="F16" s="1005" t="s">
        <v>19</v>
      </c>
      <c r="G16" s="1006" t="s">
        <v>2639</v>
      </c>
      <c r="H16" s="1006" t="s">
        <v>2684</v>
      </c>
    </row>
    <row r="17" ht="19.5" customHeight="1">
      <c r="A17" s="990"/>
      <c r="B17" s="1007"/>
      <c r="C17" s="990"/>
      <c r="D17" s="990"/>
      <c r="E17" s="979"/>
      <c r="F17" s="983" t="s">
        <v>20</v>
      </c>
      <c r="G17" s="984" t="s">
        <v>2632</v>
      </c>
      <c r="H17" s="984" t="s">
        <v>2685</v>
      </c>
    </row>
    <row r="18" ht="19.5" customHeight="1">
      <c r="A18" s="990"/>
      <c r="B18" s="990"/>
      <c r="C18" s="1008"/>
      <c r="D18" s="990"/>
      <c r="E18" s="979"/>
      <c r="F18" s="983" t="s">
        <v>21</v>
      </c>
      <c r="G18" s="984" t="s">
        <v>2686</v>
      </c>
      <c r="H18" s="984" t="s">
        <v>2687</v>
      </c>
    </row>
    <row r="19" ht="19.5" customHeight="1">
      <c r="A19" s="990"/>
      <c r="B19" s="1009"/>
      <c r="C19" s="1010"/>
      <c r="D19" s="990"/>
      <c r="E19" s="979"/>
      <c r="F19" s="1002" t="s">
        <v>22</v>
      </c>
      <c r="G19" s="984" t="s">
        <v>2632</v>
      </c>
      <c r="H19" s="984" t="s">
        <v>2688</v>
      </c>
    </row>
    <row r="20" ht="19.5" customHeight="1">
      <c r="A20" s="990"/>
      <c r="B20" s="990"/>
      <c r="C20" s="990"/>
      <c r="D20" s="990"/>
      <c r="E20" s="979"/>
      <c r="F20" s="979"/>
      <c r="G20" s="979"/>
      <c r="H20" s="979"/>
    </row>
    <row r="21" ht="19.5" customHeight="1">
      <c r="A21" s="979"/>
      <c r="B21" s="979"/>
      <c r="C21" s="979"/>
      <c r="D21" s="979"/>
      <c r="E21" s="979"/>
      <c r="F21" s="979"/>
      <c r="G21" s="979"/>
      <c r="H21" s="979"/>
    </row>
    <row r="22" ht="19.5" customHeight="1">
      <c r="A22" s="979"/>
      <c r="B22" s="979"/>
      <c r="C22" s="979"/>
      <c r="D22" s="979"/>
      <c r="E22" s="979"/>
      <c r="F22" s="979"/>
      <c r="G22" s="979"/>
      <c r="H22" s="979"/>
    </row>
    <row r="23" ht="19.5" customHeight="1">
      <c r="A23" s="980" t="s">
        <v>2689</v>
      </c>
      <c r="B23" s="979"/>
      <c r="C23" s="1011"/>
      <c r="D23" s="979"/>
      <c r="E23" s="979"/>
      <c r="F23" s="979"/>
      <c r="G23" s="979"/>
      <c r="H23" s="979"/>
    </row>
    <row r="24" ht="19.5" customHeight="1">
      <c r="A24" s="1012" t="s">
        <v>2690</v>
      </c>
      <c r="B24" s="1013"/>
      <c r="C24" s="1011" t="s">
        <v>2691</v>
      </c>
      <c r="D24" s="979"/>
      <c r="E24" s="979"/>
      <c r="F24" s="979"/>
      <c r="G24" s="979"/>
      <c r="H24" s="979"/>
    </row>
    <row r="25" ht="19.5" customHeight="1">
      <c r="A25" s="1012" t="s">
        <v>2692</v>
      </c>
      <c r="B25" s="1013"/>
      <c r="C25" s="1014" t="s">
        <v>2693</v>
      </c>
      <c r="D25" s="979"/>
      <c r="E25" s="979"/>
      <c r="F25" s="979"/>
      <c r="G25" s="979"/>
      <c r="H25" s="979"/>
    </row>
    <row r="26" ht="19.5" customHeight="1">
      <c r="A26" s="1015" t="s">
        <v>2694</v>
      </c>
      <c r="B26" s="1013"/>
      <c r="C26" s="1011" t="s">
        <v>2695</v>
      </c>
      <c r="D26" s="979"/>
      <c r="E26" s="979"/>
      <c r="F26" s="979"/>
      <c r="G26" s="979"/>
      <c r="H26" s="979"/>
    </row>
    <row r="27" ht="19.5" customHeight="1">
      <c r="A27" s="1015" t="s">
        <v>2696</v>
      </c>
      <c r="B27" s="1013"/>
      <c r="C27" s="1011" t="s">
        <v>2697</v>
      </c>
      <c r="D27" s="979"/>
      <c r="E27" s="979"/>
      <c r="F27" s="979"/>
      <c r="G27" s="979"/>
      <c r="H27" s="979"/>
    </row>
    <row r="28" ht="19.5" customHeight="1">
      <c r="A28" s="1015" t="s">
        <v>2698</v>
      </c>
      <c r="B28" s="1013"/>
      <c r="C28" s="1011" t="s">
        <v>2699</v>
      </c>
      <c r="D28" s="979"/>
      <c r="E28" s="979"/>
      <c r="F28" s="979"/>
      <c r="G28" s="979"/>
      <c r="H28" s="979"/>
    </row>
    <row r="29" ht="19.5" customHeight="1">
      <c r="A29" s="1015" t="s">
        <v>2700</v>
      </c>
      <c r="B29" s="1013"/>
      <c r="C29" s="1011" t="s">
        <v>2701</v>
      </c>
      <c r="D29" s="979"/>
      <c r="E29" s="979"/>
      <c r="F29" s="979"/>
      <c r="G29" s="979"/>
      <c r="H29" s="979"/>
    </row>
    <row r="30" ht="19.5" customHeight="1">
      <c r="A30" s="1015" t="s">
        <v>2702</v>
      </c>
      <c r="B30" s="1016"/>
      <c r="C30" s="1011" t="s">
        <v>2703</v>
      </c>
      <c r="D30" s="979"/>
      <c r="E30" s="979"/>
      <c r="F30" s="979"/>
      <c r="G30" s="979"/>
      <c r="H30" s="979"/>
    </row>
    <row r="31" ht="19.5" customHeight="1">
      <c r="A31" s="1015" t="s">
        <v>2704</v>
      </c>
      <c r="B31" s="1016"/>
      <c r="C31" s="1011" t="s">
        <v>2705</v>
      </c>
      <c r="D31" s="979"/>
      <c r="E31" s="979"/>
      <c r="F31" s="979"/>
      <c r="G31" s="979"/>
      <c r="H31" s="979"/>
    </row>
    <row r="32" ht="19.5" customHeight="1">
      <c r="A32" s="1015" t="s">
        <v>2706</v>
      </c>
      <c r="B32" s="1016"/>
      <c r="C32" s="1011" t="s">
        <v>2707</v>
      </c>
      <c r="D32" s="979"/>
      <c r="E32" s="979"/>
      <c r="F32" s="979"/>
      <c r="G32" s="979"/>
      <c r="H32" s="979"/>
    </row>
    <row r="33" ht="19.5" customHeight="1">
      <c r="A33" s="1015" t="s">
        <v>2708</v>
      </c>
      <c r="B33" s="1016"/>
      <c r="C33" s="1011" t="s">
        <v>2709</v>
      </c>
      <c r="D33" s="979"/>
      <c r="E33" s="979"/>
      <c r="F33" s="979"/>
      <c r="G33" s="979"/>
      <c r="H33" s="979"/>
    </row>
    <row r="34" ht="19.5" customHeight="1">
      <c r="A34" s="1015" t="s">
        <v>2710</v>
      </c>
      <c r="B34" s="1016"/>
      <c r="C34" s="1011" t="s">
        <v>2711</v>
      </c>
      <c r="D34" s="979"/>
      <c r="E34" s="979"/>
      <c r="F34" s="979"/>
      <c r="G34" s="979"/>
      <c r="H34" s="979"/>
    </row>
    <row r="35" ht="19.5" customHeight="1">
      <c r="A35" s="1012" t="s">
        <v>2712</v>
      </c>
      <c r="B35" s="1016"/>
      <c r="C35" s="1011" t="str">
        <f>"("&amp;COUNTIFS(M3:M35, "&lt;&gt;TBA", M3:M35, "&lt;&gt;")&amp;") Permalink:"</f>
        <v>(0) Permalink:</v>
      </c>
      <c r="D35" s="979"/>
      <c r="E35" s="979"/>
      <c r="F35" s="979"/>
      <c r="G35" s="979"/>
      <c r="H35" s="979"/>
    </row>
  </sheetData>
  <conditionalFormatting sqref="F7:H7">
    <cfRule type="cellIs" dxfId="0" priority="1" operator="between">
      <formula>0</formula>
      <formula>7</formula>
    </cfRule>
  </conditionalFormatting>
  <conditionalFormatting sqref="F7:H7">
    <cfRule type="cellIs" dxfId="1" priority="2" operator="between">
      <formula>8</formula>
      <formula>16</formula>
    </cfRule>
  </conditionalFormatting>
  <conditionalFormatting sqref="F7:H7">
    <cfRule type="cellIs" dxfId="2" priority="3" operator="between">
      <formula>17</formula>
      <formula>499</formula>
    </cfRule>
  </conditionalFormatting>
  <conditionalFormatting sqref="F8 G8:G12 H8">
    <cfRule type="colorScale" priority="4">
      <colorScale>
        <cfvo type="min"/>
        <cfvo type="formula" val="15"/>
        <cfvo type="max"/>
        <color rgb="FFF3F3F3"/>
        <color rgb="FF3D85C6"/>
        <color rgb="FF0B5394"/>
      </colorScale>
    </cfRule>
  </conditionalFormatting>
  <conditionalFormatting sqref="F8 G8:G12 H8">
    <cfRule type="cellIs" dxfId="21" priority="5" operator="greaterThan">
      <formula>12</formula>
    </cfRule>
  </conditionalFormatting>
  <conditionalFormatting sqref="F9 G9:H12">
    <cfRule type="colorScale" priority="6">
      <colorScale>
        <cfvo type="min"/>
        <cfvo type="formula" val="80"/>
        <cfvo type="max"/>
        <color rgb="FFFFFFFF"/>
        <color rgb="FF3D85C6"/>
        <color rgb="FF0B5394"/>
      </colorScale>
    </cfRule>
  </conditionalFormatting>
  <conditionalFormatting sqref="F9 G9:H12">
    <cfRule type="cellIs" dxfId="21" priority="7" operator="greaterThan">
      <formula>70</formula>
    </cfRule>
  </conditionalFormatting>
  <conditionalFormatting sqref="F11:H12">
    <cfRule type="colorScale" priority="8">
      <colorScale>
        <cfvo type="min"/>
        <cfvo type="formula" val="40"/>
        <cfvo type="max"/>
        <color rgb="FFFFFFFF"/>
        <color rgb="FF3D85C6"/>
        <color rgb="FF0B5394"/>
      </colorScale>
    </cfRule>
  </conditionalFormatting>
  <conditionalFormatting sqref="F11:H12">
    <cfRule type="cellIs" dxfId="21" priority="9" operator="greaterThan">
      <formula>38</formula>
    </cfRule>
  </conditionalFormatting>
  <conditionalFormatting sqref="F10 G10:H12">
    <cfRule type="colorScale" priority="10">
      <colorScale>
        <cfvo type="min"/>
        <cfvo type="formula" val="55"/>
        <cfvo type="max"/>
        <color rgb="FFFFFFFF"/>
        <color rgb="FF3D85C6"/>
        <color rgb="FF0B5394"/>
      </colorScale>
    </cfRule>
  </conditionalFormatting>
  <conditionalFormatting sqref="F10 G10:H12">
    <cfRule type="cellIs" dxfId="21" priority="11" operator="greaterThan">
      <formula>50</formula>
    </cfRule>
  </conditionalFormatting>
  <conditionalFormatting sqref="F3 H3">
    <cfRule type="containsText" dxfId="3" priority="12" operator="containsText" text="OpenAI">
      <formula>NOT(ISERROR(SEARCH(("OpenAI"),(F3))))</formula>
    </cfRule>
  </conditionalFormatting>
  <conditionalFormatting sqref="F3 H3">
    <cfRule type="expression" dxfId="4" priority="13">
      <formula>regexmatch(F3,"Google|DeepMind")</formula>
    </cfRule>
  </conditionalFormatting>
  <conditionalFormatting sqref="F3 H3">
    <cfRule type="containsText" dxfId="5" priority="14" operator="containsText" text="Microsoft">
      <formula>NOT(ISERROR(SEARCH(("Microsoft"),(F3))))</formula>
    </cfRule>
  </conditionalFormatting>
  <conditionalFormatting sqref="F3 H3">
    <cfRule type="containsText" dxfId="6" priority="15" operator="containsText" text="Stability">
      <formula>NOT(ISERROR(SEARCH(("Stability"),(F3))))</formula>
    </cfRule>
  </conditionalFormatting>
  <conditionalFormatting sqref="F3 H3">
    <cfRule type="containsText" dxfId="7" priority="16" operator="containsText" text="Mistral">
      <formula>NOT(ISERROR(SEARCH(("Mistral"),(F3))))</formula>
    </cfRule>
  </conditionalFormatting>
  <conditionalFormatting sqref="F3 H3">
    <cfRule type="containsText" dxfId="8" priority="17" operator="containsText" text="Meta">
      <formula>NOT(ISERROR(SEARCH(("Meta"),(F3))))</formula>
    </cfRule>
  </conditionalFormatting>
  <conditionalFormatting sqref="F3 H3">
    <cfRule type="expression" dxfId="9" priority="18">
      <formula>regexmatch(F3,"01|360|AiWaves|Alibaba|Bai|BAAI|Byte|cn|DeepSeek|Fudan|Hua|iFly|Kunlun|Sense|Tencent|Tsing|Wechat|Wenge|zh")</formula>
    </cfRule>
  </conditionalFormatting>
  <conditionalFormatting sqref="F3 H3">
    <cfRule type="containsText" dxfId="10" priority="19" operator="containsText" text="Apple">
      <formula>NOT(ISERROR(SEARCH(("Apple"),(F3))))</formula>
    </cfRule>
  </conditionalFormatting>
  <conditionalFormatting sqref="F3 H3">
    <cfRule type="containsText" dxfId="11" priority="20" operator="containsText" text="Amazon">
      <formula>NOT(ISERROR(SEARCH(("Amazon"),(F3))))</formula>
    </cfRule>
  </conditionalFormatting>
  <conditionalFormatting sqref="F3 H3">
    <cfRule type="containsText" dxfId="12" priority="21" operator="containsText" text="xAI">
      <formula>NOT(ISERROR(SEARCH(("xAI"),(F3))))</formula>
    </cfRule>
  </conditionalFormatting>
  <conditionalFormatting sqref="F3 H3">
    <cfRule type="containsText" dxfId="13" priority="22" operator="containsText" text="NVIDIA">
      <formula>NOT(ISERROR(SEARCH(("NVIDIA"),(F3))))</formula>
    </cfRule>
  </conditionalFormatting>
  <conditionalFormatting sqref="F3 H3">
    <cfRule type="containsText" dxfId="14" priority="23" operator="containsText" text="Anthropic">
      <formula>NOT(ISERROR(SEARCH(("Anthropic"),(F3))))</formula>
    </cfRule>
  </conditionalFormatting>
  <conditionalFormatting sqref="F7:H7">
    <cfRule type="cellIs" dxfId="15" priority="24" operator="between">
      <formula>500</formula>
      <formula>9999</formula>
    </cfRule>
  </conditionalFormatting>
  <hyperlinks>
    <hyperlink r:id="rId1" ref="B3"/>
    <hyperlink r:id="rId2" ref="B6"/>
    <hyperlink r:id="rId3" ref="B7"/>
    <hyperlink r:id="rId4" ref="B8"/>
    <hyperlink r:id="rId5" ref="B9"/>
    <hyperlink r:id="rId6" ref="H9"/>
    <hyperlink r:id="rId7" ref="B10"/>
    <hyperlink r:id="rId8" ref="H10"/>
    <hyperlink r:id="rId9" ref="B11"/>
    <hyperlink r:id="rId10" ref="H11"/>
    <hyperlink r:id="rId11" ref="B12"/>
    <hyperlink r:id="rId12" ref="H12"/>
    <hyperlink r:id="rId13" ref="B13"/>
    <hyperlink r:id="rId14" ref="C24"/>
    <hyperlink r:id="rId15" ref="C25"/>
    <hyperlink r:id="rId16" location="gid=0" ref="C26"/>
    <hyperlink r:id="rId17" location="gid=0" ref="C27"/>
    <hyperlink r:id="rId18" ref="C28"/>
    <hyperlink r:id="rId19" ref="C29"/>
    <hyperlink r:id="rId20" location="gid=0" ref="C30"/>
    <hyperlink r:id="rId21" ref="C31"/>
    <hyperlink r:id="rId22" location="gid=0" ref="C32"/>
    <hyperlink r:id="rId23" location="gid=0" ref="C33"/>
  </hyperlinks>
  <drawing r:id="rId24"/>
  <tableParts count="1">
    <tablePart r:id="rId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3.63"/>
    <col customWidth="1" min="2" max="2" width="14.13"/>
    <col customWidth="1" min="3" max="3" width="13.25"/>
    <col customWidth="1" min="4" max="4" width="9.25"/>
    <col customWidth="1" min="5" max="5" width="16.75"/>
    <col customWidth="1" min="6" max="6" width="9.25"/>
    <col customWidth="1" min="7" max="7" width="16.75"/>
    <col customWidth="1" min="8" max="8" width="9.25"/>
    <col customWidth="1" min="9" max="9" width="16.75"/>
    <col customWidth="1" min="10" max="10" width="15.25"/>
    <col customWidth="1" min="11" max="11" width="11.75"/>
    <col customWidth="1" min="12" max="12" width="9.88"/>
    <col customWidth="1" min="13" max="13" width="18.75"/>
    <col customWidth="1" min="14" max="15" width="12.75"/>
    <col customWidth="1" min="16" max="16" width="97.13"/>
  </cols>
  <sheetData>
    <row r="1">
      <c r="A1" s="1017" t="str">
        <f>"(" &amp; COUNTIF(K3:K58, "&lt;&gt;TBA")- COUNTIF(K3:K58, "") &amp; ") Permalink:"</f>
        <v>(55) Permalink:</v>
      </c>
      <c r="B1" s="1018" t="s">
        <v>2713</v>
      </c>
      <c r="C1" s="1019"/>
      <c r="D1" s="4"/>
      <c r="E1" s="4"/>
      <c r="F1" s="1020" t="s">
        <v>2714</v>
      </c>
      <c r="G1" s="6"/>
      <c r="H1" s="1021" t="s">
        <v>2715</v>
      </c>
      <c r="I1" s="10"/>
      <c r="J1" s="1022"/>
      <c r="K1" s="1022"/>
      <c r="L1" s="1022" t="s">
        <v>3</v>
      </c>
      <c r="M1" s="9" t="s">
        <v>4</v>
      </c>
      <c r="N1" s="10"/>
      <c r="O1" s="11"/>
      <c r="P1" s="12"/>
    </row>
    <row r="2">
      <c r="A2" s="1023" t="s">
        <v>2716</v>
      </c>
      <c r="B2" s="1024" t="s">
        <v>6</v>
      </c>
      <c r="C2" s="1025" t="s">
        <v>2717</v>
      </c>
      <c r="D2" s="1026" t="s">
        <v>2718</v>
      </c>
      <c r="E2" s="1027"/>
      <c r="F2" s="1028" t="s">
        <v>2719</v>
      </c>
      <c r="G2" s="1027"/>
      <c r="H2" s="1028" t="s">
        <v>2720</v>
      </c>
      <c r="I2" s="1027"/>
      <c r="J2" s="1023" t="s">
        <v>2721</v>
      </c>
      <c r="K2" s="1024" t="s">
        <v>2678</v>
      </c>
      <c r="L2" s="1029" t="s">
        <v>18</v>
      </c>
      <c r="M2" s="1024" t="s">
        <v>2722</v>
      </c>
      <c r="N2" s="1030" t="s">
        <v>2723</v>
      </c>
      <c r="O2" s="1030" t="s">
        <v>2724</v>
      </c>
      <c r="P2" s="1024" t="s">
        <v>22</v>
      </c>
    </row>
    <row r="3" ht="19.5" customHeight="1">
      <c r="A3" s="623" t="s">
        <v>2725</v>
      </c>
      <c r="B3" s="623" t="s">
        <v>190</v>
      </c>
      <c r="C3" s="623">
        <v>9000.0</v>
      </c>
      <c r="D3" s="623">
        <v>2000000.0</v>
      </c>
      <c r="E3" s="543" t="str">
        <f>IFERROR(__xludf.DUMMYFUNCTION("IF(D3&lt;&gt;"""",sparkline(D3,{""charttype"",""bar"";""color1"",""#e74c3c"";""max"",10000}),"""")"),"")</f>
        <v/>
      </c>
      <c r="F3" s="1031"/>
      <c r="G3" s="543"/>
      <c r="H3" s="623">
        <v>2000000.0</v>
      </c>
      <c r="I3" s="1032" t="str">
        <f>IFERROR(__xludf.DUMMYFUNCTION("IF(H3&lt;&gt;"""",sparkline(H3,{""charttype"",""bar"";""color1"",""#2ecc71"";""max"",10000}),"""")"),"")</f>
        <v/>
      </c>
      <c r="J3" s="623">
        <v>4.0</v>
      </c>
      <c r="K3" s="1033">
        <v>45658.0</v>
      </c>
      <c r="L3" s="394" t="s">
        <v>28</v>
      </c>
      <c r="M3" s="623" t="s">
        <v>2725</v>
      </c>
      <c r="N3" s="1034" t="s">
        <v>742</v>
      </c>
      <c r="O3" s="1034" t="s">
        <v>2726</v>
      </c>
      <c r="P3" s="540" t="s">
        <v>2727</v>
      </c>
    </row>
    <row r="4" ht="19.5" customHeight="1">
      <c r="A4" s="623" t="s">
        <v>31</v>
      </c>
      <c r="B4" s="623" t="s">
        <v>32</v>
      </c>
      <c r="C4" s="623">
        <v>1300.0</v>
      </c>
      <c r="D4" s="623">
        <v>5400000.0</v>
      </c>
      <c r="E4" s="543" t="str">
        <f>IFERROR(__xludf.DUMMYFUNCTION("IF(D4&lt;&gt;"""",sparkline(D4,{""charttype"",""bar"";""color1"",""#e74c3c"";""max"",10000}),"""")"),"")</f>
        <v/>
      </c>
      <c r="F4" s="623">
        <v>2700000.0</v>
      </c>
      <c r="G4" s="543" t="str">
        <f>IFERROR(__xludf.DUMMYFUNCTION("IF(F4&lt;&gt;"""",sparkline(F4,{""charttype"",""bar"";""color1"",""#3498DB"";""max"",50000}),"""")"),"")</f>
        <v/>
      </c>
      <c r="H4" s="623">
        <v>2700000.0</v>
      </c>
      <c r="I4" s="1032" t="str">
        <f>IFERROR(__xludf.DUMMYFUNCTION("IF(H4&lt;&gt;"""",sparkline(H4,{""charttype"",""bar"";""color1"",""#2ecc71"";""max"",10000}),"""")"),"")</f>
        <v/>
      </c>
      <c r="J4" s="623">
        <v>2.0</v>
      </c>
      <c r="K4" s="1033">
        <v>45748.0</v>
      </c>
      <c r="L4" s="394" t="s">
        <v>28</v>
      </c>
      <c r="M4" s="623" t="s">
        <v>31</v>
      </c>
      <c r="N4" s="1035" t="s">
        <v>2728</v>
      </c>
      <c r="O4" s="1036" t="s">
        <v>2728</v>
      </c>
      <c r="P4" s="623" t="s">
        <v>2729</v>
      </c>
    </row>
    <row r="5" ht="19.5" customHeight="1">
      <c r="A5" s="543" t="s">
        <v>2730</v>
      </c>
      <c r="B5" s="543" t="s">
        <v>776</v>
      </c>
      <c r="C5" s="543">
        <v>240.0</v>
      </c>
      <c r="D5" s="543">
        <v>1000000.0</v>
      </c>
      <c r="E5" s="543" t="str">
        <f>IFERROR(__xludf.DUMMYFUNCTION("IF(D5&lt;&gt;"""",sparkline(D5,{""charttype"",""bar"";""color1"",""#e74c3c"";""max"",10000}),"""")"),"")</f>
        <v/>
      </c>
      <c r="F5" s="1031">
        <v>1000000.0</v>
      </c>
      <c r="G5" s="543" t="str">
        <f>IFERROR(__xludf.DUMMYFUNCTION("IF(F5&lt;&gt;"""",sparkline(F5,{""charttype"",""bar"";""color1"",""#3498DB"";""max"",50000}),"""")"),"")</f>
        <v/>
      </c>
      <c r="H5" s="623">
        <v>0.0</v>
      </c>
      <c r="I5" s="1032" t="str">
        <f>IFERROR(__xludf.DUMMYFUNCTION("IF(H5&lt;&gt;"""",sparkline(H5,{""charttype"",""bar"";""color1"",""#2ecc71"";""max"",10000}),"""")"),"")</f>
        <v/>
      </c>
      <c r="J5" s="623">
        <v>1.0</v>
      </c>
      <c r="K5" s="1032">
        <v>45444.0</v>
      </c>
      <c r="L5" s="394" t="s">
        <v>1235</v>
      </c>
      <c r="M5" s="1037" t="s">
        <v>2731</v>
      </c>
      <c r="N5" s="1038" t="s">
        <v>1251</v>
      </c>
      <c r="O5" s="1039" t="s">
        <v>2732</v>
      </c>
      <c r="P5" s="623" t="s">
        <v>2733</v>
      </c>
    </row>
    <row r="6" ht="19.5" customHeight="1">
      <c r="A6" s="623" t="s">
        <v>2734</v>
      </c>
      <c r="B6" s="623" t="s">
        <v>50</v>
      </c>
      <c r="C6" s="623">
        <v>70.0</v>
      </c>
      <c r="D6" s="623">
        <v>281000.0</v>
      </c>
      <c r="E6" s="543" t="str">
        <f>IFERROR(__xludf.DUMMYFUNCTION("IF(D6&lt;&gt;"""",sparkline(D6,{""charttype"",""bar"";""color1"",""#e74c3c"";""max"",100000}),"""")"),"")</f>
        <v/>
      </c>
      <c r="F6" s="623">
        <v>81000.0</v>
      </c>
      <c r="G6" s="543" t="str">
        <f>IFERROR(__xludf.DUMMYFUNCTION("IF(F6&lt;&gt;"""",sparkline(F6,{""charttype"",""bar"";""color1"",""#3498DB"";""max"",50000}),"""")"),"")</f>
        <v/>
      </c>
      <c r="H6" s="623">
        <v>200000.0</v>
      </c>
      <c r="I6" s="1032" t="str">
        <f>IFERROR(__xludf.DUMMYFUNCTION("IF(H6&lt;&gt;"""",sparkline(H6,{""charttype"",""bar"";""color1"",""#2ecc71"";""max"",10000}),"""")"),"")</f>
        <v/>
      </c>
      <c r="J6" s="623">
        <v>4.0</v>
      </c>
      <c r="K6" s="1033">
        <v>45505.0</v>
      </c>
      <c r="L6" s="394" t="s">
        <v>28</v>
      </c>
      <c r="M6" s="623" t="s">
        <v>205</v>
      </c>
      <c r="N6" s="1036" t="s">
        <v>2735</v>
      </c>
      <c r="O6" s="1038"/>
      <c r="P6" s="540" t="s">
        <v>2736</v>
      </c>
    </row>
    <row r="7" ht="19.5" customHeight="1">
      <c r="A7" s="306" t="s">
        <v>2737</v>
      </c>
      <c r="B7" s="306" t="s">
        <v>107</v>
      </c>
      <c r="C7" s="306">
        <v>36.0</v>
      </c>
      <c r="D7" s="306">
        <v>134000.0</v>
      </c>
      <c r="E7" s="93" t="str">
        <f>IFERROR(__xludf.DUMMYFUNCTION("IF(D7&lt;&gt;"""",sparkline(D7,{""charttype"",""bar"";""color1"",""#e74c3c"";""max"",100000}),"""")"),"")</f>
        <v/>
      </c>
      <c r="F7" s="306">
        <v>61500.0</v>
      </c>
      <c r="G7" s="93" t="str">
        <f>IFERROR(__xludf.DUMMYFUNCTION("IF(F7&lt;&gt;"""",sparkline(F7,{""charttype"",""bar"";""color1"",""#3498DB"";""max"",50000}),"""")"),"")</f>
        <v/>
      </c>
      <c r="H7" s="306">
        <v>61500.0</v>
      </c>
      <c r="I7" s="1040" t="str">
        <f>IFERROR(__xludf.DUMMYFUNCTION("IF(H7&lt;&gt;"""",sparkline(H7,{""charttype"",""bar"";""color1"",""#2ecc71"";""max"",10000}),"""")"),"")</f>
        <v/>
      </c>
      <c r="J7" s="306">
        <v>3.0</v>
      </c>
      <c r="K7" s="1041">
        <v>45748.0</v>
      </c>
      <c r="L7" s="86" t="s">
        <v>28</v>
      </c>
      <c r="M7" s="306" t="s">
        <v>2737</v>
      </c>
      <c r="N7" s="1042" t="s">
        <v>2738</v>
      </c>
      <c r="O7" s="1043"/>
      <c r="P7" s="306" t="s">
        <v>2739</v>
      </c>
    </row>
    <row r="8" ht="19.5" customHeight="1">
      <c r="A8" s="623" t="s">
        <v>2740</v>
      </c>
      <c r="B8" s="623" t="s">
        <v>56</v>
      </c>
      <c r="C8" s="623">
        <v>30.0</v>
      </c>
      <c r="D8" s="543">
        <v>125000.0</v>
      </c>
      <c r="E8" s="543" t="str">
        <f>IFERROR(__xludf.DUMMYFUNCTION("IF(D8&lt;&gt;"""",sparkline(D8,{""charttype"",""bar"";""color1"",""#e74c3c"";""max"",100000}),"""")"),"")</f>
        <v/>
      </c>
      <c r="F8" s="623">
        <v>60000.0</v>
      </c>
      <c r="G8" s="543" t="str">
        <f>IFERROR(__xludf.DUMMYFUNCTION("IF(F8&lt;&gt;"""",sparkline(F8,{""charttype"",""bar"";""color1"",""#3498DB"";""max"",50000}),"""")"),"")</f>
        <v/>
      </c>
      <c r="H8" s="623">
        <v>65000.0</v>
      </c>
      <c r="I8" s="1040" t="str">
        <f>IFERROR(__xludf.DUMMYFUNCTION("IF(H8&lt;&gt;"""",sparkline(H8,{""charttype"",""bar"";""color1"",""#2ecc71"";""max"",10000}),"""")"),"")</f>
        <v/>
      </c>
      <c r="J8" s="623">
        <v>3.0</v>
      </c>
      <c r="K8" s="1033">
        <v>45748.0</v>
      </c>
      <c r="L8" s="394" t="s">
        <v>28</v>
      </c>
      <c r="M8" s="623" t="s">
        <v>2740</v>
      </c>
      <c r="N8" s="1044" t="s">
        <v>2741</v>
      </c>
      <c r="O8" s="1038"/>
      <c r="P8" s="598" t="s">
        <v>2742</v>
      </c>
    </row>
    <row r="9" ht="19.5" customHeight="1">
      <c r="A9" s="543" t="s">
        <v>2743</v>
      </c>
      <c r="B9" s="543" t="s">
        <v>2744</v>
      </c>
      <c r="C9" s="1031">
        <v>30.0</v>
      </c>
      <c r="D9" s="543">
        <v>125000.0</v>
      </c>
      <c r="E9" s="543" t="str">
        <f>IFERROR(__xludf.DUMMYFUNCTION("IF(D9&lt;&gt;"""",sparkline(D9,{""charttype"",""bar"";""color1"",""#e74c3c"";""max"",100000}),"""")"),"")</f>
        <v/>
      </c>
      <c r="F9" s="1031">
        <v>125000.0</v>
      </c>
      <c r="G9" s="543" t="str">
        <f>IFERROR(__xludf.DUMMYFUNCTION("IF(F9&lt;&gt;"""",sparkline(F9,{""charttype"",""bar"";""color1"",""#3498DB"";""max"",50000}),"""")"),"")</f>
        <v/>
      </c>
      <c r="H9" s="623">
        <v>0.0</v>
      </c>
      <c r="I9" s="1032" t="str">
        <f>IFERROR(__xludf.DUMMYFUNCTION("IF(H9&lt;&gt;"""",sparkline(H9,{""charttype"",""bar"";""color1"",""#2ecc71"";""max"",10000}),"""")"),"")</f>
        <v/>
      </c>
      <c r="J9" s="623">
        <v>2.0</v>
      </c>
      <c r="K9" s="1032">
        <v>45200.0</v>
      </c>
      <c r="L9" s="394" t="s">
        <v>34</v>
      </c>
      <c r="M9" s="543"/>
      <c r="N9" s="1045"/>
      <c r="O9" s="1038" t="s">
        <v>2745</v>
      </c>
      <c r="P9" s="543"/>
    </row>
    <row r="10" ht="19.5" customHeight="1">
      <c r="A10" s="306" t="s">
        <v>2746</v>
      </c>
      <c r="B10" s="306" t="s">
        <v>2747</v>
      </c>
      <c r="C10" s="1046">
        <v>27.5</v>
      </c>
      <c r="D10" s="306">
        <v>100000.0</v>
      </c>
      <c r="E10" s="93" t="str">
        <f>IFERROR(__xludf.DUMMYFUNCTION("IF(D10&lt;&gt;"""",sparkline(D10,{""charttype"",""bar"";""color1"",""#e74c3c"";""max"",100000}),"""")"),"")</f>
        <v/>
      </c>
      <c r="F10" s="1047"/>
      <c r="G10" s="93"/>
      <c r="H10" s="306">
        <v>100000.0</v>
      </c>
      <c r="I10" s="1040" t="str">
        <f>IFERROR(__xludf.DUMMYFUNCTION("IF(H10&lt;&gt;"""",sparkline(H10,{""charttype"",""bar"";""color1"",""#2ecc71"";""max"",10000}),"""")"),"")</f>
        <v/>
      </c>
      <c r="J10" s="306">
        <v>3.0</v>
      </c>
      <c r="K10" s="1041">
        <v>45627.0</v>
      </c>
      <c r="L10" s="86" t="s">
        <v>34</v>
      </c>
      <c r="M10" s="93"/>
      <c r="N10" s="1048"/>
      <c r="O10" s="1048"/>
      <c r="P10" s="306"/>
    </row>
    <row r="11" ht="19.5" customHeight="1">
      <c r="A11" s="543" t="s">
        <v>2748</v>
      </c>
      <c r="B11" s="543" t="s">
        <v>101</v>
      </c>
      <c r="C11" s="543">
        <v>37.9</v>
      </c>
      <c r="D11" s="543">
        <v>86000.0</v>
      </c>
      <c r="E11" s="543" t="str">
        <f>IFERROR(__xludf.DUMMYFUNCTION("IF(D11&lt;&gt;"""",sparkline(D11,{""charttype"",""bar"";""color1"",""#e74c3c"";""max"",100000}),"""")"),"")</f>
        <v/>
      </c>
      <c r="F11" s="623">
        <v>0.0</v>
      </c>
      <c r="G11" s="543" t="str">
        <f>IFERROR(__xludf.DUMMYFUNCTION("IF(F11&lt;&gt;"""",sparkline(F11,{""charttype"",""bar"";""color1"",""#3498DB"";""max"",50000}),"""")"),"")</f>
        <v/>
      </c>
      <c r="H11" s="543">
        <v>86000.0</v>
      </c>
      <c r="I11" s="1032" t="str">
        <f>IFERROR(__xludf.DUMMYFUNCTION("IF(H11&lt;&gt;"""",sparkline(H11,{""charttype"",""bar"";""color1"",""#2ecc71"";""max"",10000}),"""")"),"")</f>
        <v/>
      </c>
      <c r="J11" s="623">
        <v>3.0</v>
      </c>
      <c r="K11" s="1032">
        <v>45078.0</v>
      </c>
      <c r="L11" s="394" t="s">
        <v>28</v>
      </c>
      <c r="M11" s="543" t="s">
        <v>2141</v>
      </c>
      <c r="N11" s="1045"/>
      <c r="O11" s="1045"/>
      <c r="P11" s="1037" t="s">
        <v>2749</v>
      </c>
    </row>
    <row r="12" ht="19.5" customHeight="1">
      <c r="A12" s="543" t="s">
        <v>2750</v>
      </c>
      <c r="B12" s="1031" t="s">
        <v>2751</v>
      </c>
      <c r="C12" s="1031">
        <v>30.0</v>
      </c>
      <c r="D12" s="1049">
        <v>40000.0</v>
      </c>
      <c r="E12" s="1031" t="str">
        <f>IFERROR(__xludf.DUMMYFUNCTION("IF(D12&lt;&gt;"""",sparkline(D12,{""charttype"",""bar"";""color1"",""#e74c3c"";""max"",100000}),"""")"),"")</f>
        <v/>
      </c>
      <c r="F12" s="697">
        <v>40000.0</v>
      </c>
      <c r="G12" s="543" t="str">
        <f>IFERROR(__xludf.DUMMYFUNCTION("IF(F12&lt;&gt;"""",sparkline(F12,{""charttype"",""bar"";""color1"",""#3498DB"";""max"",50000}),"""")"),"")</f>
        <v/>
      </c>
      <c r="H12" s="1031"/>
      <c r="I12" s="1032" t="str">
        <f>IFERROR(__xludf.DUMMYFUNCTION("IF(H12&lt;&gt;"""",sparkline(H12,{""charttype"",""bar"";""color1"",""#2ecc71"";""max"",10000}),"""")"),"")</f>
        <v/>
      </c>
      <c r="J12" s="623">
        <v>1.0</v>
      </c>
      <c r="K12" s="1032">
        <v>45200.0</v>
      </c>
      <c r="L12" s="834" t="s">
        <v>34</v>
      </c>
      <c r="M12" s="543"/>
      <c r="N12" s="1038" t="s">
        <v>2752</v>
      </c>
      <c r="O12" s="1038" t="s">
        <v>2753</v>
      </c>
      <c r="P12" s="543" t="s">
        <v>2754</v>
      </c>
    </row>
    <row r="13" ht="19.5" customHeight="1">
      <c r="A13" s="623" t="s">
        <v>2755</v>
      </c>
      <c r="B13" s="623" t="s">
        <v>25</v>
      </c>
      <c r="C13" s="623">
        <v>20.0</v>
      </c>
      <c r="D13" s="697">
        <v>80000.0</v>
      </c>
      <c r="E13" s="1031" t="str">
        <f>IFERROR(__xludf.DUMMYFUNCTION("IF(D13&lt;&gt;"""",sparkline(D13,{""charttype"",""bar"";""color1"",""#e74c3c"";""max"",100000}),"""")"),"")</f>
        <v/>
      </c>
      <c r="F13" s="697"/>
      <c r="G13" s="543"/>
      <c r="H13" s="697">
        <v>80000.0</v>
      </c>
      <c r="I13" s="1032" t="str">
        <f>IFERROR(__xludf.DUMMYFUNCTION("IF(H13&lt;&gt;"""",sparkline(H13,{""charttype"",""bar"";""color1"",""#2ecc71"";""max"",10000}),"""")"),"")</f>
        <v/>
      </c>
      <c r="J13" s="623">
        <v>4.0</v>
      </c>
      <c r="K13" s="1033">
        <v>45474.0</v>
      </c>
      <c r="L13" s="394" t="s">
        <v>28</v>
      </c>
      <c r="M13" s="623" t="s">
        <v>2756</v>
      </c>
      <c r="N13" s="1034" t="s">
        <v>26</v>
      </c>
      <c r="O13" s="1034" t="s">
        <v>2757</v>
      </c>
      <c r="P13" s="716" t="s">
        <v>2758</v>
      </c>
    </row>
    <row r="14" ht="19.5" customHeight="1">
      <c r="A14" s="623" t="s">
        <v>2759</v>
      </c>
      <c r="B14" s="623" t="s">
        <v>90</v>
      </c>
      <c r="C14" s="697">
        <v>20.0</v>
      </c>
      <c r="D14" s="697">
        <v>80000.0</v>
      </c>
      <c r="E14" s="1031" t="str">
        <f>IFERROR(__xludf.DUMMYFUNCTION("IF(D14&lt;&gt;"""",sparkline(D14,{""charttype"",""bar"";""color1"",""#e74c3c"";""max"",100000}),"""")"),"")</f>
        <v/>
      </c>
      <c r="F14" s="697">
        <v>20000.0</v>
      </c>
      <c r="G14" s="543" t="str">
        <f>IFERROR(__xludf.DUMMYFUNCTION("IF(F14&lt;&gt;"""",sparkline(F14,{""charttype"",""bar"";""color1"",""#3498DB"";""max"",50000}),"""")"),"")</f>
        <v/>
      </c>
      <c r="H14" s="697">
        <v>60000.0</v>
      </c>
      <c r="I14" s="1032" t="str">
        <f>IFERROR(__xludf.DUMMYFUNCTION("IF(H14&lt;&gt;"""",sparkline(H14,{""charttype"",""bar"";""color1"",""#2ecc71"";""max"",10000}),"""")"),"")</f>
        <v/>
      </c>
      <c r="J14" s="623">
        <v>5.0</v>
      </c>
      <c r="K14" s="1033">
        <v>45444.0</v>
      </c>
      <c r="L14" s="394" t="s">
        <v>28</v>
      </c>
      <c r="M14" s="623" t="s">
        <v>1242</v>
      </c>
      <c r="N14" s="1045"/>
      <c r="O14" s="1034" t="s">
        <v>1244</v>
      </c>
      <c r="P14" s="540" t="s">
        <v>2760</v>
      </c>
    </row>
    <row r="15" ht="19.5" customHeight="1">
      <c r="A15" s="543" t="s">
        <v>2761</v>
      </c>
      <c r="B15" s="543" t="s">
        <v>1582</v>
      </c>
      <c r="C15" s="543">
        <v>15.0</v>
      </c>
      <c r="D15" s="543">
        <v>44000.0</v>
      </c>
      <c r="E15" s="543" t="str">
        <f>IFERROR(__xludf.DUMMYFUNCTION("IF(D15&lt;&gt;"""",sparkline(D15,{""charttype"",""bar"";""color1"",""#e74c3c"";""max"",100000}),"""")"),"")</f>
        <v/>
      </c>
      <c r="F15" s="1031">
        <v>44000.0</v>
      </c>
      <c r="G15" s="543" t="str">
        <f>IFERROR(__xludf.DUMMYFUNCTION("IF(F15&lt;&gt;"""",sparkline(F15,{""charttype"",""bar"";""color1"",""#3498DB"";""max"",50000}),"""")"),"")</f>
        <v/>
      </c>
      <c r="H15" s="623">
        <v>0.0</v>
      </c>
      <c r="I15" s="1032" t="str">
        <f>IFERROR(__xludf.DUMMYFUNCTION("IF(H15&lt;&gt;"""",sparkline(H15,{""charttype"",""bar"";""color1"",""#2ecc71"";""max"",10000}),"""")"),"")</f>
        <v/>
      </c>
      <c r="J15" s="623">
        <v>2.0</v>
      </c>
      <c r="K15" s="1032">
        <v>45383.0</v>
      </c>
      <c r="L15" s="394" t="s">
        <v>34</v>
      </c>
      <c r="M15" s="543"/>
      <c r="N15" s="1045"/>
      <c r="O15" s="1038" t="s">
        <v>2762</v>
      </c>
      <c r="P15" s="623" t="s">
        <v>2763</v>
      </c>
    </row>
    <row r="16" ht="19.5" customHeight="1">
      <c r="A16" s="623" t="s">
        <v>2764</v>
      </c>
      <c r="B16" s="543" t="s">
        <v>50</v>
      </c>
      <c r="C16" s="1031">
        <v>13.0</v>
      </c>
      <c r="D16" s="1050">
        <v>40000.0</v>
      </c>
      <c r="E16" s="543" t="str">
        <f>IFERROR(__xludf.DUMMYFUNCTION("IF(D16&lt;&gt;"""",sparkline(D16,{""charttype"",""bar"";""color1"",""#e74c3c"";""max"",100000}),"""")"),"")</f>
        <v/>
      </c>
      <c r="F16" s="1049"/>
      <c r="G16" s="543" t="str">
        <f>IFERROR(__xludf.DUMMYFUNCTION("IF(F16&lt;&gt;"""",sparkline(F16,{""charttype"",""bar"";""color1"",""#3498DB"";""max"",50000}),"""")"),"")</f>
        <v/>
      </c>
      <c r="H16" s="1031"/>
      <c r="I16" s="1032" t="str">
        <f>IFERROR(__xludf.DUMMYFUNCTION("IF(H16&lt;&gt;"""",sparkline(H16,{""charttype"",""bar"";""color1"",""#2ecc71"";""max"",10000}),"""")"),"")</f>
        <v/>
      </c>
      <c r="J16" s="623">
        <v>4.0</v>
      </c>
      <c r="K16" s="1032">
        <v>44986.0</v>
      </c>
      <c r="L16" s="394" t="s">
        <v>28</v>
      </c>
      <c r="M16" s="543" t="s">
        <v>2765</v>
      </c>
      <c r="N16" s="1045"/>
      <c r="O16" s="1045"/>
      <c r="P16" s="1037" t="s">
        <v>2766</v>
      </c>
    </row>
    <row r="17" ht="19.5" customHeight="1">
      <c r="A17" s="623" t="s">
        <v>2767</v>
      </c>
      <c r="B17" s="623" t="s">
        <v>2768</v>
      </c>
      <c r="C17" s="623">
        <v>10.1</v>
      </c>
      <c r="D17" s="697">
        <v>40000.0</v>
      </c>
      <c r="E17" s="543" t="str">
        <f>IFERROR(__xludf.DUMMYFUNCTION("IF(D17&lt;&gt;"""",sparkline(D17,{""charttype"",""bar"";""color1"",""#e74c3c"";""max"",100000}),"""")"),"")</f>
        <v/>
      </c>
      <c r="F17" s="623">
        <v>40000.0</v>
      </c>
      <c r="G17" s="543" t="str">
        <f>IFERROR(__xludf.DUMMYFUNCTION("IF(F17&lt;&gt;"""",sparkline(F17,{""charttype"",""bar"";""color1"",""#3498DB"";""max"",50000}),"""")"),"")</f>
        <v/>
      </c>
      <c r="H17" s="623">
        <v>0.0</v>
      </c>
      <c r="I17" s="1032"/>
      <c r="J17" s="623">
        <v>2.0</v>
      </c>
      <c r="K17" s="1033">
        <v>45566.0</v>
      </c>
      <c r="L17" s="394" t="s">
        <v>34</v>
      </c>
      <c r="M17" s="543"/>
      <c r="N17" s="1036" t="s">
        <v>2769</v>
      </c>
      <c r="O17" s="1035" t="s">
        <v>2770</v>
      </c>
      <c r="P17" s="716" t="s">
        <v>2771</v>
      </c>
    </row>
    <row r="18" ht="19.5" customHeight="1">
      <c r="A18" s="623" t="s">
        <v>2772</v>
      </c>
      <c r="B18" s="623" t="s">
        <v>190</v>
      </c>
      <c r="C18" s="623">
        <v>6.6</v>
      </c>
      <c r="D18" s="697">
        <v>34000.0</v>
      </c>
      <c r="E18" s="543" t="str">
        <f>IFERROR(__xludf.DUMMYFUNCTION("IF(D18&lt;&gt;"""",sparkline(D18,{""charttype"",""bar"";""color1"",""#e74c3c"";""max"",100000}),"""")"),"")</f>
        <v/>
      </c>
      <c r="F18" s="697">
        <v>15000.0</v>
      </c>
      <c r="G18" s="543" t="str">
        <f>IFERROR(__xludf.DUMMYFUNCTION("IF(F18&lt;&gt;"""",sparkline(F18,{""charttype"",""bar"";""color1"",""#3498DB"";""max"",50000}),"""")"),"")</f>
        <v/>
      </c>
      <c r="H18" s="697">
        <v>15000.0</v>
      </c>
      <c r="I18" s="1032" t="str">
        <f>IFERROR(__xludf.DUMMYFUNCTION("IF(H18&lt;&gt;"""",sparkline(H18,{""charttype"",""bar"";""color1"",""#2ecc71"";""max"",10000}),"""")"),"")</f>
        <v/>
      </c>
      <c r="J18" s="623">
        <v>3.0</v>
      </c>
      <c r="K18" s="1033">
        <v>45870.0</v>
      </c>
      <c r="L18" s="394" t="s">
        <v>34</v>
      </c>
      <c r="M18" s="623" t="s">
        <v>2773</v>
      </c>
      <c r="N18" s="1045"/>
      <c r="O18" s="1035" t="s">
        <v>2774</v>
      </c>
      <c r="P18" s="623" t="s">
        <v>2775</v>
      </c>
    </row>
    <row r="19" ht="19.5" customHeight="1">
      <c r="A19" s="543" t="s">
        <v>2776</v>
      </c>
      <c r="B19" s="543" t="s">
        <v>1582</v>
      </c>
      <c r="C19" s="543">
        <v>5.4</v>
      </c>
      <c r="D19" s="543">
        <v>31500.0</v>
      </c>
      <c r="E19" s="543" t="str">
        <f>IFERROR(__xludf.DUMMYFUNCTION("IF(D19&lt;&gt;"""",sparkline(D19,{""charttype"",""bar"";""color1"",""#e74c3c"";""max"",100000}),"""")"),"")</f>
        <v/>
      </c>
      <c r="F19" s="543">
        <v>31500.0</v>
      </c>
      <c r="G19" s="543" t="str">
        <f>IFERROR(__xludf.DUMMYFUNCTION("IF(F19&lt;&gt;"""",sparkline(F19,{""charttype"",""bar"";""color1"",""#3498DB"";""max"",50000}),"""")"),"")</f>
        <v/>
      </c>
      <c r="H19" s="623">
        <v>0.0</v>
      </c>
      <c r="I19" s="1032" t="str">
        <f>IFERROR(__xludf.DUMMYFUNCTION("IF(H19&lt;&gt;"""",sparkline(H19,{""charttype"",""bar"";""color1"",""#2ecc71"";""max"",10000}),"""")"),"")</f>
        <v/>
      </c>
      <c r="J19" s="623">
        <v>3.0</v>
      </c>
      <c r="K19" s="1032">
        <v>45413.0</v>
      </c>
      <c r="L19" s="394" t="s">
        <v>34</v>
      </c>
      <c r="M19" s="543"/>
      <c r="N19" s="1045"/>
      <c r="O19" s="1038" t="s">
        <v>2777</v>
      </c>
      <c r="P19" s="543"/>
    </row>
    <row r="20" ht="19.5" customHeight="1">
      <c r="A20" s="543" t="s">
        <v>2778</v>
      </c>
      <c r="B20" s="543" t="s">
        <v>2779</v>
      </c>
      <c r="C20" s="1031">
        <v>6.3</v>
      </c>
      <c r="D20" s="1031">
        <v>27000.0</v>
      </c>
      <c r="E20" s="1031" t="str">
        <f>IFERROR(__xludf.DUMMYFUNCTION("IF(D20&lt;&gt;"""",sparkline(D20,{""charttype"",""bar"";""color1"",""#e74c3c"";""max"",100000}),"""")"),"")</f>
        <v/>
      </c>
      <c r="F20" s="1031">
        <v>27000.0</v>
      </c>
      <c r="G20" s="543" t="str">
        <f>IFERROR(__xludf.DUMMYFUNCTION("IF(F20&lt;&gt;"""",sparkline(F20,{""charttype"",""bar"";""color1"",""#3498DB"";""max"",50000}),"""")"),"")</f>
        <v/>
      </c>
      <c r="H20" s="623">
        <v>0.0</v>
      </c>
      <c r="I20" s="1032" t="str">
        <f>IFERROR(__xludf.DUMMYFUNCTION("IF(H20&lt;&gt;"""",sparkline(H20,{""charttype"",""bar"";""color1"",""#2ecc71"";""max"",10000}),"""")"),"")</f>
        <v/>
      </c>
      <c r="J20" s="623">
        <v>3.0</v>
      </c>
      <c r="K20" s="1032">
        <v>45170.0</v>
      </c>
      <c r="L20" s="394" t="s">
        <v>34</v>
      </c>
      <c r="M20" s="543"/>
      <c r="N20" s="1038" t="s">
        <v>2780</v>
      </c>
      <c r="O20" s="1038" t="s">
        <v>2781</v>
      </c>
      <c r="P20" s="543"/>
    </row>
    <row r="21" ht="19.5" customHeight="1">
      <c r="A21" s="543" t="s">
        <v>2782</v>
      </c>
      <c r="B21" s="543" t="s">
        <v>2783</v>
      </c>
      <c r="C21" s="543">
        <v>5.6</v>
      </c>
      <c r="D21" s="543">
        <v>50100.0</v>
      </c>
      <c r="E21" s="543" t="str">
        <f>IFERROR(__xludf.DUMMYFUNCTION("IF(D21&lt;&gt;"""",sparkline(D21,{""charttype"",""bar"";""color1"",""#e74c3c"";""max"",100000}),"""")"),"")</f>
        <v/>
      </c>
      <c r="F21" s="543">
        <v>50100.0</v>
      </c>
      <c r="G21" s="543" t="str">
        <f>IFERROR(__xludf.DUMMYFUNCTION("IF(F21&lt;&gt;"""",sparkline(F21,{""charttype"",""bar"";""color1"",""#3498DB"";""max"",50000}),"""")"),"")</f>
        <v/>
      </c>
      <c r="H21" s="623">
        <v>0.0</v>
      </c>
      <c r="I21" s="1032" t="str">
        <f>IFERROR(__xludf.DUMMYFUNCTION("IF(H21&lt;&gt;"""",sparkline(H21,{""charttype"",""bar"";""color1"",""#2ecc71"";""max"",10000}),"""")"),"")</f>
        <v/>
      </c>
      <c r="J21" s="623">
        <v>2.0</v>
      </c>
      <c r="K21" s="1032">
        <v>45352.0</v>
      </c>
      <c r="L21" s="394" t="s">
        <v>34</v>
      </c>
      <c r="M21" s="543"/>
      <c r="N21" s="1038" t="s">
        <v>2769</v>
      </c>
      <c r="O21" s="1045"/>
      <c r="P21" s="543" t="s">
        <v>2784</v>
      </c>
    </row>
    <row r="22" ht="19.5" customHeight="1">
      <c r="A22" s="543" t="s">
        <v>2785</v>
      </c>
      <c r="B22" s="1031" t="s">
        <v>372</v>
      </c>
      <c r="C22" s="1031">
        <v>5.0</v>
      </c>
      <c r="D22" s="1049">
        <v>23240.0</v>
      </c>
      <c r="E22" s="1031" t="str">
        <f>IFERROR(__xludf.DUMMYFUNCTION("IF(D22&lt;&gt;"""",sparkline(D22,{""charttype"",""bar"";""color1"",""#e74c3c"";""max"",100000}),"""")"),"")</f>
        <v/>
      </c>
      <c r="F22" s="1049">
        <v>23240.0</v>
      </c>
      <c r="G22" s="543" t="str">
        <f>IFERROR(__xludf.DUMMYFUNCTION("IF(F22&lt;&gt;"""",sparkline(F22,{""charttype"",""bar"";""color1"",""#3498DB"";""max"",50000}),"""")"),"")</f>
        <v/>
      </c>
      <c r="H22" s="623">
        <v>0.0</v>
      </c>
      <c r="I22" s="1032" t="str">
        <f>IFERROR(__xludf.DUMMYFUNCTION("IF(H22&lt;&gt;"""",sparkline(H22,{""charttype"",""bar"";""color1"",""#2ecc71"";""max"",10000}),"""")"),"")</f>
        <v/>
      </c>
      <c r="J22" s="623">
        <v>2.0</v>
      </c>
      <c r="K22" s="1032">
        <v>45078.0</v>
      </c>
      <c r="L22" s="394" t="s">
        <v>28</v>
      </c>
      <c r="M22" s="543" t="s">
        <v>2155</v>
      </c>
      <c r="N22" s="1038" t="s">
        <v>2786</v>
      </c>
      <c r="O22" s="1045"/>
      <c r="P22" s="543"/>
    </row>
    <row r="23" ht="19.5" customHeight="1">
      <c r="A23" s="543" t="s">
        <v>2787</v>
      </c>
      <c r="B23" s="543" t="s">
        <v>2329</v>
      </c>
      <c r="C23" s="543">
        <v>5.0</v>
      </c>
      <c r="D23" s="543">
        <v>20000.0</v>
      </c>
      <c r="E23" s="543" t="str">
        <f>IFERROR(__xludf.DUMMYFUNCTION("IF(D23&lt;&gt;"""",sparkline(D23,{""charttype"",""bar"";""color1"",""#e74c3c"";""max"",100000}),"""")"),"")</f>
        <v/>
      </c>
      <c r="F23" s="543">
        <v>4544.0</v>
      </c>
      <c r="G23" s="543" t="str">
        <f>IFERROR(__xludf.DUMMYFUNCTION("IF(F23&lt;&gt;"""",sparkline(F23,{""charttype"",""bar"";""color1"",""#3498DB"";""max"",50000}),"""")"),"")</f>
        <v/>
      </c>
      <c r="H23" s="543">
        <v>15655.0</v>
      </c>
      <c r="I23" s="1032" t="str">
        <f>IFERROR(__xludf.DUMMYFUNCTION("IF(H23&lt;&gt;"""",sparkline(H23,{""charttype"",""bar"";""color1"",""#2ecc71"";""max"",10000}),"""")"),"")</f>
        <v/>
      </c>
      <c r="J23" s="623">
        <v>4.0</v>
      </c>
      <c r="K23" s="1032">
        <v>44531.0</v>
      </c>
      <c r="L23" s="394" t="s">
        <v>28</v>
      </c>
      <c r="M23" s="1037" t="s">
        <v>2788</v>
      </c>
      <c r="N23" s="1045"/>
      <c r="O23" s="1045"/>
      <c r="P23" s="543"/>
    </row>
    <row r="24" ht="19.5" customHeight="1">
      <c r="A24" s="623" t="s">
        <v>2789</v>
      </c>
      <c r="B24" s="543" t="s">
        <v>776</v>
      </c>
      <c r="C24" s="1031">
        <v>4.69</v>
      </c>
      <c r="D24" s="1031">
        <v>21600.0</v>
      </c>
      <c r="E24" s="1031" t="str">
        <f>IFERROR(__xludf.DUMMYFUNCTION("IF(D24&lt;&gt;"""",sparkline(D24,{""charttype"",""bar"";""color1"",""#e74c3c"";""max"",100000}),"""")"),"")</f>
        <v/>
      </c>
      <c r="F24" s="1031">
        <v>2465.0</v>
      </c>
      <c r="G24" s="543" t="str">
        <f>IFERROR(__xludf.DUMMYFUNCTION("IF(F24&lt;&gt;"""",sparkline(F24,{""charttype"",""bar"";""color1"",""#3498DB"";""max"",50000}),"""")"),"")</f>
        <v/>
      </c>
      <c r="H24" s="1031">
        <v>2112.0</v>
      </c>
      <c r="I24" s="1032" t="str">
        <f>IFERROR(__xludf.DUMMYFUNCTION("IF(H24&lt;&gt;"""",sparkline(H24,{""charttype"",""bar"";""color1"",""#2ecc71"";""max"",10000}),"""")"),"")</f>
        <v/>
      </c>
      <c r="J24" s="623">
        <v>3.0</v>
      </c>
      <c r="K24" s="1032">
        <v>45413.0</v>
      </c>
      <c r="L24" s="394" t="s">
        <v>34</v>
      </c>
      <c r="M24" s="543" t="s">
        <v>1287</v>
      </c>
      <c r="N24" s="1038" t="s">
        <v>2790</v>
      </c>
      <c r="O24" s="1039" t="s">
        <v>2791</v>
      </c>
      <c r="P24" s="543" t="s">
        <v>2792</v>
      </c>
    </row>
    <row r="25" ht="19.5" customHeight="1">
      <c r="A25" s="306" t="s">
        <v>2793</v>
      </c>
      <c r="B25" s="93" t="s">
        <v>1582</v>
      </c>
      <c r="C25" s="306">
        <v>4.0</v>
      </c>
      <c r="D25" s="306">
        <v>32000.0</v>
      </c>
      <c r="E25" s="1047" t="str">
        <f>IFERROR(__xludf.DUMMYFUNCTION("IF(D25&lt;&gt;"""",sparkline(D25,{""charttype"",""bar"";""color1"",""#e74c3c"";""max"",100000}),"""")"),"")</f>
        <v/>
      </c>
      <c r="F25" s="306">
        <v>32000.0</v>
      </c>
      <c r="G25" s="93" t="str">
        <f>IFERROR(__xludf.DUMMYFUNCTION("IF(F25&lt;&gt;"""",sparkline(F25,{""charttype"",""bar"";""color1"",""#3498DB"";""max"",50000}),"""")"),"")</f>
        <v/>
      </c>
      <c r="H25" s="1047"/>
      <c r="I25" s="1040"/>
      <c r="J25" s="306">
        <v>2.0</v>
      </c>
      <c r="K25" s="1041">
        <v>45627.0</v>
      </c>
      <c r="L25" s="86" t="s">
        <v>34</v>
      </c>
      <c r="M25" s="93"/>
      <c r="N25" s="199" t="s">
        <v>2794</v>
      </c>
      <c r="O25" s="1042" t="s">
        <v>2795</v>
      </c>
      <c r="P25" s="306" t="s">
        <v>2796</v>
      </c>
    </row>
    <row r="26" ht="19.5" customHeight="1">
      <c r="A26" s="543" t="s">
        <v>2797</v>
      </c>
      <c r="B26" s="543" t="s">
        <v>2779</v>
      </c>
      <c r="C26" s="543">
        <v>4.0</v>
      </c>
      <c r="D26" s="543">
        <v>16000.0</v>
      </c>
      <c r="E26" s="543" t="str">
        <f>IFERROR(__xludf.DUMMYFUNCTION("IF(D26&lt;&gt;"""",sparkline(D26,{""charttype"",""bar"";""color1"",""#e74c3c"";""max"",100000}),"""")"),"")</f>
        <v/>
      </c>
      <c r="F26" s="543"/>
      <c r="G26" s="543" t="str">
        <f>IFERROR(__xludf.DUMMYFUNCTION("IF(F26&lt;&gt;"""",sparkline(F26,{""charttype"",""bar"";""color1"",""#3498DB"";""max"",50000}),"""")"),"")</f>
        <v/>
      </c>
      <c r="H26" s="543"/>
      <c r="I26" s="1032" t="str">
        <f>IFERROR(__xludf.DUMMYFUNCTION("IF(H26&lt;&gt;"""",sparkline(H26,{""charttype"",""bar"";""color1"",""#2ecc71"";""max"",10000}),"""")"),"")</f>
        <v/>
      </c>
      <c r="J26" s="623">
        <v>3.0</v>
      </c>
      <c r="K26" s="1032">
        <v>45352.0</v>
      </c>
      <c r="L26" s="394" t="s">
        <v>34</v>
      </c>
      <c r="M26" s="543" t="s">
        <v>2798</v>
      </c>
      <c r="N26" s="1045"/>
      <c r="O26" s="1038" t="s">
        <v>2799</v>
      </c>
      <c r="P26" s="543"/>
    </row>
    <row r="27" ht="19.5" customHeight="1">
      <c r="A27" s="306" t="s">
        <v>2800</v>
      </c>
      <c r="B27" s="306" t="s">
        <v>2747</v>
      </c>
      <c r="C27" s="1046">
        <v>4.1</v>
      </c>
      <c r="D27" s="306">
        <v>15000.0</v>
      </c>
      <c r="E27" s="93" t="str">
        <f>IFERROR(__xludf.DUMMYFUNCTION("IF(D27&lt;&gt;"""",sparkline(D27,{""charttype"",""bar"";""color1"",""#e74c3c"";""max"",100000}),"""")"),"")</f>
        <v/>
      </c>
      <c r="F27" s="1047"/>
      <c r="G27" s="93"/>
      <c r="H27" s="306">
        <v>15000.0</v>
      </c>
      <c r="I27" s="1040" t="str">
        <f>IFERROR(__xludf.DUMMYFUNCTION("IF(H27&lt;&gt;"""",sparkline(H27,{""charttype"",""bar"";""color1"",""#2ecc71"";""max"",10000}),"""")"),"")</f>
        <v/>
      </c>
      <c r="J27" s="306">
        <v>3.0</v>
      </c>
      <c r="K27" s="1041">
        <v>45627.0</v>
      </c>
      <c r="L27" s="86" t="s">
        <v>34</v>
      </c>
      <c r="M27" s="93"/>
      <c r="N27" s="1048"/>
      <c r="O27" s="1042" t="s">
        <v>2801</v>
      </c>
      <c r="P27" s="306"/>
    </row>
    <row r="28" ht="19.5" customHeight="1">
      <c r="A28" s="543" t="s">
        <v>2802</v>
      </c>
      <c r="B28" s="543" t="s">
        <v>776</v>
      </c>
      <c r="C28" s="1031">
        <v>4.0</v>
      </c>
      <c r="D28" s="1050">
        <v>13000.0</v>
      </c>
      <c r="E28" s="543" t="str">
        <f>IFERROR(__xludf.DUMMYFUNCTION("IF(D28&lt;&gt;"""",sparkline(D28,{""charttype"",""bar"";""color1"",""#e74c3c"";""max"",100000}),"""")"),"")</f>
        <v/>
      </c>
      <c r="F28" s="1050">
        <v>13000.0</v>
      </c>
      <c r="G28" s="543" t="str">
        <f>IFERROR(__xludf.DUMMYFUNCTION("IF(F28&lt;&gt;"""",sparkline(F28,{""charttype"",""bar"";""color1"",""#3498DB"";""max"",50000}),"""")"),"")</f>
        <v/>
      </c>
      <c r="H28" s="1031"/>
      <c r="I28" s="1032" t="str">
        <f>IFERROR(__xludf.DUMMYFUNCTION("IF(H28&lt;&gt;"""",sparkline(H28,{""charttype"",""bar"";""color1"",""#2ecc71"";""max"",10000}),"""")"),"")</f>
        <v/>
      </c>
      <c r="J28" s="623">
        <v>3.0</v>
      </c>
      <c r="K28" s="1032">
        <v>45444.0</v>
      </c>
      <c r="L28" s="394" t="s">
        <v>34</v>
      </c>
      <c r="M28" s="543" t="s">
        <v>2731</v>
      </c>
      <c r="N28" s="1038" t="s">
        <v>1251</v>
      </c>
      <c r="O28" s="1039" t="s">
        <v>2803</v>
      </c>
      <c r="P28" s="623" t="s">
        <v>2804</v>
      </c>
    </row>
    <row r="29" ht="19.5" customHeight="1">
      <c r="A29" s="623" t="s">
        <v>2805</v>
      </c>
      <c r="B29" s="543" t="s">
        <v>101</v>
      </c>
      <c r="C29" s="543">
        <v>3.6</v>
      </c>
      <c r="D29" s="1050">
        <v>13000.0</v>
      </c>
      <c r="E29" s="543" t="str">
        <f>IFERROR(__xludf.DUMMYFUNCTION("IF(D29&lt;&gt;"""",sparkline(D29,{""charttype"",""bar"";""color1"",""#e74c3c"";""max"",100000}),"""")"),"")</f>
        <v/>
      </c>
      <c r="F29" s="543"/>
      <c r="G29" s="543" t="str">
        <f>IFERROR(__xludf.DUMMYFUNCTION("IF(F29&lt;&gt;"""",sparkline(F29,{""charttype"",""bar"";""color1"",""#3498DB"";""max"",50000}),"""")"),"")</f>
        <v/>
      </c>
      <c r="H29" s="543"/>
      <c r="I29" s="1032" t="str">
        <f>IFERROR(__xludf.DUMMYFUNCTION("IF(H29&lt;&gt;"""",sparkline(H29,{""charttype"",""bar"";""color1"",""#2ecc71"";""max"",10000}),"""")"),"")</f>
        <v/>
      </c>
      <c r="J29" s="623">
        <v>4.0</v>
      </c>
      <c r="K29" s="1032">
        <v>45047.0</v>
      </c>
      <c r="L29" s="394" t="s">
        <v>28</v>
      </c>
      <c r="M29" s="543" t="s">
        <v>2179</v>
      </c>
      <c r="N29" s="1045"/>
      <c r="O29" s="1045"/>
      <c r="P29" s="540" t="s">
        <v>2806</v>
      </c>
    </row>
    <row r="30" ht="19.5" customHeight="1">
      <c r="A30" s="623" t="s">
        <v>2807</v>
      </c>
      <c r="B30" s="623" t="s">
        <v>1582</v>
      </c>
      <c r="C30" s="623">
        <v>3.0</v>
      </c>
      <c r="D30" s="623">
        <v>20000.0</v>
      </c>
      <c r="E30" s="1031" t="str">
        <f>IFERROR(__xludf.DUMMYFUNCTION("IF(D30&lt;&gt;"""",sparkline(D30,{""charttype"",""bar"";""color1"",""#e74c3c"";""max"",100000}),"""")"),"")</f>
        <v/>
      </c>
      <c r="F30" s="1031"/>
      <c r="G30" s="543"/>
      <c r="H30" s="623">
        <v>20000.0</v>
      </c>
      <c r="I30" s="1032" t="str">
        <f>IFERROR(__xludf.DUMMYFUNCTION("IF(H30&lt;&gt;"""",sparkline(H30,{""charttype"",""bar"";""color1"",""#2ecc71"";""max"",10000}),"""")"),"")</f>
        <v/>
      </c>
      <c r="J30" s="623">
        <v>4.0</v>
      </c>
      <c r="K30" s="1033">
        <v>45901.0</v>
      </c>
      <c r="L30" s="834" t="s">
        <v>34</v>
      </c>
      <c r="M30" s="543"/>
      <c r="N30" s="1035"/>
      <c r="O30" s="1036" t="s">
        <v>2808</v>
      </c>
      <c r="P30" s="623" t="s">
        <v>2809</v>
      </c>
    </row>
    <row r="31" ht="19.5" customHeight="1">
      <c r="A31" s="543" t="s">
        <v>2810</v>
      </c>
      <c r="B31" s="1031" t="s">
        <v>2811</v>
      </c>
      <c r="C31" s="1031">
        <v>3.0</v>
      </c>
      <c r="D31" s="1031">
        <v>11519.0</v>
      </c>
      <c r="E31" s="1031" t="str">
        <f>IFERROR(__xludf.DUMMYFUNCTION("IF(D31&lt;&gt;"""",sparkline(D31,{""charttype"",""bar"";""color1"",""#e74c3c"";""max"",100000}),"""")"),"")</f>
        <v/>
      </c>
      <c r="F31" s="1031">
        <v>9832.4</v>
      </c>
      <c r="G31" s="543" t="str">
        <f>IFERROR(__xludf.DUMMYFUNCTION("IF(F31&lt;&gt;"""",sparkline(F31,{""charttype"",""bar"";""color1"",""#3498DB"";""max"",50000}),"""")"),"")</f>
        <v/>
      </c>
      <c r="H31" s="1031">
        <v>1686.6</v>
      </c>
      <c r="I31" s="1032" t="str">
        <f>IFERROR(__xludf.DUMMYFUNCTION("IF(H31&lt;&gt;"""",sparkline(H31,{""charttype"",""bar"";""color1"",""#2ecc71"";""max"",10000}),"""")"),"")</f>
        <v/>
      </c>
      <c r="J31" s="623">
        <v>3.0</v>
      </c>
      <c r="K31" s="1032">
        <v>45139.0</v>
      </c>
      <c r="L31" s="834" t="s">
        <v>34</v>
      </c>
      <c r="M31" s="543" t="s">
        <v>1646</v>
      </c>
      <c r="N31" s="1038" t="s">
        <v>2812</v>
      </c>
      <c r="O31" s="1045"/>
      <c r="P31" s="623"/>
    </row>
    <row r="32" ht="19.5" customHeight="1">
      <c r="A32" s="543" t="s">
        <v>2813</v>
      </c>
      <c r="B32" s="543" t="s">
        <v>101</v>
      </c>
      <c r="C32" s="543">
        <v>2.8</v>
      </c>
      <c r="D32" s="543">
        <v>12616.0</v>
      </c>
      <c r="E32" s="543" t="str">
        <f>IFERROR(__xludf.DUMMYFUNCTION("IF(D32&lt;&gt;"""",sparkline(D32,{""charttype"",""bar"";""color1"",""#e74c3c"";""max"",100000}),"""")"),"")</f>
        <v/>
      </c>
      <c r="F32" s="1031">
        <v>1569.0</v>
      </c>
      <c r="G32" s="543" t="str">
        <f>IFERROR(__xludf.DUMMYFUNCTION("IF(F32&lt;&gt;"""",sparkline(F32,{""charttype"",""bar"";""color1"",""#3498DB"";""max"",50000}),"""")"),"")</f>
        <v/>
      </c>
      <c r="H32" s="543">
        <v>11047.0</v>
      </c>
      <c r="I32" s="1032" t="str">
        <f>IFERROR(__xludf.DUMMYFUNCTION("IF(H32&lt;&gt;"""",sparkline(H32,{""charttype"",""bar"";""color1"",""#2ecc71"";""max"",10000}),"""")"),"")</f>
        <v/>
      </c>
      <c r="J32" s="623">
        <v>4.0</v>
      </c>
      <c r="K32" s="1032">
        <v>44317.0</v>
      </c>
      <c r="L32" s="394" t="s">
        <v>28</v>
      </c>
      <c r="M32" s="543" t="s">
        <v>2560</v>
      </c>
      <c r="N32" s="1045"/>
      <c r="O32" s="1045"/>
      <c r="P32" s="540" t="s">
        <v>2814</v>
      </c>
    </row>
    <row r="33" ht="19.5" customHeight="1">
      <c r="A33" s="543" t="s">
        <v>2815</v>
      </c>
      <c r="B33" s="543" t="s">
        <v>101</v>
      </c>
      <c r="C33" s="1031">
        <v>3.0</v>
      </c>
      <c r="D33" s="543">
        <v>12000.0</v>
      </c>
      <c r="E33" s="543" t="str">
        <f>IFERROR(__xludf.DUMMYFUNCTION("IF(D33&lt;&gt;"""",sparkline(D33,{""charttype"",""bar"";""color1"",""#e74c3c"";""max"",100000}),"""")"),"")</f>
        <v/>
      </c>
      <c r="F33" s="623">
        <v>12000.0</v>
      </c>
      <c r="G33" s="543" t="str">
        <f>IFERROR(__xludf.DUMMYFUNCTION("IF(F33&lt;&gt;"""",sparkline(F33,{""charttype"",""bar"";""color1"",""#3498DB"";""max"",50000}),"""")"),"")</f>
        <v/>
      </c>
      <c r="H33" s="1031"/>
      <c r="I33" s="1032" t="str">
        <f>IFERROR(__xludf.DUMMYFUNCTION("IF(H33&lt;&gt;"""",sparkline(H33,{""charttype"",""bar"";""color1"",""#2ecc71"";""max"",10000}),"""")"),"")</f>
        <v/>
      </c>
      <c r="J33" s="623">
        <v>2.0</v>
      </c>
      <c r="K33" s="1032">
        <v>45170.0</v>
      </c>
      <c r="L33" s="394" t="s">
        <v>34</v>
      </c>
      <c r="M33" s="543" t="s">
        <v>2816</v>
      </c>
      <c r="N33" s="1038" t="s">
        <v>2817</v>
      </c>
      <c r="O33" s="1038" t="s">
        <v>2818</v>
      </c>
      <c r="P33" s="543"/>
    </row>
    <row r="34" ht="19.5" customHeight="1">
      <c r="A34" s="543" t="s">
        <v>2819</v>
      </c>
      <c r="B34" s="543" t="s">
        <v>2329</v>
      </c>
      <c r="C34" s="543">
        <v>2.35</v>
      </c>
      <c r="D34" s="1050">
        <v>10550.0</v>
      </c>
      <c r="E34" s="543" t="str">
        <f>IFERROR(__xludf.DUMMYFUNCTION("IF(D34&lt;&gt;"""",sparkline(D34,{""charttype"",""bar"";""color1"",""#e74c3c"";""max"",100000}),"""")"),"")</f>
        <v/>
      </c>
      <c r="F34" s="1050">
        <v>5173.0</v>
      </c>
      <c r="G34" s="543" t="str">
        <f>IFERROR(__xludf.DUMMYFUNCTION("IF(F34&lt;&gt;"""",sparkline(F34,{""charttype"",""bar"";""color1"",""#3498DB"";""max"",50000}),"""")"),"")</f>
        <v/>
      </c>
      <c r="H34" s="1050">
        <v>5376.5</v>
      </c>
      <c r="I34" s="1032" t="str">
        <f>IFERROR(__xludf.DUMMYFUNCTION("IF(H34&lt;&gt;"""",sparkline(H34,{""charttype"",""bar"";""color1"",""#2ecc71"";""max"",10000}),"""")"),"")</f>
        <v/>
      </c>
      <c r="J34" s="623">
        <v>4.0</v>
      </c>
      <c r="K34" s="1032">
        <v>44531.0</v>
      </c>
      <c r="L34" s="394" t="s">
        <v>28</v>
      </c>
      <c r="M34" s="1037" t="s">
        <v>2820</v>
      </c>
      <c r="N34" s="1045"/>
      <c r="O34" s="1045"/>
      <c r="P34" s="543"/>
    </row>
    <row r="35" ht="19.5" customHeight="1">
      <c r="A35" s="623" t="s">
        <v>2821</v>
      </c>
      <c r="B35" s="623" t="s">
        <v>333</v>
      </c>
      <c r="C35" s="623">
        <v>2.2</v>
      </c>
      <c r="D35" s="623">
        <v>8000.0</v>
      </c>
      <c r="E35" s="543" t="str">
        <f>IFERROR(__xludf.DUMMYFUNCTION("IF(D35&lt;&gt;"""",sparkline(D35,{""charttype"",""bar"";""color1"",""#e74c3c"";""max"",100000}),"""")"),"")</f>
        <v/>
      </c>
      <c r="F35" s="697">
        <v>4000.0</v>
      </c>
      <c r="G35" s="543" t="str">
        <f>IFERROR(__xludf.DUMMYFUNCTION("IF(F35&lt;&gt;"""",sparkline(F35,{""charttype"",""bar"";""color1"",""#3498DB"";""max"",50000}),"""")"),"")</f>
        <v/>
      </c>
      <c r="H35" s="697">
        <v>4000.0</v>
      </c>
      <c r="I35" s="1032" t="str">
        <f>IFERROR(__xludf.DUMMYFUNCTION("IF(H35&lt;&gt;"""",sparkline(H35,{""charttype"",""bar"";""color1"",""#2ecc71"";""max"",10000}),"""")"),"")</f>
        <v/>
      </c>
      <c r="J35" s="623">
        <v>3.0</v>
      </c>
      <c r="K35" s="1033">
        <v>45809.0</v>
      </c>
      <c r="L35" s="394" t="s">
        <v>34</v>
      </c>
      <c r="M35" s="623" t="s">
        <v>332</v>
      </c>
      <c r="N35" s="1034" t="s">
        <v>335</v>
      </c>
      <c r="O35" s="1034" t="s">
        <v>2822</v>
      </c>
      <c r="P35" s="623" t="s">
        <v>2823</v>
      </c>
    </row>
    <row r="36" ht="19.5" customHeight="1">
      <c r="A36" s="623" t="s">
        <v>2824</v>
      </c>
      <c r="B36" s="623" t="s">
        <v>2825</v>
      </c>
      <c r="C36" s="623">
        <v>2.0</v>
      </c>
      <c r="D36" s="697">
        <v>10000.0</v>
      </c>
      <c r="E36" s="543" t="str">
        <f>IFERROR(__xludf.DUMMYFUNCTION("IF(D36&lt;&gt;"""",sparkline(D36,{""charttype"",""bar"";""color1"",""#e74c3c"";""max"",100000}),"""")"),"")</f>
        <v/>
      </c>
      <c r="F36" s="697">
        <v>10000.0</v>
      </c>
      <c r="G36" s="543" t="str">
        <f>IFERROR(__xludf.DUMMYFUNCTION("IF(F36&lt;&gt;"""",sparkline(F36,{""charttype"",""bar"";""color1"",""#3498DB"";""max"",50000}),"""")"),"")</f>
        <v/>
      </c>
      <c r="H36" s="623"/>
      <c r="I36" s="1032"/>
      <c r="J36" s="623">
        <v>3.0</v>
      </c>
      <c r="K36" s="1033">
        <v>45597.0</v>
      </c>
      <c r="L36" s="394" t="s">
        <v>34</v>
      </c>
      <c r="M36" s="623"/>
      <c r="N36" s="1034" t="s">
        <v>2826</v>
      </c>
      <c r="O36" s="1034" t="s">
        <v>2827</v>
      </c>
      <c r="P36" s="623" t="s">
        <v>2828</v>
      </c>
    </row>
    <row r="37" ht="19.5" customHeight="1">
      <c r="A37" s="543" t="s">
        <v>2126</v>
      </c>
      <c r="B37" s="543" t="s">
        <v>2829</v>
      </c>
      <c r="C37" s="1031">
        <v>1.6</v>
      </c>
      <c r="D37" s="1031">
        <v>5100.0</v>
      </c>
      <c r="E37" s="1031" t="str">
        <f>IFERROR(__xludf.DUMMYFUNCTION("IF(D37&lt;&gt;"""",sparkline(D37,{""charttype"",""bar"";""color1"",""#e74c3c"";""max"",100000}),"""")"),"")</f>
        <v/>
      </c>
      <c r="F37" s="1031">
        <v>3616.0</v>
      </c>
      <c r="G37" s="543" t="str">
        <f>IFERROR(__xludf.DUMMYFUNCTION("IF(F37&lt;&gt;"""",sparkline(F37,{""charttype"",""bar"";""color1"",""#3498DB"";""max"",50000}),"""")"),"")</f>
        <v/>
      </c>
      <c r="H37" s="1031">
        <v>1199.0</v>
      </c>
      <c r="I37" s="1032" t="str">
        <f>IFERROR(__xludf.DUMMYFUNCTION("IF(H37&lt;&gt;"""",sparkline(H37,{""charttype"",""bar"";""color1"",""#2ecc71"";""max"",10000}),"""")"),"")</f>
        <v/>
      </c>
      <c r="J37" s="623">
        <v>2.0</v>
      </c>
      <c r="K37" s="1032">
        <v>45078.0</v>
      </c>
      <c r="L37" s="394" t="s">
        <v>1235</v>
      </c>
      <c r="M37" s="543" t="s">
        <v>2126</v>
      </c>
      <c r="N37" s="1045"/>
      <c r="O37" s="1045"/>
      <c r="P37" s="543" t="s">
        <v>2830</v>
      </c>
    </row>
    <row r="38" ht="19.5" customHeight="1">
      <c r="A38" s="543" t="s">
        <v>2831</v>
      </c>
      <c r="B38" s="543" t="s">
        <v>1502</v>
      </c>
      <c r="C38" s="543">
        <v>1.5</v>
      </c>
      <c r="D38" s="1050">
        <v>5000.0</v>
      </c>
      <c r="E38" s="543" t="str">
        <f>IFERROR(__xludf.DUMMYFUNCTION("IF(D38&lt;&gt;"""",sparkline(D38,{""charttype"",""bar"";""color1"",""#e74c3c"";""max"",100000}),"""")"),"")</f>
        <v/>
      </c>
      <c r="F38" s="543"/>
      <c r="G38" s="543" t="str">
        <f>IFERROR(__xludf.DUMMYFUNCTION("IF(F38&lt;&gt;"""",sparkline(F38,{""charttype"",""bar"";""color1"",""#3498DB"";""max"",50000}),"""")"),"")</f>
        <v/>
      </c>
      <c r="H38" s="543"/>
      <c r="I38" s="1032" t="str">
        <f>IFERROR(__xludf.DUMMYFUNCTION("IF(H38&lt;&gt;"""",sparkline(H38,{""charttype"",""bar"";""color1"",""#2ecc71"";""max"",10000}),"""")"),"")</f>
        <v/>
      </c>
      <c r="J38" s="623">
        <v>3.0</v>
      </c>
      <c r="K38" s="1032">
        <v>45017.0</v>
      </c>
      <c r="L38" s="394" t="s">
        <v>28</v>
      </c>
      <c r="M38" s="543" t="s">
        <v>2207</v>
      </c>
      <c r="N38" s="1045"/>
      <c r="O38" s="1045"/>
      <c r="P38" s="543" t="s">
        <v>2832</v>
      </c>
    </row>
    <row r="39" ht="19.5" customHeight="1">
      <c r="A39" s="623" t="s">
        <v>2833</v>
      </c>
      <c r="B39" s="543" t="s">
        <v>1582</v>
      </c>
      <c r="C39" s="1031">
        <v>1.3</v>
      </c>
      <c r="D39" s="1031">
        <v>8840.0</v>
      </c>
      <c r="E39" s="1031" t="str">
        <f>IFERROR(__xludf.DUMMYFUNCTION("IF(D39&lt;&gt;"""",sparkline(D39,{""charttype"",""bar"";""color1"",""#e74c3c"";""max"",100000}),"""")"),"")</f>
        <v/>
      </c>
      <c r="F39" s="1031">
        <v>8840.0</v>
      </c>
      <c r="G39" s="543" t="str">
        <f>IFERROR(__xludf.DUMMYFUNCTION("IF(F39&lt;&gt;"""",sparkline(F39,{""charttype"",""bar"";""color1"",""#3498DB"";""max"",50000}),"""")"),"")</f>
        <v/>
      </c>
      <c r="H39" s="1031"/>
      <c r="I39" s="1032" t="str">
        <f>IFERROR(__xludf.DUMMYFUNCTION("IF(H39&lt;&gt;"""",sparkline(H39,{""charttype"",""bar"";""color1"",""#2ecc71"";""max"",10000}),"""")"),"")</f>
        <v/>
      </c>
      <c r="J39" s="623">
        <v>4.0</v>
      </c>
      <c r="K39" s="1032">
        <v>45413.0</v>
      </c>
      <c r="L39" s="394" t="s">
        <v>34</v>
      </c>
      <c r="M39" s="543"/>
      <c r="N39" s="1045"/>
      <c r="O39" s="1038" t="s">
        <v>2834</v>
      </c>
      <c r="P39" s="543"/>
    </row>
    <row r="40" ht="19.5" customHeight="1">
      <c r="A40" s="623" t="s">
        <v>2835</v>
      </c>
      <c r="B40" s="623" t="s">
        <v>975</v>
      </c>
      <c r="C40" s="623">
        <v>1.3</v>
      </c>
      <c r="D40" s="1031">
        <v>8840.0</v>
      </c>
      <c r="E40" s="1031"/>
      <c r="F40" s="543"/>
      <c r="G40" s="543"/>
      <c r="H40" s="543"/>
      <c r="I40" s="1032"/>
      <c r="J40" s="623">
        <v>3.0</v>
      </c>
      <c r="K40" s="1033">
        <v>45444.0</v>
      </c>
      <c r="L40" s="394" t="s">
        <v>34</v>
      </c>
      <c r="M40" s="543"/>
      <c r="N40" s="1045"/>
      <c r="O40" s="1036" t="s">
        <v>2836</v>
      </c>
      <c r="P40" s="623" t="s">
        <v>2837</v>
      </c>
    </row>
    <row r="41" ht="19.5" customHeight="1">
      <c r="A41" s="543" t="s">
        <v>2838</v>
      </c>
      <c r="B41" s="543" t="s">
        <v>56</v>
      </c>
      <c r="C41" s="543">
        <v>1.2</v>
      </c>
      <c r="D41" s="1050">
        <f>SUM(F41)</f>
        <v>4083</v>
      </c>
      <c r="E41" s="543" t="str">
        <f>IFERROR(__xludf.DUMMYFUNCTION("IF(D41&lt;&gt;"""",sparkline(D41,{""charttype"",""bar"";""color1"",""#e74c3c"";""max"",100000}),"""")"),"")</f>
        <v/>
      </c>
      <c r="F41" s="543">
        <v>4083.0</v>
      </c>
      <c r="G41" s="543" t="str">
        <f>IFERROR(__xludf.DUMMYFUNCTION("IF(F41&lt;&gt;"""",sparkline(F41,{""charttype"",""bar"";""color1"",""#3498DB"";""max"",50000}),"""")"),"")</f>
        <v/>
      </c>
      <c r="H41" s="543">
        <v>666.0</v>
      </c>
      <c r="I41" s="1032" t="str">
        <f>IFERROR(__xludf.DUMMYFUNCTION("IF(H41&lt;&gt;"""",sparkline(H41,{""charttype"",""bar"";""color1"",""#2ecc71"";""max"",10000}),"""")"),"")</f>
        <v/>
      </c>
      <c r="J41" s="623">
        <v>2.0</v>
      </c>
      <c r="K41" s="1032">
        <v>44958.0</v>
      </c>
      <c r="L41" s="394" t="s">
        <v>1235</v>
      </c>
      <c r="M41" s="1037" t="s">
        <v>2839</v>
      </c>
      <c r="N41" s="1045"/>
      <c r="O41" s="1045"/>
      <c r="P41" s="543"/>
    </row>
    <row r="42" ht="19.5" customHeight="1">
      <c r="A42" s="543" t="s">
        <v>2840</v>
      </c>
      <c r="B42" s="543" t="s">
        <v>2744</v>
      </c>
      <c r="C42" s="1031">
        <v>1.2</v>
      </c>
      <c r="D42" s="543">
        <v>4033.0</v>
      </c>
      <c r="E42" s="543" t="str">
        <f>IFERROR(__xludf.DUMMYFUNCTION("IF(D42&lt;&gt;"""",sparkline(D42,{""charttype"",""bar"";""color1"",""#e74c3c"";""max"",100000}),"""")"),"")</f>
        <v/>
      </c>
      <c r="F42" s="543">
        <v>3510.0</v>
      </c>
      <c r="G42" s="543" t="str">
        <f>IFERROR(__xludf.DUMMYFUNCTION("IF(F42&lt;&gt;"""",sparkline(F42,{""charttype"",""bar"";""color1"",""#3498DB"";""max"",50000}),"""")"),"")</f>
        <v/>
      </c>
      <c r="H42" s="543">
        <v>524.0</v>
      </c>
      <c r="I42" s="1032" t="str">
        <f>IFERROR(__xludf.DUMMYFUNCTION("IF(H42&lt;&gt;"""",sparkline(H42,{""charttype"",""bar"";""color1"",""#2ecc71"";""max"",10000}),"""")"),"")</f>
        <v/>
      </c>
      <c r="J42" s="623">
        <v>3.0</v>
      </c>
      <c r="K42" s="1032">
        <v>45017.0</v>
      </c>
      <c r="L42" s="394" t="s">
        <v>34</v>
      </c>
      <c r="M42" s="543" t="s">
        <v>2186</v>
      </c>
      <c r="N42" s="1034" t="s">
        <v>2841</v>
      </c>
      <c r="O42" s="1045"/>
      <c r="P42" s="1051"/>
    </row>
    <row r="43" ht="19.5" customHeight="1">
      <c r="A43" s="623" t="s">
        <v>2842</v>
      </c>
      <c r="B43" s="623" t="s">
        <v>2843</v>
      </c>
      <c r="C43" s="623">
        <v>0.9</v>
      </c>
      <c r="D43" s="623">
        <v>67500.0</v>
      </c>
      <c r="E43" s="543" t="str">
        <f>IFERROR(__xludf.DUMMYFUNCTION("IF(D43&lt;&gt;"""",sparkline(D43,{""charttype"",""bar"";""color1"",""#e74c3c"";""max"",100000}),"""")"),"")</f>
        <v/>
      </c>
      <c r="F43" s="1031"/>
      <c r="G43" s="543"/>
      <c r="H43" s="623">
        <v>67500.0</v>
      </c>
      <c r="I43" s="1032" t="str">
        <f>IFERROR(__xludf.DUMMYFUNCTION("IF(H43&lt;&gt;"""",sparkline(H43,{""charttype"",""bar"";""color1"",""#2ecc71"";""max"",10000}),"""")"),"")</f>
        <v/>
      </c>
      <c r="J43" s="623">
        <v>2.0</v>
      </c>
      <c r="K43" s="1033">
        <v>45323.0</v>
      </c>
      <c r="L43" s="394" t="s">
        <v>34</v>
      </c>
      <c r="M43" s="623" t="s">
        <v>1590</v>
      </c>
      <c r="N43" s="1034" t="s">
        <v>1592</v>
      </c>
      <c r="O43" s="1036" t="s">
        <v>2844</v>
      </c>
      <c r="P43" s="623" t="s">
        <v>2845</v>
      </c>
    </row>
    <row r="44" ht="19.5" customHeight="1">
      <c r="A44" s="543" t="s">
        <v>2846</v>
      </c>
      <c r="B44" s="543" t="s">
        <v>822</v>
      </c>
      <c r="C44" s="1052">
        <v>0.627</v>
      </c>
      <c r="D44" s="623">
        <v>2685.0</v>
      </c>
      <c r="E44" s="543" t="str">
        <f>IFERROR(__xludf.DUMMYFUNCTION("IF(D44&lt;&gt;"""",sparkline(D44,{""charttype"",""bar"";""color1"",""#e74c3c"";""max"",100000}),"""")"),"")</f>
        <v/>
      </c>
      <c r="F44" s="543">
        <v>706.0</v>
      </c>
      <c r="G44" s="543" t="str">
        <f>IFERROR(__xludf.DUMMYFUNCTION("IF(F44&lt;&gt;"""",sparkline(F44,{""charttype"",""bar"";""color1"",""#3498DB"";""max"",50000}),"""")"),"")</f>
        <v/>
      </c>
      <c r="H44" s="543">
        <v>145.0</v>
      </c>
      <c r="I44" s="1032" t="str">
        <f>IFERROR(__xludf.DUMMYFUNCTION("IF(H44&lt;&gt;"""",sparkline(H44,{""charttype"",""bar"";""color1"",""#2ecc71"";""max"",10000}),"""")"),"")</f>
        <v/>
      </c>
      <c r="J44" s="623">
        <v>3.0</v>
      </c>
      <c r="K44" s="1032">
        <v>45078.0</v>
      </c>
      <c r="L44" s="394" t="s">
        <v>34</v>
      </c>
      <c r="M44" s="543"/>
      <c r="N44" s="1035" t="s">
        <v>2847</v>
      </c>
      <c r="O44" s="1038" t="s">
        <v>2848</v>
      </c>
      <c r="P44" s="623" t="s">
        <v>2849</v>
      </c>
    </row>
    <row r="45" ht="19.5" customHeight="1">
      <c r="A45" s="543" t="s">
        <v>2850</v>
      </c>
      <c r="B45" s="1031" t="s">
        <v>2825</v>
      </c>
      <c r="C45" s="1031">
        <v>0.65</v>
      </c>
      <c r="D45" s="1031">
        <v>2000.0</v>
      </c>
      <c r="E45" s="1031" t="str">
        <f>IFERROR(__xludf.DUMMYFUNCTION("IF(D45&lt;&gt;"""",sparkline(D45,{""charttype"",""bar"";""color1"",""#e74c3c"";""max"",100000}),"""")"),"")</f>
        <v/>
      </c>
      <c r="F45" s="1031">
        <v>2000.0</v>
      </c>
      <c r="G45" s="543" t="str">
        <f>IFERROR(__xludf.DUMMYFUNCTION("IF(F45&lt;&gt;"""",sparkline(F45,{""charttype"",""bar"";""color1"",""#3498DB"";""max"",50000}),"""")"),"")</f>
        <v/>
      </c>
      <c r="H45" s="1031"/>
      <c r="I45" s="1032" t="str">
        <f>IFERROR(__xludf.DUMMYFUNCTION("IF(H45&lt;&gt;"""",sparkline(H45,{""charttype"",""bar"";""color1"",""#2ecc71"";""max"",10000}),"""")"),"")</f>
        <v/>
      </c>
      <c r="J45" s="623">
        <v>2.0</v>
      </c>
      <c r="K45" s="1032">
        <v>45352.0</v>
      </c>
      <c r="L45" s="394" t="s">
        <v>34</v>
      </c>
      <c r="M45" s="543"/>
      <c r="N45" s="1045"/>
      <c r="O45" s="1039" t="s">
        <v>2851</v>
      </c>
      <c r="P45" s="543" t="s">
        <v>2852</v>
      </c>
    </row>
    <row r="46" ht="19.5" customHeight="1">
      <c r="A46" s="543" t="s">
        <v>2853</v>
      </c>
      <c r="B46" s="543" t="s">
        <v>2333</v>
      </c>
      <c r="C46" s="543">
        <v>0.341</v>
      </c>
      <c r="D46" s="1050">
        <v>1600.0</v>
      </c>
      <c r="E46" s="543" t="str">
        <f>IFERROR(__xludf.DUMMYFUNCTION("IF(D46&lt;&gt;"""",sparkline(D46,{""charttype"",""bar"";""color1"",""#e74c3c"";""max"",100000}),"""")"),"")</f>
        <v/>
      </c>
      <c r="F46" s="1031"/>
      <c r="G46" s="543" t="str">
        <f>IFERROR(__xludf.DUMMYFUNCTION("IF(F46&lt;&gt;"""",sparkline(F46,{""charttype"",""bar"";""color1"",""#3498DB"";""max"",50000}),"""")"),"")</f>
        <v/>
      </c>
      <c r="H46" s="543"/>
      <c r="I46" s="1032" t="str">
        <f>IFERROR(__xludf.DUMMYFUNCTION("IF(H46&lt;&gt;"""",sparkline(H46,{""charttype"",""bar"";""color1"",""#2ecc71"";""max"",10000}),"""")"),"")</f>
        <v/>
      </c>
      <c r="J46" s="623">
        <v>2.0</v>
      </c>
      <c r="K46" s="1032">
        <v>45352.0</v>
      </c>
      <c r="L46" s="394" t="s">
        <v>34</v>
      </c>
      <c r="M46" s="1037" t="s">
        <v>2854</v>
      </c>
      <c r="N46" s="1038" t="s">
        <v>2855</v>
      </c>
      <c r="O46" s="1045"/>
      <c r="P46" s="543"/>
    </row>
    <row r="47" ht="19.5" customHeight="1">
      <c r="A47" s="543" t="s">
        <v>2856</v>
      </c>
      <c r="B47" s="543" t="s">
        <v>333</v>
      </c>
      <c r="C47" s="1031">
        <v>0.247</v>
      </c>
      <c r="D47" s="543">
        <v>825.0</v>
      </c>
      <c r="E47" s="543" t="str">
        <f>IFERROR(__xludf.DUMMYFUNCTION("IF(D47&lt;&gt;"""",sparkline(D47,{""charttype"",""bar"";""color1"",""#e74c3c"";""max"",100000}),"""")"),"")</f>
        <v/>
      </c>
      <c r="F47" s="1031">
        <v>227.0</v>
      </c>
      <c r="G47" s="543" t="str">
        <f>IFERROR(__xludf.DUMMYFUNCTION("IF(F47&lt;&gt;"""",sparkline(F47,{""charttype"",""bar"";""color1"",""#3498DB"";""max"",50000}),"""")"),"")</f>
        <v/>
      </c>
      <c r="H47" s="1031">
        <v>629.71</v>
      </c>
      <c r="I47" s="1032" t="str">
        <f>IFERROR(__xludf.DUMMYFUNCTION("IF(H47&lt;&gt;"""",sparkline(H47,{""charttype"",""bar"";""color1"",""#2ecc71"";""max"",10000}),"""")"),"")</f>
        <v/>
      </c>
      <c r="J47" s="623">
        <v>4.0</v>
      </c>
      <c r="K47" s="1032">
        <v>44166.0</v>
      </c>
      <c r="L47" s="394" t="s">
        <v>34</v>
      </c>
      <c r="M47" s="1037" t="s">
        <v>2857</v>
      </c>
      <c r="N47" s="1045"/>
      <c r="O47" s="1045"/>
      <c r="P47" s="623" t="s">
        <v>2858</v>
      </c>
    </row>
    <row r="48" ht="19.5" customHeight="1">
      <c r="A48" s="623" t="s">
        <v>2859</v>
      </c>
      <c r="B48" s="623" t="s">
        <v>2860</v>
      </c>
      <c r="C48" s="623">
        <v>0.242</v>
      </c>
      <c r="D48" s="623">
        <v>825.0</v>
      </c>
      <c r="E48" s="543" t="str">
        <f>IFERROR(__xludf.DUMMYFUNCTION("IF(D48&lt;&gt;"""",sparkline(D48,{""charttype"",""bar"";""color1"",""#e74c3c"";""max"",100000}),"""")"),"")</f>
        <v/>
      </c>
      <c r="F48" s="623">
        <v>0.0</v>
      </c>
      <c r="G48" s="543" t="str">
        <f>IFERROR(__xludf.DUMMYFUNCTION("IF(F48&lt;&gt;"""",sparkline(F48,{""charttype"",""bar"";""color1"",""#3498DB"";""max"",50000}),"""")"),"")</f>
        <v/>
      </c>
      <c r="H48" s="623">
        <v>825.0</v>
      </c>
      <c r="I48" s="1032" t="str">
        <f>IFERROR(__xludf.DUMMYFUNCTION("IF(H48&lt;&gt;"""",sparkline(H48,{""charttype"",""bar"";""color1"",""#2ecc71"";""max"",10000}),"""")"),"")</f>
        <v/>
      </c>
      <c r="J48" s="623">
        <v>4.0</v>
      </c>
      <c r="K48" s="1033">
        <v>45809.0</v>
      </c>
      <c r="L48" s="394" t="s">
        <v>34</v>
      </c>
      <c r="M48" s="598"/>
      <c r="N48" s="1053" t="s">
        <v>2861</v>
      </c>
      <c r="O48" s="1053" t="s">
        <v>2862</v>
      </c>
      <c r="P48" s="540" t="s">
        <v>2863</v>
      </c>
    </row>
    <row r="49" ht="19.5" customHeight="1">
      <c r="A49" s="623" t="s">
        <v>2864</v>
      </c>
      <c r="B49" s="623" t="s">
        <v>2843</v>
      </c>
      <c r="C49" s="623">
        <v>0.25</v>
      </c>
      <c r="D49" s="623">
        <v>783.0</v>
      </c>
      <c r="E49" s="543"/>
      <c r="F49" s="543"/>
      <c r="G49" s="543"/>
      <c r="H49" s="623">
        <v>783.0</v>
      </c>
      <c r="I49" s="538"/>
      <c r="J49" s="623">
        <v>3.0</v>
      </c>
      <c r="K49" s="1033">
        <v>45047.0</v>
      </c>
      <c r="L49" s="394" t="s">
        <v>34</v>
      </c>
      <c r="M49" s="1036" t="s">
        <v>2865</v>
      </c>
      <c r="N49" s="1053" t="s">
        <v>2866</v>
      </c>
      <c r="O49" s="623"/>
      <c r="P49" s="623" t="s">
        <v>2867</v>
      </c>
    </row>
    <row r="50" ht="19.5" customHeight="1">
      <c r="A50" s="623" t="s">
        <v>2868</v>
      </c>
      <c r="B50" s="623" t="s">
        <v>2843</v>
      </c>
      <c r="C50" s="623">
        <v>0.2</v>
      </c>
      <c r="D50" s="623">
        <v>6400.0</v>
      </c>
      <c r="E50" s="543" t="str">
        <f>IFERROR(__xludf.DUMMYFUNCTION("IF(D50&lt;&gt;"""",sparkline(D50,{""charttype"",""bar"";""color1"",""#e74c3c"";""max"",100000}),"""")"),"")</f>
        <v/>
      </c>
      <c r="F50" s="1031"/>
      <c r="G50" s="543"/>
      <c r="H50" s="623">
        <v>6400.0</v>
      </c>
      <c r="I50" s="1032" t="str">
        <f>IFERROR(__xludf.DUMMYFUNCTION("IF(H50&lt;&gt;"""",sparkline(H50,{""charttype"",""bar"";""color1"",""#2ecc71"";""max"",10000}),"""")"),"")</f>
        <v/>
      </c>
      <c r="J50" s="623">
        <v>2.0</v>
      </c>
      <c r="K50" s="1033">
        <v>44866.0</v>
      </c>
      <c r="L50" s="394" t="s">
        <v>34</v>
      </c>
      <c r="M50" s="623" t="s">
        <v>2869</v>
      </c>
      <c r="N50" s="1034" t="s">
        <v>2870</v>
      </c>
      <c r="O50" s="1036" t="s">
        <v>2871</v>
      </c>
      <c r="P50" s="623" t="s">
        <v>2872</v>
      </c>
    </row>
    <row r="51" ht="19.5" customHeight="1">
      <c r="A51" s="623" t="s">
        <v>2873</v>
      </c>
      <c r="B51" s="543" t="s">
        <v>50</v>
      </c>
      <c r="C51" s="543">
        <v>0.499</v>
      </c>
      <c r="D51" s="1050">
        <v>753.0</v>
      </c>
      <c r="E51" s="543" t="str">
        <f>IFERROR(__xludf.DUMMYFUNCTION("IF(D51&lt;&gt;"""",sparkline(D51,{""charttype"",""bar"";""color1"",""#e74c3c"";""max"",100000}),"""")"),"")</f>
        <v/>
      </c>
      <c r="F51" s="1050">
        <v>620.0</v>
      </c>
      <c r="G51" s="543" t="str">
        <f>IFERROR(__xludf.DUMMYFUNCTION("IF(F51&lt;&gt;"""",sparkline(F51,{""charttype"",""bar"";""color1"",""#3498DB"";""max"",50000}),"""")"),"")</f>
        <v/>
      </c>
      <c r="H51" s="1050">
        <v>133.4</v>
      </c>
      <c r="I51" s="1032" t="str">
        <f>IFERROR(__xludf.DUMMYFUNCTION("IF(H51&lt;&gt;"""",sparkline(H51,{""charttype"",""bar"";""color1"",""#2ecc71"";""max"",10000}),"""")"),"")</f>
        <v/>
      </c>
      <c r="J51" s="623">
        <v>3.0</v>
      </c>
      <c r="K51" s="1032">
        <v>43952.0</v>
      </c>
      <c r="L51" s="394" t="s">
        <v>28</v>
      </c>
      <c r="M51" s="1037" t="s">
        <v>2570</v>
      </c>
      <c r="N51" s="1045"/>
      <c r="O51" s="1045"/>
      <c r="P51" s="543"/>
    </row>
    <row r="52" ht="19.5" customHeight="1">
      <c r="A52" s="623" t="s">
        <v>2874</v>
      </c>
      <c r="B52" s="543" t="s">
        <v>56</v>
      </c>
      <c r="C52" s="1031"/>
      <c r="D52" s="1031">
        <v>161.0</v>
      </c>
      <c r="E52" s="1031" t="str">
        <f>IFERROR(__xludf.DUMMYFUNCTION("IF(D52&lt;&gt;"""",sparkline(D52,{""charttype"",""bar"";""color1"",""#e74c3c"";""max"",100000}),"""")"),"")</f>
        <v/>
      </c>
      <c r="F52" s="1031">
        <v>145.0</v>
      </c>
      <c r="G52" s="543" t="str">
        <f>IFERROR(__xludf.DUMMYFUNCTION("IF(F52&lt;&gt;"""",sparkline(F52,{""charttype"",""bar"";""color1"",""#3498DB"";""max"",50000}),"""")"),"")</f>
        <v/>
      </c>
      <c r="H52" s="1031">
        <v>16.0</v>
      </c>
      <c r="I52" s="1032" t="str">
        <f>IFERROR(__xludf.DUMMYFUNCTION("IF(H52&lt;&gt;"""",sparkline(H52,{""charttype"",""bar"";""color1"",""#2ecc71"";""max"",10000}),"""")"),"")</f>
        <v/>
      </c>
      <c r="J52" s="623">
        <v>3.0</v>
      </c>
      <c r="K52" s="1032">
        <v>43647.0</v>
      </c>
      <c r="L52" s="394" t="s">
        <v>1235</v>
      </c>
      <c r="M52" s="1054" t="s">
        <v>2875</v>
      </c>
      <c r="N52" s="1045"/>
      <c r="O52" s="1045"/>
      <c r="P52" s="543"/>
    </row>
    <row r="53" ht="19.5" customHeight="1">
      <c r="A53" s="543" t="s">
        <v>2876</v>
      </c>
      <c r="B53" s="543" t="s">
        <v>2825</v>
      </c>
      <c r="C53" s="543">
        <v>0.03</v>
      </c>
      <c r="D53" s="623">
        <v>110.0</v>
      </c>
      <c r="E53" s="543" t="str">
        <f>IFERROR(__xludf.DUMMYFUNCTION("IF(D53&lt;&gt;"""",sparkline(D53,{""charttype"",""bar"";""color1"",""#e74c3c"";""max"",100000}),"""")"),"")</f>
        <v/>
      </c>
      <c r="F53" s="543"/>
      <c r="G53" s="543" t="str">
        <f>IFERROR(__xludf.DUMMYFUNCTION("IF(F53&lt;&gt;"""",sparkline(F53,{""charttype"",""bar"";""color1"",""#3498DB"";""max"",50000}),"""")"),"")</f>
        <v/>
      </c>
      <c r="H53" s="623">
        <v>110.0</v>
      </c>
      <c r="I53" s="1032" t="str">
        <f>IFERROR(__xludf.DUMMYFUNCTION("IF(H53&lt;&gt;"""",sparkline(H53,{""charttype"",""bar"";""color1"",""#2ecc71"";""max"",10000}),"""")"),"")</f>
        <v/>
      </c>
      <c r="J53" s="623">
        <v>4.0</v>
      </c>
      <c r="K53" s="1032">
        <v>45383.0</v>
      </c>
      <c r="L53" s="394" t="s">
        <v>34</v>
      </c>
      <c r="M53" s="543"/>
      <c r="N53" s="1036" t="s">
        <v>2877</v>
      </c>
      <c r="O53" s="1038" t="s">
        <v>2878</v>
      </c>
      <c r="P53" s="787" t="s">
        <v>2879</v>
      </c>
    </row>
    <row r="54" ht="19.5" customHeight="1">
      <c r="A54" s="787" t="s">
        <v>2880</v>
      </c>
      <c r="B54" s="179" t="s">
        <v>1582</v>
      </c>
      <c r="C54" s="623">
        <v>0.028</v>
      </c>
      <c r="D54" s="553">
        <v>103.0</v>
      </c>
      <c r="E54" s="553"/>
      <c r="F54" s="1055"/>
      <c r="G54" s="543"/>
      <c r="H54" s="623">
        <v>103.0</v>
      </c>
      <c r="I54" s="538"/>
      <c r="J54" s="623">
        <v>5.0</v>
      </c>
      <c r="K54" s="1033">
        <v>45474.0</v>
      </c>
      <c r="L54" s="394" t="s">
        <v>28</v>
      </c>
      <c r="M54" s="1056" t="s">
        <v>1172</v>
      </c>
      <c r="N54" s="1057"/>
      <c r="O54" s="1058" t="s">
        <v>1174</v>
      </c>
      <c r="P54" s="787" t="s">
        <v>2881</v>
      </c>
    </row>
    <row r="55" ht="19.5" customHeight="1">
      <c r="A55" s="787" t="s">
        <v>2882</v>
      </c>
      <c r="B55" s="179" t="s">
        <v>1582</v>
      </c>
      <c r="C55" s="623">
        <v>0.025</v>
      </c>
      <c r="D55" s="553">
        <v>92.0</v>
      </c>
      <c r="E55" s="553"/>
      <c r="F55" s="1055"/>
      <c r="G55" s="543"/>
      <c r="H55" s="623">
        <v>92.0</v>
      </c>
      <c r="I55" s="538"/>
      <c r="J55" s="623">
        <v>5.0</v>
      </c>
      <c r="K55" s="1033">
        <v>45352.0</v>
      </c>
      <c r="L55" s="394" t="s">
        <v>34</v>
      </c>
      <c r="M55" s="662"/>
      <c r="N55" s="1057"/>
      <c r="O55" s="1058" t="s">
        <v>1585</v>
      </c>
      <c r="P55" s="787" t="s">
        <v>2883</v>
      </c>
    </row>
    <row r="56" ht="19.5" customHeight="1">
      <c r="A56" s="623" t="s">
        <v>2884</v>
      </c>
      <c r="B56" s="543" t="s">
        <v>50</v>
      </c>
      <c r="C56" s="543"/>
      <c r="D56" s="543">
        <v>40.0</v>
      </c>
      <c r="E56" s="543" t="str">
        <f>IFERROR(__xludf.DUMMYFUNCTION("IF(D56&lt;&gt;"""",sparkline(D56,{""charttype"",""bar"";""color1"",""#e74c3c"";""max"",100000}),"""")"),"")</f>
        <v/>
      </c>
      <c r="F56" s="543">
        <v>40.0</v>
      </c>
      <c r="G56" s="543" t="str">
        <f>IFERROR(__xludf.DUMMYFUNCTION("IF(F56&lt;&gt;"""",sparkline(F56,{""charttype"",""bar"";""color1"",""#3498DB"";""max"",50000}),"""")"),"")</f>
        <v/>
      </c>
      <c r="H56" s="543"/>
      <c r="I56" s="1032" t="str">
        <f>IFERROR(__xludf.DUMMYFUNCTION("IF(H56&lt;&gt;"""",sparkline(H56,{""charttype"",""bar"";""color1"",""#2ecc71"";""max"",10000}),"""")"),"")</f>
        <v/>
      </c>
      <c r="J56" s="623">
        <v>2.0</v>
      </c>
      <c r="K56" s="1032">
        <v>43497.0</v>
      </c>
      <c r="L56" s="394" t="s">
        <v>1235</v>
      </c>
      <c r="M56" s="543" t="s">
        <v>2594</v>
      </c>
      <c r="N56" s="1045"/>
      <c r="P56" s="623" t="s">
        <v>2885</v>
      </c>
    </row>
    <row r="57" ht="19.5" customHeight="1">
      <c r="A57" s="623" t="s">
        <v>2886</v>
      </c>
      <c r="B57" s="1031" t="s">
        <v>50</v>
      </c>
      <c r="C57" s="1031"/>
      <c r="D57" s="623">
        <v>98.4</v>
      </c>
      <c r="E57" s="543" t="str">
        <f>IFERROR(__xludf.DUMMYFUNCTION("IF(D57&lt;&gt;"""",sparkline(D57,{""charttype"",""bar"";""color1"",""#e74c3c"";""max"",100000}),"""")"),"")</f>
        <v/>
      </c>
      <c r="F57" s="1031"/>
      <c r="G57" s="543" t="str">
        <f>IFERROR(__xludf.DUMMYFUNCTION("IF(F57&lt;&gt;"""",sparkline(F57,{""charttype"",""bar"";""color1"",""#3498DB"";""max"",50000}),"""")"),"")</f>
        <v/>
      </c>
      <c r="H57" s="623">
        <v>98.4</v>
      </c>
      <c r="I57" s="1032" t="str">
        <f>IFERROR(__xludf.DUMMYFUNCTION("IF(H57&lt;&gt;"""",sparkline(H57,{""charttype"",""bar"";""color1"",""#2ecc71"";""max"",10000}),"""")"),"")</f>
        <v/>
      </c>
      <c r="J57" s="623">
        <v>1.0</v>
      </c>
      <c r="K57" s="1032">
        <v>43252.0</v>
      </c>
      <c r="L57" s="394" t="s">
        <v>1235</v>
      </c>
      <c r="M57" s="543" t="s">
        <v>2604</v>
      </c>
      <c r="N57" s="1045"/>
      <c r="P57" s="623" t="s">
        <v>2887</v>
      </c>
    </row>
    <row r="58" ht="19.5" customHeight="1">
      <c r="A58" s="856" t="s">
        <v>2620</v>
      </c>
      <c r="B58" s="189"/>
      <c r="C58" s="1059"/>
      <c r="D58" s="553"/>
      <c r="E58" s="553"/>
      <c r="F58" s="1055"/>
      <c r="G58" s="543" t="str">
        <f>IFERROR(__xludf.DUMMYFUNCTION("IF(F58&lt;&gt;"""",sparkline(F58,{""charttype"",""bar"";""color1"",""#3498DB"";""max"",50000}),"""")"),"")</f>
        <v/>
      </c>
      <c r="H58" s="106"/>
      <c r="I58" s="538"/>
      <c r="J58" s="106"/>
      <c r="K58" s="106"/>
      <c r="L58" s="1060"/>
      <c r="M58" s="662"/>
      <c r="N58" s="1057"/>
      <c r="O58" s="1061"/>
      <c r="P58" s="856" t="s">
        <v>2620</v>
      </c>
    </row>
  </sheetData>
  <conditionalFormatting sqref="F54:F55 F58">
    <cfRule type="cellIs" dxfId="2" priority="1" operator="between">
      <formula>14</formula>
      <formula>11000</formula>
    </cfRule>
  </conditionalFormatting>
  <conditionalFormatting sqref="F54:F55 F58">
    <cfRule type="cellIs" dxfId="1" priority="2" operator="between">
      <formula>5</formula>
      <formula>14</formula>
    </cfRule>
  </conditionalFormatting>
  <conditionalFormatting sqref="F54:F55 F58">
    <cfRule type="cellIs" dxfId="0" priority="3" operator="between">
      <formula>0</formula>
      <formula>5</formula>
    </cfRule>
  </conditionalFormatting>
  <conditionalFormatting sqref="G1">
    <cfRule type="colorScale" priority="4">
      <colorScale>
        <cfvo type="min"/>
        <cfvo type="formula" val="15"/>
        <cfvo type="max"/>
        <color rgb="FFF3F3F3"/>
        <color rgb="FF3D85C6"/>
        <color rgb="FF0B5394"/>
      </colorScale>
    </cfRule>
  </conditionalFormatting>
  <conditionalFormatting sqref="G1">
    <cfRule type="cellIs" dxfId="21" priority="5" operator="greaterThan">
      <formula>12</formula>
    </cfRule>
  </conditionalFormatting>
  <conditionalFormatting sqref="H58">
    <cfRule type="colorScale" priority="6">
      <colorScale>
        <cfvo type="min"/>
        <cfvo type="formula" val="80"/>
        <cfvo type="max"/>
        <color rgb="FFFFFFFF"/>
        <color rgb="FF3D85C6"/>
        <color rgb="FF0B5394"/>
      </colorScale>
    </cfRule>
  </conditionalFormatting>
  <conditionalFormatting sqref="H58">
    <cfRule type="cellIs" dxfId="21" priority="7" operator="greaterThan">
      <formula>70</formula>
    </cfRule>
  </conditionalFormatting>
  <conditionalFormatting sqref="J58:K58">
    <cfRule type="colorScale" priority="8">
      <colorScale>
        <cfvo type="min"/>
        <cfvo type="formula" val="40"/>
        <cfvo type="max"/>
        <color rgb="FFFFFFFF"/>
        <color rgb="FF3D85C6"/>
        <color rgb="FF0B5394"/>
      </colorScale>
    </cfRule>
  </conditionalFormatting>
  <conditionalFormatting sqref="J58:K58">
    <cfRule type="cellIs" dxfId="21" priority="9" operator="greaterThan">
      <formula>38</formula>
    </cfRule>
  </conditionalFormatting>
  <conditionalFormatting sqref="I49 I54:I55 I58">
    <cfRule type="colorScale" priority="10">
      <colorScale>
        <cfvo type="min"/>
        <cfvo type="formula" val="55"/>
        <cfvo type="max"/>
        <color rgb="FFFFFFFF"/>
        <color rgb="FF3D85C6"/>
        <color rgb="FF0B5394"/>
      </colorScale>
    </cfRule>
  </conditionalFormatting>
  <conditionalFormatting sqref="I49 I54:I55 I58">
    <cfRule type="cellIs" dxfId="21" priority="11" operator="greaterThan">
      <formula>50</formula>
    </cfRule>
  </conditionalFormatting>
  <conditionalFormatting sqref="B1 B54:B55 B58">
    <cfRule type="containsText" dxfId="3" priority="12" operator="containsText" text="OpenAI">
      <formula>NOT(ISERROR(SEARCH(("OpenAI"),(B1))))</formula>
    </cfRule>
  </conditionalFormatting>
  <conditionalFormatting sqref="B1 B54:B55 B58">
    <cfRule type="expression" dxfId="4" priority="13">
      <formula>regexmatch(B1,"Google|DeepMind")</formula>
    </cfRule>
  </conditionalFormatting>
  <conditionalFormatting sqref="B1 B54:B55 B58">
    <cfRule type="containsText" dxfId="5" priority="14" operator="containsText" text="Microsoft">
      <formula>NOT(ISERROR(SEARCH(("Microsoft"),(B1))))</formula>
    </cfRule>
  </conditionalFormatting>
  <conditionalFormatting sqref="B1 B54:B55 B58">
    <cfRule type="containsText" dxfId="6" priority="15" operator="containsText" text="Stability">
      <formula>NOT(ISERROR(SEARCH(("Stability"),(B1))))</formula>
    </cfRule>
  </conditionalFormatting>
  <conditionalFormatting sqref="B1 B54:B55 B58">
    <cfRule type="containsText" dxfId="7" priority="16" operator="containsText" text="Mistral">
      <formula>NOT(ISERROR(SEARCH(("Mistral"),(B1))))</formula>
    </cfRule>
  </conditionalFormatting>
  <conditionalFormatting sqref="B1 B54:B55 B58">
    <cfRule type="containsText" dxfId="8" priority="17" operator="containsText" text="Meta">
      <formula>NOT(ISERROR(SEARCH(("Meta"),(B1))))</formula>
    </cfRule>
  </conditionalFormatting>
  <conditionalFormatting sqref="B1 B54:B55 B58">
    <cfRule type="expression" dxfId="9" priority="18">
      <formula>regexmatch(B1,"01|360|AiWaves|Alibaba|Bai|BAAI|Byte|cn|DeepSeek|Fudan|Hua|iFly|Kunlun|Sense|Tencent|Tsing|Wechat|Wenge|zh")</formula>
    </cfRule>
  </conditionalFormatting>
  <conditionalFormatting sqref="B1 B54:B55 B58">
    <cfRule type="containsText" dxfId="10" priority="19" operator="containsText" text="Apple">
      <formula>NOT(ISERROR(SEARCH(("Apple"),(B1))))</formula>
    </cfRule>
  </conditionalFormatting>
  <conditionalFormatting sqref="B1 B54:B55 B58">
    <cfRule type="containsText" dxfId="11" priority="20" operator="containsText" text="Amazon">
      <formula>NOT(ISERROR(SEARCH(("Amazon"),(B1))))</formula>
    </cfRule>
  </conditionalFormatting>
  <conditionalFormatting sqref="B1 B54:B55 B58">
    <cfRule type="containsText" dxfId="12" priority="21" operator="containsText" text="xAI">
      <formula>NOT(ISERROR(SEARCH(("xAI"),(B1))))</formula>
    </cfRule>
  </conditionalFormatting>
  <conditionalFormatting sqref="B1 B54:B55 B58">
    <cfRule type="containsText" dxfId="13" priority="22" operator="containsText" text="NVIDIA">
      <formula>NOT(ISERROR(SEARCH(("NVIDIA"),(B1))))</formula>
    </cfRule>
  </conditionalFormatting>
  <conditionalFormatting sqref="B1 B54:B55 B58">
    <cfRule type="containsText" dxfId="14" priority="23" operator="containsText" text="Anthropic">
      <formula>NOT(ISERROR(SEARCH(("Anthropic"),(B1))))</formula>
    </cfRule>
  </conditionalFormatting>
  <dataValidations>
    <dataValidation type="list" allowBlank="1" showErrorMessage="1" sqref="J3:J57">
      <formula1>"0,1,2,3,4,5"</formula1>
    </dataValidation>
  </dataValidations>
  <hyperlinks>
    <hyperlink r:id="rId1" ref="B1"/>
    <hyperlink r:id="rId2" ref="H1"/>
    <hyperlink r:id="rId3" ref="M1"/>
    <hyperlink r:id="rId4" ref="N3"/>
    <hyperlink r:id="rId5" ref="O3"/>
    <hyperlink r:id="rId6" ref="P3"/>
    <hyperlink r:id="rId7" ref="N4"/>
    <hyperlink r:id="rId8" ref="O4"/>
    <hyperlink r:id="rId9" ref="M5"/>
    <hyperlink r:id="rId10" ref="N5"/>
    <hyperlink r:id="rId11" ref="O5"/>
    <hyperlink r:id="rId12" ref="N6"/>
    <hyperlink r:id="rId13" ref="P6"/>
    <hyperlink r:id="rId14" ref="N7"/>
    <hyperlink r:id="rId15" ref="N8"/>
    <hyperlink r:id="rId16" ref="O9"/>
    <hyperlink r:id="rId17" ref="P11"/>
    <hyperlink r:id="rId18" ref="N12"/>
    <hyperlink r:id="rId19" ref="O12"/>
    <hyperlink r:id="rId20" ref="N13"/>
    <hyperlink r:id="rId21" ref="O13"/>
    <hyperlink r:id="rId22" ref="O14"/>
    <hyperlink r:id="rId23" ref="P14"/>
    <hyperlink r:id="rId24" ref="O15"/>
    <hyperlink r:id="rId25" location="dataset" ref="P16"/>
    <hyperlink r:id="rId26" ref="N17"/>
    <hyperlink r:id="rId27" ref="O17"/>
    <hyperlink r:id="rId28" ref="O18"/>
    <hyperlink r:id="rId29" ref="O19"/>
    <hyperlink r:id="rId30" ref="N20"/>
    <hyperlink r:id="rId31" ref="O20"/>
    <hyperlink r:id="rId32" ref="N21"/>
    <hyperlink r:id="rId33" ref="N22"/>
    <hyperlink r:id="rId34" location="dataset" ref="M23"/>
    <hyperlink r:id="rId35" ref="N24"/>
    <hyperlink r:id="rId36" ref="O24"/>
    <hyperlink r:id="rId37" ref="N25"/>
    <hyperlink r:id="rId38" ref="O25"/>
    <hyperlink r:id="rId39" ref="O26"/>
    <hyperlink r:id="rId40" ref="O27"/>
    <hyperlink r:id="rId41" ref="N28"/>
    <hyperlink r:id="rId42" ref="O28"/>
    <hyperlink r:id="rId43" location="dataset" ref="P29"/>
    <hyperlink r:id="rId44" ref="O30"/>
    <hyperlink r:id="rId45" ref="N31"/>
    <hyperlink r:id="rId46" location="dataset" ref="P32"/>
    <hyperlink r:id="rId47" ref="N33"/>
    <hyperlink r:id="rId48" ref="O33"/>
    <hyperlink r:id="rId49" ref="M34"/>
    <hyperlink r:id="rId50" ref="N35"/>
    <hyperlink r:id="rId51" ref="O35"/>
    <hyperlink r:id="rId52" ref="N36"/>
    <hyperlink r:id="rId53" ref="O36"/>
    <hyperlink r:id="rId54" ref="O39"/>
    <hyperlink r:id="rId55" ref="O40"/>
    <hyperlink r:id="rId56" ref="M41"/>
    <hyperlink r:id="rId57" ref="N42"/>
    <hyperlink r:id="rId58" ref="N43"/>
    <hyperlink r:id="rId59" ref="O43"/>
    <hyperlink r:id="rId60" ref="N44"/>
    <hyperlink r:id="rId61" ref="O44"/>
    <hyperlink r:id="rId62" ref="O45"/>
    <hyperlink r:id="rId63" ref="M46"/>
    <hyperlink r:id="rId64" ref="N46"/>
    <hyperlink r:id="rId65" ref="M47"/>
    <hyperlink r:id="rId66" ref="N48"/>
    <hyperlink r:id="rId67" ref="O48"/>
    <hyperlink r:id="rId68" ref="P48"/>
    <hyperlink r:id="rId69" ref="M49"/>
    <hyperlink r:id="rId70" ref="N49"/>
    <hyperlink r:id="rId71" ref="N50"/>
    <hyperlink r:id="rId72" ref="O50"/>
    <hyperlink r:id="rId73" location="dataset" ref="M51"/>
    <hyperlink r:id="rId74" ref="N53"/>
    <hyperlink r:id="rId75" ref="O53"/>
    <hyperlink r:id="rId76" ref="O54"/>
    <hyperlink r:id="rId77" ref="O55"/>
    <hyperlink display="About this sheet" location="About!A1" ref="A58"/>
    <hyperlink display="About this sheet" location="About!A1" ref="P58"/>
  </hyperlinks>
  <drawing r:id="rId78"/>
  <tableParts count="2">
    <tablePart r:id="rId81"/>
    <tablePart r:id="rId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9.25"/>
    <col customWidth="1" min="2" max="2" width="53.88"/>
    <col customWidth="1" min="3" max="3" width="8.38"/>
    <col customWidth="1" min="4" max="4" width="8.0"/>
    <col customWidth="1" min="5" max="5" width="13.5"/>
    <col customWidth="1" min="6" max="6" width="16.25"/>
    <col customWidth="1" min="7" max="7" width="15.13"/>
    <col customWidth="1" min="8" max="8" width="11.0"/>
    <col customWidth="1" min="9" max="9" width="8.75"/>
    <col customWidth="1" min="10" max="10" width="137.5"/>
    <col customWidth="1" min="11" max="11" width="4.88"/>
  </cols>
  <sheetData>
    <row r="1">
      <c r="A1" s="1062" t="s">
        <v>2888</v>
      </c>
      <c r="B1" s="1062" t="s">
        <v>2889</v>
      </c>
      <c r="C1" s="1063" t="s">
        <v>2890</v>
      </c>
      <c r="D1" s="1064" t="s">
        <v>2891</v>
      </c>
      <c r="E1" s="1064" t="s">
        <v>2892</v>
      </c>
      <c r="F1" s="1062" t="s">
        <v>2893</v>
      </c>
      <c r="G1" s="1065" t="s">
        <v>2894</v>
      </c>
      <c r="H1" s="1064" t="s">
        <v>2895</v>
      </c>
      <c r="I1" s="1064" t="s">
        <v>2896</v>
      </c>
      <c r="J1" s="1066" t="s">
        <v>2897</v>
      </c>
      <c r="K1" s="1066"/>
    </row>
    <row r="2" ht="37.5" customHeight="1">
      <c r="A2" s="1067" t="s">
        <v>2898</v>
      </c>
      <c r="B2" s="1068" t="s">
        <v>2899</v>
      </c>
      <c r="C2" s="1069" t="s">
        <v>2900</v>
      </c>
      <c r="D2" s="1070">
        <v>50.0</v>
      </c>
      <c r="E2" s="1070" t="s">
        <v>2901</v>
      </c>
      <c r="F2" s="1071" t="s">
        <v>443</v>
      </c>
      <c r="G2" s="1072">
        <v>45839.0</v>
      </c>
      <c r="H2" s="1070" t="s">
        <v>2901</v>
      </c>
      <c r="I2" s="1073" t="s">
        <v>2902</v>
      </c>
      <c r="J2" s="1074" t="s">
        <v>2903</v>
      </c>
      <c r="K2" s="1075"/>
    </row>
    <row r="3" ht="37.5" customHeight="1">
      <c r="A3" s="1067" t="s">
        <v>2904</v>
      </c>
      <c r="B3" s="1068" t="s">
        <v>2905</v>
      </c>
      <c r="C3" s="1069"/>
      <c r="D3" s="1070"/>
      <c r="E3" s="1070" t="s">
        <v>2901</v>
      </c>
      <c r="F3" s="1071" t="s">
        <v>1324</v>
      </c>
      <c r="G3" s="1072">
        <v>45809.0</v>
      </c>
      <c r="H3" s="1070" t="s">
        <v>2901</v>
      </c>
      <c r="I3" s="1073" t="s">
        <v>2902</v>
      </c>
      <c r="J3" s="1074" t="s">
        <v>2906</v>
      </c>
      <c r="K3" s="1075"/>
    </row>
    <row r="4" ht="37.5" customHeight="1">
      <c r="A4" s="1067" t="s">
        <v>2907</v>
      </c>
      <c r="B4" s="1068" t="s">
        <v>2908</v>
      </c>
      <c r="C4" s="1069" t="s">
        <v>2909</v>
      </c>
      <c r="D4" s="1070">
        <v>81.7</v>
      </c>
      <c r="E4" s="1070" t="s">
        <v>2901</v>
      </c>
      <c r="F4" s="1071" t="s">
        <v>2910</v>
      </c>
      <c r="G4" s="1072">
        <v>45809.0</v>
      </c>
      <c r="H4" s="1070" t="s">
        <v>2901</v>
      </c>
      <c r="I4" s="1073" t="s">
        <v>2902</v>
      </c>
      <c r="J4" s="1074" t="s">
        <v>2911</v>
      </c>
      <c r="K4" s="1075"/>
    </row>
    <row r="5" ht="37.5" customHeight="1">
      <c r="A5" s="1067" t="s">
        <v>2912</v>
      </c>
      <c r="B5" s="1068" t="s">
        <v>2913</v>
      </c>
      <c r="C5" s="1069" t="s">
        <v>2914</v>
      </c>
      <c r="D5" s="1070">
        <v>34.0</v>
      </c>
      <c r="E5" s="1070" t="s">
        <v>2901</v>
      </c>
      <c r="F5" s="1071" t="s">
        <v>852</v>
      </c>
      <c r="G5" s="1072">
        <v>45778.0</v>
      </c>
      <c r="H5" s="1070" t="s">
        <v>2901</v>
      </c>
      <c r="I5" s="1073" t="s">
        <v>2902</v>
      </c>
      <c r="J5" s="1074" t="s">
        <v>2915</v>
      </c>
      <c r="K5" s="1075"/>
    </row>
    <row r="6" ht="37.5" customHeight="1">
      <c r="A6" s="1067" t="s">
        <v>2916</v>
      </c>
      <c r="B6" s="1068" t="s">
        <v>2917</v>
      </c>
      <c r="C6" s="1069" t="s">
        <v>2918</v>
      </c>
      <c r="D6" s="1070">
        <v>56.0</v>
      </c>
      <c r="E6" s="1070" t="s">
        <v>2901</v>
      </c>
      <c r="F6" s="1071" t="s">
        <v>2919</v>
      </c>
      <c r="G6" s="1072">
        <v>45778.0</v>
      </c>
      <c r="H6" s="1070" t="s">
        <v>2901</v>
      </c>
      <c r="I6" s="1073" t="s">
        <v>2902</v>
      </c>
      <c r="J6" s="1074" t="s">
        <v>2920</v>
      </c>
      <c r="K6" s="1075"/>
    </row>
    <row r="7" ht="37.5" customHeight="1">
      <c r="A7" s="1067" t="s">
        <v>2921</v>
      </c>
      <c r="B7" s="1068" t="s">
        <v>2922</v>
      </c>
      <c r="C7" s="1069" t="s">
        <v>2923</v>
      </c>
      <c r="D7" s="1070">
        <v>50.0</v>
      </c>
      <c r="E7" s="1070" t="s">
        <v>2901</v>
      </c>
      <c r="F7" s="1071" t="s">
        <v>2924</v>
      </c>
      <c r="G7" s="1072">
        <v>45748.0</v>
      </c>
      <c r="H7" s="1070" t="s">
        <v>2901</v>
      </c>
      <c r="I7" s="1073" t="s">
        <v>2902</v>
      </c>
      <c r="J7" s="1074" t="s">
        <v>2925</v>
      </c>
      <c r="K7" s="1075"/>
    </row>
    <row r="8" ht="37.5" customHeight="1">
      <c r="A8" s="1067" t="s">
        <v>2926</v>
      </c>
      <c r="B8" s="1068" t="s">
        <v>2927</v>
      </c>
      <c r="C8" s="1069" t="s">
        <v>2928</v>
      </c>
      <c r="D8" s="1070">
        <v>27.0</v>
      </c>
      <c r="E8" s="1070" t="s">
        <v>2901</v>
      </c>
      <c r="F8" s="1071" t="s">
        <v>608</v>
      </c>
      <c r="G8" s="1072">
        <v>45717.0</v>
      </c>
      <c r="H8" s="1070" t="s">
        <v>2901</v>
      </c>
      <c r="I8" s="1073" t="s">
        <v>2902</v>
      </c>
      <c r="J8" s="1074" t="s">
        <v>2929</v>
      </c>
      <c r="K8" s="1075"/>
    </row>
    <row r="9" ht="37.5" customHeight="1">
      <c r="A9" s="1067" t="s">
        <v>2930</v>
      </c>
      <c r="B9" s="1068" t="s">
        <v>2931</v>
      </c>
      <c r="C9" s="1069" t="s">
        <v>2622</v>
      </c>
      <c r="D9" s="1070"/>
      <c r="E9" s="1070" t="s">
        <v>2901</v>
      </c>
      <c r="F9" s="1071" t="s">
        <v>2765</v>
      </c>
      <c r="G9" s="1072">
        <v>45717.0</v>
      </c>
      <c r="H9" s="1070" t="s">
        <v>2901</v>
      </c>
      <c r="I9" s="1073" t="s">
        <v>2902</v>
      </c>
      <c r="J9" s="1074" t="s">
        <v>2932</v>
      </c>
      <c r="K9" s="1075"/>
    </row>
    <row r="10" ht="37.5" customHeight="1">
      <c r="A10" s="1067" t="s">
        <v>2933</v>
      </c>
      <c r="B10" s="1068" t="s">
        <v>2934</v>
      </c>
      <c r="C10" s="1069" t="s">
        <v>2622</v>
      </c>
      <c r="D10" s="1070"/>
      <c r="E10" s="1070" t="s">
        <v>2901</v>
      </c>
      <c r="F10" s="1071" t="s">
        <v>1324</v>
      </c>
      <c r="G10" s="1072">
        <v>45658.0</v>
      </c>
      <c r="H10" s="1070" t="s">
        <v>2901</v>
      </c>
      <c r="I10" s="1073" t="s">
        <v>2902</v>
      </c>
      <c r="J10" s="1074" t="s">
        <v>2935</v>
      </c>
      <c r="K10" s="1075"/>
    </row>
    <row r="11" ht="37.5" customHeight="1">
      <c r="A11" s="1067" t="s">
        <v>2936</v>
      </c>
      <c r="B11" s="1068" t="s">
        <v>2937</v>
      </c>
      <c r="C11" s="1069" t="s">
        <v>2938</v>
      </c>
      <c r="D11" s="1070">
        <v>40.63</v>
      </c>
      <c r="E11" s="1070" t="s">
        <v>2901</v>
      </c>
      <c r="F11" s="1071" t="s">
        <v>852</v>
      </c>
      <c r="G11" s="1072">
        <v>45536.0</v>
      </c>
      <c r="H11" s="1070" t="s">
        <v>2901</v>
      </c>
      <c r="I11" s="1073" t="s">
        <v>2902</v>
      </c>
      <c r="J11" s="1074" t="s">
        <v>2939</v>
      </c>
      <c r="K11" s="1075"/>
    </row>
    <row r="12" ht="37.5" customHeight="1">
      <c r="A12" s="1067" t="s">
        <v>2940</v>
      </c>
      <c r="B12" s="1068" t="s">
        <v>2941</v>
      </c>
      <c r="C12" s="1069" t="s">
        <v>2622</v>
      </c>
      <c r="D12" s="1070"/>
      <c r="E12" s="1070" t="s">
        <v>2901</v>
      </c>
      <c r="F12" s="1071" t="s">
        <v>2765</v>
      </c>
      <c r="G12" s="1072">
        <v>45505.0</v>
      </c>
      <c r="H12" s="1070" t="s">
        <v>2901</v>
      </c>
      <c r="I12" s="1073" t="s">
        <v>2902</v>
      </c>
      <c r="J12" s="1074" t="s">
        <v>2942</v>
      </c>
      <c r="K12" s="1075"/>
    </row>
    <row r="13" ht="37.5" customHeight="1">
      <c r="A13" s="1067" t="s">
        <v>2943</v>
      </c>
      <c r="B13" s="1068" t="s">
        <v>2944</v>
      </c>
      <c r="C13" s="1069" t="s">
        <v>2945</v>
      </c>
      <c r="D13" s="1070"/>
      <c r="E13" s="1070" t="s">
        <v>2901</v>
      </c>
      <c r="F13" s="1071" t="s">
        <v>2765</v>
      </c>
      <c r="G13" s="1072">
        <v>45505.0</v>
      </c>
      <c r="H13" s="1070" t="s">
        <v>2901</v>
      </c>
      <c r="I13" s="1073" t="s">
        <v>2902</v>
      </c>
      <c r="J13" s="1074" t="s">
        <v>2946</v>
      </c>
      <c r="K13" s="1075"/>
    </row>
    <row r="14" ht="37.5" customHeight="1">
      <c r="A14" s="1067" t="s">
        <v>2947</v>
      </c>
      <c r="B14" s="1068" t="s">
        <v>2948</v>
      </c>
      <c r="C14" s="1069" t="s">
        <v>2622</v>
      </c>
      <c r="D14" s="1070"/>
      <c r="E14" s="1070" t="s">
        <v>2901</v>
      </c>
      <c r="F14" s="1071" t="s">
        <v>2949</v>
      </c>
      <c r="G14" s="1072">
        <v>45474.0</v>
      </c>
      <c r="H14" s="1070" t="s">
        <v>2901</v>
      </c>
      <c r="I14" s="1073" t="s">
        <v>2902</v>
      </c>
      <c r="J14" s="1074" t="s">
        <v>2950</v>
      </c>
      <c r="K14" s="1075"/>
    </row>
    <row r="15" ht="37.5" customHeight="1">
      <c r="A15" s="1067" t="s">
        <v>2951</v>
      </c>
      <c r="B15" s="1068" t="s">
        <v>2952</v>
      </c>
      <c r="C15" s="1069" t="s">
        <v>2622</v>
      </c>
      <c r="D15" s="1070"/>
      <c r="E15" s="1070" t="s">
        <v>2901</v>
      </c>
      <c r="F15" s="1071" t="s">
        <v>1555</v>
      </c>
      <c r="G15" s="1072">
        <v>45444.0</v>
      </c>
      <c r="H15" s="1070" t="s">
        <v>2953</v>
      </c>
      <c r="I15" s="1073" t="s">
        <v>2902</v>
      </c>
      <c r="J15" s="1074" t="s">
        <v>2954</v>
      </c>
      <c r="K15" s="1075"/>
    </row>
    <row r="16" ht="37.5" customHeight="1">
      <c r="A16" s="1067" t="s">
        <v>2955</v>
      </c>
      <c r="B16" s="1068" t="s">
        <v>2956</v>
      </c>
      <c r="C16" s="1069" t="s">
        <v>2957</v>
      </c>
      <c r="D16" s="1070">
        <v>52.71</v>
      </c>
      <c r="E16" s="1070" t="s">
        <v>2901</v>
      </c>
      <c r="F16" s="1071" t="s">
        <v>2765</v>
      </c>
      <c r="G16" s="1072">
        <v>45413.0</v>
      </c>
      <c r="H16" s="1070" t="s">
        <v>2953</v>
      </c>
      <c r="I16" s="1073" t="s">
        <v>2902</v>
      </c>
      <c r="J16" s="1074" t="s">
        <v>2958</v>
      </c>
      <c r="K16" s="1075"/>
    </row>
    <row r="17" ht="37.5" customHeight="1">
      <c r="A17" s="1067" t="s">
        <v>2955</v>
      </c>
      <c r="B17" s="1068" t="s">
        <v>2959</v>
      </c>
      <c r="C17" s="1069" t="s">
        <v>2622</v>
      </c>
      <c r="D17" s="1070"/>
      <c r="E17" s="1070" t="s">
        <v>2901</v>
      </c>
      <c r="F17" s="1071" t="s">
        <v>2765</v>
      </c>
      <c r="G17" s="1072">
        <v>45413.0</v>
      </c>
      <c r="H17" s="1070" t="s">
        <v>2953</v>
      </c>
      <c r="I17" s="1073" t="s">
        <v>2902</v>
      </c>
      <c r="J17" s="1074" t="s">
        <v>2960</v>
      </c>
      <c r="K17" s="1075"/>
    </row>
    <row r="18" ht="37.5" customHeight="1">
      <c r="A18" s="1067" t="s">
        <v>2961</v>
      </c>
      <c r="B18" s="1068" t="s">
        <v>2962</v>
      </c>
      <c r="C18" s="1069" t="s">
        <v>2963</v>
      </c>
      <c r="D18" s="1070"/>
      <c r="E18" s="1070" t="s">
        <v>2901</v>
      </c>
      <c r="F18" s="1071" t="s">
        <v>2765</v>
      </c>
      <c r="G18" s="1072">
        <v>45383.0</v>
      </c>
      <c r="H18" s="1070" t="s">
        <v>2901</v>
      </c>
      <c r="I18" s="1073" t="s">
        <v>2902</v>
      </c>
      <c r="J18" s="1074" t="s">
        <v>2964</v>
      </c>
      <c r="K18" s="1075"/>
    </row>
    <row r="19" ht="37.5" customHeight="1">
      <c r="A19" s="1067" t="s">
        <v>2965</v>
      </c>
      <c r="B19" s="1068" t="s">
        <v>2966</v>
      </c>
      <c r="C19" s="1069" t="s">
        <v>2967</v>
      </c>
      <c r="D19" s="1070">
        <v>39.19</v>
      </c>
      <c r="E19" s="1070" t="s">
        <v>2901</v>
      </c>
      <c r="F19" s="1071" t="s">
        <v>2765</v>
      </c>
      <c r="G19" s="1072">
        <v>45383.0</v>
      </c>
      <c r="H19" s="1070" t="s">
        <v>2901</v>
      </c>
      <c r="I19" s="1073" t="s">
        <v>2902</v>
      </c>
      <c r="J19" s="1074" t="s">
        <v>2968</v>
      </c>
      <c r="K19" s="1075"/>
    </row>
    <row r="20" ht="37.5" customHeight="1">
      <c r="A20" s="1067" t="s">
        <v>2969</v>
      </c>
      <c r="B20" s="1068" t="s">
        <v>2970</v>
      </c>
      <c r="C20" s="1069" t="s">
        <v>2971</v>
      </c>
      <c r="D20" s="1070" t="s">
        <v>2972</v>
      </c>
      <c r="E20" s="1070" t="s">
        <v>2901</v>
      </c>
      <c r="F20" s="1071" t="s">
        <v>2765</v>
      </c>
      <c r="G20" s="1072">
        <v>45383.0</v>
      </c>
      <c r="H20" s="1070" t="s">
        <v>2901</v>
      </c>
      <c r="I20" s="1073" t="s">
        <v>2902</v>
      </c>
      <c r="J20" s="1074" t="s">
        <v>2973</v>
      </c>
      <c r="K20" s="1075"/>
    </row>
    <row r="21" ht="37.5" customHeight="1">
      <c r="A21" s="1067" t="s">
        <v>2974</v>
      </c>
      <c r="B21" s="1068" t="s">
        <v>2975</v>
      </c>
      <c r="C21" s="1069" t="s">
        <v>2622</v>
      </c>
      <c r="D21" s="1070"/>
      <c r="E21" s="1070" t="s">
        <v>2901</v>
      </c>
      <c r="F21" s="1071" t="s">
        <v>2765</v>
      </c>
      <c r="G21" s="1072">
        <v>45352.0</v>
      </c>
      <c r="H21" s="1070" t="s">
        <v>2901</v>
      </c>
      <c r="I21" s="1073" t="s">
        <v>2902</v>
      </c>
      <c r="J21" s="1074" t="s">
        <v>2976</v>
      </c>
      <c r="K21" s="1075"/>
    </row>
    <row r="22" ht="37.5" customHeight="1">
      <c r="A22" s="1067" t="s">
        <v>2977</v>
      </c>
      <c r="B22" s="1068" t="s">
        <v>2978</v>
      </c>
      <c r="C22" s="1069" t="s">
        <v>2622</v>
      </c>
      <c r="D22" s="1070"/>
      <c r="E22" s="1070" t="s">
        <v>2901</v>
      </c>
      <c r="F22" s="1071" t="s">
        <v>2765</v>
      </c>
      <c r="G22" s="1072">
        <v>45352.0</v>
      </c>
      <c r="H22" s="1070" t="s">
        <v>2901</v>
      </c>
      <c r="I22" s="1073" t="s">
        <v>2902</v>
      </c>
      <c r="J22" s="1074" t="s">
        <v>2979</v>
      </c>
      <c r="K22" s="1075"/>
    </row>
    <row r="23" ht="37.5" customHeight="1">
      <c r="A23" s="1067" t="s">
        <v>2980</v>
      </c>
      <c r="B23" s="1068" t="s">
        <v>2981</v>
      </c>
      <c r="C23" s="1069" t="s">
        <v>2622</v>
      </c>
      <c r="D23" s="1070"/>
      <c r="E23" s="1070" t="s">
        <v>2901</v>
      </c>
      <c r="F23" s="1071" t="s">
        <v>2765</v>
      </c>
      <c r="G23" s="1072">
        <v>45352.0</v>
      </c>
      <c r="H23" s="1070" t="s">
        <v>2901</v>
      </c>
      <c r="I23" s="1073" t="s">
        <v>2902</v>
      </c>
      <c r="J23" s="1074" t="s">
        <v>2982</v>
      </c>
      <c r="K23" s="1075"/>
    </row>
    <row r="24" ht="37.5" customHeight="1">
      <c r="A24" s="1067" t="s">
        <v>2983</v>
      </c>
      <c r="B24" s="1068" t="s">
        <v>2984</v>
      </c>
      <c r="C24" s="1069" t="s">
        <v>2622</v>
      </c>
      <c r="D24" s="1070"/>
      <c r="E24" s="1070" t="s">
        <v>2901</v>
      </c>
      <c r="F24" s="1071" t="s">
        <v>2765</v>
      </c>
      <c r="G24" s="1072">
        <v>45323.0</v>
      </c>
      <c r="H24" s="1070" t="s">
        <v>2953</v>
      </c>
      <c r="I24" s="1073" t="s">
        <v>2902</v>
      </c>
      <c r="J24" s="1074" t="s">
        <v>2985</v>
      </c>
      <c r="K24" s="1075"/>
    </row>
    <row r="25" ht="37.5" customHeight="1">
      <c r="A25" s="1067" t="s">
        <v>2986</v>
      </c>
      <c r="B25" s="1068" t="s">
        <v>2987</v>
      </c>
      <c r="C25" s="1069" t="s">
        <v>2622</v>
      </c>
      <c r="D25" s="1070"/>
      <c r="E25" s="1070" t="s">
        <v>2901</v>
      </c>
      <c r="F25" s="1071" t="s">
        <v>2765</v>
      </c>
      <c r="G25" s="1076">
        <v>45229.0</v>
      </c>
      <c r="H25" s="1070" t="s">
        <v>2901</v>
      </c>
      <c r="I25" s="1073" t="s">
        <v>2902</v>
      </c>
      <c r="J25" s="1074" t="s">
        <v>2988</v>
      </c>
      <c r="K25" s="1075"/>
    </row>
    <row r="26">
      <c r="A26" s="1067" t="s">
        <v>2989</v>
      </c>
      <c r="B26" s="1068" t="s">
        <v>2990</v>
      </c>
      <c r="C26" s="1069" t="s">
        <v>2622</v>
      </c>
      <c r="D26" s="1070"/>
      <c r="E26" s="1070" t="s">
        <v>2901</v>
      </c>
      <c r="F26" s="1071" t="s">
        <v>2765</v>
      </c>
      <c r="G26" s="1076">
        <v>45198.0</v>
      </c>
      <c r="H26" s="1070" t="s">
        <v>2901</v>
      </c>
      <c r="I26" s="1073" t="s">
        <v>2902</v>
      </c>
      <c r="J26" s="1074" t="s">
        <v>2991</v>
      </c>
      <c r="K26" s="1075"/>
    </row>
    <row r="27" ht="37.5" customHeight="1">
      <c r="A27" s="1067" t="s">
        <v>2951</v>
      </c>
      <c r="B27" s="1068" t="s">
        <v>2992</v>
      </c>
      <c r="C27" s="1069" t="s">
        <v>2622</v>
      </c>
      <c r="D27" s="1070"/>
      <c r="E27" s="1070" t="s">
        <v>2901</v>
      </c>
      <c r="F27" s="1071" t="s">
        <v>2949</v>
      </c>
      <c r="G27" s="1076">
        <v>45112.0</v>
      </c>
      <c r="H27" s="1070" t="s">
        <v>2953</v>
      </c>
      <c r="I27" s="1073" t="s">
        <v>2902</v>
      </c>
      <c r="J27" s="1074" t="s">
        <v>2993</v>
      </c>
      <c r="K27" s="1075"/>
    </row>
    <row r="28" ht="37.5" customHeight="1">
      <c r="A28" s="1067" t="s">
        <v>2994</v>
      </c>
      <c r="B28" s="1068" t="s">
        <v>2995</v>
      </c>
      <c r="C28" s="1069" t="s">
        <v>2622</v>
      </c>
      <c r="D28" s="1070"/>
      <c r="E28" s="1070" t="s">
        <v>2901</v>
      </c>
      <c r="F28" s="1071" t="s">
        <v>2765</v>
      </c>
      <c r="G28" s="1076">
        <v>45096.0</v>
      </c>
      <c r="H28" s="1070" t="s">
        <v>2901</v>
      </c>
      <c r="I28" s="1073" t="s">
        <v>2902</v>
      </c>
      <c r="J28" s="1074" t="s">
        <v>2996</v>
      </c>
      <c r="K28" s="1075"/>
    </row>
    <row r="29" ht="37.5" customHeight="1">
      <c r="A29" s="1067" t="s">
        <v>2997</v>
      </c>
      <c r="B29" s="1068" t="s">
        <v>2998</v>
      </c>
      <c r="C29" s="1069" t="s">
        <v>2622</v>
      </c>
      <c r="D29" s="1070"/>
      <c r="E29" s="1070" t="s">
        <v>2901</v>
      </c>
      <c r="F29" s="1071" t="s">
        <v>2949</v>
      </c>
      <c r="G29" s="1076">
        <v>45068.0</v>
      </c>
      <c r="H29" s="1070" t="s">
        <v>2901</v>
      </c>
      <c r="I29" s="1073" t="s">
        <v>2902</v>
      </c>
      <c r="J29" s="1074" t="s">
        <v>2999</v>
      </c>
      <c r="K29" s="1075"/>
    </row>
    <row r="30" ht="37.5" customHeight="1">
      <c r="A30" s="1067" t="s">
        <v>3000</v>
      </c>
      <c r="B30" s="1068" t="s">
        <v>3001</v>
      </c>
      <c r="C30" s="1069" t="s">
        <v>2622</v>
      </c>
      <c r="D30" s="1070"/>
      <c r="E30" s="1070" t="s">
        <v>2901</v>
      </c>
      <c r="F30" s="1071" t="s">
        <v>2949</v>
      </c>
      <c r="G30" s="1076">
        <v>45044.0</v>
      </c>
      <c r="H30" s="1070" t="s">
        <v>2901</v>
      </c>
      <c r="I30" s="1073" t="s">
        <v>2902</v>
      </c>
      <c r="J30" s="1074" t="s">
        <v>3002</v>
      </c>
      <c r="K30" s="1075"/>
    </row>
    <row r="31" ht="37.5" customHeight="1">
      <c r="A31" s="1067" t="s">
        <v>3003</v>
      </c>
      <c r="B31" s="1068" t="s">
        <v>3004</v>
      </c>
      <c r="C31" s="1069" t="s">
        <v>2622</v>
      </c>
      <c r="D31" s="1070"/>
      <c r="E31" s="1070" t="s">
        <v>2901</v>
      </c>
      <c r="F31" s="1071" t="s">
        <v>2949</v>
      </c>
      <c r="G31" s="1076">
        <v>45033.0</v>
      </c>
      <c r="H31" s="1070" t="s">
        <v>2953</v>
      </c>
      <c r="I31" s="1073" t="s">
        <v>2902</v>
      </c>
      <c r="J31" s="1074" t="s">
        <v>3005</v>
      </c>
      <c r="K31" s="1075"/>
    </row>
    <row r="32" ht="37.5" customHeight="1">
      <c r="A32" s="1067" t="s">
        <v>3006</v>
      </c>
      <c r="B32" s="1068" t="s">
        <v>3007</v>
      </c>
      <c r="C32" s="1069" t="s">
        <v>2928</v>
      </c>
      <c r="D32" s="1070">
        <v>74.4</v>
      </c>
      <c r="E32" s="1070" t="s">
        <v>2953</v>
      </c>
      <c r="F32" s="1071" t="s">
        <v>2765</v>
      </c>
      <c r="G32" s="1076">
        <v>45027.0</v>
      </c>
      <c r="H32" s="1070" t="s">
        <v>2953</v>
      </c>
      <c r="I32" s="1073" t="s">
        <v>2902</v>
      </c>
      <c r="J32" s="1074" t="s">
        <v>3008</v>
      </c>
      <c r="K32" s="1075"/>
    </row>
    <row r="33" ht="37.5" customHeight="1">
      <c r="A33" s="1067" t="s">
        <v>3009</v>
      </c>
      <c r="B33" s="1068" t="s">
        <v>3010</v>
      </c>
      <c r="C33" s="1069" t="s">
        <v>2622</v>
      </c>
      <c r="D33" s="1070"/>
      <c r="E33" s="1070" t="s">
        <v>2622</v>
      </c>
      <c r="F33" s="1071" t="s">
        <v>2949</v>
      </c>
      <c r="G33" s="1076">
        <v>45014.0</v>
      </c>
      <c r="H33" s="1070" t="s">
        <v>2953</v>
      </c>
      <c r="I33" s="1073" t="s">
        <v>2902</v>
      </c>
      <c r="J33" s="1074" t="s">
        <v>3011</v>
      </c>
      <c r="K33" s="1075"/>
    </row>
    <row r="34" ht="37.5" customHeight="1">
      <c r="A34" s="1067" t="s">
        <v>3012</v>
      </c>
      <c r="B34" s="1068" t="s">
        <v>3013</v>
      </c>
      <c r="C34" s="1069" t="s">
        <v>3014</v>
      </c>
      <c r="D34" s="1070"/>
      <c r="E34" s="1070" t="s">
        <v>2901</v>
      </c>
      <c r="F34" s="1071" t="s">
        <v>3015</v>
      </c>
      <c r="G34" s="1076">
        <v>44994.0</v>
      </c>
      <c r="H34" s="1070" t="s">
        <v>2901</v>
      </c>
      <c r="I34" s="1073" t="s">
        <v>2902</v>
      </c>
      <c r="J34" s="1074" t="s">
        <v>3016</v>
      </c>
      <c r="K34" s="1075"/>
    </row>
    <row r="35" ht="37.5" customHeight="1">
      <c r="A35" s="1067" t="s">
        <v>3017</v>
      </c>
      <c r="B35" s="1068" t="s">
        <v>3018</v>
      </c>
      <c r="C35" s="1069" t="s">
        <v>3019</v>
      </c>
      <c r="D35" s="1070"/>
      <c r="E35" s="1070" t="s">
        <v>2901</v>
      </c>
      <c r="F35" s="1071" t="s">
        <v>3015</v>
      </c>
      <c r="G35" s="1076">
        <v>44987.0</v>
      </c>
      <c r="H35" s="1070" t="s">
        <v>2953</v>
      </c>
      <c r="I35" s="1073" t="s">
        <v>2902</v>
      </c>
      <c r="J35" s="1074" t="s">
        <v>3020</v>
      </c>
      <c r="K35" s="1075"/>
    </row>
    <row r="36" ht="37.5" customHeight="1">
      <c r="A36" s="1067" t="s">
        <v>3021</v>
      </c>
      <c r="B36" s="1068" t="s">
        <v>3022</v>
      </c>
      <c r="C36" s="1069" t="s">
        <v>2622</v>
      </c>
      <c r="D36" s="1070"/>
      <c r="E36" s="1070" t="s">
        <v>2901</v>
      </c>
      <c r="F36" s="1071" t="s">
        <v>2949</v>
      </c>
      <c r="G36" s="1076">
        <v>44984.0</v>
      </c>
      <c r="H36" s="1070" t="s">
        <v>2953</v>
      </c>
      <c r="I36" s="1073" t="s">
        <v>2902</v>
      </c>
      <c r="J36" s="1074" t="s">
        <v>3023</v>
      </c>
      <c r="K36" s="1075"/>
    </row>
    <row r="37" ht="37.5" customHeight="1">
      <c r="A37" s="1067" t="s">
        <v>3024</v>
      </c>
      <c r="B37" s="1068" t="s">
        <v>3025</v>
      </c>
      <c r="C37" s="1069" t="s">
        <v>2622</v>
      </c>
      <c r="D37" s="1070"/>
      <c r="E37" s="1070" t="s">
        <v>2622</v>
      </c>
      <c r="F37" s="1071" t="s">
        <v>2949</v>
      </c>
      <c r="G37" s="1076">
        <v>44966.0</v>
      </c>
      <c r="H37" s="1070" t="s">
        <v>2953</v>
      </c>
      <c r="I37" s="1073" t="s">
        <v>2902</v>
      </c>
      <c r="J37" s="1077" t="s">
        <v>3026</v>
      </c>
      <c r="K37" s="1075"/>
    </row>
    <row r="38" ht="37.5" customHeight="1">
      <c r="A38" s="1067" t="s">
        <v>3027</v>
      </c>
      <c r="B38" s="1068" t="s">
        <v>3028</v>
      </c>
      <c r="C38" s="1069" t="s">
        <v>2622</v>
      </c>
      <c r="D38" s="1070"/>
      <c r="E38" s="1070" t="s">
        <v>2901</v>
      </c>
      <c r="F38" s="1071" t="s">
        <v>2949</v>
      </c>
      <c r="G38" s="1076">
        <v>44957.0</v>
      </c>
      <c r="H38" s="1070" t="s">
        <v>2953</v>
      </c>
      <c r="I38" s="1073" t="s">
        <v>2902</v>
      </c>
      <c r="J38" s="1078" t="s">
        <v>3029</v>
      </c>
      <c r="K38" s="1075"/>
    </row>
    <row r="39" ht="37.5" customHeight="1">
      <c r="A39" s="1067" t="s">
        <v>3009</v>
      </c>
      <c r="B39" s="1068" t="s">
        <v>3030</v>
      </c>
      <c r="C39" s="1069" t="s">
        <v>2622</v>
      </c>
      <c r="D39" s="1070"/>
      <c r="E39" s="1070" t="s">
        <v>2622</v>
      </c>
      <c r="F39" s="1071" t="s">
        <v>2949</v>
      </c>
      <c r="G39" s="1076">
        <v>44957.0</v>
      </c>
      <c r="H39" s="1070" t="s">
        <v>2953</v>
      </c>
      <c r="I39" s="1073" t="s">
        <v>2902</v>
      </c>
      <c r="J39" s="1078" t="s">
        <v>3031</v>
      </c>
      <c r="K39" s="1075"/>
    </row>
    <row r="40" ht="37.5" customHeight="1">
      <c r="A40" s="1067" t="s">
        <v>3032</v>
      </c>
      <c r="B40" s="1068" t="s">
        <v>3033</v>
      </c>
      <c r="C40" s="1069" t="s">
        <v>2622</v>
      </c>
      <c r="D40" s="1070"/>
      <c r="E40" s="1070" t="s">
        <v>2622</v>
      </c>
      <c r="F40" s="1071" t="s">
        <v>2949</v>
      </c>
      <c r="G40" s="1076">
        <v>44952.0</v>
      </c>
      <c r="H40" s="1070" t="s">
        <v>2901</v>
      </c>
      <c r="I40" s="1073" t="s">
        <v>2902</v>
      </c>
      <c r="J40" s="1078" t="s">
        <v>3034</v>
      </c>
      <c r="K40" s="1075"/>
    </row>
    <row r="41" ht="37.5" customHeight="1">
      <c r="A41" s="1067" t="s">
        <v>3035</v>
      </c>
      <c r="B41" s="1068" t="s">
        <v>3036</v>
      </c>
      <c r="C41" s="1069" t="s">
        <v>3037</v>
      </c>
      <c r="D41" s="1070"/>
      <c r="E41" s="1070" t="s">
        <v>2901</v>
      </c>
      <c r="F41" s="1071" t="s">
        <v>2949</v>
      </c>
      <c r="G41" s="1076">
        <v>44948.0</v>
      </c>
      <c r="H41" s="1070" t="s">
        <v>2901</v>
      </c>
      <c r="I41" s="1073" t="s">
        <v>2902</v>
      </c>
      <c r="J41" s="1075" t="s">
        <v>3038</v>
      </c>
      <c r="K41" s="1075"/>
    </row>
    <row r="42" ht="37.5" customHeight="1">
      <c r="A42" s="1067" t="s">
        <v>3039</v>
      </c>
      <c r="B42" s="1068" t="s">
        <v>3040</v>
      </c>
      <c r="C42" s="1069" t="s">
        <v>3041</v>
      </c>
      <c r="D42" s="1070"/>
      <c r="E42" s="1070" t="s">
        <v>2901</v>
      </c>
      <c r="F42" s="1079" t="s">
        <v>2315</v>
      </c>
      <c r="G42" s="1076">
        <v>44937.0</v>
      </c>
      <c r="H42" s="1070" t="s">
        <v>2901</v>
      </c>
      <c r="I42" s="1073" t="s">
        <v>2902</v>
      </c>
      <c r="J42" s="1075" t="s">
        <v>3042</v>
      </c>
      <c r="K42" s="1075"/>
    </row>
    <row r="43" ht="37.5" customHeight="1">
      <c r="A43" s="1067" t="s">
        <v>2951</v>
      </c>
      <c r="B43" s="1068" t="s">
        <v>3043</v>
      </c>
      <c r="C43" s="1080" t="s">
        <v>3044</v>
      </c>
      <c r="D43" s="1070"/>
      <c r="E43" s="1070" t="s">
        <v>2901</v>
      </c>
      <c r="F43" s="1079" t="s">
        <v>2315</v>
      </c>
      <c r="G43" s="1076">
        <v>44924.0</v>
      </c>
      <c r="H43" s="1070" t="s">
        <v>2901</v>
      </c>
      <c r="I43" s="1081" t="s">
        <v>2902</v>
      </c>
      <c r="J43" s="1082" t="s">
        <v>3045</v>
      </c>
      <c r="K43" s="1082"/>
    </row>
    <row r="44" ht="37.5" customHeight="1">
      <c r="A44" s="1071" t="s">
        <v>3000</v>
      </c>
      <c r="B44" s="1083" t="s">
        <v>3046</v>
      </c>
      <c r="C44" s="1084" t="s">
        <v>3047</v>
      </c>
      <c r="D44" s="1070"/>
      <c r="E44" s="1070" t="s">
        <v>2901</v>
      </c>
      <c r="F44" s="1071" t="s">
        <v>2949</v>
      </c>
      <c r="G44" s="1085">
        <v>44915.0</v>
      </c>
      <c r="H44" s="1086" t="s">
        <v>2901</v>
      </c>
      <c r="I44" s="1081" t="s">
        <v>2902</v>
      </c>
      <c r="J44" s="1071" t="s">
        <v>3048</v>
      </c>
      <c r="K44" s="1071"/>
    </row>
    <row r="45" ht="37.5" customHeight="1">
      <c r="A45" s="1067" t="s">
        <v>3049</v>
      </c>
      <c r="B45" s="1068" t="s">
        <v>3050</v>
      </c>
      <c r="C45" s="1080" t="s">
        <v>3051</v>
      </c>
      <c r="D45" s="1070"/>
      <c r="E45" s="1070" t="s">
        <v>2901</v>
      </c>
      <c r="F45" s="1079" t="s">
        <v>2315</v>
      </c>
      <c r="G45" s="1076">
        <v>44914.0</v>
      </c>
      <c r="H45" s="1070" t="s">
        <v>2901</v>
      </c>
      <c r="I45" s="1073" t="s">
        <v>2902</v>
      </c>
      <c r="J45" s="1079" t="s">
        <v>3052</v>
      </c>
      <c r="K45" s="1079"/>
    </row>
    <row r="46" ht="37.5" customHeight="1">
      <c r="A46" s="1067" t="s">
        <v>3053</v>
      </c>
      <c r="B46" s="1068" t="s">
        <v>3054</v>
      </c>
      <c r="C46" s="1080" t="s">
        <v>3055</v>
      </c>
      <c r="D46" s="1070"/>
      <c r="E46" s="1070" t="s">
        <v>2901</v>
      </c>
      <c r="F46" s="1079" t="s">
        <v>2949</v>
      </c>
      <c r="G46" s="1076">
        <v>44903.0</v>
      </c>
      <c r="H46" s="1070" t="s">
        <v>2953</v>
      </c>
      <c r="I46" s="1073" t="s">
        <v>2902</v>
      </c>
      <c r="J46" s="1087" t="s">
        <v>3056</v>
      </c>
      <c r="K46" s="1079"/>
    </row>
    <row r="47" ht="37.5" customHeight="1">
      <c r="A47" s="1067" t="s">
        <v>3057</v>
      </c>
      <c r="B47" s="1068" t="s">
        <v>3058</v>
      </c>
      <c r="C47" s="1080" t="s">
        <v>3059</v>
      </c>
      <c r="D47" s="1070"/>
      <c r="E47" s="1070" t="s">
        <v>2901</v>
      </c>
      <c r="F47" s="1079" t="s">
        <v>2949</v>
      </c>
      <c r="G47" s="1076">
        <v>44901.0</v>
      </c>
      <c r="H47" s="1070" t="s">
        <v>2953</v>
      </c>
      <c r="I47" s="1073" t="s">
        <v>2902</v>
      </c>
      <c r="J47" s="1079" t="s">
        <v>3060</v>
      </c>
      <c r="K47" s="1079"/>
    </row>
    <row r="48" ht="37.5" customHeight="1">
      <c r="A48" s="1067" t="s">
        <v>3061</v>
      </c>
      <c r="B48" s="1068" t="s">
        <v>3062</v>
      </c>
      <c r="C48" s="1080" t="s">
        <v>3063</v>
      </c>
      <c r="D48" s="1070"/>
      <c r="E48" s="1070" t="s">
        <v>2901</v>
      </c>
      <c r="F48" s="1079" t="s">
        <v>2949</v>
      </c>
      <c r="G48" s="1076">
        <v>44897.0</v>
      </c>
      <c r="H48" s="1070" t="s">
        <v>2953</v>
      </c>
      <c r="I48" s="1073" t="s">
        <v>2902</v>
      </c>
      <c r="J48" s="1079" t="s">
        <v>3064</v>
      </c>
      <c r="K48" s="1079"/>
    </row>
    <row r="49" ht="37.5" customHeight="1">
      <c r="A49" s="1067" t="s">
        <v>3065</v>
      </c>
      <c r="B49" s="1068" t="s">
        <v>3066</v>
      </c>
      <c r="C49" s="1080" t="s">
        <v>3067</v>
      </c>
      <c r="D49" s="1070"/>
      <c r="E49" s="1070" t="s">
        <v>2901</v>
      </c>
      <c r="F49" s="1079" t="s">
        <v>3068</v>
      </c>
      <c r="G49" s="1076">
        <v>44459.0</v>
      </c>
      <c r="H49" s="1070" t="s">
        <v>2953</v>
      </c>
      <c r="I49" s="1081" t="s">
        <v>2902</v>
      </c>
      <c r="J49" s="1079" t="s">
        <v>3069</v>
      </c>
      <c r="K49" s="1079"/>
    </row>
    <row r="50" ht="37.5" customHeight="1">
      <c r="A50" s="1067" t="s">
        <v>3070</v>
      </c>
      <c r="B50" s="1068" t="s">
        <v>3071</v>
      </c>
      <c r="C50" s="1080" t="s">
        <v>3072</v>
      </c>
      <c r="D50" s="1070"/>
      <c r="E50" s="1070" t="s">
        <v>2901</v>
      </c>
      <c r="F50" s="1079" t="s">
        <v>3068</v>
      </c>
      <c r="G50" s="1076">
        <v>44327.0</v>
      </c>
      <c r="H50" s="1070" t="s">
        <v>2953</v>
      </c>
      <c r="I50" s="1073" t="s">
        <v>2902</v>
      </c>
      <c r="J50" s="1079" t="s">
        <v>3073</v>
      </c>
      <c r="K50" s="1079"/>
    </row>
    <row r="51" ht="37.5" customHeight="1">
      <c r="A51" s="1067" t="s">
        <v>3065</v>
      </c>
      <c r="B51" s="1068" t="s">
        <v>3074</v>
      </c>
      <c r="C51" s="1080" t="s">
        <v>3075</v>
      </c>
      <c r="D51" s="1070"/>
      <c r="E51" s="1070" t="s">
        <v>2901</v>
      </c>
      <c r="F51" s="1079" t="s">
        <v>3068</v>
      </c>
      <c r="G51" s="1076">
        <v>44267.0</v>
      </c>
      <c r="H51" s="1070" t="s">
        <v>2953</v>
      </c>
      <c r="I51" s="1073" t="s">
        <v>2902</v>
      </c>
      <c r="J51" s="1082" t="s">
        <v>3076</v>
      </c>
      <c r="K51" s="1088"/>
    </row>
    <row r="52" ht="37.5" customHeight="1">
      <c r="A52" s="1067" t="s">
        <v>78</v>
      </c>
      <c r="B52" s="1068" t="s">
        <v>3077</v>
      </c>
      <c r="C52" s="1069" t="s">
        <v>3078</v>
      </c>
      <c r="D52" s="1070">
        <v>57.0</v>
      </c>
      <c r="E52" s="1070" t="s">
        <v>2901</v>
      </c>
      <c r="F52" s="1079" t="s">
        <v>3068</v>
      </c>
      <c r="G52" s="1089">
        <v>43979.0</v>
      </c>
      <c r="H52" s="1070" t="s">
        <v>2901</v>
      </c>
      <c r="I52" s="1073" t="s">
        <v>2902</v>
      </c>
      <c r="J52" s="1075" t="s">
        <v>3079</v>
      </c>
      <c r="K52" s="1090"/>
    </row>
    <row r="53" ht="37.5" customHeight="1">
      <c r="A53" s="1067"/>
      <c r="B53" s="1067"/>
      <c r="C53" s="1069"/>
      <c r="D53" s="1070"/>
      <c r="E53" s="1070"/>
      <c r="F53" s="1079"/>
      <c r="G53" s="1091"/>
      <c r="H53" s="1070"/>
      <c r="I53" s="1092"/>
      <c r="J53" s="1090"/>
      <c r="K53" s="1090"/>
    </row>
    <row r="54">
      <c r="A54" s="1067"/>
      <c r="C54" s="1093"/>
      <c r="F54" s="1094"/>
      <c r="G54" s="1095"/>
      <c r="H54" s="1096"/>
      <c r="I54" s="1097"/>
      <c r="J54" s="1088"/>
      <c r="K54" s="1090"/>
    </row>
    <row r="55">
      <c r="A55" s="1067"/>
      <c r="B55" s="1098" t="s">
        <v>3080</v>
      </c>
      <c r="C55" s="1099"/>
      <c r="D55" s="1100"/>
      <c r="E55" s="1100"/>
      <c r="F55" s="1101" t="s">
        <v>3081</v>
      </c>
      <c r="G55" s="1102"/>
      <c r="H55" s="1103"/>
      <c r="I55" s="1092"/>
      <c r="J55" s="1090"/>
      <c r="K55" s="1090"/>
    </row>
    <row r="56">
      <c r="A56" s="1067"/>
      <c r="B56" s="1098" t="s">
        <v>3082</v>
      </c>
      <c r="C56" s="1099"/>
      <c r="D56" s="1100"/>
      <c r="E56" s="1100"/>
      <c r="F56" s="1104"/>
      <c r="G56" s="1102"/>
      <c r="H56" s="1103"/>
      <c r="I56" s="1105"/>
      <c r="J56" s="1106"/>
      <c r="K56" s="1075"/>
    </row>
    <row r="57">
      <c r="A57" s="1067"/>
      <c r="B57" s="1067"/>
      <c r="C57" s="1069"/>
      <c r="D57" s="1107"/>
      <c r="E57" s="1107"/>
      <c r="F57" s="1067"/>
      <c r="G57" s="1108"/>
      <c r="H57" s="1107"/>
      <c r="I57" s="1092"/>
      <c r="J57" s="1090"/>
      <c r="K57" s="1090"/>
    </row>
    <row r="58">
      <c r="A58" s="1067"/>
      <c r="B58" s="1067"/>
      <c r="C58" s="1069"/>
      <c r="D58" s="1107"/>
      <c r="E58" s="1107"/>
      <c r="F58" s="1067"/>
      <c r="G58" s="1108"/>
      <c r="H58" s="1107"/>
      <c r="I58" s="1092"/>
      <c r="J58" s="1090"/>
      <c r="K58" s="1090"/>
    </row>
  </sheetData>
  <hyperlinks>
    <hyperlink r:id="rId1" ref="I2"/>
    <hyperlink r:id="rId2" ref="I3"/>
    <hyperlink r:id="rId3" ref="I4"/>
    <hyperlink r:id="rId4" ref="I5"/>
    <hyperlink r:id="rId5" ref="I6"/>
    <hyperlink r:id="rId6" ref="I7"/>
    <hyperlink r:id="rId7" ref="I8"/>
    <hyperlink r:id="rId8" ref="I9"/>
    <hyperlink r:id="rId9" ref="J9"/>
    <hyperlink r:id="rId10" ref="I10"/>
    <hyperlink r:id="rId11" ref="I11"/>
    <hyperlink r:id="rId12" ref="I12"/>
    <hyperlink r:id="rId13" ref="I13"/>
    <hyperlink r:id="rId14" ref="I14"/>
    <hyperlink r:id="rId15" ref="I15"/>
    <hyperlink r:id="rId16" ref="I16"/>
    <hyperlink r:id="rId17" ref="I17"/>
    <hyperlink r:id="rId18" ref="J17"/>
    <hyperlink r:id="rId19" ref="I18"/>
    <hyperlink r:id="rId20" ref="I19"/>
    <hyperlink r:id="rId21" ref="J19"/>
    <hyperlink r:id="rId22" ref="I20"/>
    <hyperlink r:id="rId23" ref="I21"/>
    <hyperlink r:id="rId24" ref="I22"/>
    <hyperlink r:id="rId25" ref="I23"/>
    <hyperlink r:id="rId26" ref="I24"/>
    <hyperlink r:id="rId27" location="Sec19" ref="I25"/>
    <hyperlink r:id="rId28" ref="I26"/>
    <hyperlink r:id="rId29" ref="J26"/>
    <hyperlink r:id="rId30" ref="I27"/>
    <hyperlink r:id="rId31" ref="I28"/>
    <hyperlink r:id="rId32" ref="I29"/>
    <hyperlink r:id="rId33" ref="J29"/>
    <hyperlink r:id="rId34" ref="I30"/>
    <hyperlink r:id="rId35" ref="I31"/>
    <hyperlink r:id="rId36" ref="I32"/>
    <hyperlink r:id="rId37" ref="J32"/>
    <hyperlink r:id="rId38" ref="I33"/>
    <hyperlink r:id="rId39" ref="I34"/>
    <hyperlink r:id="rId40" ref="I35"/>
    <hyperlink r:id="rId41" ref="I36"/>
    <hyperlink r:id="rId42" ref="I37"/>
    <hyperlink r:id="rId43" ref="I38"/>
    <hyperlink r:id="rId44" ref="J38"/>
    <hyperlink r:id="rId45" ref="I39"/>
    <hyperlink r:id="rId46" ref="J39"/>
    <hyperlink r:id="rId47" ref="I40"/>
    <hyperlink r:id="rId48" ref="J40"/>
    <hyperlink r:id="rId49" ref="I41"/>
    <hyperlink r:id="rId50" ref="I42"/>
    <hyperlink r:id="rId51" ref="I43"/>
    <hyperlink r:id="rId52" ref="I44"/>
    <hyperlink r:id="rId53" ref="I45"/>
    <hyperlink r:id="rId54" ref="J45"/>
    <hyperlink r:id="rId55" ref="I46"/>
    <hyperlink r:id="rId56" ref="I47"/>
    <hyperlink r:id="rId57" ref="I48"/>
    <hyperlink r:id="rId58" ref="I49"/>
    <hyperlink r:id="rId59" ref="I50"/>
    <hyperlink r:id="rId60" ref="I51"/>
    <hyperlink r:id="rId61" ref="I52"/>
    <hyperlink r:id="rId62" ref="F55"/>
  </hyperlinks>
  <printOptions gridLines="1" horizontalCentered="1"/>
  <pageMargins bottom="0.75" footer="0.0" header="0.0" left="0.7" right="0.7" top="0.75"/>
  <pageSetup fitToHeight="0" cellComments="atEnd" orientation="landscape" pageOrder="overThenDown"/>
  <drawing r:id="rId63"/>
  <tableParts count="1">
    <tablePart r:id="rId6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13.63"/>
    <col customWidth="1" min="2" max="2" width="13.0"/>
    <col customWidth="1" min="3" max="3" width="10.88"/>
    <col customWidth="1" min="4" max="4" width="14.13"/>
    <col customWidth="1" min="5" max="5" width="11.63"/>
    <col customWidth="1" min="6" max="6" width="20.5"/>
    <col customWidth="1" min="7" max="7" width="16.75"/>
    <col customWidth="1" min="8" max="9" width="16.5"/>
    <col customWidth="1" min="10" max="10" width="11.5"/>
    <col customWidth="1" min="11" max="11" width="3.63"/>
    <col customWidth="1" min="12" max="12" width="24.88"/>
    <col customWidth="1" min="13" max="20" width="39.25"/>
  </cols>
  <sheetData>
    <row r="1">
      <c r="A1" s="1109" t="s">
        <v>5</v>
      </c>
      <c r="B1" s="1110" t="s">
        <v>3083</v>
      </c>
      <c r="C1" s="1110" t="s">
        <v>3084</v>
      </c>
      <c r="D1" s="1111" t="s">
        <v>3085</v>
      </c>
      <c r="E1" s="1111" t="s">
        <v>3086</v>
      </c>
      <c r="F1" s="1111" t="s">
        <v>3087</v>
      </c>
      <c r="G1" s="1112" t="s">
        <v>3088</v>
      </c>
      <c r="H1" s="1111" t="s">
        <v>3089</v>
      </c>
      <c r="I1" s="1111" t="s">
        <v>3090</v>
      </c>
      <c r="J1" s="1113" t="s">
        <v>3091</v>
      </c>
      <c r="K1" s="1114"/>
      <c r="L1" s="1115" t="s">
        <v>3092</v>
      </c>
      <c r="M1" s="1116"/>
      <c r="N1" s="1116"/>
      <c r="O1" s="1116"/>
      <c r="P1" s="1116"/>
      <c r="Q1" s="1116"/>
      <c r="R1" s="1116"/>
      <c r="S1" s="1116"/>
      <c r="T1" s="1116"/>
    </row>
    <row r="2">
      <c r="A2" s="1117" t="s">
        <v>2570</v>
      </c>
      <c r="B2" s="1118">
        <v>43922.0</v>
      </c>
      <c r="C2" s="1119" t="s">
        <v>3093</v>
      </c>
      <c r="D2" s="1120">
        <v>130.0</v>
      </c>
      <c r="E2" s="1121">
        <v>10000.0</v>
      </c>
      <c r="F2" s="1122">
        <v>15.0</v>
      </c>
      <c r="G2" s="1123">
        <f>E2*14.8*24</f>
        <v>3552000</v>
      </c>
      <c r="H2" s="1124">
        <f t="shared" ref="H2:H10" si="1">SUM(G2*0.00011408)</f>
        <v>405.21216</v>
      </c>
      <c r="I2" s="1125" t="s">
        <v>3094</v>
      </c>
      <c r="J2" s="1126">
        <v>43.9</v>
      </c>
      <c r="K2" s="1127"/>
      <c r="L2" s="1128">
        <f t="shared" ref="L2:L3" si="2">SUM(G2*H19)</f>
        <v>8808960</v>
      </c>
      <c r="M2" s="1116"/>
      <c r="N2" s="1116"/>
      <c r="O2" s="1116"/>
      <c r="P2" s="1116"/>
      <c r="Q2" s="1116"/>
      <c r="R2" s="1116"/>
      <c r="S2" s="1116"/>
      <c r="T2" s="1116"/>
    </row>
    <row r="3">
      <c r="A3" s="1117" t="s">
        <v>3095</v>
      </c>
      <c r="B3" s="1118">
        <v>44927.0</v>
      </c>
      <c r="C3" s="1129" t="s">
        <v>3096</v>
      </c>
      <c r="D3" s="1125">
        <v>312.0</v>
      </c>
      <c r="E3" s="1130">
        <v>2048.0</v>
      </c>
      <c r="F3" s="1131">
        <v>21.0</v>
      </c>
      <c r="G3" s="1123">
        <f>E3*21*24</f>
        <v>1032192</v>
      </c>
      <c r="H3" s="1124">
        <f t="shared" si="1"/>
        <v>117.7524634</v>
      </c>
      <c r="I3" s="1125" t="s">
        <v>3097</v>
      </c>
      <c r="J3" s="1126">
        <v>63.4</v>
      </c>
      <c r="K3" s="1127"/>
      <c r="L3" s="1128">
        <f t="shared" si="2"/>
        <v>4056514.56</v>
      </c>
      <c r="M3" s="1116"/>
      <c r="N3" s="1116"/>
      <c r="O3" s="1116"/>
      <c r="P3" s="1116"/>
      <c r="Q3" s="1116"/>
      <c r="R3" s="1116"/>
      <c r="S3" s="1116"/>
      <c r="T3" s="1116"/>
    </row>
    <row r="4">
      <c r="A4" s="1117" t="s">
        <v>2083</v>
      </c>
      <c r="B4" s="1118">
        <v>45078.0</v>
      </c>
      <c r="C4" s="1132" t="s">
        <v>3096</v>
      </c>
      <c r="D4" s="1125">
        <v>312.0</v>
      </c>
      <c r="E4" s="1133">
        <v>2048.0</v>
      </c>
      <c r="F4" s="1134">
        <v>35.0</v>
      </c>
      <c r="G4" s="1121">
        <f t="shared" ref="G4:G5" si="3">E4*35*24</f>
        <v>1720320</v>
      </c>
      <c r="H4" s="1124">
        <f t="shared" si="1"/>
        <v>196.2541056</v>
      </c>
      <c r="I4" s="1125" t="s">
        <v>3098</v>
      </c>
      <c r="J4" s="1126">
        <v>68.0</v>
      </c>
      <c r="L4" s="1128">
        <f>SUM(G4*H20)</f>
        <v>6760857.6</v>
      </c>
      <c r="M4" s="1116"/>
      <c r="N4" s="1116"/>
      <c r="O4" s="1116"/>
      <c r="P4" s="1116"/>
      <c r="Q4" s="1116"/>
      <c r="R4" s="1116"/>
      <c r="S4" s="1116"/>
      <c r="T4" s="1116"/>
    </row>
    <row r="5">
      <c r="A5" s="1117" t="s">
        <v>2197</v>
      </c>
      <c r="B5" s="1118">
        <v>45017.0</v>
      </c>
      <c r="C5" s="1135" t="s">
        <v>3096</v>
      </c>
      <c r="D5" s="1136">
        <v>312.0</v>
      </c>
      <c r="E5" s="1137">
        <v>13760.0</v>
      </c>
      <c r="F5" s="1138">
        <v>48.0</v>
      </c>
      <c r="G5" s="1121">
        <f t="shared" si="3"/>
        <v>11558400</v>
      </c>
      <c r="H5" s="1124">
        <f t="shared" si="1"/>
        <v>1318.582272</v>
      </c>
      <c r="I5" s="1125" t="s">
        <v>3099</v>
      </c>
      <c r="J5" s="1139">
        <v>70.4</v>
      </c>
      <c r="K5" s="1140"/>
      <c r="L5" s="1128">
        <f>SUM(G5*H20)</f>
        <v>45424512</v>
      </c>
      <c r="M5" s="1116"/>
      <c r="N5" s="1116"/>
      <c r="O5" s="1116"/>
      <c r="P5" s="1116"/>
      <c r="Q5" s="1116"/>
      <c r="R5" s="1116"/>
      <c r="S5" s="1116"/>
      <c r="T5" s="1116"/>
    </row>
    <row r="6">
      <c r="A6" s="1117" t="s">
        <v>2765</v>
      </c>
      <c r="B6" s="1118">
        <v>44774.0</v>
      </c>
      <c r="C6" s="1141" t="s">
        <v>3096</v>
      </c>
      <c r="D6" s="1125">
        <v>312.0</v>
      </c>
      <c r="E6" s="1142">
        <v>25000.0</v>
      </c>
      <c r="F6" s="1143">
        <v>95.0</v>
      </c>
      <c r="G6" s="1123">
        <f>E6*95*24</f>
        <v>57000000</v>
      </c>
      <c r="H6" s="1124">
        <f t="shared" si="1"/>
        <v>6502.56</v>
      </c>
      <c r="I6" s="1125" t="s">
        <v>3100</v>
      </c>
      <c r="J6" s="1126">
        <v>86.4</v>
      </c>
      <c r="K6" s="1140"/>
      <c r="L6" s="1128">
        <f>SUM(G6*H20)</f>
        <v>224010000</v>
      </c>
      <c r="M6" s="1116"/>
      <c r="N6" s="1116"/>
      <c r="O6" s="1116"/>
      <c r="P6" s="1116"/>
      <c r="Q6" s="1116"/>
      <c r="R6" s="1116"/>
      <c r="S6" s="1116"/>
      <c r="T6" s="1116"/>
    </row>
    <row r="7">
      <c r="A7" s="1117" t="s">
        <v>3101</v>
      </c>
      <c r="B7" s="1118">
        <v>45231.0</v>
      </c>
      <c r="C7" s="1141" t="s">
        <v>3102</v>
      </c>
      <c r="D7" s="1120">
        <v>275.0</v>
      </c>
      <c r="E7" s="1130">
        <v>57000.0</v>
      </c>
      <c r="F7" s="1131">
        <v>100.0</v>
      </c>
      <c r="G7" s="1123">
        <f>E7*100*24</f>
        <v>136800000</v>
      </c>
      <c r="H7" s="1124">
        <f t="shared" si="1"/>
        <v>15606.144</v>
      </c>
      <c r="I7" s="1125" t="s">
        <v>3103</v>
      </c>
      <c r="J7" s="1126">
        <v>90.04</v>
      </c>
      <c r="K7" s="1144"/>
      <c r="L7" s="1128">
        <f t="shared" ref="L7:L8" si="4">SUM(G7*H22)</f>
        <v>440496000</v>
      </c>
      <c r="M7" s="1116"/>
      <c r="N7" s="1116"/>
      <c r="O7" s="1116"/>
      <c r="P7" s="1116"/>
      <c r="Q7" s="1116"/>
      <c r="R7" s="1116"/>
      <c r="S7" s="1116"/>
      <c r="T7" s="1116"/>
    </row>
    <row r="8">
      <c r="A8" s="1145" t="s">
        <v>1403</v>
      </c>
      <c r="B8" s="1118">
        <v>45383.0</v>
      </c>
      <c r="C8" s="1132" t="s">
        <v>3104</v>
      </c>
      <c r="D8" s="1125">
        <v>989.0</v>
      </c>
      <c r="E8" s="1146">
        <v>24576.0</v>
      </c>
      <c r="F8" s="1147" t="s">
        <v>3105</v>
      </c>
      <c r="G8" s="1142">
        <v>6300000.0</v>
      </c>
      <c r="H8" s="1124">
        <f t="shared" si="1"/>
        <v>718.704</v>
      </c>
      <c r="I8" s="1125" t="s">
        <v>3098</v>
      </c>
      <c r="J8" s="1126">
        <v>82.0</v>
      </c>
      <c r="K8" s="1148"/>
      <c r="L8" s="1128">
        <f t="shared" si="4"/>
        <v>7560000</v>
      </c>
      <c r="M8" s="1116"/>
      <c r="N8" s="1116"/>
      <c r="O8" s="1116"/>
      <c r="P8" s="1116"/>
      <c r="Q8" s="1116"/>
      <c r="R8" s="1116"/>
      <c r="S8" s="1116"/>
      <c r="T8" s="1116"/>
    </row>
    <row r="9">
      <c r="A9" s="1117" t="s">
        <v>3106</v>
      </c>
      <c r="B9" s="1118">
        <v>45383.0</v>
      </c>
      <c r="C9" s="1132" t="s">
        <v>3104</v>
      </c>
      <c r="D9" s="1125">
        <v>989.0</v>
      </c>
      <c r="E9" s="1146">
        <v>24576.0</v>
      </c>
      <c r="F9" s="1149">
        <v>50.0</v>
      </c>
      <c r="G9" s="1142">
        <f>E9*50*24</f>
        <v>29491200</v>
      </c>
      <c r="H9" s="1124">
        <f t="shared" si="1"/>
        <v>3364.356096</v>
      </c>
      <c r="I9" s="1125" t="s">
        <v>3107</v>
      </c>
      <c r="J9" s="1126">
        <v>88.6</v>
      </c>
      <c r="K9" s="1148"/>
      <c r="L9" s="1150">
        <f>SUM(G9*H21)</f>
        <v>125337600</v>
      </c>
      <c r="M9" s="1116"/>
      <c r="N9" s="1116"/>
      <c r="O9" s="1116"/>
      <c r="P9" s="1116"/>
      <c r="Q9" s="1116"/>
      <c r="R9" s="1116"/>
      <c r="S9" s="1116"/>
      <c r="T9" s="1116"/>
    </row>
    <row r="10">
      <c r="A10" s="1117" t="s">
        <v>205</v>
      </c>
      <c r="B10" s="1151">
        <v>45352.0</v>
      </c>
      <c r="C10" s="1132" t="s">
        <v>3104</v>
      </c>
      <c r="D10" s="1125">
        <v>989.0</v>
      </c>
      <c r="E10" s="1152">
        <v>50000.0</v>
      </c>
      <c r="F10" s="1153">
        <v>120.0</v>
      </c>
      <c r="G10" s="1123">
        <f>E10*120*24</f>
        <v>144000000</v>
      </c>
      <c r="H10" s="1124">
        <f t="shared" si="1"/>
        <v>16427.52</v>
      </c>
      <c r="I10" s="1154" t="s">
        <v>3108</v>
      </c>
      <c r="J10" s="1155"/>
      <c r="K10" s="1144"/>
      <c r="L10" s="1150">
        <f t="shared" ref="L10:L11" si="5">SUM(G10*H21)</f>
        <v>612000000</v>
      </c>
      <c r="M10" s="1116"/>
      <c r="N10" s="1116"/>
      <c r="O10" s="1116"/>
      <c r="P10" s="1116"/>
      <c r="Q10" s="1116"/>
      <c r="R10" s="1116"/>
      <c r="S10" s="1116"/>
      <c r="T10" s="1116"/>
    </row>
    <row r="11">
      <c r="A11" s="1117" t="s">
        <v>3109</v>
      </c>
      <c r="B11" s="1151">
        <v>45505.0</v>
      </c>
      <c r="C11" s="1132" t="s">
        <v>3104</v>
      </c>
      <c r="D11" s="1125">
        <v>989.0</v>
      </c>
      <c r="E11" s="1156"/>
      <c r="F11" s="1157"/>
      <c r="G11" s="1156"/>
      <c r="H11" s="1158"/>
      <c r="I11" s="1156"/>
      <c r="J11" s="1159"/>
      <c r="K11" s="1148"/>
      <c r="L11" s="1150">
        <f t="shared" si="5"/>
        <v>0</v>
      </c>
      <c r="M11" s="1116"/>
      <c r="N11" s="1116"/>
      <c r="O11" s="1116"/>
      <c r="P11" s="1116"/>
      <c r="Q11" s="1116"/>
      <c r="R11" s="1116"/>
      <c r="S11" s="1116"/>
      <c r="T11" s="1116"/>
    </row>
    <row r="12">
      <c r="A12" s="1117" t="s">
        <v>3110</v>
      </c>
      <c r="B12" s="1151">
        <v>45444.0</v>
      </c>
      <c r="C12" s="1132" t="s">
        <v>3104</v>
      </c>
      <c r="D12" s="1125">
        <v>989.0</v>
      </c>
      <c r="E12" s="1160">
        <v>20000.0</v>
      </c>
      <c r="F12" s="1147">
        <v>50.0</v>
      </c>
      <c r="G12" s="1123">
        <f>E12*120*24</f>
        <v>57600000</v>
      </c>
      <c r="H12" s="1124">
        <f>SUM(G12*0.00011408)</f>
        <v>6571.008</v>
      </c>
      <c r="I12" s="1154" t="s">
        <v>3111</v>
      </c>
      <c r="J12" s="1159"/>
      <c r="K12" s="1148"/>
      <c r="L12" s="1150">
        <f>SUM(G12*H21)</f>
        <v>244800000</v>
      </c>
      <c r="M12" s="1116"/>
      <c r="N12" s="1116"/>
      <c r="O12" s="1116"/>
      <c r="P12" s="1116"/>
      <c r="Q12" s="1116"/>
      <c r="R12" s="1116"/>
      <c r="S12" s="1116"/>
      <c r="T12" s="1116"/>
    </row>
    <row r="13">
      <c r="A13" s="1117" t="s">
        <v>3112</v>
      </c>
      <c r="B13" s="1151">
        <v>45597.0</v>
      </c>
      <c r="C13" s="1132" t="s">
        <v>3113</v>
      </c>
      <c r="D13" s="1125">
        <v>1847.0</v>
      </c>
      <c r="E13" s="1156"/>
      <c r="F13" s="1157"/>
      <c r="G13" s="1156"/>
      <c r="H13" s="1158"/>
      <c r="I13" s="1156"/>
      <c r="J13" s="1159"/>
      <c r="K13" s="1148"/>
      <c r="L13" s="1150">
        <f>SUM(G13*H25)</f>
        <v>0</v>
      </c>
      <c r="M13" s="1116"/>
      <c r="N13" s="1116"/>
      <c r="O13" s="1116"/>
      <c r="P13" s="1116"/>
      <c r="Q13" s="1116"/>
      <c r="R13" s="1116"/>
      <c r="S13" s="1116"/>
      <c r="T13" s="1116"/>
    </row>
    <row r="14">
      <c r="A14" s="1117" t="s">
        <v>3114</v>
      </c>
      <c r="B14" s="1151">
        <v>45627.0</v>
      </c>
      <c r="C14" s="1132" t="s">
        <v>3104</v>
      </c>
      <c r="D14" s="1125">
        <v>989.0</v>
      </c>
      <c r="E14" s="1160">
        <v>100000.0</v>
      </c>
      <c r="F14" s="1147">
        <v>50.0</v>
      </c>
      <c r="G14" s="1123">
        <f>E14*120*24</f>
        <v>288000000</v>
      </c>
      <c r="H14" s="1124">
        <f>SUM(G14*0.00011408)</f>
        <v>32855.04</v>
      </c>
      <c r="I14" s="1154" t="s">
        <v>3115</v>
      </c>
      <c r="J14" s="1159"/>
      <c r="K14" s="1148"/>
      <c r="L14" s="1150">
        <f>SUM(G14*H21)</f>
        <v>1224000000</v>
      </c>
      <c r="M14" s="1116"/>
      <c r="N14" s="1116"/>
      <c r="O14" s="1116"/>
      <c r="P14" s="1116"/>
      <c r="Q14" s="1116"/>
      <c r="R14" s="1116"/>
      <c r="S14" s="1116"/>
      <c r="T14" s="1116"/>
    </row>
    <row r="15">
      <c r="A15" s="1161"/>
      <c r="B15" s="1162"/>
      <c r="C15" s="1163"/>
      <c r="D15" s="1164"/>
      <c r="E15" s="1165"/>
      <c r="F15" s="1166"/>
      <c r="G15" s="1165"/>
      <c r="H15" s="1167"/>
      <c r="I15" s="1165"/>
      <c r="J15" s="1168"/>
      <c r="K15" s="1148"/>
      <c r="L15" s="1150">
        <f>SUM(G15*H27)</f>
        <v>0</v>
      </c>
      <c r="M15" s="1116"/>
      <c r="N15" s="1116"/>
      <c r="O15" s="1116"/>
      <c r="P15" s="1116"/>
      <c r="Q15" s="1116"/>
      <c r="R15" s="1116"/>
      <c r="S15" s="1116"/>
      <c r="T15" s="1116"/>
    </row>
    <row r="16">
      <c r="A16" s="1140"/>
      <c r="B16" s="1116"/>
      <c r="C16" s="1116"/>
      <c r="D16" s="1116"/>
      <c r="E16" s="1116"/>
      <c r="F16" s="1116"/>
      <c r="G16" s="1169"/>
      <c r="H16" s="1170"/>
      <c r="I16" s="1116"/>
      <c r="J16" s="1116"/>
      <c r="K16" s="1148"/>
      <c r="L16" s="1128"/>
      <c r="M16" s="1116"/>
      <c r="N16" s="1116"/>
      <c r="O16" s="1116"/>
      <c r="P16" s="1116"/>
      <c r="Q16" s="1116"/>
      <c r="R16" s="1116"/>
      <c r="S16" s="1116"/>
      <c r="T16" s="1116"/>
    </row>
    <row r="17">
      <c r="A17" s="1171" t="s">
        <v>5</v>
      </c>
      <c r="B17" s="1171" t="s">
        <v>3116</v>
      </c>
      <c r="C17" s="1171" t="s">
        <v>3117</v>
      </c>
      <c r="D17" s="1171" t="s">
        <v>3118</v>
      </c>
      <c r="E17" s="1172"/>
      <c r="F17" s="1173" t="s">
        <v>3084</v>
      </c>
      <c r="G17" s="1174" t="s">
        <v>3119</v>
      </c>
      <c r="H17" s="1174" t="s">
        <v>3120</v>
      </c>
      <c r="I17" s="1175" t="s">
        <v>3121</v>
      </c>
      <c r="J17" s="1176" t="s">
        <v>3122</v>
      </c>
      <c r="K17" s="1177"/>
      <c r="L17" s="1178"/>
      <c r="M17" s="1172"/>
      <c r="N17" s="1179"/>
      <c r="O17" s="1179"/>
      <c r="P17" s="1179"/>
      <c r="Q17" s="1179"/>
      <c r="R17" s="1179"/>
      <c r="S17" s="1179"/>
      <c r="T17" s="1179"/>
    </row>
    <row r="18">
      <c r="A18" s="1180" t="s">
        <v>2570</v>
      </c>
      <c r="B18" s="1181" t="s">
        <v>3123</v>
      </c>
      <c r="C18" s="1182" t="s">
        <v>2571</v>
      </c>
      <c r="D18" s="1183" t="s">
        <v>3124</v>
      </c>
      <c r="E18" s="1184"/>
      <c r="F18" s="1185" t="s">
        <v>3093</v>
      </c>
      <c r="G18" s="1186">
        <v>2020.0</v>
      </c>
      <c r="H18" s="1187">
        <v>0.66</v>
      </c>
      <c r="I18" s="1188" t="s">
        <v>3125</v>
      </c>
      <c r="J18" s="1189">
        <f t="shared" ref="J18:J25" si="6">SUM(H18*1000000)</f>
        <v>660000</v>
      </c>
      <c r="K18" s="1177"/>
      <c r="L18" s="1190" t="s">
        <v>3126</v>
      </c>
      <c r="M18" s="1184"/>
      <c r="N18" s="1184"/>
      <c r="O18" s="1184"/>
      <c r="P18" s="1184"/>
      <c r="Q18" s="1184"/>
      <c r="R18" s="1184"/>
      <c r="S18" s="1184"/>
      <c r="T18" s="1184"/>
    </row>
    <row r="19">
      <c r="A19" s="1180"/>
      <c r="B19" s="1191" t="s">
        <v>3127</v>
      </c>
      <c r="C19" s="1192" t="s">
        <v>3128</v>
      </c>
      <c r="D19" s="1193" t="s">
        <v>3129</v>
      </c>
      <c r="E19" s="1184"/>
      <c r="F19" s="1185" t="s">
        <v>3093</v>
      </c>
      <c r="G19" s="1186">
        <v>2020.0</v>
      </c>
      <c r="H19" s="1187">
        <v>2.48</v>
      </c>
      <c r="I19" s="1194" t="s">
        <v>3130</v>
      </c>
      <c r="J19" s="1189">
        <f t="shared" si="6"/>
        <v>2480000</v>
      </c>
      <c r="K19" s="1177"/>
      <c r="L19" s="1190" t="s">
        <v>3131</v>
      </c>
      <c r="M19" s="1184"/>
      <c r="N19" s="1184"/>
      <c r="O19" s="1184"/>
      <c r="P19" s="1184"/>
      <c r="Q19" s="1184"/>
      <c r="R19" s="1184"/>
      <c r="S19" s="1184"/>
      <c r="T19" s="1184"/>
    </row>
    <row r="20">
      <c r="A20" s="1180" t="s">
        <v>2765</v>
      </c>
      <c r="B20" s="1191" t="s">
        <v>3127</v>
      </c>
      <c r="C20" s="1195" t="s">
        <v>3132</v>
      </c>
      <c r="D20" s="1196" t="s">
        <v>3133</v>
      </c>
      <c r="E20" s="1184"/>
      <c r="F20" s="1197" t="s">
        <v>3096</v>
      </c>
      <c r="G20" s="1186">
        <v>2023.0</v>
      </c>
      <c r="H20" s="1198">
        <v>3.93</v>
      </c>
      <c r="I20" s="1199" t="s">
        <v>3134</v>
      </c>
      <c r="J20" s="1189">
        <f t="shared" si="6"/>
        <v>3930000</v>
      </c>
      <c r="K20" s="1200"/>
      <c r="L20" s="1201"/>
      <c r="M20" s="1184"/>
      <c r="N20" s="1184"/>
      <c r="O20" s="1184"/>
      <c r="P20" s="1184"/>
      <c r="Q20" s="1184"/>
      <c r="R20" s="1184"/>
      <c r="S20" s="1184"/>
      <c r="T20" s="1184"/>
    </row>
    <row r="21" ht="18.75" customHeight="1">
      <c r="A21" s="1180" t="s">
        <v>3095</v>
      </c>
      <c r="B21" s="1202" t="s">
        <v>3123</v>
      </c>
      <c r="C21" s="1195" t="s">
        <v>3135</v>
      </c>
      <c r="D21" s="1203" t="s">
        <v>3136</v>
      </c>
      <c r="E21" s="1204"/>
      <c r="F21" s="1205" t="s">
        <v>3104</v>
      </c>
      <c r="G21" s="1186">
        <v>2023.0</v>
      </c>
      <c r="H21" s="1206">
        <v>4.25</v>
      </c>
      <c r="I21" s="1207" t="s">
        <v>3137</v>
      </c>
      <c r="J21" s="1189">
        <f t="shared" si="6"/>
        <v>4250000</v>
      </c>
      <c r="K21" s="1208"/>
      <c r="L21" s="1209" t="s">
        <v>3138</v>
      </c>
      <c r="M21" s="1210"/>
      <c r="N21" s="1210"/>
      <c r="O21" s="1210"/>
      <c r="P21" s="1210"/>
      <c r="Q21" s="1210"/>
      <c r="R21" s="1210"/>
      <c r="S21" s="1210"/>
      <c r="T21" s="1210"/>
    </row>
    <row r="22" ht="18.75" customHeight="1">
      <c r="A22" s="1180" t="s">
        <v>2083</v>
      </c>
      <c r="B22" s="1202" t="s">
        <v>3123</v>
      </c>
      <c r="C22" s="1195" t="s">
        <v>3139</v>
      </c>
      <c r="D22" s="1211" t="s">
        <v>3140</v>
      </c>
      <c r="E22" s="1212"/>
      <c r="F22" s="1213" t="s">
        <v>3102</v>
      </c>
      <c r="G22" s="1186">
        <v>2023.0</v>
      </c>
      <c r="H22" s="1214">
        <v>3.22</v>
      </c>
      <c r="I22" s="1215" t="s">
        <v>3141</v>
      </c>
      <c r="J22" s="1189">
        <f t="shared" si="6"/>
        <v>3220000</v>
      </c>
      <c r="K22" s="1216"/>
      <c r="L22" s="1217" t="s">
        <v>3142</v>
      </c>
      <c r="M22" s="1212"/>
      <c r="N22" s="1212"/>
      <c r="O22" s="1212"/>
      <c r="P22" s="1212"/>
      <c r="Q22" s="1212"/>
      <c r="R22" s="1212"/>
      <c r="S22" s="1212"/>
      <c r="T22" s="1212"/>
    </row>
    <row r="23">
      <c r="A23" s="1180"/>
      <c r="B23" s="1218" t="s">
        <v>3143</v>
      </c>
      <c r="C23" s="1219"/>
      <c r="D23" s="1220" t="s">
        <v>3144</v>
      </c>
      <c r="E23" s="1172"/>
      <c r="F23" s="1213" t="s">
        <v>3145</v>
      </c>
      <c r="G23" s="1186">
        <v>2024.0</v>
      </c>
      <c r="H23" s="1214">
        <v>1.2</v>
      </c>
      <c r="I23" s="1215" t="s">
        <v>3141</v>
      </c>
      <c r="J23" s="1189">
        <f t="shared" si="6"/>
        <v>1200000</v>
      </c>
      <c r="K23" s="1200"/>
      <c r="L23" s="1201"/>
      <c r="M23" s="1184"/>
      <c r="N23" s="1184"/>
      <c r="O23" s="1184"/>
      <c r="P23" s="1184"/>
      <c r="Q23" s="1184"/>
      <c r="R23" s="1184"/>
      <c r="S23" s="1184"/>
      <c r="T23" s="1184"/>
    </row>
    <row r="24">
      <c r="A24" s="1180" t="s">
        <v>2197</v>
      </c>
      <c r="B24" s="1191" t="s">
        <v>3127</v>
      </c>
      <c r="C24" s="1182" t="s">
        <v>3146</v>
      </c>
      <c r="D24" s="1221" t="s">
        <v>3147</v>
      </c>
      <c r="E24" s="1172"/>
      <c r="F24" s="1213" t="s">
        <v>3148</v>
      </c>
      <c r="G24" s="1186">
        <v>2024.0</v>
      </c>
      <c r="H24" s="1206">
        <v>4.2</v>
      </c>
      <c r="I24" s="1215" t="s">
        <v>3141</v>
      </c>
      <c r="J24" s="1189">
        <f t="shared" si="6"/>
        <v>4200000</v>
      </c>
      <c r="K24" s="1200"/>
      <c r="L24" s="1201"/>
      <c r="M24" s="1184"/>
      <c r="N24" s="1184"/>
      <c r="O24" s="1184"/>
      <c r="P24" s="1184"/>
      <c r="Q24" s="1184"/>
      <c r="R24" s="1184"/>
      <c r="S24" s="1184"/>
      <c r="T24" s="1184"/>
    </row>
    <row r="25">
      <c r="A25" s="1180"/>
      <c r="B25" s="1218" t="s">
        <v>3123</v>
      </c>
      <c r="C25" s="1182" t="s">
        <v>3149</v>
      </c>
      <c r="D25" s="1222" t="s">
        <v>3150</v>
      </c>
      <c r="E25" s="1184"/>
      <c r="F25" s="1213" t="s">
        <v>3151</v>
      </c>
      <c r="G25" s="1186">
        <v>2024.0</v>
      </c>
      <c r="H25" s="1206"/>
      <c r="I25" s="1223"/>
      <c r="J25" s="1189">
        <f t="shared" si="6"/>
        <v>0</v>
      </c>
      <c r="K25" s="1200"/>
      <c r="L25" s="1201"/>
      <c r="M25" s="1184"/>
      <c r="N25" s="1184"/>
      <c r="O25" s="1184"/>
      <c r="P25" s="1184"/>
      <c r="Q25" s="1184"/>
      <c r="R25" s="1184"/>
      <c r="S25" s="1184"/>
      <c r="T25" s="1184"/>
    </row>
    <row r="26">
      <c r="A26" s="1180" t="s">
        <v>3101</v>
      </c>
      <c r="B26" s="1218" t="s">
        <v>3123</v>
      </c>
      <c r="C26" s="1182" t="s">
        <v>3152</v>
      </c>
      <c r="D26" s="1196" t="s">
        <v>3153</v>
      </c>
      <c r="E26" s="1184"/>
      <c r="F26" s="1224"/>
      <c r="G26" s="1225"/>
      <c r="H26" s="1226"/>
      <c r="I26" s="1226"/>
      <c r="J26" s="1227"/>
      <c r="K26" s="1200"/>
      <c r="L26" s="1201"/>
      <c r="M26" s="1184"/>
      <c r="N26" s="1184"/>
      <c r="O26" s="1184"/>
      <c r="P26" s="1184"/>
      <c r="Q26" s="1184"/>
      <c r="R26" s="1184"/>
      <c r="S26" s="1184"/>
      <c r="T26" s="1184"/>
    </row>
    <row r="27">
      <c r="A27" s="1180"/>
      <c r="B27" s="1191" t="s">
        <v>3127</v>
      </c>
      <c r="C27" s="1195" t="s">
        <v>3154</v>
      </c>
      <c r="D27" s="1193" t="s">
        <v>3155</v>
      </c>
      <c r="E27" s="1184"/>
      <c r="F27" s="1184"/>
      <c r="G27" s="1228"/>
      <c r="H27" s="1184"/>
      <c r="I27" s="1184"/>
      <c r="J27" s="1184"/>
      <c r="K27" s="1200"/>
      <c r="L27" s="1201"/>
      <c r="M27" s="1184"/>
      <c r="N27" s="1184"/>
      <c r="O27" s="1184"/>
      <c r="P27" s="1184"/>
      <c r="Q27" s="1184"/>
      <c r="R27" s="1184"/>
      <c r="S27" s="1184"/>
      <c r="T27" s="1184"/>
    </row>
    <row r="28">
      <c r="A28" s="1180"/>
      <c r="B28" s="1191" t="s">
        <v>3127</v>
      </c>
      <c r="C28" s="1195" t="s">
        <v>3156</v>
      </c>
      <c r="D28" s="1203" t="s">
        <v>3157</v>
      </c>
      <c r="E28" s="1184"/>
      <c r="F28" s="1229" t="s">
        <v>3158</v>
      </c>
      <c r="G28" s="1230"/>
      <c r="H28" s="1230"/>
      <c r="I28" s="1230"/>
      <c r="J28" s="1230"/>
      <c r="K28" s="1200"/>
      <c r="L28" s="1201"/>
      <c r="M28" s="1184"/>
      <c r="N28" s="1184"/>
      <c r="O28" s="1184"/>
      <c r="P28" s="1184"/>
      <c r="Q28" s="1184"/>
      <c r="R28" s="1184"/>
      <c r="S28" s="1184"/>
      <c r="T28" s="1184"/>
    </row>
    <row r="29">
      <c r="A29" s="1180" t="s">
        <v>205</v>
      </c>
      <c r="B29" s="1191" t="s">
        <v>3143</v>
      </c>
      <c r="C29" s="1192" t="s">
        <v>3159</v>
      </c>
      <c r="D29" s="1193" t="s">
        <v>3160</v>
      </c>
      <c r="E29" s="1184"/>
      <c r="F29" s="1202"/>
      <c r="G29" s="1177"/>
      <c r="H29" s="1177"/>
      <c r="I29" s="1177"/>
      <c r="J29" s="1177"/>
      <c r="K29" s="1200"/>
      <c r="L29" s="1201"/>
      <c r="M29" s="1184"/>
      <c r="N29" s="1184"/>
      <c r="O29" s="1184"/>
      <c r="P29" s="1184"/>
      <c r="Q29" s="1184"/>
      <c r="R29" s="1184"/>
      <c r="S29" s="1184"/>
      <c r="T29" s="1184"/>
    </row>
    <row r="30">
      <c r="A30" s="1180" t="s">
        <v>3161</v>
      </c>
      <c r="B30" s="1191" t="s">
        <v>3123</v>
      </c>
      <c r="C30" s="1192" t="s">
        <v>3162</v>
      </c>
      <c r="D30" s="1220" t="s">
        <v>3163</v>
      </c>
      <c r="E30" s="1184"/>
      <c r="F30" s="1184"/>
      <c r="G30" s="1228"/>
      <c r="H30" s="1184"/>
      <c r="I30" s="1184"/>
      <c r="J30" s="1184"/>
      <c r="K30" s="1200"/>
      <c r="L30" s="1201"/>
      <c r="M30" s="1184"/>
      <c r="N30" s="1184"/>
      <c r="O30" s="1184"/>
      <c r="P30" s="1184"/>
      <c r="Q30" s="1184"/>
      <c r="R30" s="1184"/>
      <c r="S30" s="1184"/>
      <c r="T30" s="1184"/>
    </row>
    <row r="31">
      <c r="A31" s="1180"/>
      <c r="B31" s="1191" t="s">
        <v>3123</v>
      </c>
      <c r="C31" s="1192" t="s">
        <v>3164</v>
      </c>
      <c r="D31" s="1196" t="s">
        <v>3165</v>
      </c>
      <c r="E31" s="1184"/>
      <c r="F31" s="1184"/>
      <c r="G31" s="1228"/>
      <c r="H31" s="1184"/>
      <c r="I31" s="1184"/>
      <c r="J31" s="1184"/>
      <c r="K31" s="1200"/>
      <c r="L31" s="1201"/>
      <c r="M31" s="1184"/>
      <c r="N31" s="1184"/>
      <c r="O31" s="1184"/>
      <c r="P31" s="1184"/>
      <c r="Q31" s="1184"/>
      <c r="R31" s="1184"/>
      <c r="S31" s="1184"/>
      <c r="T31" s="1184"/>
    </row>
    <row r="32">
      <c r="A32" s="1180" t="s">
        <v>3109</v>
      </c>
      <c r="B32" s="1184"/>
      <c r="C32" s="1184"/>
      <c r="D32" s="1200"/>
      <c r="E32" s="1184"/>
      <c r="F32" s="1184"/>
      <c r="G32" s="1228"/>
      <c r="H32" s="1184"/>
      <c r="I32" s="1184"/>
      <c r="J32" s="1184"/>
      <c r="K32" s="1200"/>
      <c r="L32" s="1201"/>
      <c r="M32" s="1184"/>
      <c r="N32" s="1184"/>
      <c r="O32" s="1184"/>
      <c r="P32" s="1184"/>
      <c r="Q32" s="1184"/>
      <c r="R32" s="1184"/>
      <c r="S32" s="1184"/>
      <c r="T32" s="1184"/>
    </row>
    <row r="33" ht="18.75" customHeight="1">
      <c r="A33" s="1180" t="s">
        <v>3110</v>
      </c>
      <c r="B33" s="1191" t="s">
        <v>3123</v>
      </c>
      <c r="C33" s="1192" t="s">
        <v>3166</v>
      </c>
      <c r="D33" s="1231" t="s">
        <v>3167</v>
      </c>
      <c r="E33" s="1172"/>
      <c r="F33" s="1184"/>
      <c r="G33" s="1228"/>
      <c r="H33" s="1184"/>
      <c r="I33" s="1184"/>
      <c r="J33" s="1184"/>
      <c r="K33" s="1216"/>
      <c r="L33" s="1232"/>
      <c r="M33" s="1212"/>
      <c r="N33" s="1212"/>
      <c r="O33" s="1212"/>
      <c r="P33" s="1212"/>
      <c r="Q33" s="1212"/>
      <c r="R33" s="1212"/>
      <c r="S33" s="1212"/>
      <c r="T33" s="1212"/>
    </row>
    <row r="34" ht="18.75" customHeight="1">
      <c r="A34" s="1180" t="s">
        <v>3112</v>
      </c>
      <c r="B34" s="1184"/>
      <c r="C34" s="1184"/>
      <c r="D34" s="1200"/>
      <c r="E34" s="1172"/>
      <c r="F34" s="1172"/>
      <c r="G34" s="1233"/>
      <c r="H34" s="1212"/>
      <c r="I34" s="1212"/>
      <c r="J34" s="1212"/>
      <c r="K34" s="1216"/>
      <c r="L34" s="1232"/>
      <c r="M34" s="1212"/>
      <c r="N34" s="1212"/>
      <c r="O34" s="1212"/>
      <c r="P34" s="1212"/>
      <c r="Q34" s="1212"/>
      <c r="R34" s="1212"/>
      <c r="S34" s="1212"/>
      <c r="T34" s="1212"/>
    </row>
    <row r="35">
      <c r="A35" s="1234" t="s">
        <v>3114</v>
      </c>
      <c r="B35" s="1191" t="s">
        <v>3123</v>
      </c>
      <c r="C35" s="1235" t="s">
        <v>3166</v>
      </c>
      <c r="D35" s="1231" t="s">
        <v>3167</v>
      </c>
      <c r="E35" s="1184"/>
      <c r="F35" s="1172"/>
      <c r="G35" s="1233"/>
      <c r="H35" s="1212"/>
      <c r="I35" s="1212"/>
      <c r="J35" s="1212"/>
      <c r="K35" s="1200"/>
      <c r="L35" s="1201"/>
      <c r="M35" s="1184"/>
      <c r="N35" s="1184"/>
      <c r="O35" s="1184"/>
      <c r="P35" s="1184"/>
      <c r="Q35" s="1184"/>
      <c r="R35" s="1184"/>
      <c r="S35" s="1184"/>
      <c r="T35" s="1184"/>
    </row>
    <row r="36">
      <c r="A36" s="1234" t="s">
        <v>3168</v>
      </c>
      <c r="B36" s="1218" t="s">
        <v>3169</v>
      </c>
      <c r="C36" s="1172"/>
      <c r="D36" s="1172"/>
      <c r="E36" s="1184"/>
      <c r="F36" s="1184"/>
      <c r="G36" s="1228"/>
      <c r="H36" s="1184"/>
      <c r="I36" s="1184"/>
      <c r="J36" s="1184"/>
      <c r="K36" s="1200"/>
      <c r="L36" s="1201"/>
      <c r="M36" s="1184"/>
      <c r="N36" s="1184"/>
      <c r="O36" s="1184"/>
      <c r="P36" s="1184"/>
      <c r="Q36" s="1184"/>
      <c r="R36" s="1184"/>
      <c r="S36" s="1184"/>
      <c r="T36" s="1184"/>
    </row>
    <row r="37">
      <c r="A37" s="1184"/>
      <c r="B37" s="1191" t="s">
        <v>3170</v>
      </c>
      <c r="C37" s="1184"/>
      <c r="D37" s="1184"/>
      <c r="E37" s="1116"/>
      <c r="F37" s="1184"/>
      <c r="G37" s="1228"/>
      <c r="H37" s="1184"/>
      <c r="I37" s="1184"/>
      <c r="J37" s="1184"/>
      <c r="K37" s="1148"/>
      <c r="L37" s="1128"/>
      <c r="M37" s="1116"/>
      <c r="N37" s="1116"/>
      <c r="O37" s="1116"/>
      <c r="P37" s="1116"/>
      <c r="Q37" s="1116"/>
      <c r="R37" s="1116"/>
      <c r="S37" s="1116"/>
      <c r="T37" s="1116"/>
    </row>
    <row r="38">
      <c r="A38" s="1184"/>
      <c r="B38" s="1191" t="s">
        <v>3171</v>
      </c>
      <c r="C38" s="1184"/>
      <c r="D38" s="1184"/>
      <c r="E38" s="1116"/>
      <c r="F38" s="1116"/>
      <c r="G38" s="1236"/>
      <c r="H38" s="1116"/>
      <c r="I38" s="1116"/>
      <c r="J38" s="1116"/>
      <c r="K38" s="1148"/>
      <c r="L38" s="1128"/>
      <c r="M38" s="1116"/>
      <c r="N38" s="1116"/>
      <c r="O38" s="1116"/>
      <c r="P38" s="1116"/>
      <c r="Q38" s="1116"/>
      <c r="R38" s="1116"/>
      <c r="S38" s="1116"/>
      <c r="T38" s="1116"/>
    </row>
    <row r="39">
      <c r="A39" s="1116"/>
      <c r="B39" s="1116"/>
      <c r="C39" s="1116"/>
      <c r="D39" s="1116"/>
      <c r="E39" s="1116"/>
      <c r="F39" s="1116"/>
      <c r="G39" s="1236"/>
      <c r="H39" s="1116"/>
      <c r="I39" s="1116"/>
      <c r="J39" s="1116"/>
      <c r="K39" s="1148"/>
      <c r="L39" s="1128"/>
      <c r="M39" s="1116"/>
      <c r="N39" s="1116"/>
      <c r="O39" s="1116"/>
      <c r="P39" s="1116"/>
      <c r="Q39" s="1116"/>
      <c r="R39" s="1116"/>
      <c r="S39" s="1116"/>
      <c r="T39" s="1116"/>
    </row>
    <row r="40">
      <c r="A40" s="1116"/>
      <c r="B40" s="1116"/>
      <c r="C40" s="1116"/>
      <c r="D40" s="1116"/>
      <c r="E40" s="1116"/>
      <c r="F40" s="1116"/>
      <c r="G40" s="1236"/>
      <c r="H40" s="1116"/>
      <c r="I40" s="1116"/>
      <c r="J40" s="1116"/>
      <c r="K40" s="1148"/>
      <c r="L40" s="1128"/>
      <c r="M40" s="1116"/>
      <c r="N40" s="1116"/>
      <c r="O40" s="1116"/>
      <c r="P40" s="1116"/>
      <c r="Q40" s="1116"/>
      <c r="R40" s="1116"/>
      <c r="S40" s="1116"/>
      <c r="T40" s="1116"/>
    </row>
    <row r="41">
      <c r="A41" s="1116"/>
      <c r="B41" s="1116"/>
      <c r="C41" s="1116"/>
      <c r="D41" s="1116"/>
      <c r="E41" s="1116"/>
      <c r="F41" s="1116"/>
      <c r="G41" s="1236"/>
      <c r="H41" s="1116"/>
      <c r="I41" s="1116"/>
      <c r="J41" s="1116"/>
      <c r="K41" s="1148"/>
      <c r="L41" s="1128"/>
      <c r="M41" s="1116"/>
      <c r="N41" s="1116"/>
      <c r="O41" s="1116"/>
      <c r="P41" s="1116"/>
      <c r="Q41" s="1116"/>
      <c r="R41" s="1116"/>
      <c r="S41" s="1116"/>
      <c r="T41" s="1116"/>
    </row>
    <row r="42">
      <c r="A42" s="1116"/>
      <c r="B42" s="1116"/>
      <c r="C42" s="1116"/>
      <c r="D42" s="1116"/>
      <c r="E42" s="1116"/>
      <c r="F42" s="1116"/>
      <c r="G42" s="1236"/>
      <c r="H42" s="1116"/>
      <c r="I42" s="1116"/>
      <c r="J42" s="1116"/>
      <c r="K42" s="1148"/>
      <c r="L42" s="1128"/>
      <c r="M42" s="1116"/>
      <c r="N42" s="1116"/>
      <c r="O42" s="1116"/>
      <c r="P42" s="1116"/>
      <c r="Q42" s="1116"/>
      <c r="R42" s="1116"/>
      <c r="S42" s="1116"/>
      <c r="T42" s="1116"/>
    </row>
    <row r="43">
      <c r="A43" s="1116"/>
      <c r="B43" s="1116"/>
      <c r="C43" s="1116"/>
      <c r="D43" s="1116"/>
      <c r="E43" s="1116"/>
      <c r="F43" s="1116"/>
      <c r="G43" s="1236"/>
      <c r="H43" s="1116"/>
      <c r="I43" s="1116"/>
      <c r="J43" s="1116"/>
      <c r="K43" s="1148"/>
      <c r="L43" s="1128"/>
      <c r="M43" s="1116"/>
      <c r="N43" s="1116"/>
      <c r="O43" s="1116"/>
      <c r="P43" s="1116"/>
      <c r="Q43" s="1116"/>
      <c r="R43" s="1116"/>
      <c r="S43" s="1116"/>
      <c r="T43" s="1116"/>
    </row>
    <row r="44">
      <c r="A44" s="1116"/>
      <c r="B44" s="1116"/>
      <c r="C44" s="1116"/>
      <c r="D44" s="1116"/>
      <c r="E44" s="1116"/>
      <c r="F44" s="1116"/>
      <c r="G44" s="1236"/>
      <c r="H44" s="1116"/>
      <c r="I44" s="1116"/>
      <c r="J44" s="1116"/>
      <c r="K44" s="1148"/>
      <c r="L44" s="1128"/>
      <c r="M44" s="1116"/>
      <c r="N44" s="1116"/>
      <c r="O44" s="1116"/>
      <c r="P44" s="1116"/>
      <c r="Q44" s="1116"/>
      <c r="R44" s="1116"/>
      <c r="S44" s="1116"/>
      <c r="T44" s="1116"/>
    </row>
    <row r="45">
      <c r="A45" s="1116"/>
      <c r="B45" s="1116"/>
      <c r="C45" s="1116"/>
      <c r="D45" s="1116"/>
      <c r="E45" s="1116"/>
      <c r="F45" s="1116"/>
      <c r="G45" s="1236"/>
      <c r="H45" s="1116"/>
      <c r="I45" s="1116"/>
      <c r="J45" s="1116"/>
      <c r="K45" s="1148"/>
      <c r="L45" s="1128"/>
      <c r="M45" s="1116"/>
      <c r="N45" s="1116"/>
      <c r="O45" s="1116"/>
      <c r="P45" s="1116"/>
      <c r="Q45" s="1116"/>
      <c r="R45" s="1116"/>
      <c r="S45" s="1116"/>
      <c r="T45" s="1116"/>
    </row>
    <row r="46">
      <c r="A46" s="1116"/>
      <c r="B46" s="1116"/>
      <c r="C46" s="1116"/>
      <c r="D46" s="1116"/>
      <c r="E46" s="1116"/>
      <c r="F46" s="1116"/>
      <c r="G46" s="1236"/>
      <c r="H46" s="1116"/>
      <c r="I46" s="1116"/>
      <c r="J46" s="1116"/>
      <c r="K46" s="1148"/>
      <c r="L46" s="1128"/>
      <c r="M46" s="1116"/>
      <c r="N46" s="1116"/>
      <c r="O46" s="1116"/>
      <c r="P46" s="1116"/>
      <c r="Q46" s="1116"/>
      <c r="R46" s="1116"/>
      <c r="S46" s="1116"/>
      <c r="T46" s="1116"/>
    </row>
    <row r="47">
      <c r="A47" s="1116"/>
      <c r="B47" s="1116"/>
      <c r="C47" s="1116"/>
      <c r="D47" s="1116"/>
      <c r="E47" s="1116"/>
      <c r="F47" s="1116"/>
      <c r="G47" s="1236"/>
      <c r="H47" s="1116"/>
      <c r="I47" s="1116"/>
      <c r="J47" s="1116"/>
      <c r="K47" s="1148"/>
      <c r="L47" s="1128"/>
      <c r="M47" s="1116"/>
      <c r="N47" s="1116"/>
      <c r="O47" s="1116"/>
      <c r="P47" s="1116"/>
      <c r="Q47" s="1116"/>
      <c r="R47" s="1116"/>
      <c r="S47" s="1116"/>
      <c r="T47" s="1116"/>
    </row>
    <row r="48">
      <c r="A48" s="1116"/>
      <c r="B48" s="1116"/>
      <c r="C48" s="1116"/>
      <c r="D48" s="1116"/>
      <c r="E48" s="1116"/>
      <c r="F48" s="1116"/>
      <c r="G48" s="1236"/>
      <c r="H48" s="1116"/>
      <c r="I48" s="1116"/>
      <c r="J48" s="1116"/>
      <c r="K48" s="1148"/>
      <c r="L48" s="1128"/>
      <c r="M48" s="1116"/>
      <c r="N48" s="1116"/>
      <c r="O48" s="1116"/>
      <c r="P48" s="1116"/>
      <c r="Q48" s="1116"/>
      <c r="R48" s="1116"/>
      <c r="S48" s="1116"/>
      <c r="T48" s="1116"/>
    </row>
    <row r="49">
      <c r="A49" s="1116"/>
      <c r="B49" s="1116"/>
      <c r="C49" s="1116"/>
      <c r="D49" s="1116"/>
      <c r="E49" s="1116"/>
      <c r="F49" s="1116"/>
      <c r="G49" s="1236"/>
      <c r="H49" s="1116"/>
      <c r="I49" s="1116"/>
      <c r="J49" s="1116"/>
      <c r="K49" s="1148"/>
      <c r="L49" s="1128"/>
      <c r="M49" s="1116"/>
      <c r="N49" s="1116"/>
      <c r="O49" s="1116"/>
      <c r="P49" s="1116"/>
      <c r="Q49" s="1116"/>
      <c r="R49" s="1116"/>
      <c r="S49" s="1116"/>
      <c r="T49" s="1116"/>
    </row>
    <row r="50">
      <c r="A50" s="1116"/>
      <c r="B50" s="1116"/>
      <c r="C50" s="1116"/>
      <c r="D50" s="1116"/>
      <c r="E50" s="1116"/>
      <c r="F50" s="1116"/>
      <c r="G50" s="1236"/>
      <c r="H50" s="1116"/>
      <c r="I50" s="1116"/>
      <c r="J50" s="1116"/>
      <c r="K50" s="1148"/>
      <c r="L50" s="1128"/>
      <c r="M50" s="1116"/>
      <c r="N50" s="1116"/>
      <c r="O50" s="1116"/>
      <c r="P50" s="1116"/>
      <c r="Q50" s="1116"/>
      <c r="R50" s="1116"/>
      <c r="S50" s="1116"/>
      <c r="T50" s="1116"/>
    </row>
    <row r="51">
      <c r="A51" s="1116"/>
      <c r="B51" s="1116"/>
      <c r="C51" s="1116"/>
      <c r="D51" s="1116"/>
      <c r="E51" s="1116"/>
      <c r="F51" s="1116"/>
      <c r="G51" s="1236"/>
      <c r="H51" s="1116"/>
      <c r="I51" s="1116"/>
      <c r="J51" s="1116"/>
      <c r="K51" s="1148"/>
      <c r="L51" s="1128"/>
      <c r="M51" s="1116"/>
      <c r="N51" s="1116"/>
      <c r="O51" s="1116"/>
      <c r="P51" s="1116"/>
      <c r="Q51" s="1116"/>
      <c r="R51" s="1116"/>
      <c r="S51" s="1116"/>
      <c r="T51" s="1116"/>
    </row>
    <row r="52">
      <c r="A52" s="1116"/>
      <c r="B52" s="1116"/>
      <c r="C52" s="1116"/>
      <c r="D52" s="1116"/>
      <c r="E52" s="1116"/>
      <c r="F52" s="1116"/>
      <c r="G52" s="1236"/>
      <c r="H52" s="1116"/>
      <c r="I52" s="1116"/>
      <c r="J52" s="1116"/>
      <c r="K52" s="1148"/>
      <c r="L52" s="1128"/>
      <c r="M52" s="1116"/>
      <c r="N52" s="1116"/>
      <c r="O52" s="1116"/>
      <c r="P52" s="1116"/>
      <c r="Q52" s="1116"/>
      <c r="R52" s="1116"/>
      <c r="S52" s="1116"/>
      <c r="T52" s="1116"/>
    </row>
    <row r="53">
      <c r="A53" s="1116"/>
      <c r="B53" s="1116"/>
      <c r="C53" s="1116"/>
      <c r="D53" s="1116"/>
      <c r="E53" s="1116"/>
      <c r="F53" s="1116"/>
      <c r="G53" s="1236"/>
      <c r="H53" s="1116"/>
      <c r="I53" s="1116"/>
      <c r="J53" s="1116"/>
      <c r="K53" s="1148"/>
      <c r="L53" s="1128"/>
      <c r="M53" s="1116"/>
      <c r="N53" s="1116"/>
      <c r="O53" s="1116"/>
      <c r="P53" s="1116"/>
      <c r="Q53" s="1116"/>
      <c r="R53" s="1116"/>
      <c r="S53" s="1116"/>
      <c r="T53" s="1116"/>
    </row>
    <row r="54">
      <c r="A54" s="1116"/>
      <c r="B54" s="1116"/>
      <c r="C54" s="1116"/>
      <c r="D54" s="1116"/>
      <c r="E54" s="1116"/>
      <c r="F54" s="1116"/>
      <c r="G54" s="1236"/>
      <c r="H54" s="1116"/>
      <c r="I54" s="1116"/>
      <c r="J54" s="1116"/>
      <c r="K54" s="1148"/>
      <c r="L54" s="1128"/>
      <c r="M54" s="1116"/>
      <c r="N54" s="1116"/>
      <c r="O54" s="1116"/>
      <c r="P54" s="1116"/>
      <c r="Q54" s="1116"/>
      <c r="R54" s="1116"/>
      <c r="S54" s="1116"/>
      <c r="T54" s="1116"/>
    </row>
    <row r="55">
      <c r="A55" s="1116"/>
      <c r="B55" s="1116"/>
      <c r="C55" s="1116"/>
      <c r="D55" s="1116"/>
      <c r="E55" s="1116"/>
      <c r="F55" s="1116"/>
      <c r="G55" s="1236"/>
      <c r="H55" s="1116"/>
      <c r="I55" s="1116"/>
      <c r="J55" s="1116"/>
      <c r="K55" s="1148"/>
      <c r="L55" s="1128"/>
      <c r="M55" s="1116"/>
      <c r="N55" s="1116"/>
      <c r="O55" s="1116"/>
      <c r="P55" s="1116"/>
      <c r="Q55" s="1116"/>
      <c r="R55" s="1116"/>
      <c r="S55" s="1116"/>
      <c r="T55" s="1116"/>
    </row>
    <row r="56">
      <c r="A56" s="1116"/>
      <c r="B56" s="1116"/>
      <c r="C56" s="1116"/>
      <c r="D56" s="1116"/>
      <c r="E56" s="1116"/>
      <c r="F56" s="1116"/>
      <c r="G56" s="1236"/>
      <c r="H56" s="1116"/>
      <c r="I56" s="1116"/>
      <c r="J56" s="1116"/>
      <c r="K56" s="1148"/>
      <c r="L56" s="1128"/>
      <c r="M56" s="1116"/>
      <c r="N56" s="1116"/>
      <c r="O56" s="1116"/>
      <c r="P56" s="1116"/>
      <c r="Q56" s="1116"/>
      <c r="R56" s="1116"/>
      <c r="S56" s="1116"/>
      <c r="T56" s="1116"/>
    </row>
    <row r="57">
      <c r="A57" s="1116"/>
      <c r="B57" s="1116"/>
      <c r="C57" s="1116"/>
      <c r="D57" s="1116"/>
      <c r="E57" s="1116"/>
      <c r="F57" s="1116"/>
      <c r="G57" s="1236"/>
      <c r="H57" s="1116"/>
      <c r="I57" s="1116"/>
      <c r="J57" s="1116"/>
      <c r="K57" s="1148"/>
      <c r="L57" s="1128"/>
      <c r="M57" s="1116"/>
      <c r="N57" s="1116"/>
      <c r="O57" s="1116"/>
      <c r="P57" s="1116"/>
      <c r="Q57" s="1116"/>
      <c r="R57" s="1116"/>
      <c r="S57" s="1116"/>
      <c r="T57" s="1116"/>
    </row>
    <row r="58">
      <c r="A58" s="1116"/>
      <c r="B58" s="1116"/>
      <c r="C58" s="1116"/>
      <c r="D58" s="1116"/>
      <c r="E58" s="1116"/>
      <c r="F58" s="1116"/>
      <c r="G58" s="1236"/>
      <c r="H58" s="1116"/>
      <c r="I58" s="1116"/>
      <c r="J58" s="1116"/>
      <c r="K58" s="1148"/>
      <c r="L58" s="1128"/>
      <c r="M58" s="1116"/>
      <c r="N58" s="1116"/>
      <c r="O58" s="1116"/>
      <c r="P58" s="1116"/>
      <c r="Q58" s="1116"/>
      <c r="R58" s="1116"/>
      <c r="S58" s="1116"/>
      <c r="T58" s="1116"/>
    </row>
    <row r="59">
      <c r="A59" s="1116"/>
      <c r="B59" s="1116"/>
      <c r="C59" s="1116"/>
      <c r="D59" s="1116"/>
      <c r="E59" s="1116"/>
      <c r="F59" s="1116"/>
      <c r="G59" s="1236"/>
      <c r="H59" s="1116"/>
      <c r="I59" s="1116"/>
      <c r="J59" s="1116"/>
      <c r="K59" s="1148"/>
      <c r="L59" s="1128"/>
      <c r="M59" s="1116"/>
      <c r="N59" s="1116"/>
      <c r="O59" s="1116"/>
      <c r="P59" s="1116"/>
      <c r="Q59" s="1116"/>
      <c r="R59" s="1116"/>
      <c r="S59" s="1116"/>
      <c r="T59" s="1116"/>
    </row>
    <row r="60">
      <c r="A60" s="1116"/>
      <c r="B60" s="1116"/>
      <c r="C60" s="1116"/>
      <c r="D60" s="1116"/>
      <c r="E60" s="1116"/>
      <c r="F60" s="1116"/>
      <c r="G60" s="1236"/>
      <c r="H60" s="1116"/>
      <c r="I60" s="1116"/>
      <c r="J60" s="1116"/>
      <c r="K60" s="1148"/>
      <c r="L60" s="1128"/>
      <c r="M60" s="1116"/>
      <c r="N60" s="1116"/>
      <c r="O60" s="1116"/>
      <c r="P60" s="1116"/>
      <c r="Q60" s="1116"/>
      <c r="R60" s="1116"/>
      <c r="S60" s="1116"/>
      <c r="T60" s="1116"/>
    </row>
    <row r="61">
      <c r="A61" s="1116"/>
      <c r="B61" s="1116"/>
      <c r="C61" s="1116"/>
      <c r="D61" s="1116"/>
      <c r="E61" s="1116"/>
      <c r="F61" s="1116"/>
      <c r="G61" s="1236"/>
      <c r="H61" s="1116"/>
      <c r="I61" s="1116"/>
      <c r="J61" s="1116"/>
      <c r="K61" s="1148"/>
      <c r="L61" s="1128"/>
      <c r="M61" s="1116"/>
      <c r="N61" s="1116"/>
      <c r="O61" s="1116"/>
      <c r="P61" s="1116"/>
      <c r="Q61" s="1116"/>
      <c r="R61" s="1116"/>
      <c r="S61" s="1116"/>
      <c r="T61" s="1116"/>
    </row>
    <row r="62">
      <c r="A62" s="1116"/>
      <c r="B62" s="1116"/>
      <c r="C62" s="1116"/>
      <c r="D62" s="1116"/>
      <c r="E62" s="1116"/>
      <c r="F62" s="1116"/>
      <c r="G62" s="1236"/>
      <c r="H62" s="1116"/>
      <c r="I62" s="1116"/>
      <c r="J62" s="1116"/>
      <c r="K62" s="1148"/>
      <c r="L62" s="1128"/>
      <c r="M62" s="1116"/>
      <c r="N62" s="1116"/>
      <c r="O62" s="1116"/>
      <c r="P62" s="1116"/>
      <c r="Q62" s="1116"/>
      <c r="R62" s="1116"/>
      <c r="S62" s="1116"/>
      <c r="T62" s="1116"/>
    </row>
    <row r="63">
      <c r="A63" s="1116"/>
      <c r="B63" s="1116"/>
      <c r="C63" s="1116"/>
      <c r="D63" s="1116"/>
      <c r="E63" s="1116"/>
      <c r="F63" s="1116"/>
      <c r="G63" s="1236"/>
      <c r="H63" s="1116"/>
      <c r="I63" s="1116"/>
      <c r="J63" s="1116"/>
      <c r="K63" s="1148"/>
      <c r="L63" s="1128"/>
      <c r="M63" s="1116"/>
      <c r="N63" s="1116"/>
      <c r="O63" s="1116"/>
      <c r="P63" s="1116"/>
      <c r="Q63" s="1116"/>
      <c r="R63" s="1116"/>
      <c r="S63" s="1116"/>
      <c r="T63" s="1116"/>
    </row>
    <row r="64">
      <c r="A64" s="1116"/>
      <c r="B64" s="1116"/>
      <c r="C64" s="1116"/>
      <c r="D64" s="1116"/>
      <c r="E64" s="1116"/>
      <c r="F64" s="1116"/>
      <c r="G64" s="1236"/>
      <c r="H64" s="1116"/>
      <c r="I64" s="1116"/>
      <c r="J64" s="1116"/>
      <c r="K64" s="1148"/>
      <c r="L64" s="1128"/>
      <c r="M64" s="1116"/>
      <c r="N64" s="1116"/>
      <c r="O64" s="1116"/>
      <c r="P64" s="1116"/>
      <c r="Q64" s="1116"/>
      <c r="R64" s="1116"/>
      <c r="S64" s="1116"/>
      <c r="T64" s="1116"/>
    </row>
    <row r="65">
      <c r="A65" s="1116"/>
      <c r="B65" s="1116"/>
      <c r="C65" s="1116"/>
      <c r="D65" s="1116"/>
      <c r="E65" s="1116"/>
      <c r="F65" s="1116"/>
      <c r="G65" s="1236"/>
      <c r="H65" s="1116"/>
      <c r="I65" s="1116"/>
      <c r="J65" s="1116"/>
      <c r="K65" s="1148"/>
      <c r="L65" s="1128"/>
      <c r="M65" s="1116"/>
      <c r="N65" s="1116"/>
      <c r="O65" s="1116"/>
      <c r="P65" s="1116"/>
      <c r="Q65" s="1116"/>
      <c r="R65" s="1116"/>
      <c r="S65" s="1116"/>
      <c r="T65" s="1116"/>
    </row>
    <row r="66">
      <c r="A66" s="1116"/>
      <c r="B66" s="1116"/>
      <c r="C66" s="1116"/>
      <c r="D66" s="1116"/>
      <c r="E66" s="1116"/>
      <c r="F66" s="1116"/>
      <c r="G66" s="1236"/>
      <c r="H66" s="1116"/>
      <c r="I66" s="1116"/>
      <c r="J66" s="1116"/>
      <c r="K66" s="1148"/>
      <c r="L66" s="1128"/>
      <c r="M66" s="1116"/>
      <c r="N66" s="1116"/>
      <c r="O66" s="1116"/>
      <c r="P66" s="1116"/>
      <c r="Q66" s="1116"/>
      <c r="R66" s="1116"/>
      <c r="S66" s="1116"/>
      <c r="T66" s="1116"/>
    </row>
    <row r="67">
      <c r="A67" s="1116"/>
      <c r="B67" s="1116"/>
      <c r="C67" s="1116"/>
      <c r="D67" s="1116"/>
      <c r="E67" s="1116"/>
      <c r="F67" s="1116"/>
      <c r="G67" s="1236"/>
      <c r="H67" s="1116"/>
      <c r="I67" s="1116"/>
      <c r="J67" s="1116"/>
      <c r="K67" s="1148"/>
      <c r="L67" s="1128"/>
      <c r="M67" s="1116"/>
      <c r="N67" s="1116"/>
      <c r="O67" s="1116"/>
      <c r="P67" s="1116"/>
      <c r="Q67" s="1116"/>
      <c r="R67" s="1116"/>
      <c r="S67" s="1116"/>
      <c r="T67" s="1116"/>
    </row>
    <row r="68">
      <c r="A68" s="1116"/>
      <c r="B68" s="1116"/>
      <c r="C68" s="1116"/>
      <c r="D68" s="1116"/>
      <c r="E68" s="1116"/>
      <c r="F68" s="1116"/>
      <c r="G68" s="1236"/>
      <c r="H68" s="1116"/>
      <c r="I68" s="1116"/>
      <c r="J68" s="1116"/>
      <c r="K68" s="1148"/>
      <c r="L68" s="1128"/>
      <c r="M68" s="1116"/>
      <c r="N68" s="1116"/>
      <c r="O68" s="1116"/>
      <c r="P68" s="1116"/>
      <c r="Q68" s="1116"/>
      <c r="R68" s="1116"/>
      <c r="S68" s="1116"/>
      <c r="T68" s="1116"/>
    </row>
    <row r="69">
      <c r="A69" s="1116"/>
      <c r="B69" s="1116"/>
      <c r="C69" s="1116"/>
      <c r="D69" s="1116"/>
      <c r="E69" s="1116"/>
      <c r="F69" s="1116"/>
      <c r="G69" s="1236"/>
      <c r="H69" s="1116"/>
      <c r="I69" s="1116"/>
      <c r="J69" s="1116"/>
      <c r="K69" s="1148"/>
      <c r="L69" s="1128"/>
      <c r="M69" s="1116"/>
      <c r="N69" s="1116"/>
      <c r="O69" s="1116"/>
      <c r="P69" s="1116"/>
      <c r="Q69" s="1116"/>
      <c r="R69" s="1116"/>
      <c r="S69" s="1116"/>
      <c r="T69" s="1116"/>
    </row>
    <row r="70">
      <c r="A70" s="1116"/>
      <c r="B70" s="1116"/>
      <c r="C70" s="1116"/>
      <c r="D70" s="1116"/>
      <c r="E70" s="1116"/>
      <c r="F70" s="1116"/>
      <c r="G70" s="1236"/>
      <c r="H70" s="1116"/>
      <c r="I70" s="1116"/>
      <c r="J70" s="1116"/>
      <c r="K70" s="1148"/>
      <c r="L70" s="1128"/>
      <c r="M70" s="1116"/>
      <c r="N70" s="1116"/>
      <c r="O70" s="1116"/>
      <c r="P70" s="1116"/>
      <c r="Q70" s="1116"/>
      <c r="R70" s="1116"/>
      <c r="S70" s="1116"/>
      <c r="T70" s="1116"/>
    </row>
    <row r="71">
      <c r="A71" s="1116"/>
      <c r="B71" s="1116"/>
      <c r="C71" s="1116"/>
      <c r="D71" s="1116"/>
      <c r="E71" s="1116"/>
      <c r="F71" s="1116"/>
      <c r="G71" s="1236"/>
      <c r="H71" s="1116"/>
      <c r="I71" s="1116"/>
      <c r="J71" s="1116"/>
      <c r="K71" s="1148"/>
      <c r="L71" s="1128"/>
      <c r="M71" s="1116"/>
      <c r="N71" s="1116"/>
      <c r="O71" s="1116"/>
      <c r="P71" s="1116"/>
      <c r="Q71" s="1116"/>
      <c r="R71" s="1116"/>
      <c r="S71" s="1116"/>
      <c r="T71" s="1116"/>
    </row>
    <row r="72">
      <c r="A72" s="1116"/>
      <c r="B72" s="1116"/>
      <c r="C72" s="1116"/>
      <c r="D72" s="1116"/>
      <c r="E72" s="1116"/>
      <c r="F72" s="1116"/>
      <c r="G72" s="1236"/>
      <c r="H72" s="1116"/>
      <c r="I72" s="1116"/>
      <c r="J72" s="1116"/>
      <c r="K72" s="1148"/>
      <c r="L72" s="1128"/>
      <c r="M72" s="1116"/>
      <c r="N72" s="1116"/>
      <c r="O72" s="1116"/>
      <c r="P72" s="1116"/>
      <c r="Q72" s="1116"/>
      <c r="R72" s="1116"/>
      <c r="S72" s="1116"/>
      <c r="T72" s="1116"/>
    </row>
    <row r="73">
      <c r="A73" s="1116"/>
      <c r="B73" s="1116"/>
      <c r="C73" s="1116"/>
      <c r="D73" s="1116"/>
      <c r="E73" s="1116"/>
      <c r="F73" s="1116"/>
      <c r="G73" s="1236"/>
      <c r="H73" s="1116"/>
      <c r="I73" s="1116"/>
      <c r="J73" s="1116"/>
      <c r="K73" s="1148"/>
      <c r="L73" s="1128"/>
      <c r="M73" s="1116"/>
      <c r="N73" s="1116"/>
      <c r="O73" s="1116"/>
      <c r="P73" s="1116"/>
      <c r="Q73" s="1116"/>
      <c r="R73" s="1116"/>
      <c r="S73" s="1116"/>
      <c r="T73" s="1116"/>
    </row>
    <row r="74">
      <c r="A74" s="1116"/>
      <c r="B74" s="1116"/>
      <c r="C74" s="1116"/>
      <c r="D74" s="1116"/>
      <c r="E74" s="1116"/>
      <c r="F74" s="1116"/>
      <c r="G74" s="1236"/>
      <c r="H74" s="1116"/>
      <c r="I74" s="1116"/>
      <c r="J74" s="1116"/>
      <c r="K74" s="1148"/>
      <c r="L74" s="1128"/>
      <c r="M74" s="1116"/>
      <c r="N74" s="1116"/>
      <c r="O74" s="1116"/>
      <c r="P74" s="1116"/>
      <c r="Q74" s="1116"/>
      <c r="R74" s="1116"/>
      <c r="S74" s="1116"/>
      <c r="T74" s="1116"/>
    </row>
    <row r="75">
      <c r="A75" s="1116"/>
      <c r="B75" s="1116"/>
      <c r="C75" s="1116"/>
      <c r="D75" s="1116"/>
      <c r="E75" s="1116"/>
      <c r="F75" s="1116"/>
      <c r="G75" s="1236"/>
      <c r="H75" s="1116"/>
      <c r="I75" s="1116"/>
      <c r="J75" s="1116"/>
      <c r="K75" s="1148"/>
      <c r="L75" s="1128"/>
      <c r="M75" s="1116"/>
      <c r="N75" s="1116"/>
      <c r="O75" s="1116"/>
      <c r="P75" s="1116"/>
      <c r="Q75" s="1116"/>
      <c r="R75" s="1116"/>
      <c r="S75" s="1116"/>
      <c r="T75" s="1116"/>
    </row>
    <row r="76">
      <c r="A76" s="1116"/>
      <c r="B76" s="1116"/>
      <c r="C76" s="1116"/>
      <c r="D76" s="1116"/>
      <c r="E76" s="1116"/>
      <c r="F76" s="1116"/>
      <c r="G76" s="1236"/>
      <c r="H76" s="1116"/>
      <c r="I76" s="1116"/>
      <c r="J76" s="1116"/>
      <c r="K76" s="1148"/>
      <c r="L76" s="1128"/>
      <c r="M76" s="1116"/>
      <c r="N76" s="1116"/>
      <c r="O76" s="1116"/>
      <c r="P76" s="1116"/>
      <c r="Q76" s="1116"/>
      <c r="R76" s="1116"/>
      <c r="S76" s="1116"/>
      <c r="T76" s="1116"/>
    </row>
    <row r="77">
      <c r="A77" s="1116"/>
      <c r="B77" s="1116"/>
      <c r="C77" s="1116"/>
      <c r="D77" s="1116"/>
      <c r="E77" s="1116"/>
      <c r="F77" s="1116"/>
      <c r="G77" s="1236"/>
      <c r="H77" s="1116"/>
      <c r="I77" s="1116"/>
      <c r="J77" s="1116"/>
      <c r="K77" s="1148"/>
      <c r="L77" s="1128"/>
      <c r="M77" s="1116"/>
      <c r="N77" s="1116"/>
      <c r="O77" s="1116"/>
      <c r="P77" s="1116"/>
      <c r="Q77" s="1116"/>
      <c r="R77" s="1116"/>
      <c r="S77" s="1116"/>
      <c r="T77" s="1116"/>
    </row>
    <row r="78">
      <c r="A78" s="1116"/>
      <c r="B78" s="1116"/>
      <c r="C78" s="1116"/>
      <c r="D78" s="1116"/>
      <c r="E78" s="1116"/>
      <c r="F78" s="1116"/>
      <c r="G78" s="1236"/>
      <c r="H78" s="1116"/>
      <c r="I78" s="1116"/>
      <c r="J78" s="1116"/>
      <c r="K78" s="1148"/>
      <c r="L78" s="1128"/>
      <c r="M78" s="1116"/>
      <c r="N78" s="1116"/>
      <c r="O78" s="1116"/>
      <c r="P78" s="1116"/>
      <c r="Q78" s="1116"/>
      <c r="R78" s="1116"/>
      <c r="S78" s="1116"/>
      <c r="T78" s="1116"/>
    </row>
    <row r="79">
      <c r="A79" s="1116"/>
      <c r="B79" s="1116"/>
      <c r="C79" s="1116"/>
      <c r="D79" s="1116"/>
      <c r="E79" s="1116"/>
      <c r="F79" s="1116"/>
      <c r="G79" s="1236"/>
      <c r="H79" s="1116"/>
      <c r="I79" s="1116"/>
      <c r="J79" s="1116"/>
      <c r="K79" s="1148"/>
      <c r="L79" s="1128"/>
      <c r="M79" s="1116"/>
      <c r="N79" s="1116"/>
      <c r="O79" s="1116"/>
      <c r="P79" s="1116"/>
      <c r="Q79" s="1116"/>
      <c r="R79" s="1116"/>
      <c r="S79" s="1116"/>
      <c r="T79" s="1116"/>
    </row>
    <row r="80">
      <c r="A80" s="1116"/>
      <c r="B80" s="1116"/>
      <c r="C80" s="1116"/>
      <c r="D80" s="1116"/>
      <c r="E80" s="1116"/>
      <c r="F80" s="1116"/>
      <c r="G80" s="1236"/>
      <c r="H80" s="1116"/>
      <c r="I80" s="1116"/>
      <c r="J80" s="1116"/>
      <c r="K80" s="1148"/>
      <c r="L80" s="1128"/>
      <c r="M80" s="1116"/>
      <c r="N80" s="1116"/>
      <c r="O80" s="1116"/>
      <c r="P80" s="1116"/>
      <c r="Q80" s="1116"/>
      <c r="R80" s="1116"/>
      <c r="S80" s="1116"/>
      <c r="T80" s="1116"/>
    </row>
    <row r="81">
      <c r="A81" s="1116"/>
      <c r="B81" s="1116"/>
      <c r="C81" s="1116"/>
      <c r="D81" s="1116"/>
      <c r="E81" s="1116"/>
      <c r="F81" s="1116"/>
      <c r="G81" s="1236"/>
      <c r="H81" s="1116"/>
      <c r="I81" s="1116"/>
      <c r="J81" s="1116"/>
      <c r="K81" s="1148"/>
      <c r="L81" s="1128"/>
      <c r="M81" s="1116"/>
      <c r="N81" s="1116"/>
      <c r="O81" s="1116"/>
      <c r="P81" s="1116"/>
      <c r="Q81" s="1116"/>
      <c r="R81" s="1116"/>
      <c r="S81" s="1116"/>
      <c r="T81" s="1116"/>
    </row>
    <row r="82">
      <c r="A82" s="1116"/>
      <c r="B82" s="1116"/>
      <c r="C82" s="1116"/>
      <c r="D82" s="1116"/>
      <c r="E82" s="1116"/>
      <c r="F82" s="1116"/>
      <c r="G82" s="1236"/>
      <c r="H82" s="1116"/>
      <c r="I82" s="1116"/>
      <c r="J82" s="1116"/>
      <c r="K82" s="1148"/>
      <c r="L82" s="1128"/>
      <c r="M82" s="1116"/>
      <c r="N82" s="1116"/>
      <c r="O82" s="1116"/>
      <c r="P82" s="1116"/>
      <c r="Q82" s="1116"/>
      <c r="R82" s="1116"/>
      <c r="S82" s="1116"/>
      <c r="T82" s="1116"/>
    </row>
    <row r="83">
      <c r="A83" s="1116"/>
      <c r="B83" s="1116"/>
      <c r="C83" s="1116"/>
      <c r="D83" s="1116"/>
      <c r="E83" s="1116"/>
      <c r="F83" s="1116"/>
      <c r="G83" s="1236"/>
      <c r="H83" s="1116"/>
      <c r="I83" s="1116"/>
      <c r="J83" s="1116"/>
      <c r="K83" s="1148"/>
      <c r="L83" s="1128"/>
      <c r="M83" s="1116"/>
      <c r="N83" s="1116"/>
      <c r="O83" s="1116"/>
      <c r="P83" s="1116"/>
      <c r="Q83" s="1116"/>
      <c r="R83" s="1116"/>
      <c r="S83" s="1116"/>
      <c r="T83" s="1116"/>
    </row>
    <row r="84">
      <c r="A84" s="1116"/>
      <c r="B84" s="1116"/>
      <c r="C84" s="1116"/>
      <c r="D84" s="1116"/>
      <c r="E84" s="1116"/>
      <c r="F84" s="1116"/>
      <c r="G84" s="1236"/>
      <c r="H84" s="1116"/>
      <c r="I84" s="1116"/>
      <c r="J84" s="1116"/>
      <c r="K84" s="1148"/>
      <c r="L84" s="1128"/>
      <c r="M84" s="1116"/>
      <c r="N84" s="1116"/>
      <c r="O84" s="1116"/>
      <c r="P84" s="1116"/>
      <c r="Q84" s="1116"/>
      <c r="R84" s="1116"/>
      <c r="S84" s="1116"/>
      <c r="T84" s="1116"/>
    </row>
    <row r="85">
      <c r="A85" s="1116"/>
      <c r="B85" s="1116"/>
      <c r="C85" s="1116"/>
      <c r="D85" s="1116"/>
      <c r="E85" s="1116"/>
      <c r="F85" s="1116"/>
      <c r="G85" s="1236"/>
      <c r="H85" s="1116"/>
      <c r="I85" s="1116"/>
      <c r="J85" s="1116"/>
      <c r="K85" s="1148"/>
      <c r="L85" s="1128"/>
      <c r="M85" s="1116"/>
      <c r="N85" s="1116"/>
      <c r="O85" s="1116"/>
      <c r="P85" s="1116"/>
      <c r="Q85" s="1116"/>
      <c r="R85" s="1116"/>
      <c r="S85" s="1116"/>
      <c r="T85" s="1116"/>
    </row>
    <row r="86">
      <c r="A86" s="1116"/>
      <c r="B86" s="1116"/>
      <c r="C86" s="1116"/>
      <c r="D86" s="1116"/>
      <c r="E86" s="1116"/>
      <c r="F86" s="1116"/>
      <c r="G86" s="1236"/>
      <c r="H86" s="1116"/>
      <c r="I86" s="1116"/>
      <c r="J86" s="1116"/>
      <c r="K86" s="1148"/>
      <c r="L86" s="1128"/>
      <c r="M86" s="1116"/>
      <c r="N86" s="1116"/>
      <c r="O86" s="1116"/>
      <c r="P86" s="1116"/>
      <c r="Q86" s="1116"/>
      <c r="R86" s="1116"/>
      <c r="S86" s="1116"/>
      <c r="T86" s="1116"/>
    </row>
    <row r="87">
      <c r="A87" s="1116"/>
      <c r="B87" s="1116"/>
      <c r="C87" s="1116"/>
      <c r="D87" s="1116"/>
      <c r="E87" s="1116"/>
      <c r="F87" s="1116"/>
      <c r="G87" s="1236"/>
      <c r="H87" s="1116"/>
      <c r="I87" s="1116"/>
      <c r="J87" s="1116"/>
      <c r="K87" s="1148"/>
      <c r="L87" s="1128"/>
      <c r="M87" s="1116"/>
      <c r="N87" s="1116"/>
      <c r="O87" s="1116"/>
      <c r="P87" s="1116"/>
      <c r="Q87" s="1116"/>
      <c r="R87" s="1116"/>
      <c r="S87" s="1116"/>
      <c r="T87" s="1116"/>
    </row>
    <row r="88">
      <c r="A88" s="1116"/>
      <c r="B88" s="1116"/>
      <c r="C88" s="1116"/>
      <c r="D88" s="1116"/>
      <c r="E88" s="1116"/>
      <c r="F88" s="1116"/>
      <c r="G88" s="1236"/>
      <c r="H88" s="1116"/>
      <c r="I88" s="1116"/>
      <c r="J88" s="1116"/>
      <c r="K88" s="1148"/>
      <c r="L88" s="1128"/>
      <c r="M88" s="1116"/>
      <c r="N88" s="1116"/>
      <c r="O88" s="1116"/>
      <c r="P88" s="1116"/>
      <c r="Q88" s="1116"/>
      <c r="R88" s="1116"/>
      <c r="S88" s="1116"/>
      <c r="T88" s="1116"/>
    </row>
    <row r="89">
      <c r="A89" s="1116"/>
      <c r="B89" s="1116"/>
      <c r="C89" s="1116"/>
      <c r="D89" s="1116"/>
      <c r="E89" s="1116"/>
      <c r="F89" s="1116"/>
      <c r="G89" s="1236"/>
      <c r="H89" s="1116"/>
      <c r="I89" s="1116"/>
      <c r="J89" s="1116"/>
      <c r="K89" s="1148"/>
      <c r="L89" s="1128"/>
      <c r="M89" s="1116"/>
      <c r="N89" s="1116"/>
      <c r="O89" s="1116"/>
      <c r="P89" s="1116"/>
      <c r="Q89" s="1116"/>
      <c r="R89" s="1116"/>
      <c r="S89" s="1116"/>
      <c r="T89" s="1116"/>
    </row>
    <row r="90">
      <c r="A90" s="1116"/>
      <c r="B90" s="1116"/>
      <c r="C90" s="1116"/>
      <c r="D90" s="1116"/>
      <c r="E90" s="1116"/>
      <c r="F90" s="1116"/>
      <c r="G90" s="1236"/>
      <c r="H90" s="1116"/>
      <c r="I90" s="1116"/>
      <c r="J90" s="1116"/>
      <c r="K90" s="1148"/>
      <c r="L90" s="1128"/>
      <c r="M90" s="1116"/>
      <c r="N90" s="1116"/>
      <c r="O90" s="1116"/>
      <c r="P90" s="1116"/>
      <c r="Q90" s="1116"/>
      <c r="R90" s="1116"/>
      <c r="S90" s="1116"/>
      <c r="T90" s="1116"/>
    </row>
    <row r="91">
      <c r="A91" s="1116"/>
      <c r="B91" s="1116"/>
      <c r="C91" s="1116"/>
      <c r="D91" s="1116"/>
      <c r="E91" s="1116"/>
      <c r="F91" s="1116"/>
      <c r="G91" s="1236"/>
      <c r="H91" s="1116"/>
      <c r="I91" s="1116"/>
      <c r="J91" s="1116"/>
      <c r="K91" s="1148"/>
      <c r="L91" s="1128"/>
      <c r="M91" s="1116"/>
      <c r="N91" s="1116"/>
      <c r="O91" s="1116"/>
      <c r="P91" s="1116"/>
      <c r="Q91" s="1116"/>
      <c r="R91" s="1116"/>
      <c r="S91" s="1116"/>
      <c r="T91" s="1116"/>
    </row>
    <row r="92">
      <c r="A92" s="1116"/>
      <c r="B92" s="1116"/>
      <c r="C92" s="1116"/>
      <c r="D92" s="1116"/>
      <c r="E92" s="1116"/>
      <c r="F92" s="1116"/>
      <c r="G92" s="1236"/>
      <c r="H92" s="1116"/>
      <c r="I92" s="1116"/>
      <c r="J92" s="1116"/>
      <c r="K92" s="1148"/>
      <c r="L92" s="1128"/>
      <c r="M92" s="1116"/>
      <c r="N92" s="1116"/>
      <c r="O92" s="1116"/>
      <c r="P92" s="1116"/>
      <c r="Q92" s="1116"/>
      <c r="R92" s="1116"/>
      <c r="S92" s="1116"/>
      <c r="T92" s="1116"/>
    </row>
    <row r="93">
      <c r="A93" s="1116"/>
      <c r="B93" s="1116"/>
      <c r="C93" s="1116"/>
      <c r="D93" s="1116"/>
      <c r="E93" s="1116"/>
      <c r="F93" s="1116"/>
      <c r="G93" s="1236"/>
      <c r="H93" s="1116"/>
      <c r="I93" s="1116"/>
      <c r="J93" s="1116"/>
      <c r="K93" s="1148"/>
      <c r="L93" s="1128"/>
      <c r="M93" s="1116"/>
      <c r="N93" s="1116"/>
      <c r="O93" s="1116"/>
      <c r="P93" s="1116"/>
      <c r="Q93" s="1116"/>
      <c r="R93" s="1116"/>
      <c r="S93" s="1116"/>
      <c r="T93" s="1116"/>
    </row>
    <row r="94">
      <c r="A94" s="1116"/>
      <c r="B94" s="1116"/>
      <c r="C94" s="1116"/>
      <c r="D94" s="1116"/>
      <c r="E94" s="1116"/>
      <c r="F94" s="1116"/>
      <c r="G94" s="1236"/>
      <c r="H94" s="1116"/>
      <c r="I94" s="1116"/>
      <c r="J94" s="1116"/>
      <c r="K94" s="1148"/>
      <c r="L94" s="1128"/>
      <c r="M94" s="1116"/>
      <c r="N94" s="1116"/>
      <c r="O94" s="1116"/>
      <c r="P94" s="1116"/>
      <c r="Q94" s="1116"/>
      <c r="R94" s="1116"/>
      <c r="S94" s="1116"/>
      <c r="T94" s="1116"/>
    </row>
    <row r="95">
      <c r="A95" s="1116"/>
      <c r="B95" s="1116"/>
      <c r="C95" s="1116"/>
      <c r="D95" s="1116"/>
      <c r="E95" s="1116"/>
      <c r="F95" s="1116"/>
      <c r="G95" s="1236"/>
      <c r="H95" s="1116"/>
      <c r="I95" s="1116"/>
      <c r="J95" s="1116"/>
      <c r="K95" s="1148"/>
      <c r="L95" s="1128"/>
      <c r="M95" s="1116"/>
      <c r="N95" s="1116"/>
      <c r="O95" s="1116"/>
      <c r="P95" s="1116"/>
      <c r="Q95" s="1116"/>
      <c r="R95" s="1116"/>
      <c r="S95" s="1116"/>
      <c r="T95" s="1116"/>
    </row>
    <row r="96">
      <c r="A96" s="1116"/>
      <c r="B96" s="1116"/>
      <c r="C96" s="1116"/>
      <c r="D96" s="1116"/>
      <c r="E96" s="1116"/>
      <c r="F96" s="1116"/>
      <c r="G96" s="1236"/>
      <c r="H96" s="1116"/>
      <c r="I96" s="1116"/>
      <c r="J96" s="1116"/>
      <c r="K96" s="1148"/>
      <c r="L96" s="1128"/>
      <c r="M96" s="1116"/>
      <c r="N96" s="1116"/>
      <c r="O96" s="1116"/>
      <c r="P96" s="1116"/>
      <c r="Q96" s="1116"/>
      <c r="R96" s="1116"/>
      <c r="S96" s="1116"/>
      <c r="T96" s="1116"/>
    </row>
    <row r="97">
      <c r="A97" s="1116"/>
      <c r="B97" s="1116"/>
      <c r="C97" s="1116"/>
      <c r="D97" s="1116"/>
      <c r="E97" s="1116"/>
      <c r="F97" s="1116"/>
      <c r="G97" s="1236"/>
      <c r="H97" s="1116"/>
      <c r="I97" s="1116"/>
      <c r="J97" s="1116"/>
      <c r="K97" s="1148"/>
      <c r="L97" s="1128"/>
      <c r="M97" s="1116"/>
      <c r="N97" s="1116"/>
      <c r="O97" s="1116"/>
      <c r="P97" s="1116"/>
      <c r="Q97" s="1116"/>
      <c r="R97" s="1116"/>
      <c r="S97" s="1116"/>
      <c r="T97" s="1116"/>
    </row>
    <row r="98">
      <c r="A98" s="1116"/>
      <c r="B98" s="1116"/>
      <c r="C98" s="1116"/>
      <c r="D98" s="1116"/>
      <c r="E98" s="1116"/>
      <c r="F98" s="1116"/>
      <c r="G98" s="1236"/>
      <c r="H98" s="1116"/>
      <c r="I98" s="1116"/>
      <c r="J98" s="1116"/>
      <c r="K98" s="1148"/>
      <c r="L98" s="1128"/>
      <c r="M98" s="1116"/>
      <c r="N98" s="1116"/>
      <c r="O98" s="1116"/>
      <c r="P98" s="1116"/>
      <c r="Q98" s="1116"/>
      <c r="R98" s="1116"/>
      <c r="S98" s="1116"/>
      <c r="T98" s="1116"/>
    </row>
    <row r="99">
      <c r="A99" s="1116"/>
      <c r="B99" s="1116"/>
      <c r="C99" s="1116"/>
      <c r="D99" s="1116"/>
      <c r="E99" s="1116"/>
      <c r="F99" s="1116"/>
      <c r="G99" s="1236"/>
      <c r="H99" s="1116"/>
      <c r="I99" s="1116"/>
      <c r="J99" s="1116"/>
      <c r="K99" s="1148"/>
      <c r="L99" s="1128"/>
      <c r="M99" s="1116"/>
      <c r="N99" s="1116"/>
      <c r="O99" s="1116"/>
      <c r="P99" s="1116"/>
      <c r="Q99" s="1116"/>
      <c r="R99" s="1116"/>
      <c r="S99" s="1116"/>
      <c r="T99" s="1116"/>
    </row>
    <row r="100">
      <c r="A100" s="1116"/>
      <c r="B100" s="1116"/>
      <c r="C100" s="1116"/>
      <c r="D100" s="1116"/>
      <c r="E100" s="1116"/>
      <c r="F100" s="1116"/>
      <c r="G100" s="1236"/>
      <c r="H100" s="1116"/>
      <c r="I100" s="1116"/>
      <c r="J100" s="1116"/>
      <c r="K100" s="1148"/>
      <c r="L100" s="1128"/>
      <c r="M100" s="1116"/>
      <c r="N100" s="1116"/>
      <c r="O100" s="1116"/>
      <c r="P100" s="1116"/>
      <c r="Q100" s="1116"/>
      <c r="R100" s="1116"/>
      <c r="S100" s="1116"/>
      <c r="T100" s="1116"/>
    </row>
    <row r="101">
      <c r="A101" s="1116"/>
      <c r="B101" s="1116"/>
      <c r="C101" s="1116"/>
      <c r="D101" s="1116"/>
      <c r="E101" s="1116"/>
      <c r="F101" s="1116"/>
      <c r="G101" s="1236"/>
      <c r="H101" s="1116"/>
      <c r="I101" s="1116"/>
      <c r="J101" s="1116"/>
      <c r="K101" s="1148"/>
      <c r="L101" s="1128"/>
      <c r="M101" s="1116"/>
      <c r="N101" s="1116"/>
      <c r="O101" s="1116"/>
      <c r="P101" s="1116"/>
      <c r="Q101" s="1116"/>
      <c r="R101" s="1116"/>
      <c r="S101" s="1116"/>
      <c r="T101" s="1116"/>
    </row>
    <row r="102">
      <c r="A102" s="1116"/>
      <c r="B102" s="1116"/>
      <c r="C102" s="1116"/>
      <c r="D102" s="1116"/>
      <c r="E102" s="1116"/>
      <c r="F102" s="1116"/>
      <c r="G102" s="1236"/>
      <c r="H102" s="1116"/>
      <c r="I102" s="1116"/>
      <c r="J102" s="1116"/>
      <c r="K102" s="1148"/>
      <c r="L102" s="1128"/>
      <c r="M102" s="1116"/>
      <c r="N102" s="1116"/>
      <c r="O102" s="1116"/>
      <c r="P102" s="1116"/>
      <c r="Q102" s="1116"/>
      <c r="R102" s="1116"/>
      <c r="S102" s="1116"/>
      <c r="T102" s="1116"/>
    </row>
    <row r="103">
      <c r="A103" s="1116"/>
      <c r="B103" s="1116"/>
      <c r="C103" s="1116"/>
      <c r="D103" s="1116"/>
      <c r="E103" s="1116"/>
      <c r="F103" s="1116"/>
      <c r="G103" s="1236"/>
      <c r="H103" s="1116"/>
      <c r="I103" s="1116"/>
      <c r="J103" s="1116"/>
      <c r="K103" s="1148"/>
      <c r="L103" s="1128"/>
      <c r="M103" s="1116"/>
      <c r="N103" s="1116"/>
      <c r="O103" s="1116"/>
      <c r="P103" s="1116"/>
      <c r="Q103" s="1116"/>
      <c r="R103" s="1116"/>
      <c r="S103" s="1116"/>
      <c r="T103" s="1116"/>
    </row>
    <row r="104">
      <c r="A104" s="1116"/>
      <c r="B104" s="1116"/>
      <c r="C104" s="1116"/>
      <c r="D104" s="1116"/>
      <c r="E104" s="1116"/>
      <c r="F104" s="1116"/>
      <c r="G104" s="1236"/>
      <c r="H104" s="1116"/>
      <c r="I104" s="1116"/>
      <c r="J104" s="1116"/>
      <c r="K104" s="1148"/>
      <c r="L104" s="1128"/>
      <c r="M104" s="1116"/>
      <c r="N104" s="1116"/>
      <c r="O104" s="1116"/>
      <c r="P104" s="1116"/>
      <c r="Q104" s="1116"/>
      <c r="R104" s="1116"/>
      <c r="S104" s="1116"/>
      <c r="T104" s="1116"/>
    </row>
    <row r="105">
      <c r="A105" s="1116"/>
      <c r="B105" s="1116"/>
      <c r="C105" s="1116"/>
      <c r="D105" s="1116"/>
      <c r="E105" s="1116"/>
      <c r="F105" s="1116"/>
      <c r="G105" s="1236"/>
      <c r="H105" s="1116"/>
      <c r="I105" s="1116"/>
      <c r="J105" s="1116"/>
      <c r="K105" s="1148"/>
      <c r="L105" s="1128"/>
      <c r="M105" s="1116"/>
      <c r="N105" s="1116"/>
      <c r="O105" s="1116"/>
      <c r="P105" s="1116"/>
      <c r="Q105" s="1116"/>
      <c r="R105" s="1116"/>
      <c r="S105" s="1116"/>
      <c r="T105" s="1116"/>
    </row>
    <row r="106">
      <c r="A106" s="1116"/>
      <c r="B106" s="1116"/>
      <c r="C106" s="1116"/>
      <c r="D106" s="1116"/>
      <c r="E106" s="1116"/>
      <c r="F106" s="1116"/>
      <c r="G106" s="1236"/>
      <c r="H106" s="1116"/>
      <c r="I106" s="1116"/>
      <c r="J106" s="1116"/>
      <c r="K106" s="1148"/>
      <c r="L106" s="1128"/>
      <c r="M106" s="1116"/>
      <c r="N106" s="1116"/>
      <c r="O106" s="1116"/>
      <c r="P106" s="1116"/>
      <c r="Q106" s="1116"/>
      <c r="R106" s="1116"/>
      <c r="S106" s="1116"/>
      <c r="T106" s="1116"/>
    </row>
    <row r="107">
      <c r="A107" s="1116"/>
      <c r="B107" s="1116"/>
      <c r="C107" s="1116"/>
      <c r="D107" s="1116"/>
      <c r="E107" s="1116"/>
      <c r="F107" s="1116"/>
      <c r="G107" s="1236"/>
      <c r="H107" s="1116"/>
      <c r="I107" s="1116"/>
      <c r="J107" s="1116"/>
      <c r="K107" s="1148"/>
      <c r="L107" s="1128"/>
      <c r="M107" s="1116"/>
      <c r="N107" s="1116"/>
      <c r="O107" s="1116"/>
      <c r="P107" s="1116"/>
      <c r="Q107" s="1116"/>
      <c r="R107" s="1116"/>
      <c r="S107" s="1116"/>
      <c r="T107" s="1116"/>
    </row>
    <row r="108">
      <c r="A108" s="1116"/>
      <c r="B108" s="1116"/>
      <c r="C108" s="1116"/>
      <c r="D108" s="1116"/>
      <c r="E108" s="1116"/>
      <c r="F108" s="1116"/>
      <c r="G108" s="1236"/>
      <c r="H108" s="1116"/>
      <c r="I108" s="1116"/>
      <c r="J108" s="1116"/>
      <c r="K108" s="1148"/>
      <c r="L108" s="1128"/>
      <c r="M108" s="1116"/>
      <c r="N108" s="1116"/>
      <c r="O108" s="1116"/>
      <c r="P108" s="1116"/>
      <c r="Q108" s="1116"/>
      <c r="R108" s="1116"/>
      <c r="S108" s="1116"/>
      <c r="T108" s="1116"/>
    </row>
    <row r="109">
      <c r="A109" s="1116"/>
      <c r="B109" s="1116"/>
      <c r="C109" s="1116"/>
      <c r="D109" s="1116"/>
      <c r="E109" s="1116"/>
      <c r="F109" s="1116"/>
      <c r="G109" s="1236"/>
      <c r="H109" s="1116"/>
      <c r="I109" s="1116"/>
      <c r="J109" s="1116"/>
      <c r="K109" s="1148"/>
      <c r="L109" s="1128"/>
      <c r="M109" s="1116"/>
      <c r="N109" s="1116"/>
      <c r="O109" s="1116"/>
      <c r="P109" s="1116"/>
      <c r="Q109" s="1116"/>
      <c r="R109" s="1116"/>
      <c r="S109" s="1116"/>
      <c r="T109" s="1116"/>
    </row>
    <row r="110">
      <c r="A110" s="1116"/>
      <c r="B110" s="1116"/>
      <c r="C110" s="1116"/>
      <c r="D110" s="1116"/>
      <c r="E110" s="1116"/>
      <c r="F110" s="1116"/>
      <c r="G110" s="1236"/>
      <c r="H110" s="1116"/>
      <c r="I110" s="1116"/>
      <c r="J110" s="1116"/>
      <c r="K110" s="1148"/>
      <c r="L110" s="1128"/>
      <c r="M110" s="1116"/>
      <c r="N110" s="1116"/>
      <c r="O110" s="1116"/>
      <c r="P110" s="1116"/>
      <c r="Q110" s="1116"/>
      <c r="R110" s="1116"/>
      <c r="S110" s="1116"/>
      <c r="T110" s="1116"/>
    </row>
    <row r="111">
      <c r="A111" s="1116"/>
      <c r="B111" s="1116"/>
      <c r="C111" s="1116"/>
      <c r="D111" s="1116"/>
      <c r="E111" s="1116"/>
      <c r="F111" s="1116"/>
      <c r="G111" s="1236"/>
      <c r="H111" s="1116"/>
      <c r="I111" s="1116"/>
      <c r="J111" s="1116"/>
      <c r="K111" s="1148"/>
      <c r="L111" s="1128"/>
      <c r="M111" s="1116"/>
      <c r="N111" s="1116"/>
      <c r="O111" s="1116"/>
      <c r="P111" s="1116"/>
      <c r="Q111" s="1116"/>
      <c r="R111" s="1116"/>
      <c r="S111" s="1116"/>
      <c r="T111" s="1116"/>
    </row>
    <row r="112">
      <c r="A112" s="1116"/>
      <c r="B112" s="1116"/>
      <c r="C112" s="1116"/>
      <c r="D112" s="1116"/>
      <c r="E112" s="1116"/>
      <c r="F112" s="1116"/>
      <c r="G112" s="1236"/>
      <c r="H112" s="1116"/>
      <c r="I112" s="1116"/>
      <c r="J112" s="1116"/>
      <c r="K112" s="1148"/>
      <c r="L112" s="1128"/>
      <c r="M112" s="1116"/>
      <c r="N112" s="1116"/>
      <c r="O112" s="1116"/>
      <c r="P112" s="1116"/>
      <c r="Q112" s="1116"/>
      <c r="R112" s="1116"/>
      <c r="S112" s="1116"/>
      <c r="T112" s="1116"/>
    </row>
    <row r="113">
      <c r="A113" s="1116"/>
      <c r="B113" s="1116"/>
      <c r="C113" s="1116"/>
      <c r="D113" s="1116"/>
      <c r="E113" s="1116"/>
      <c r="F113" s="1116"/>
      <c r="G113" s="1236"/>
      <c r="H113" s="1116"/>
      <c r="I113" s="1116"/>
      <c r="J113" s="1116"/>
      <c r="K113" s="1148"/>
      <c r="L113" s="1128"/>
      <c r="M113" s="1116"/>
      <c r="N113" s="1116"/>
      <c r="O113" s="1116"/>
      <c r="P113" s="1116"/>
      <c r="Q113" s="1116"/>
      <c r="R113" s="1116"/>
      <c r="S113" s="1116"/>
      <c r="T113" s="1116"/>
    </row>
    <row r="114">
      <c r="A114" s="1116"/>
      <c r="B114" s="1116"/>
      <c r="C114" s="1116"/>
      <c r="D114" s="1116"/>
      <c r="E114" s="1116"/>
      <c r="F114" s="1116"/>
      <c r="G114" s="1236"/>
      <c r="H114" s="1116"/>
      <c r="I114" s="1116"/>
      <c r="J114" s="1116"/>
      <c r="K114" s="1148"/>
      <c r="L114" s="1128"/>
      <c r="M114" s="1116"/>
      <c r="N114" s="1116"/>
      <c r="O114" s="1116"/>
      <c r="P114" s="1116"/>
      <c r="Q114" s="1116"/>
      <c r="R114" s="1116"/>
      <c r="S114" s="1116"/>
      <c r="T114" s="1116"/>
    </row>
    <row r="115">
      <c r="A115" s="1116"/>
      <c r="B115" s="1116"/>
      <c r="C115" s="1116"/>
      <c r="D115" s="1116"/>
      <c r="E115" s="1116"/>
      <c r="F115" s="1116"/>
      <c r="G115" s="1236"/>
      <c r="H115" s="1116"/>
      <c r="I115" s="1116"/>
      <c r="J115" s="1116"/>
      <c r="K115" s="1148"/>
      <c r="L115" s="1128"/>
      <c r="M115" s="1116"/>
      <c r="N115" s="1116"/>
      <c r="O115" s="1116"/>
      <c r="P115" s="1116"/>
      <c r="Q115" s="1116"/>
      <c r="R115" s="1116"/>
      <c r="S115" s="1116"/>
      <c r="T115" s="1116"/>
    </row>
    <row r="116">
      <c r="A116" s="1116"/>
      <c r="B116" s="1116"/>
      <c r="C116" s="1116"/>
      <c r="D116" s="1116"/>
      <c r="E116" s="1116"/>
      <c r="F116" s="1116"/>
      <c r="G116" s="1236"/>
      <c r="H116" s="1116"/>
      <c r="I116" s="1116"/>
      <c r="J116" s="1116"/>
      <c r="K116" s="1148"/>
      <c r="L116" s="1128"/>
      <c r="M116" s="1116"/>
      <c r="N116" s="1116"/>
      <c r="O116" s="1116"/>
      <c r="P116" s="1116"/>
      <c r="Q116" s="1116"/>
      <c r="R116" s="1116"/>
      <c r="S116" s="1116"/>
      <c r="T116" s="1116"/>
    </row>
    <row r="117">
      <c r="A117" s="1116"/>
      <c r="B117" s="1116"/>
      <c r="C117" s="1116"/>
      <c r="D117" s="1116"/>
      <c r="E117" s="1116"/>
      <c r="F117" s="1116"/>
      <c r="G117" s="1236"/>
      <c r="H117" s="1116"/>
      <c r="I117" s="1116"/>
      <c r="J117" s="1116"/>
      <c r="K117" s="1148"/>
      <c r="L117" s="1128"/>
      <c r="M117" s="1116"/>
      <c r="N117" s="1116"/>
      <c r="O117" s="1116"/>
      <c r="P117" s="1116"/>
      <c r="Q117" s="1116"/>
      <c r="R117" s="1116"/>
      <c r="S117" s="1116"/>
      <c r="T117" s="1116"/>
    </row>
    <row r="118">
      <c r="A118" s="1116"/>
      <c r="B118" s="1116"/>
      <c r="C118" s="1116"/>
      <c r="D118" s="1116"/>
      <c r="E118" s="1116"/>
      <c r="F118" s="1116"/>
      <c r="G118" s="1236"/>
      <c r="H118" s="1116"/>
      <c r="I118" s="1116"/>
      <c r="J118" s="1116"/>
      <c r="K118" s="1148"/>
      <c r="L118" s="1128"/>
      <c r="M118" s="1116"/>
      <c r="N118" s="1116"/>
      <c r="O118" s="1116"/>
      <c r="P118" s="1116"/>
      <c r="Q118" s="1116"/>
      <c r="R118" s="1116"/>
      <c r="S118" s="1116"/>
      <c r="T118" s="1116"/>
    </row>
    <row r="119">
      <c r="A119" s="1116"/>
      <c r="B119" s="1116"/>
      <c r="C119" s="1116"/>
      <c r="D119" s="1116"/>
      <c r="E119" s="1116"/>
      <c r="F119" s="1116"/>
      <c r="G119" s="1236"/>
      <c r="H119" s="1116"/>
      <c r="I119" s="1116"/>
      <c r="J119" s="1116"/>
      <c r="K119" s="1148"/>
      <c r="L119" s="1128"/>
      <c r="M119" s="1116"/>
      <c r="N119" s="1116"/>
      <c r="O119" s="1116"/>
      <c r="P119" s="1116"/>
      <c r="Q119" s="1116"/>
      <c r="R119" s="1116"/>
      <c r="S119" s="1116"/>
      <c r="T119" s="1116"/>
    </row>
    <row r="120">
      <c r="A120" s="1116"/>
      <c r="B120" s="1116"/>
      <c r="C120" s="1116"/>
      <c r="D120" s="1116"/>
      <c r="E120" s="1116"/>
      <c r="F120" s="1116"/>
      <c r="G120" s="1236"/>
      <c r="H120" s="1116"/>
      <c r="I120" s="1116"/>
      <c r="J120" s="1116"/>
      <c r="K120" s="1148"/>
      <c r="L120" s="1128"/>
      <c r="M120" s="1116"/>
      <c r="N120" s="1116"/>
      <c r="O120" s="1116"/>
      <c r="P120" s="1116"/>
      <c r="Q120" s="1116"/>
      <c r="R120" s="1116"/>
      <c r="S120" s="1116"/>
      <c r="T120" s="1116"/>
    </row>
    <row r="121">
      <c r="A121" s="1116"/>
      <c r="B121" s="1116"/>
      <c r="C121" s="1116"/>
      <c r="D121" s="1116"/>
      <c r="E121" s="1116"/>
      <c r="F121" s="1116"/>
      <c r="G121" s="1236"/>
      <c r="H121" s="1116"/>
      <c r="I121" s="1116"/>
      <c r="J121" s="1116"/>
      <c r="K121" s="1148"/>
      <c r="L121" s="1128"/>
      <c r="M121" s="1116"/>
      <c r="N121" s="1116"/>
      <c r="O121" s="1116"/>
      <c r="P121" s="1116"/>
      <c r="Q121" s="1116"/>
      <c r="R121" s="1116"/>
      <c r="S121" s="1116"/>
      <c r="T121" s="1116"/>
    </row>
    <row r="122">
      <c r="A122" s="1116"/>
      <c r="B122" s="1116"/>
      <c r="C122" s="1116"/>
      <c r="D122" s="1116"/>
      <c r="E122" s="1116"/>
      <c r="F122" s="1116"/>
      <c r="G122" s="1236"/>
      <c r="H122" s="1116"/>
      <c r="I122" s="1116"/>
      <c r="J122" s="1116"/>
      <c r="K122" s="1148"/>
      <c r="L122" s="1128"/>
      <c r="M122" s="1116"/>
      <c r="N122" s="1116"/>
      <c r="O122" s="1116"/>
      <c r="P122" s="1116"/>
      <c r="Q122" s="1116"/>
      <c r="R122" s="1116"/>
      <c r="S122" s="1116"/>
      <c r="T122" s="1116"/>
    </row>
    <row r="123">
      <c r="A123" s="1116"/>
      <c r="B123" s="1116"/>
      <c r="C123" s="1116"/>
      <c r="D123" s="1116"/>
      <c r="E123" s="1116"/>
      <c r="F123" s="1116"/>
      <c r="G123" s="1236"/>
      <c r="H123" s="1116"/>
      <c r="I123" s="1116"/>
      <c r="J123" s="1116"/>
      <c r="K123" s="1148"/>
      <c r="L123" s="1128"/>
      <c r="M123" s="1116"/>
      <c r="N123" s="1116"/>
      <c r="O123" s="1116"/>
      <c r="P123" s="1116"/>
      <c r="Q123" s="1116"/>
      <c r="R123" s="1116"/>
      <c r="S123" s="1116"/>
      <c r="T123" s="1116"/>
    </row>
    <row r="124">
      <c r="A124" s="1116"/>
      <c r="B124" s="1116"/>
      <c r="C124" s="1116"/>
      <c r="D124" s="1116"/>
      <c r="E124" s="1116"/>
      <c r="F124" s="1116"/>
      <c r="G124" s="1236"/>
      <c r="H124" s="1116"/>
      <c r="I124" s="1116"/>
      <c r="J124" s="1116"/>
      <c r="K124" s="1148"/>
      <c r="L124" s="1128"/>
      <c r="M124" s="1116"/>
      <c r="N124" s="1116"/>
      <c r="O124" s="1116"/>
      <c r="P124" s="1116"/>
      <c r="Q124" s="1116"/>
      <c r="R124" s="1116"/>
      <c r="S124" s="1116"/>
      <c r="T124" s="1116"/>
    </row>
    <row r="125">
      <c r="A125" s="1116"/>
      <c r="B125" s="1116"/>
      <c r="C125" s="1116"/>
      <c r="D125" s="1116"/>
      <c r="E125" s="1116"/>
      <c r="F125" s="1116"/>
      <c r="G125" s="1236"/>
      <c r="H125" s="1116"/>
      <c r="I125" s="1116"/>
      <c r="J125" s="1116"/>
      <c r="K125" s="1148"/>
      <c r="L125" s="1128"/>
      <c r="M125" s="1116"/>
      <c r="N125" s="1116"/>
      <c r="O125" s="1116"/>
      <c r="P125" s="1116"/>
      <c r="Q125" s="1116"/>
      <c r="R125" s="1116"/>
      <c r="S125" s="1116"/>
      <c r="T125" s="1116"/>
    </row>
    <row r="126">
      <c r="A126" s="1116"/>
      <c r="B126" s="1116"/>
      <c r="C126" s="1116"/>
      <c r="D126" s="1116"/>
      <c r="E126" s="1116"/>
      <c r="F126" s="1116"/>
      <c r="G126" s="1236"/>
      <c r="H126" s="1116"/>
      <c r="I126" s="1116"/>
      <c r="J126" s="1116"/>
      <c r="K126" s="1148"/>
      <c r="L126" s="1128"/>
      <c r="M126" s="1116"/>
      <c r="N126" s="1116"/>
      <c r="O126" s="1116"/>
      <c r="P126" s="1116"/>
      <c r="Q126" s="1116"/>
      <c r="R126" s="1116"/>
      <c r="S126" s="1116"/>
      <c r="T126" s="1116"/>
    </row>
    <row r="127">
      <c r="A127" s="1116"/>
      <c r="B127" s="1116"/>
      <c r="C127" s="1116"/>
      <c r="D127" s="1116"/>
      <c r="E127" s="1116"/>
      <c r="F127" s="1116"/>
      <c r="G127" s="1236"/>
      <c r="H127" s="1116"/>
      <c r="I127" s="1116"/>
      <c r="J127" s="1116"/>
      <c r="K127" s="1148"/>
      <c r="L127" s="1128"/>
      <c r="M127" s="1116"/>
      <c r="N127" s="1116"/>
      <c r="O127" s="1116"/>
      <c r="P127" s="1116"/>
      <c r="Q127" s="1116"/>
      <c r="R127" s="1116"/>
      <c r="S127" s="1116"/>
      <c r="T127" s="1116"/>
    </row>
    <row r="128">
      <c r="A128" s="1116"/>
      <c r="B128" s="1116"/>
      <c r="C128" s="1116"/>
      <c r="D128" s="1116"/>
      <c r="E128" s="1116"/>
      <c r="F128" s="1116"/>
      <c r="G128" s="1236"/>
      <c r="H128" s="1116"/>
      <c r="I128" s="1116"/>
      <c r="J128" s="1116"/>
      <c r="K128" s="1148"/>
      <c r="L128" s="1128"/>
      <c r="M128" s="1116"/>
      <c r="N128" s="1116"/>
      <c r="O128" s="1116"/>
      <c r="P128" s="1116"/>
      <c r="Q128" s="1116"/>
      <c r="R128" s="1116"/>
      <c r="S128" s="1116"/>
      <c r="T128" s="1116"/>
    </row>
    <row r="129">
      <c r="A129" s="1116"/>
      <c r="B129" s="1116"/>
      <c r="C129" s="1116"/>
      <c r="D129" s="1116"/>
      <c r="E129" s="1116"/>
      <c r="F129" s="1116"/>
      <c r="G129" s="1236"/>
      <c r="H129" s="1116"/>
      <c r="I129" s="1116"/>
      <c r="J129" s="1116"/>
      <c r="K129" s="1148"/>
      <c r="L129" s="1128"/>
      <c r="M129" s="1116"/>
      <c r="N129" s="1116"/>
      <c r="O129" s="1116"/>
      <c r="P129" s="1116"/>
      <c r="Q129" s="1116"/>
      <c r="R129" s="1116"/>
      <c r="S129" s="1116"/>
      <c r="T129" s="1116"/>
    </row>
    <row r="130">
      <c r="A130" s="1116"/>
      <c r="B130" s="1116"/>
      <c r="C130" s="1116"/>
      <c r="D130" s="1116"/>
      <c r="E130" s="1116"/>
      <c r="F130" s="1116"/>
      <c r="G130" s="1236"/>
      <c r="H130" s="1116"/>
      <c r="I130" s="1116"/>
      <c r="J130" s="1116"/>
      <c r="K130" s="1148"/>
      <c r="L130" s="1128"/>
      <c r="M130" s="1116"/>
      <c r="N130" s="1116"/>
      <c r="O130" s="1116"/>
      <c r="P130" s="1116"/>
      <c r="Q130" s="1116"/>
      <c r="R130" s="1116"/>
      <c r="S130" s="1116"/>
      <c r="T130" s="1116"/>
    </row>
    <row r="131">
      <c r="A131" s="1116"/>
      <c r="B131" s="1116"/>
      <c r="C131" s="1116"/>
      <c r="D131" s="1116"/>
      <c r="E131" s="1116"/>
      <c r="F131" s="1116"/>
      <c r="G131" s="1236"/>
      <c r="H131" s="1116"/>
      <c r="I131" s="1116"/>
      <c r="J131" s="1116"/>
      <c r="K131" s="1148"/>
      <c r="L131" s="1128"/>
      <c r="M131" s="1116"/>
      <c r="N131" s="1116"/>
      <c r="O131" s="1116"/>
      <c r="P131" s="1116"/>
      <c r="Q131" s="1116"/>
      <c r="R131" s="1116"/>
      <c r="S131" s="1116"/>
      <c r="T131" s="1116"/>
    </row>
    <row r="132">
      <c r="A132" s="1116"/>
      <c r="B132" s="1116"/>
      <c r="C132" s="1116"/>
      <c r="D132" s="1116"/>
      <c r="E132" s="1116"/>
      <c r="F132" s="1116"/>
      <c r="G132" s="1236"/>
      <c r="H132" s="1116"/>
      <c r="I132" s="1116"/>
      <c r="J132" s="1116"/>
      <c r="K132" s="1148"/>
      <c r="L132" s="1128"/>
      <c r="M132" s="1116"/>
      <c r="N132" s="1116"/>
      <c r="O132" s="1116"/>
      <c r="P132" s="1116"/>
      <c r="Q132" s="1116"/>
      <c r="R132" s="1116"/>
      <c r="S132" s="1116"/>
      <c r="T132" s="1116"/>
    </row>
    <row r="133">
      <c r="A133" s="1116"/>
      <c r="B133" s="1116"/>
      <c r="C133" s="1116"/>
      <c r="D133" s="1116"/>
      <c r="E133" s="1116"/>
      <c r="F133" s="1116"/>
      <c r="G133" s="1236"/>
      <c r="H133" s="1116"/>
      <c r="I133" s="1116"/>
      <c r="J133" s="1116"/>
      <c r="K133" s="1148"/>
      <c r="L133" s="1128"/>
      <c r="M133" s="1116"/>
      <c r="N133" s="1116"/>
      <c r="O133" s="1116"/>
      <c r="P133" s="1116"/>
      <c r="Q133" s="1116"/>
      <c r="R133" s="1116"/>
      <c r="S133" s="1116"/>
      <c r="T133" s="1116"/>
    </row>
    <row r="134">
      <c r="A134" s="1116"/>
      <c r="B134" s="1116"/>
      <c r="C134" s="1116"/>
      <c r="D134" s="1116"/>
      <c r="E134" s="1116"/>
      <c r="F134" s="1116"/>
      <c r="G134" s="1236"/>
      <c r="H134" s="1116"/>
      <c r="I134" s="1116"/>
      <c r="J134" s="1116"/>
      <c r="K134" s="1148"/>
      <c r="L134" s="1128"/>
      <c r="M134" s="1116"/>
      <c r="N134" s="1116"/>
      <c r="O134" s="1116"/>
      <c r="P134" s="1116"/>
      <c r="Q134" s="1116"/>
      <c r="R134" s="1116"/>
      <c r="S134" s="1116"/>
      <c r="T134" s="1116"/>
    </row>
    <row r="135">
      <c r="A135" s="1116"/>
      <c r="B135" s="1116"/>
      <c r="C135" s="1116"/>
      <c r="D135" s="1116"/>
      <c r="E135" s="1116"/>
      <c r="F135" s="1116"/>
      <c r="G135" s="1236"/>
      <c r="H135" s="1116"/>
      <c r="I135" s="1116"/>
      <c r="J135" s="1116"/>
      <c r="K135" s="1148"/>
      <c r="L135" s="1128"/>
      <c r="M135" s="1116"/>
      <c r="N135" s="1116"/>
      <c r="O135" s="1116"/>
      <c r="P135" s="1116"/>
      <c r="Q135" s="1116"/>
      <c r="R135" s="1116"/>
      <c r="S135" s="1116"/>
      <c r="T135" s="1116"/>
    </row>
    <row r="136">
      <c r="A136" s="1116"/>
      <c r="B136" s="1116"/>
      <c r="C136" s="1116"/>
      <c r="D136" s="1116"/>
      <c r="E136" s="1116"/>
      <c r="F136" s="1116"/>
      <c r="G136" s="1236"/>
      <c r="H136" s="1116"/>
      <c r="I136" s="1116"/>
      <c r="J136" s="1116"/>
      <c r="K136" s="1148"/>
      <c r="L136" s="1128"/>
      <c r="M136" s="1116"/>
      <c r="N136" s="1116"/>
      <c r="O136" s="1116"/>
      <c r="P136" s="1116"/>
      <c r="Q136" s="1116"/>
      <c r="R136" s="1116"/>
      <c r="S136" s="1116"/>
      <c r="T136" s="1116"/>
    </row>
    <row r="137">
      <c r="A137" s="1116"/>
      <c r="B137" s="1116"/>
      <c r="C137" s="1116"/>
      <c r="D137" s="1116"/>
      <c r="E137" s="1116"/>
      <c r="F137" s="1116"/>
      <c r="G137" s="1236"/>
      <c r="H137" s="1116"/>
      <c r="I137" s="1116"/>
      <c r="J137" s="1116"/>
      <c r="K137" s="1148"/>
      <c r="L137" s="1128"/>
      <c r="M137" s="1116"/>
      <c r="N137" s="1116"/>
      <c r="O137" s="1116"/>
      <c r="P137" s="1116"/>
      <c r="Q137" s="1116"/>
      <c r="R137" s="1116"/>
      <c r="S137" s="1116"/>
      <c r="T137" s="1116"/>
    </row>
    <row r="138">
      <c r="A138" s="1116"/>
      <c r="B138" s="1116"/>
      <c r="C138" s="1116"/>
      <c r="D138" s="1116"/>
      <c r="E138" s="1116"/>
      <c r="F138" s="1116"/>
      <c r="G138" s="1236"/>
      <c r="H138" s="1116"/>
      <c r="I138" s="1116"/>
      <c r="J138" s="1116"/>
      <c r="K138" s="1148"/>
      <c r="L138" s="1128"/>
      <c r="M138" s="1116"/>
      <c r="N138" s="1116"/>
      <c r="O138" s="1116"/>
      <c r="P138" s="1116"/>
      <c r="Q138" s="1116"/>
      <c r="R138" s="1116"/>
      <c r="S138" s="1116"/>
      <c r="T138" s="1116"/>
    </row>
    <row r="139">
      <c r="A139" s="1116"/>
      <c r="B139" s="1116"/>
      <c r="C139" s="1116"/>
      <c r="D139" s="1116"/>
      <c r="E139" s="1116"/>
      <c r="F139" s="1116"/>
      <c r="G139" s="1236"/>
      <c r="H139" s="1116"/>
      <c r="I139" s="1116"/>
      <c r="J139" s="1116"/>
      <c r="K139" s="1148"/>
      <c r="L139" s="1128"/>
      <c r="M139" s="1116"/>
      <c r="N139" s="1116"/>
      <c r="O139" s="1116"/>
      <c r="P139" s="1116"/>
      <c r="Q139" s="1116"/>
      <c r="R139" s="1116"/>
      <c r="S139" s="1116"/>
      <c r="T139" s="1116"/>
    </row>
    <row r="140">
      <c r="A140" s="1116"/>
      <c r="B140" s="1116"/>
      <c r="C140" s="1116"/>
      <c r="D140" s="1116"/>
      <c r="E140" s="1116"/>
      <c r="F140" s="1116"/>
      <c r="G140" s="1236"/>
      <c r="H140" s="1116"/>
      <c r="I140" s="1116"/>
      <c r="J140" s="1116"/>
      <c r="K140" s="1148"/>
      <c r="L140" s="1128"/>
      <c r="M140" s="1116"/>
      <c r="N140" s="1116"/>
      <c r="O140" s="1116"/>
      <c r="P140" s="1116"/>
      <c r="Q140" s="1116"/>
      <c r="R140" s="1116"/>
      <c r="S140" s="1116"/>
      <c r="T140" s="1116"/>
    </row>
    <row r="141">
      <c r="A141" s="1116"/>
      <c r="B141" s="1116"/>
      <c r="C141" s="1116"/>
      <c r="D141" s="1116"/>
      <c r="E141" s="1116"/>
      <c r="F141" s="1116"/>
      <c r="G141" s="1236"/>
      <c r="H141" s="1116"/>
      <c r="I141" s="1116"/>
      <c r="J141" s="1116"/>
      <c r="K141" s="1148"/>
      <c r="L141" s="1128"/>
      <c r="M141" s="1116"/>
      <c r="N141" s="1116"/>
      <c r="O141" s="1116"/>
      <c r="P141" s="1116"/>
      <c r="Q141" s="1116"/>
      <c r="R141" s="1116"/>
      <c r="S141" s="1116"/>
      <c r="T141" s="1116"/>
    </row>
    <row r="142">
      <c r="A142" s="1116"/>
      <c r="B142" s="1116"/>
      <c r="C142" s="1116"/>
      <c r="D142" s="1116"/>
      <c r="E142" s="1116"/>
      <c r="F142" s="1116"/>
      <c r="G142" s="1236"/>
      <c r="H142" s="1116"/>
      <c r="I142" s="1116"/>
      <c r="J142" s="1116"/>
      <c r="K142" s="1148"/>
      <c r="L142" s="1128"/>
      <c r="M142" s="1116"/>
      <c r="N142" s="1116"/>
      <c r="O142" s="1116"/>
      <c r="P142" s="1116"/>
      <c r="Q142" s="1116"/>
      <c r="R142" s="1116"/>
      <c r="S142" s="1116"/>
      <c r="T142" s="1116"/>
    </row>
    <row r="143">
      <c r="A143" s="1116"/>
      <c r="B143" s="1116"/>
      <c r="C143" s="1116"/>
      <c r="D143" s="1116"/>
      <c r="E143" s="1116"/>
      <c r="F143" s="1116"/>
      <c r="G143" s="1236"/>
      <c r="H143" s="1116"/>
      <c r="I143" s="1116"/>
      <c r="J143" s="1116"/>
      <c r="K143" s="1148"/>
      <c r="L143" s="1128"/>
      <c r="M143" s="1116"/>
      <c r="N143" s="1116"/>
      <c r="O143" s="1116"/>
      <c r="P143" s="1116"/>
      <c r="Q143" s="1116"/>
      <c r="R143" s="1116"/>
      <c r="S143" s="1116"/>
      <c r="T143" s="1116"/>
    </row>
    <row r="144">
      <c r="A144" s="1116"/>
      <c r="B144" s="1116"/>
      <c r="C144" s="1116"/>
      <c r="D144" s="1116"/>
      <c r="E144" s="1116"/>
      <c r="F144" s="1116"/>
      <c r="G144" s="1236"/>
      <c r="H144" s="1116"/>
      <c r="I144" s="1116"/>
      <c r="J144" s="1116"/>
      <c r="K144" s="1148"/>
      <c r="L144" s="1128"/>
      <c r="M144" s="1116"/>
      <c r="N144" s="1116"/>
      <c r="O144" s="1116"/>
      <c r="P144" s="1116"/>
      <c r="Q144" s="1116"/>
      <c r="R144" s="1116"/>
      <c r="S144" s="1116"/>
      <c r="T144" s="1116"/>
    </row>
    <row r="145">
      <c r="A145" s="1116"/>
      <c r="B145" s="1116"/>
      <c r="C145" s="1116"/>
      <c r="D145" s="1116"/>
      <c r="E145" s="1116"/>
      <c r="F145" s="1116"/>
      <c r="G145" s="1236"/>
      <c r="H145" s="1116"/>
      <c r="I145" s="1116"/>
      <c r="J145" s="1116"/>
      <c r="K145" s="1148"/>
      <c r="L145" s="1128"/>
      <c r="M145" s="1116"/>
      <c r="N145" s="1116"/>
      <c r="O145" s="1116"/>
      <c r="P145" s="1116"/>
      <c r="Q145" s="1116"/>
      <c r="R145" s="1116"/>
      <c r="S145" s="1116"/>
      <c r="T145" s="1116"/>
    </row>
    <row r="146">
      <c r="A146" s="1116"/>
      <c r="B146" s="1116"/>
      <c r="C146" s="1116"/>
      <c r="D146" s="1116"/>
      <c r="E146" s="1116"/>
      <c r="F146" s="1116"/>
      <c r="G146" s="1236"/>
      <c r="H146" s="1116"/>
      <c r="I146" s="1116"/>
      <c r="J146" s="1116"/>
      <c r="K146" s="1148"/>
      <c r="L146" s="1128"/>
      <c r="M146" s="1116"/>
      <c r="N146" s="1116"/>
      <c r="O146" s="1116"/>
      <c r="P146" s="1116"/>
      <c r="Q146" s="1116"/>
      <c r="R146" s="1116"/>
      <c r="S146" s="1116"/>
      <c r="T146" s="1116"/>
    </row>
    <row r="147">
      <c r="A147" s="1116"/>
      <c r="B147" s="1116"/>
      <c r="C147" s="1116"/>
      <c r="D147" s="1116"/>
      <c r="E147" s="1116"/>
      <c r="F147" s="1116"/>
      <c r="G147" s="1236"/>
      <c r="H147" s="1116"/>
      <c r="I147" s="1116"/>
      <c r="J147" s="1116"/>
      <c r="K147" s="1148"/>
      <c r="L147" s="1128"/>
      <c r="M147" s="1116"/>
      <c r="N147" s="1116"/>
      <c r="O147" s="1116"/>
      <c r="P147" s="1116"/>
      <c r="Q147" s="1116"/>
      <c r="R147" s="1116"/>
      <c r="S147" s="1116"/>
      <c r="T147" s="1116"/>
    </row>
    <row r="148">
      <c r="A148" s="1116"/>
      <c r="B148" s="1116"/>
      <c r="C148" s="1116"/>
      <c r="D148" s="1116"/>
      <c r="E148" s="1116"/>
      <c r="F148" s="1116"/>
      <c r="G148" s="1236"/>
      <c r="H148" s="1116"/>
      <c r="I148" s="1116"/>
      <c r="J148" s="1116"/>
      <c r="K148" s="1148"/>
      <c r="L148" s="1128"/>
      <c r="M148" s="1116"/>
      <c r="N148" s="1116"/>
      <c r="O148" s="1116"/>
      <c r="P148" s="1116"/>
      <c r="Q148" s="1116"/>
      <c r="R148" s="1116"/>
      <c r="S148" s="1116"/>
      <c r="T148" s="1116"/>
    </row>
    <row r="149">
      <c r="A149" s="1116"/>
      <c r="B149" s="1116"/>
      <c r="C149" s="1116"/>
      <c r="D149" s="1116"/>
      <c r="E149" s="1116"/>
      <c r="F149" s="1116"/>
      <c r="G149" s="1236"/>
      <c r="H149" s="1116"/>
      <c r="I149" s="1116"/>
      <c r="J149" s="1116"/>
      <c r="K149" s="1148"/>
      <c r="L149" s="1128"/>
      <c r="M149" s="1116"/>
      <c r="N149" s="1116"/>
      <c r="O149" s="1116"/>
      <c r="P149" s="1116"/>
      <c r="Q149" s="1116"/>
      <c r="R149" s="1116"/>
      <c r="S149" s="1116"/>
      <c r="T149" s="1116"/>
    </row>
    <row r="150">
      <c r="A150" s="1116"/>
      <c r="B150" s="1116"/>
      <c r="C150" s="1116"/>
      <c r="D150" s="1116"/>
      <c r="E150" s="1116"/>
      <c r="F150" s="1116"/>
      <c r="G150" s="1236"/>
      <c r="H150" s="1116"/>
      <c r="I150" s="1116"/>
      <c r="J150" s="1116"/>
      <c r="K150" s="1148"/>
      <c r="L150" s="1128"/>
      <c r="M150" s="1116"/>
      <c r="N150" s="1116"/>
      <c r="O150" s="1116"/>
      <c r="P150" s="1116"/>
      <c r="Q150" s="1116"/>
      <c r="R150" s="1116"/>
      <c r="S150" s="1116"/>
      <c r="T150" s="1116"/>
    </row>
    <row r="151">
      <c r="A151" s="1116"/>
      <c r="B151" s="1116"/>
      <c r="C151" s="1116"/>
      <c r="D151" s="1116"/>
      <c r="E151" s="1116"/>
      <c r="F151" s="1116"/>
      <c r="G151" s="1236"/>
      <c r="H151" s="1116"/>
      <c r="I151" s="1116"/>
      <c r="J151" s="1116"/>
      <c r="K151" s="1148"/>
      <c r="L151" s="1128"/>
      <c r="M151" s="1116"/>
      <c r="N151" s="1116"/>
      <c r="O151" s="1116"/>
      <c r="P151" s="1116"/>
      <c r="Q151" s="1116"/>
      <c r="R151" s="1116"/>
      <c r="S151" s="1116"/>
      <c r="T151" s="1116"/>
    </row>
    <row r="152">
      <c r="A152" s="1116"/>
      <c r="B152" s="1116"/>
      <c r="C152" s="1116"/>
      <c r="D152" s="1116"/>
      <c r="E152" s="1116"/>
      <c r="F152" s="1116"/>
      <c r="G152" s="1236"/>
      <c r="H152" s="1116"/>
      <c r="I152" s="1116"/>
      <c r="J152" s="1116"/>
      <c r="K152" s="1148"/>
      <c r="L152" s="1128"/>
      <c r="M152" s="1116"/>
      <c r="N152" s="1116"/>
      <c r="O152" s="1116"/>
      <c r="P152" s="1116"/>
      <c r="Q152" s="1116"/>
      <c r="R152" s="1116"/>
      <c r="S152" s="1116"/>
      <c r="T152" s="1116"/>
    </row>
    <row r="153">
      <c r="A153" s="1116"/>
      <c r="B153" s="1116"/>
      <c r="C153" s="1116"/>
      <c r="D153" s="1116"/>
      <c r="E153" s="1116"/>
      <c r="F153" s="1116"/>
      <c r="G153" s="1236"/>
      <c r="H153" s="1116"/>
      <c r="I153" s="1116"/>
      <c r="J153" s="1116"/>
      <c r="K153" s="1148"/>
      <c r="L153" s="1128"/>
      <c r="M153" s="1116"/>
      <c r="N153" s="1116"/>
      <c r="O153" s="1116"/>
      <c r="P153" s="1116"/>
      <c r="Q153" s="1116"/>
      <c r="R153" s="1116"/>
      <c r="S153" s="1116"/>
      <c r="T153" s="1116"/>
    </row>
    <row r="154">
      <c r="A154" s="1116"/>
      <c r="B154" s="1116"/>
      <c r="C154" s="1116"/>
      <c r="D154" s="1116"/>
      <c r="E154" s="1116"/>
      <c r="F154" s="1116"/>
      <c r="G154" s="1236"/>
      <c r="H154" s="1116"/>
      <c r="I154" s="1116"/>
      <c r="J154" s="1116"/>
      <c r="K154" s="1148"/>
      <c r="L154" s="1128"/>
      <c r="M154" s="1116"/>
      <c r="N154" s="1116"/>
      <c r="O154" s="1116"/>
      <c r="P154" s="1116"/>
      <c r="Q154" s="1116"/>
      <c r="R154" s="1116"/>
      <c r="S154" s="1116"/>
      <c r="T154" s="1116"/>
    </row>
    <row r="155">
      <c r="A155" s="1116"/>
      <c r="B155" s="1116"/>
      <c r="C155" s="1116"/>
      <c r="D155" s="1116"/>
      <c r="E155" s="1116"/>
      <c r="F155" s="1116"/>
      <c r="G155" s="1236"/>
      <c r="H155" s="1116"/>
      <c r="I155" s="1116"/>
      <c r="J155" s="1116"/>
      <c r="K155" s="1148"/>
      <c r="L155" s="1128"/>
      <c r="M155" s="1116"/>
      <c r="N155" s="1116"/>
      <c r="O155" s="1116"/>
      <c r="P155" s="1116"/>
      <c r="Q155" s="1116"/>
      <c r="R155" s="1116"/>
      <c r="S155" s="1116"/>
      <c r="T155" s="1116"/>
    </row>
    <row r="156">
      <c r="A156" s="1116"/>
      <c r="B156" s="1116"/>
      <c r="C156" s="1116"/>
      <c r="D156" s="1116"/>
      <c r="E156" s="1116"/>
      <c r="F156" s="1116"/>
      <c r="G156" s="1236"/>
      <c r="H156" s="1116"/>
      <c r="I156" s="1116"/>
      <c r="J156" s="1116"/>
      <c r="K156" s="1148"/>
      <c r="L156" s="1128"/>
      <c r="M156" s="1116"/>
      <c r="N156" s="1116"/>
      <c r="O156" s="1116"/>
      <c r="P156" s="1116"/>
      <c r="Q156" s="1116"/>
      <c r="R156" s="1116"/>
      <c r="S156" s="1116"/>
      <c r="T156" s="1116"/>
    </row>
    <row r="157">
      <c r="A157" s="1116"/>
      <c r="B157" s="1116"/>
      <c r="C157" s="1116"/>
      <c r="D157" s="1116"/>
      <c r="E157" s="1116"/>
      <c r="F157" s="1116"/>
      <c r="G157" s="1236"/>
      <c r="H157" s="1116"/>
      <c r="I157" s="1116"/>
      <c r="J157" s="1116"/>
      <c r="K157" s="1148"/>
      <c r="L157" s="1128"/>
      <c r="M157" s="1116"/>
      <c r="N157" s="1116"/>
      <c r="O157" s="1116"/>
      <c r="P157" s="1116"/>
      <c r="Q157" s="1116"/>
      <c r="R157" s="1116"/>
      <c r="S157" s="1116"/>
      <c r="T157" s="1116"/>
    </row>
    <row r="158">
      <c r="A158" s="1116"/>
      <c r="B158" s="1116"/>
      <c r="C158" s="1116"/>
      <c r="D158" s="1116"/>
      <c r="E158" s="1116"/>
      <c r="F158" s="1116"/>
      <c r="G158" s="1236"/>
      <c r="H158" s="1116"/>
      <c r="I158" s="1116"/>
      <c r="J158" s="1116"/>
      <c r="K158" s="1148"/>
      <c r="L158" s="1128"/>
      <c r="M158" s="1116"/>
      <c r="N158" s="1116"/>
      <c r="O158" s="1116"/>
      <c r="P158" s="1116"/>
      <c r="Q158" s="1116"/>
      <c r="R158" s="1116"/>
      <c r="S158" s="1116"/>
      <c r="T158" s="1116"/>
    </row>
    <row r="159">
      <c r="A159" s="1116"/>
      <c r="B159" s="1116"/>
      <c r="C159" s="1116"/>
      <c r="D159" s="1116"/>
      <c r="E159" s="1116"/>
      <c r="F159" s="1116"/>
      <c r="G159" s="1236"/>
      <c r="H159" s="1116"/>
      <c r="I159" s="1116"/>
      <c r="J159" s="1116"/>
      <c r="K159" s="1148"/>
      <c r="L159" s="1128"/>
      <c r="M159" s="1116"/>
      <c r="N159" s="1116"/>
      <c r="O159" s="1116"/>
      <c r="P159" s="1116"/>
      <c r="Q159" s="1116"/>
      <c r="R159" s="1116"/>
      <c r="S159" s="1116"/>
      <c r="T159" s="1116"/>
    </row>
    <row r="160">
      <c r="A160" s="1116"/>
      <c r="B160" s="1116"/>
      <c r="C160" s="1116"/>
      <c r="D160" s="1116"/>
      <c r="E160" s="1116"/>
      <c r="F160" s="1116"/>
      <c r="G160" s="1236"/>
      <c r="H160" s="1116"/>
      <c r="I160" s="1116"/>
      <c r="J160" s="1116"/>
      <c r="K160" s="1148"/>
      <c r="L160" s="1128"/>
      <c r="M160" s="1116"/>
      <c r="N160" s="1116"/>
      <c r="O160" s="1116"/>
      <c r="P160" s="1116"/>
      <c r="Q160" s="1116"/>
      <c r="R160" s="1116"/>
      <c r="S160" s="1116"/>
      <c r="T160" s="1116"/>
    </row>
    <row r="161">
      <c r="A161" s="1116"/>
      <c r="B161" s="1116"/>
      <c r="C161" s="1116"/>
      <c r="D161" s="1116"/>
      <c r="E161" s="1116"/>
      <c r="F161" s="1116"/>
      <c r="G161" s="1236"/>
      <c r="H161" s="1116"/>
      <c r="I161" s="1116"/>
      <c r="J161" s="1116"/>
      <c r="K161" s="1148"/>
      <c r="L161" s="1128"/>
      <c r="M161" s="1116"/>
      <c r="N161" s="1116"/>
      <c r="O161" s="1116"/>
      <c r="P161" s="1116"/>
      <c r="Q161" s="1116"/>
      <c r="R161" s="1116"/>
      <c r="S161" s="1116"/>
      <c r="T161" s="1116"/>
    </row>
    <row r="162">
      <c r="A162" s="1116"/>
      <c r="B162" s="1116"/>
      <c r="C162" s="1116"/>
      <c r="D162" s="1116"/>
      <c r="E162" s="1116"/>
      <c r="F162" s="1116"/>
      <c r="G162" s="1236"/>
      <c r="H162" s="1116"/>
      <c r="I162" s="1116"/>
      <c r="J162" s="1116"/>
      <c r="K162" s="1148"/>
      <c r="L162" s="1128"/>
      <c r="M162" s="1116"/>
      <c r="N162" s="1116"/>
      <c r="O162" s="1116"/>
      <c r="P162" s="1116"/>
      <c r="Q162" s="1116"/>
      <c r="R162" s="1116"/>
      <c r="S162" s="1116"/>
      <c r="T162" s="1116"/>
    </row>
    <row r="163">
      <c r="A163" s="1116"/>
      <c r="B163" s="1116"/>
      <c r="C163" s="1116"/>
      <c r="D163" s="1116"/>
      <c r="E163" s="1116"/>
      <c r="F163" s="1116"/>
      <c r="G163" s="1236"/>
      <c r="H163" s="1116"/>
      <c r="I163" s="1116"/>
      <c r="J163" s="1116"/>
      <c r="K163" s="1148"/>
      <c r="L163" s="1128"/>
      <c r="M163" s="1116"/>
      <c r="N163" s="1116"/>
      <c r="O163" s="1116"/>
      <c r="P163" s="1116"/>
      <c r="Q163" s="1116"/>
      <c r="R163" s="1116"/>
      <c r="S163" s="1116"/>
      <c r="T163" s="1116"/>
    </row>
    <row r="164">
      <c r="A164" s="1116"/>
      <c r="B164" s="1116"/>
      <c r="C164" s="1116"/>
      <c r="D164" s="1116"/>
      <c r="E164" s="1116"/>
      <c r="F164" s="1116"/>
      <c r="G164" s="1236"/>
      <c r="H164" s="1116"/>
      <c r="I164" s="1116"/>
      <c r="J164" s="1116"/>
      <c r="K164" s="1148"/>
      <c r="L164" s="1128"/>
      <c r="M164" s="1116"/>
      <c r="N164" s="1116"/>
      <c r="O164" s="1116"/>
      <c r="P164" s="1116"/>
      <c r="Q164" s="1116"/>
      <c r="R164" s="1116"/>
      <c r="S164" s="1116"/>
      <c r="T164" s="1116"/>
    </row>
    <row r="165">
      <c r="A165" s="1116"/>
      <c r="B165" s="1116"/>
      <c r="C165" s="1116"/>
      <c r="D165" s="1116"/>
      <c r="E165" s="1116"/>
      <c r="F165" s="1116"/>
      <c r="G165" s="1236"/>
      <c r="H165" s="1116"/>
      <c r="I165" s="1116"/>
      <c r="J165" s="1116"/>
      <c r="K165" s="1148"/>
      <c r="L165" s="1128"/>
      <c r="M165" s="1116"/>
      <c r="N165" s="1116"/>
      <c r="O165" s="1116"/>
      <c r="P165" s="1116"/>
      <c r="Q165" s="1116"/>
      <c r="R165" s="1116"/>
      <c r="S165" s="1116"/>
      <c r="T165" s="1116"/>
    </row>
    <row r="166">
      <c r="A166" s="1116"/>
      <c r="B166" s="1116"/>
      <c r="C166" s="1116"/>
      <c r="D166" s="1116"/>
      <c r="E166" s="1116"/>
      <c r="F166" s="1116"/>
      <c r="G166" s="1236"/>
      <c r="H166" s="1116"/>
      <c r="I166" s="1116"/>
      <c r="J166" s="1116"/>
      <c r="K166" s="1148"/>
      <c r="L166" s="1128"/>
      <c r="M166" s="1116"/>
      <c r="N166" s="1116"/>
      <c r="O166" s="1116"/>
      <c r="P166" s="1116"/>
      <c r="Q166" s="1116"/>
      <c r="R166" s="1116"/>
      <c r="S166" s="1116"/>
      <c r="T166" s="1116"/>
    </row>
    <row r="167">
      <c r="A167" s="1116"/>
      <c r="B167" s="1116"/>
      <c r="C167" s="1116"/>
      <c r="D167" s="1116"/>
      <c r="E167" s="1116"/>
      <c r="F167" s="1116"/>
      <c r="G167" s="1236"/>
      <c r="H167" s="1116"/>
      <c r="I167" s="1116"/>
      <c r="J167" s="1116"/>
      <c r="K167" s="1148"/>
      <c r="L167" s="1128"/>
      <c r="M167" s="1116"/>
      <c r="N167" s="1116"/>
      <c r="O167" s="1116"/>
      <c r="P167" s="1116"/>
      <c r="Q167" s="1116"/>
      <c r="R167" s="1116"/>
      <c r="S167" s="1116"/>
      <c r="T167" s="1116"/>
    </row>
    <row r="168">
      <c r="A168" s="1116"/>
      <c r="B168" s="1116"/>
      <c r="C168" s="1116"/>
      <c r="D168" s="1116"/>
      <c r="E168" s="1116"/>
      <c r="F168" s="1116"/>
      <c r="G168" s="1236"/>
      <c r="H168" s="1116"/>
      <c r="I168" s="1116"/>
      <c r="J168" s="1116"/>
      <c r="K168" s="1148"/>
      <c r="L168" s="1128"/>
      <c r="M168" s="1116"/>
      <c r="N168" s="1116"/>
      <c r="O168" s="1116"/>
      <c r="P168" s="1116"/>
      <c r="Q168" s="1116"/>
      <c r="R168" s="1116"/>
      <c r="S168" s="1116"/>
      <c r="T168" s="1116"/>
    </row>
    <row r="169">
      <c r="A169" s="1116"/>
      <c r="B169" s="1116"/>
      <c r="C169" s="1116"/>
      <c r="D169" s="1116"/>
      <c r="E169" s="1116"/>
      <c r="F169" s="1116"/>
      <c r="G169" s="1236"/>
      <c r="H169" s="1116"/>
      <c r="I169" s="1116"/>
      <c r="J169" s="1116"/>
      <c r="K169" s="1148"/>
      <c r="L169" s="1128"/>
      <c r="M169" s="1116"/>
      <c r="N169" s="1116"/>
      <c r="O169" s="1116"/>
      <c r="P169" s="1116"/>
      <c r="Q169" s="1116"/>
      <c r="R169" s="1116"/>
      <c r="S169" s="1116"/>
      <c r="T169" s="1116"/>
    </row>
    <row r="170">
      <c r="A170" s="1116"/>
      <c r="B170" s="1116"/>
      <c r="C170" s="1116"/>
      <c r="D170" s="1116"/>
      <c r="E170" s="1116"/>
      <c r="F170" s="1116"/>
      <c r="G170" s="1236"/>
      <c r="H170" s="1116"/>
      <c r="I170" s="1116"/>
      <c r="J170" s="1116"/>
      <c r="K170" s="1148"/>
      <c r="L170" s="1128"/>
      <c r="M170" s="1116"/>
      <c r="N170" s="1116"/>
      <c r="O170" s="1116"/>
      <c r="P170" s="1116"/>
      <c r="Q170" s="1116"/>
      <c r="R170" s="1116"/>
      <c r="S170" s="1116"/>
      <c r="T170" s="1116"/>
    </row>
    <row r="171">
      <c r="A171" s="1116"/>
      <c r="B171" s="1116"/>
      <c r="C171" s="1116"/>
      <c r="D171" s="1116"/>
      <c r="E171" s="1116"/>
      <c r="F171" s="1116"/>
      <c r="G171" s="1236"/>
      <c r="H171" s="1116"/>
      <c r="I171" s="1116"/>
      <c r="J171" s="1116"/>
      <c r="K171" s="1148"/>
      <c r="L171" s="1128"/>
      <c r="M171" s="1116"/>
      <c r="N171" s="1116"/>
      <c r="O171" s="1116"/>
      <c r="P171" s="1116"/>
      <c r="Q171" s="1116"/>
      <c r="R171" s="1116"/>
      <c r="S171" s="1116"/>
      <c r="T171" s="1116"/>
    </row>
    <row r="172">
      <c r="A172" s="1116"/>
      <c r="B172" s="1116"/>
      <c r="C172" s="1116"/>
      <c r="D172" s="1116"/>
      <c r="E172" s="1116"/>
      <c r="F172" s="1116"/>
      <c r="G172" s="1236"/>
      <c r="H172" s="1116"/>
      <c r="I172" s="1116"/>
      <c r="J172" s="1116"/>
      <c r="K172" s="1148"/>
      <c r="L172" s="1128"/>
      <c r="M172" s="1116"/>
      <c r="N172" s="1116"/>
      <c r="O172" s="1116"/>
      <c r="P172" s="1116"/>
      <c r="Q172" s="1116"/>
      <c r="R172" s="1116"/>
      <c r="S172" s="1116"/>
      <c r="T172" s="1116"/>
    </row>
    <row r="173">
      <c r="A173" s="1116"/>
      <c r="B173" s="1116"/>
      <c r="C173" s="1116"/>
      <c r="D173" s="1116"/>
      <c r="E173" s="1116"/>
      <c r="F173" s="1116"/>
      <c r="G173" s="1236"/>
      <c r="H173" s="1116"/>
      <c r="I173" s="1116"/>
      <c r="J173" s="1116"/>
      <c r="K173" s="1148"/>
      <c r="L173" s="1128"/>
      <c r="M173" s="1116"/>
      <c r="N173" s="1116"/>
      <c r="O173" s="1116"/>
      <c r="P173" s="1116"/>
      <c r="Q173" s="1116"/>
      <c r="R173" s="1116"/>
      <c r="S173" s="1116"/>
      <c r="T173" s="1116"/>
    </row>
    <row r="174">
      <c r="A174" s="1116"/>
      <c r="B174" s="1116"/>
      <c r="C174" s="1116"/>
      <c r="D174" s="1116"/>
      <c r="E174" s="1116"/>
      <c r="F174" s="1116"/>
      <c r="G174" s="1236"/>
      <c r="H174" s="1116"/>
      <c r="I174" s="1116"/>
      <c r="J174" s="1116"/>
      <c r="K174" s="1148"/>
      <c r="L174" s="1128"/>
      <c r="M174" s="1116"/>
      <c r="N174" s="1116"/>
      <c r="O174" s="1116"/>
      <c r="P174" s="1116"/>
      <c r="Q174" s="1116"/>
      <c r="R174" s="1116"/>
      <c r="S174" s="1116"/>
      <c r="T174" s="1116"/>
    </row>
    <row r="175">
      <c r="A175" s="1116"/>
      <c r="B175" s="1116"/>
      <c r="C175" s="1116"/>
      <c r="D175" s="1116"/>
      <c r="E175" s="1116"/>
      <c r="F175" s="1116"/>
      <c r="G175" s="1236"/>
      <c r="H175" s="1116"/>
      <c r="I175" s="1116"/>
      <c r="J175" s="1116"/>
      <c r="K175" s="1148"/>
      <c r="L175" s="1128"/>
      <c r="M175" s="1116"/>
      <c r="N175" s="1116"/>
      <c r="O175" s="1116"/>
      <c r="P175" s="1116"/>
      <c r="Q175" s="1116"/>
      <c r="R175" s="1116"/>
      <c r="S175" s="1116"/>
      <c r="T175" s="1116"/>
    </row>
    <row r="176">
      <c r="A176" s="1116"/>
      <c r="B176" s="1116"/>
      <c r="C176" s="1116"/>
      <c r="D176" s="1116"/>
      <c r="E176" s="1116"/>
      <c r="F176" s="1116"/>
      <c r="G176" s="1236"/>
      <c r="H176" s="1116"/>
      <c r="I176" s="1116"/>
      <c r="J176" s="1116"/>
      <c r="K176" s="1148"/>
      <c r="L176" s="1128"/>
      <c r="M176" s="1116"/>
      <c r="N176" s="1116"/>
      <c r="O176" s="1116"/>
      <c r="P176" s="1116"/>
      <c r="Q176" s="1116"/>
      <c r="R176" s="1116"/>
      <c r="S176" s="1116"/>
      <c r="T176" s="1116"/>
    </row>
    <row r="177">
      <c r="A177" s="1116"/>
      <c r="B177" s="1116"/>
      <c r="C177" s="1116"/>
      <c r="D177" s="1116"/>
      <c r="E177" s="1116"/>
      <c r="F177" s="1116"/>
      <c r="G177" s="1236"/>
      <c r="H177" s="1116"/>
      <c r="I177" s="1116"/>
      <c r="J177" s="1116"/>
      <c r="K177" s="1148"/>
      <c r="L177" s="1128"/>
      <c r="M177" s="1116"/>
      <c r="N177" s="1116"/>
      <c r="O177" s="1116"/>
      <c r="P177" s="1116"/>
      <c r="Q177" s="1116"/>
      <c r="R177" s="1116"/>
      <c r="S177" s="1116"/>
      <c r="T177" s="1116"/>
    </row>
    <row r="178">
      <c r="A178" s="1116"/>
      <c r="B178" s="1116"/>
      <c r="C178" s="1116"/>
      <c r="D178" s="1116"/>
      <c r="E178" s="1116"/>
      <c r="F178" s="1116"/>
      <c r="G178" s="1236"/>
      <c r="H178" s="1116"/>
      <c r="I178" s="1116"/>
      <c r="J178" s="1116"/>
      <c r="K178" s="1148"/>
      <c r="L178" s="1128"/>
      <c r="M178" s="1116"/>
      <c r="N178" s="1116"/>
      <c r="O178" s="1116"/>
      <c r="P178" s="1116"/>
      <c r="Q178" s="1116"/>
      <c r="R178" s="1116"/>
      <c r="S178" s="1116"/>
      <c r="T178" s="1116"/>
    </row>
    <row r="179">
      <c r="A179" s="1116"/>
      <c r="B179" s="1116"/>
      <c r="C179" s="1116"/>
      <c r="D179" s="1116"/>
      <c r="E179" s="1116"/>
      <c r="F179" s="1116"/>
      <c r="G179" s="1236"/>
      <c r="H179" s="1116"/>
      <c r="I179" s="1116"/>
      <c r="J179" s="1116"/>
      <c r="K179" s="1148"/>
      <c r="L179" s="1128"/>
      <c r="M179" s="1116"/>
      <c r="N179" s="1116"/>
      <c r="O179" s="1116"/>
      <c r="P179" s="1116"/>
      <c r="Q179" s="1116"/>
      <c r="R179" s="1116"/>
      <c r="S179" s="1116"/>
      <c r="T179" s="1116"/>
    </row>
    <row r="180">
      <c r="A180" s="1116"/>
      <c r="B180" s="1116"/>
      <c r="C180" s="1116"/>
      <c r="D180" s="1116"/>
      <c r="E180" s="1116"/>
      <c r="F180" s="1116"/>
      <c r="G180" s="1236"/>
      <c r="H180" s="1116"/>
      <c r="I180" s="1116"/>
      <c r="J180" s="1116"/>
      <c r="K180" s="1148"/>
      <c r="L180" s="1128"/>
      <c r="M180" s="1116"/>
      <c r="N180" s="1116"/>
      <c r="O180" s="1116"/>
      <c r="P180" s="1116"/>
      <c r="Q180" s="1116"/>
      <c r="R180" s="1116"/>
      <c r="S180" s="1116"/>
      <c r="T180" s="1116"/>
    </row>
    <row r="181">
      <c r="A181" s="1116"/>
      <c r="B181" s="1116"/>
      <c r="C181" s="1116"/>
      <c r="D181" s="1116"/>
      <c r="E181" s="1116"/>
      <c r="F181" s="1116"/>
      <c r="G181" s="1236"/>
      <c r="H181" s="1116"/>
      <c r="I181" s="1116"/>
      <c r="J181" s="1116"/>
      <c r="K181" s="1148"/>
      <c r="L181" s="1128"/>
      <c r="M181" s="1116"/>
      <c r="N181" s="1116"/>
      <c r="O181" s="1116"/>
      <c r="P181" s="1116"/>
      <c r="Q181" s="1116"/>
      <c r="R181" s="1116"/>
      <c r="S181" s="1116"/>
      <c r="T181" s="1116"/>
    </row>
    <row r="182">
      <c r="A182" s="1116"/>
      <c r="B182" s="1116"/>
      <c r="C182" s="1116"/>
      <c r="D182" s="1116"/>
      <c r="E182" s="1116"/>
      <c r="F182" s="1116"/>
      <c r="G182" s="1236"/>
      <c r="H182" s="1116"/>
      <c r="I182" s="1116"/>
      <c r="J182" s="1116"/>
      <c r="K182" s="1148"/>
      <c r="L182" s="1128"/>
      <c r="M182" s="1116"/>
      <c r="N182" s="1116"/>
      <c r="O182" s="1116"/>
      <c r="P182" s="1116"/>
      <c r="Q182" s="1116"/>
      <c r="R182" s="1116"/>
      <c r="S182" s="1116"/>
      <c r="T182" s="1116"/>
    </row>
    <row r="183">
      <c r="A183" s="1116"/>
      <c r="B183" s="1116"/>
      <c r="C183" s="1116"/>
      <c r="D183" s="1116"/>
      <c r="E183" s="1116"/>
      <c r="F183" s="1116"/>
      <c r="G183" s="1236"/>
      <c r="H183" s="1116"/>
      <c r="I183" s="1116"/>
      <c r="J183" s="1116"/>
      <c r="K183" s="1148"/>
      <c r="L183" s="1128"/>
      <c r="M183" s="1116"/>
      <c r="N183" s="1116"/>
      <c r="O183" s="1116"/>
      <c r="P183" s="1116"/>
      <c r="Q183" s="1116"/>
      <c r="R183" s="1116"/>
      <c r="S183" s="1116"/>
      <c r="T183" s="1116"/>
    </row>
    <row r="184">
      <c r="A184" s="1116"/>
      <c r="B184" s="1116"/>
      <c r="C184" s="1116"/>
      <c r="D184" s="1116"/>
      <c r="E184" s="1116"/>
      <c r="F184" s="1116"/>
      <c r="G184" s="1236"/>
      <c r="H184" s="1116"/>
      <c r="I184" s="1116"/>
      <c r="J184" s="1116"/>
      <c r="K184" s="1148"/>
      <c r="L184" s="1128"/>
      <c r="M184" s="1116"/>
      <c r="N184" s="1116"/>
      <c r="O184" s="1116"/>
      <c r="P184" s="1116"/>
      <c r="Q184" s="1116"/>
      <c r="R184" s="1116"/>
      <c r="S184" s="1116"/>
      <c r="T184" s="1116"/>
    </row>
    <row r="185">
      <c r="A185" s="1116"/>
      <c r="B185" s="1116"/>
      <c r="C185" s="1116"/>
      <c r="D185" s="1116"/>
      <c r="E185" s="1116"/>
      <c r="F185" s="1116"/>
      <c r="G185" s="1236"/>
      <c r="H185" s="1116"/>
      <c r="I185" s="1116"/>
      <c r="J185" s="1116"/>
      <c r="K185" s="1148"/>
      <c r="L185" s="1128"/>
      <c r="M185" s="1116"/>
      <c r="N185" s="1116"/>
      <c r="O185" s="1116"/>
      <c r="P185" s="1116"/>
      <c r="Q185" s="1116"/>
      <c r="R185" s="1116"/>
      <c r="S185" s="1116"/>
      <c r="T185" s="1116"/>
    </row>
    <row r="186">
      <c r="A186" s="1116"/>
      <c r="B186" s="1116"/>
      <c r="C186" s="1116"/>
      <c r="D186" s="1116"/>
      <c r="E186" s="1116"/>
      <c r="F186" s="1116"/>
      <c r="G186" s="1236"/>
      <c r="H186" s="1116"/>
      <c r="I186" s="1116"/>
      <c r="J186" s="1116"/>
      <c r="K186" s="1148"/>
      <c r="L186" s="1128"/>
      <c r="M186" s="1116"/>
      <c r="N186" s="1116"/>
      <c r="O186" s="1116"/>
      <c r="P186" s="1116"/>
      <c r="Q186" s="1116"/>
      <c r="R186" s="1116"/>
      <c r="S186" s="1116"/>
      <c r="T186" s="1116"/>
    </row>
    <row r="187">
      <c r="A187" s="1116"/>
      <c r="B187" s="1116"/>
      <c r="C187" s="1116"/>
      <c r="D187" s="1116"/>
      <c r="E187" s="1116"/>
      <c r="F187" s="1116"/>
      <c r="G187" s="1236"/>
      <c r="H187" s="1116"/>
      <c r="I187" s="1116"/>
      <c r="J187" s="1116"/>
      <c r="K187" s="1148"/>
      <c r="L187" s="1128"/>
      <c r="M187" s="1116"/>
      <c r="N187" s="1116"/>
      <c r="O187" s="1116"/>
      <c r="P187" s="1116"/>
      <c r="Q187" s="1116"/>
      <c r="R187" s="1116"/>
      <c r="S187" s="1116"/>
      <c r="T187" s="1116"/>
    </row>
    <row r="188">
      <c r="A188" s="1116"/>
      <c r="B188" s="1116"/>
      <c r="C188" s="1116"/>
      <c r="D188" s="1116"/>
      <c r="E188" s="1116"/>
      <c r="F188" s="1116"/>
      <c r="G188" s="1236"/>
      <c r="H188" s="1116"/>
      <c r="I188" s="1116"/>
      <c r="J188" s="1116"/>
      <c r="K188" s="1148"/>
      <c r="L188" s="1128"/>
      <c r="M188" s="1116"/>
      <c r="N188" s="1116"/>
      <c r="O188" s="1116"/>
      <c r="P188" s="1116"/>
      <c r="Q188" s="1116"/>
      <c r="R188" s="1116"/>
      <c r="S188" s="1116"/>
      <c r="T188" s="1116"/>
    </row>
    <row r="189">
      <c r="A189" s="1116"/>
      <c r="B189" s="1116"/>
      <c r="C189" s="1116"/>
      <c r="D189" s="1116"/>
      <c r="E189" s="1116"/>
      <c r="F189" s="1116"/>
      <c r="G189" s="1236"/>
      <c r="H189" s="1116"/>
      <c r="I189" s="1116"/>
      <c r="J189" s="1116"/>
      <c r="K189" s="1148"/>
      <c r="L189" s="1128"/>
      <c r="M189" s="1116"/>
      <c r="N189" s="1116"/>
      <c r="O189" s="1116"/>
      <c r="P189" s="1116"/>
      <c r="Q189" s="1116"/>
      <c r="R189" s="1116"/>
      <c r="S189" s="1116"/>
      <c r="T189" s="1116"/>
    </row>
    <row r="190">
      <c r="A190" s="1116"/>
      <c r="B190" s="1116"/>
      <c r="C190" s="1116"/>
      <c r="D190" s="1116"/>
      <c r="E190" s="1116"/>
      <c r="F190" s="1116"/>
      <c r="G190" s="1236"/>
      <c r="H190" s="1116"/>
      <c r="I190" s="1116"/>
      <c r="J190" s="1116"/>
      <c r="K190" s="1148"/>
      <c r="L190" s="1128"/>
      <c r="M190" s="1116"/>
      <c r="N190" s="1116"/>
      <c r="O190" s="1116"/>
      <c r="P190" s="1116"/>
      <c r="Q190" s="1116"/>
      <c r="R190" s="1116"/>
      <c r="S190" s="1116"/>
      <c r="T190" s="1116"/>
    </row>
    <row r="191">
      <c r="A191" s="1116"/>
      <c r="B191" s="1116"/>
      <c r="C191" s="1116"/>
      <c r="D191" s="1116"/>
      <c r="E191" s="1116"/>
      <c r="F191" s="1116"/>
      <c r="G191" s="1236"/>
      <c r="H191" s="1116"/>
      <c r="I191" s="1116"/>
      <c r="J191" s="1116"/>
      <c r="K191" s="1148"/>
      <c r="L191" s="1128"/>
      <c r="M191" s="1116"/>
      <c r="N191" s="1116"/>
      <c r="O191" s="1116"/>
      <c r="P191" s="1116"/>
      <c r="Q191" s="1116"/>
      <c r="R191" s="1116"/>
      <c r="S191" s="1116"/>
      <c r="T191" s="1116"/>
    </row>
    <row r="192">
      <c r="A192" s="1116"/>
      <c r="B192" s="1116"/>
      <c r="C192" s="1116"/>
      <c r="D192" s="1116"/>
      <c r="E192" s="1116"/>
      <c r="F192" s="1116"/>
      <c r="G192" s="1236"/>
      <c r="H192" s="1116"/>
      <c r="I192" s="1116"/>
      <c r="J192" s="1116"/>
      <c r="K192" s="1148"/>
      <c r="L192" s="1128"/>
      <c r="M192" s="1116"/>
      <c r="N192" s="1116"/>
      <c r="O192" s="1116"/>
      <c r="P192" s="1116"/>
      <c r="Q192" s="1116"/>
      <c r="R192" s="1116"/>
      <c r="S192" s="1116"/>
      <c r="T192" s="1116"/>
    </row>
    <row r="193">
      <c r="A193" s="1116"/>
      <c r="B193" s="1116"/>
      <c r="C193" s="1116"/>
      <c r="D193" s="1116"/>
      <c r="E193" s="1116"/>
      <c r="F193" s="1116"/>
      <c r="G193" s="1236"/>
      <c r="H193" s="1116"/>
      <c r="I193" s="1116"/>
      <c r="J193" s="1116"/>
      <c r="K193" s="1148"/>
      <c r="L193" s="1128"/>
      <c r="M193" s="1116"/>
      <c r="N193" s="1116"/>
      <c r="O193" s="1116"/>
      <c r="P193" s="1116"/>
      <c r="Q193" s="1116"/>
      <c r="R193" s="1116"/>
      <c r="S193" s="1116"/>
      <c r="T193" s="1116"/>
    </row>
    <row r="194">
      <c r="A194" s="1116"/>
      <c r="B194" s="1116"/>
      <c r="C194" s="1116"/>
      <c r="D194" s="1116"/>
      <c r="E194" s="1116"/>
      <c r="F194" s="1116"/>
      <c r="G194" s="1236"/>
      <c r="H194" s="1116"/>
      <c r="I194" s="1116"/>
      <c r="J194" s="1116"/>
      <c r="K194" s="1148"/>
      <c r="L194" s="1128"/>
      <c r="M194" s="1116"/>
      <c r="N194" s="1116"/>
      <c r="O194" s="1116"/>
      <c r="P194" s="1116"/>
      <c r="Q194" s="1116"/>
      <c r="R194" s="1116"/>
      <c r="S194" s="1116"/>
      <c r="T194" s="1116"/>
    </row>
    <row r="195">
      <c r="A195" s="1116"/>
      <c r="B195" s="1116"/>
      <c r="C195" s="1116"/>
      <c r="D195" s="1116"/>
      <c r="E195" s="1116"/>
      <c r="F195" s="1116"/>
      <c r="G195" s="1236"/>
      <c r="H195" s="1116"/>
      <c r="I195" s="1116"/>
      <c r="J195" s="1116"/>
      <c r="K195" s="1148"/>
      <c r="L195" s="1128"/>
      <c r="M195" s="1116"/>
      <c r="N195" s="1116"/>
      <c r="O195" s="1116"/>
      <c r="P195" s="1116"/>
      <c r="Q195" s="1116"/>
      <c r="R195" s="1116"/>
      <c r="S195" s="1116"/>
      <c r="T195" s="1116"/>
    </row>
    <row r="196">
      <c r="A196" s="1116"/>
      <c r="B196" s="1116"/>
      <c r="C196" s="1116"/>
      <c r="D196" s="1116"/>
      <c r="E196" s="1116"/>
      <c r="F196" s="1116"/>
      <c r="G196" s="1236"/>
      <c r="H196" s="1116"/>
      <c r="I196" s="1116"/>
      <c r="J196" s="1116"/>
      <c r="K196" s="1148"/>
      <c r="L196" s="1128"/>
      <c r="M196" s="1116"/>
      <c r="N196" s="1116"/>
      <c r="O196" s="1116"/>
      <c r="P196" s="1116"/>
      <c r="Q196" s="1116"/>
      <c r="R196" s="1116"/>
      <c r="S196" s="1116"/>
      <c r="T196" s="1116"/>
    </row>
    <row r="197">
      <c r="A197" s="1116"/>
      <c r="B197" s="1116"/>
      <c r="C197" s="1116"/>
      <c r="D197" s="1116"/>
      <c r="E197" s="1116"/>
      <c r="F197" s="1116"/>
      <c r="G197" s="1236"/>
      <c r="H197" s="1116"/>
      <c r="I197" s="1116"/>
      <c r="J197" s="1116"/>
      <c r="K197" s="1148"/>
      <c r="L197" s="1128"/>
      <c r="M197" s="1116"/>
      <c r="N197" s="1116"/>
      <c r="O197" s="1116"/>
      <c r="P197" s="1116"/>
      <c r="Q197" s="1116"/>
      <c r="R197" s="1116"/>
      <c r="S197" s="1116"/>
      <c r="T197" s="1116"/>
    </row>
    <row r="198">
      <c r="A198" s="1116"/>
      <c r="B198" s="1116"/>
      <c r="C198" s="1116"/>
      <c r="D198" s="1116"/>
      <c r="E198" s="1116"/>
      <c r="F198" s="1116"/>
      <c r="G198" s="1236"/>
      <c r="H198" s="1116"/>
      <c r="I198" s="1116"/>
      <c r="J198" s="1116"/>
      <c r="K198" s="1148"/>
      <c r="L198" s="1128"/>
      <c r="M198" s="1116"/>
      <c r="N198" s="1116"/>
      <c r="O198" s="1116"/>
      <c r="P198" s="1116"/>
      <c r="Q198" s="1116"/>
      <c r="R198" s="1116"/>
      <c r="S198" s="1116"/>
      <c r="T198" s="1116"/>
    </row>
    <row r="199">
      <c r="A199" s="1116"/>
      <c r="B199" s="1116"/>
      <c r="C199" s="1116"/>
      <c r="D199" s="1116"/>
      <c r="E199" s="1116"/>
      <c r="F199" s="1116"/>
      <c r="G199" s="1236"/>
      <c r="H199" s="1116"/>
      <c r="I199" s="1116"/>
      <c r="J199" s="1116"/>
      <c r="K199" s="1148"/>
      <c r="L199" s="1128"/>
      <c r="M199" s="1116"/>
      <c r="N199" s="1116"/>
      <c r="O199" s="1116"/>
      <c r="P199" s="1116"/>
      <c r="Q199" s="1116"/>
      <c r="R199" s="1116"/>
      <c r="S199" s="1116"/>
      <c r="T199" s="1116"/>
    </row>
    <row r="200">
      <c r="A200" s="1116"/>
      <c r="B200" s="1116"/>
      <c r="C200" s="1116"/>
      <c r="D200" s="1116"/>
      <c r="E200" s="1116"/>
      <c r="F200" s="1116"/>
      <c r="G200" s="1236"/>
      <c r="H200" s="1116"/>
      <c r="I200" s="1116"/>
      <c r="J200" s="1116"/>
      <c r="K200" s="1148"/>
      <c r="L200" s="1128"/>
      <c r="M200" s="1116"/>
      <c r="N200" s="1116"/>
      <c r="O200" s="1116"/>
      <c r="P200" s="1116"/>
      <c r="Q200" s="1116"/>
      <c r="R200" s="1116"/>
      <c r="S200" s="1116"/>
      <c r="T200" s="1116"/>
    </row>
    <row r="201">
      <c r="A201" s="1116"/>
      <c r="B201" s="1116"/>
      <c r="C201" s="1116"/>
      <c r="D201" s="1116"/>
      <c r="E201" s="1116"/>
      <c r="F201" s="1116"/>
      <c r="G201" s="1236"/>
      <c r="H201" s="1116"/>
      <c r="I201" s="1116"/>
      <c r="J201" s="1116"/>
      <c r="K201" s="1148"/>
      <c r="L201" s="1128"/>
      <c r="M201" s="1116"/>
      <c r="N201" s="1116"/>
      <c r="O201" s="1116"/>
      <c r="P201" s="1116"/>
      <c r="Q201" s="1116"/>
      <c r="R201" s="1116"/>
      <c r="S201" s="1116"/>
      <c r="T201" s="1116"/>
    </row>
    <row r="202">
      <c r="A202" s="1116"/>
      <c r="B202" s="1116"/>
      <c r="C202" s="1116"/>
      <c r="D202" s="1116"/>
      <c r="E202" s="1116"/>
      <c r="F202" s="1116"/>
      <c r="G202" s="1236"/>
      <c r="H202" s="1116"/>
      <c r="I202" s="1116"/>
      <c r="J202" s="1116"/>
      <c r="K202" s="1148"/>
      <c r="L202" s="1128"/>
      <c r="M202" s="1116"/>
      <c r="N202" s="1116"/>
      <c r="O202" s="1116"/>
      <c r="P202" s="1116"/>
      <c r="Q202" s="1116"/>
      <c r="R202" s="1116"/>
      <c r="S202" s="1116"/>
      <c r="T202" s="1116"/>
    </row>
    <row r="203">
      <c r="A203" s="1116"/>
      <c r="B203" s="1116"/>
      <c r="C203" s="1116"/>
      <c r="D203" s="1116"/>
      <c r="E203" s="1116"/>
      <c r="F203" s="1116"/>
      <c r="G203" s="1236"/>
      <c r="H203" s="1116"/>
      <c r="I203" s="1116"/>
      <c r="J203" s="1116"/>
      <c r="K203" s="1148"/>
      <c r="L203" s="1128"/>
      <c r="M203" s="1116"/>
      <c r="N203" s="1116"/>
      <c r="O203" s="1116"/>
      <c r="P203" s="1116"/>
      <c r="Q203" s="1116"/>
      <c r="R203" s="1116"/>
      <c r="S203" s="1116"/>
      <c r="T203" s="1116"/>
    </row>
    <row r="204">
      <c r="A204" s="1116"/>
      <c r="B204" s="1116"/>
      <c r="C204" s="1116"/>
      <c r="D204" s="1116"/>
      <c r="E204" s="1116"/>
      <c r="F204" s="1116"/>
      <c r="G204" s="1236"/>
      <c r="H204" s="1116"/>
      <c r="I204" s="1116"/>
      <c r="J204" s="1116"/>
      <c r="K204" s="1148"/>
      <c r="L204" s="1128"/>
      <c r="M204" s="1116"/>
      <c r="N204" s="1116"/>
      <c r="O204" s="1116"/>
      <c r="P204" s="1116"/>
      <c r="Q204" s="1116"/>
      <c r="R204" s="1116"/>
      <c r="S204" s="1116"/>
      <c r="T204" s="1116"/>
    </row>
    <row r="205">
      <c r="A205" s="1116"/>
      <c r="B205" s="1116"/>
      <c r="C205" s="1116"/>
      <c r="D205" s="1116"/>
      <c r="E205" s="1116"/>
      <c r="F205" s="1116"/>
      <c r="G205" s="1236"/>
      <c r="H205" s="1116"/>
      <c r="I205" s="1116"/>
      <c r="J205" s="1116"/>
      <c r="K205" s="1148"/>
      <c r="L205" s="1128"/>
      <c r="M205" s="1116"/>
      <c r="N205" s="1116"/>
      <c r="O205" s="1116"/>
      <c r="P205" s="1116"/>
      <c r="Q205" s="1116"/>
      <c r="R205" s="1116"/>
      <c r="S205" s="1116"/>
      <c r="T205" s="1116"/>
    </row>
    <row r="206">
      <c r="A206" s="1116"/>
      <c r="B206" s="1116"/>
      <c r="C206" s="1116"/>
      <c r="D206" s="1116"/>
      <c r="E206" s="1116"/>
      <c r="F206" s="1116"/>
      <c r="G206" s="1236"/>
      <c r="H206" s="1116"/>
      <c r="I206" s="1116"/>
      <c r="J206" s="1116"/>
      <c r="K206" s="1148"/>
      <c r="L206" s="1128"/>
      <c r="M206" s="1116"/>
      <c r="N206" s="1116"/>
      <c r="O206" s="1116"/>
      <c r="P206" s="1116"/>
      <c r="Q206" s="1116"/>
      <c r="R206" s="1116"/>
      <c r="S206" s="1116"/>
      <c r="T206" s="1116"/>
    </row>
    <row r="207">
      <c r="A207" s="1116"/>
      <c r="B207" s="1116"/>
      <c r="C207" s="1116"/>
      <c r="D207" s="1116"/>
      <c r="E207" s="1116"/>
      <c r="F207" s="1116"/>
      <c r="G207" s="1236"/>
      <c r="H207" s="1116"/>
      <c r="I207" s="1116"/>
      <c r="J207" s="1116"/>
      <c r="K207" s="1148"/>
      <c r="L207" s="1128"/>
      <c r="M207" s="1116"/>
      <c r="N207" s="1116"/>
      <c r="O207" s="1116"/>
      <c r="P207" s="1116"/>
      <c r="Q207" s="1116"/>
      <c r="R207" s="1116"/>
      <c r="S207" s="1116"/>
      <c r="T207" s="1116"/>
    </row>
    <row r="208">
      <c r="A208" s="1116"/>
      <c r="B208" s="1116"/>
      <c r="C208" s="1116"/>
      <c r="D208" s="1116"/>
      <c r="E208" s="1116"/>
      <c r="F208" s="1116"/>
      <c r="G208" s="1236"/>
      <c r="H208" s="1116"/>
      <c r="I208" s="1116"/>
      <c r="J208" s="1116"/>
      <c r="K208" s="1148"/>
      <c r="L208" s="1128"/>
      <c r="M208" s="1116"/>
      <c r="N208" s="1116"/>
      <c r="O208" s="1116"/>
      <c r="P208" s="1116"/>
      <c r="Q208" s="1116"/>
      <c r="R208" s="1116"/>
      <c r="S208" s="1116"/>
      <c r="T208" s="1116"/>
    </row>
    <row r="209">
      <c r="A209" s="1116"/>
      <c r="B209" s="1116"/>
      <c r="C209" s="1116"/>
      <c r="D209" s="1116"/>
      <c r="E209" s="1116"/>
      <c r="F209" s="1116"/>
      <c r="G209" s="1236"/>
      <c r="H209" s="1116"/>
      <c r="I209" s="1116"/>
      <c r="J209" s="1116"/>
      <c r="K209" s="1148"/>
      <c r="L209" s="1128"/>
      <c r="M209" s="1116"/>
      <c r="N209" s="1116"/>
      <c r="O209" s="1116"/>
      <c r="P209" s="1116"/>
      <c r="Q209" s="1116"/>
      <c r="R209" s="1116"/>
      <c r="S209" s="1116"/>
      <c r="T209" s="1116"/>
    </row>
    <row r="210">
      <c r="A210" s="1116"/>
      <c r="B210" s="1116"/>
      <c r="C210" s="1116"/>
      <c r="D210" s="1116"/>
      <c r="E210" s="1116"/>
      <c r="F210" s="1116"/>
      <c r="G210" s="1236"/>
      <c r="H210" s="1116"/>
      <c r="I210" s="1116"/>
      <c r="J210" s="1116"/>
      <c r="K210" s="1148"/>
      <c r="L210" s="1128"/>
      <c r="M210" s="1116"/>
      <c r="N210" s="1116"/>
      <c r="O210" s="1116"/>
      <c r="P210" s="1116"/>
      <c r="Q210" s="1116"/>
      <c r="R210" s="1116"/>
      <c r="S210" s="1116"/>
      <c r="T210" s="1116"/>
    </row>
    <row r="211">
      <c r="A211" s="1116"/>
      <c r="B211" s="1116"/>
      <c r="C211" s="1116"/>
      <c r="D211" s="1116"/>
      <c r="E211" s="1116"/>
      <c r="F211" s="1116"/>
      <c r="G211" s="1236"/>
      <c r="H211" s="1116"/>
      <c r="I211" s="1116"/>
      <c r="J211" s="1116"/>
      <c r="K211" s="1148"/>
      <c r="L211" s="1128"/>
      <c r="M211" s="1116"/>
      <c r="N211" s="1116"/>
      <c r="O211" s="1116"/>
      <c r="P211" s="1116"/>
      <c r="Q211" s="1116"/>
      <c r="R211" s="1116"/>
      <c r="S211" s="1116"/>
      <c r="T211" s="1116"/>
    </row>
    <row r="212">
      <c r="A212" s="1116"/>
      <c r="B212" s="1116"/>
      <c r="C212" s="1116"/>
      <c r="D212" s="1116"/>
      <c r="E212" s="1116"/>
      <c r="F212" s="1116"/>
      <c r="G212" s="1236"/>
      <c r="H212" s="1116"/>
      <c r="I212" s="1116"/>
      <c r="J212" s="1116"/>
      <c r="K212" s="1148"/>
      <c r="L212" s="1128"/>
      <c r="M212" s="1116"/>
      <c r="N212" s="1116"/>
      <c r="O212" s="1116"/>
      <c r="P212" s="1116"/>
      <c r="Q212" s="1116"/>
      <c r="R212" s="1116"/>
      <c r="S212" s="1116"/>
      <c r="T212" s="1116"/>
    </row>
    <row r="213">
      <c r="A213" s="1116"/>
      <c r="B213" s="1116"/>
      <c r="C213" s="1116"/>
      <c r="D213" s="1116"/>
      <c r="E213" s="1116"/>
      <c r="F213" s="1116"/>
      <c r="G213" s="1236"/>
      <c r="H213" s="1116"/>
      <c r="I213" s="1116"/>
      <c r="J213" s="1116"/>
      <c r="K213" s="1148"/>
      <c r="L213" s="1128"/>
      <c r="M213" s="1116"/>
      <c r="N213" s="1116"/>
      <c r="O213" s="1116"/>
      <c r="P213" s="1116"/>
      <c r="Q213" s="1116"/>
      <c r="R213" s="1116"/>
      <c r="S213" s="1116"/>
      <c r="T213" s="1116"/>
    </row>
    <row r="214">
      <c r="A214" s="1116"/>
      <c r="B214" s="1116"/>
      <c r="C214" s="1116"/>
      <c r="D214" s="1116"/>
      <c r="E214" s="1116"/>
      <c r="F214" s="1116"/>
      <c r="G214" s="1236"/>
      <c r="H214" s="1116"/>
      <c r="I214" s="1116"/>
      <c r="J214" s="1116"/>
      <c r="K214" s="1148"/>
      <c r="L214" s="1128"/>
      <c r="M214" s="1116"/>
      <c r="N214" s="1116"/>
      <c r="O214" s="1116"/>
      <c r="P214" s="1116"/>
      <c r="Q214" s="1116"/>
      <c r="R214" s="1116"/>
      <c r="S214" s="1116"/>
      <c r="T214" s="1116"/>
    </row>
    <row r="215">
      <c r="A215" s="1116"/>
      <c r="B215" s="1116"/>
      <c r="C215" s="1116"/>
      <c r="D215" s="1116"/>
      <c r="E215" s="1116"/>
      <c r="F215" s="1116"/>
      <c r="G215" s="1236"/>
      <c r="H215" s="1116"/>
      <c r="I215" s="1116"/>
      <c r="J215" s="1116"/>
      <c r="K215" s="1148"/>
      <c r="L215" s="1128"/>
      <c r="M215" s="1116"/>
      <c r="N215" s="1116"/>
      <c r="O215" s="1116"/>
      <c r="P215" s="1116"/>
      <c r="Q215" s="1116"/>
      <c r="R215" s="1116"/>
      <c r="S215" s="1116"/>
      <c r="T215" s="1116"/>
    </row>
    <row r="216">
      <c r="A216" s="1116"/>
      <c r="B216" s="1116"/>
      <c r="C216" s="1116"/>
      <c r="D216" s="1116"/>
      <c r="E216" s="1116"/>
      <c r="F216" s="1116"/>
      <c r="G216" s="1236"/>
      <c r="H216" s="1116"/>
      <c r="I216" s="1116"/>
      <c r="J216" s="1116"/>
      <c r="K216" s="1148"/>
      <c r="L216" s="1128"/>
      <c r="M216" s="1116"/>
      <c r="N216" s="1116"/>
      <c r="O216" s="1116"/>
      <c r="P216" s="1116"/>
      <c r="Q216" s="1116"/>
      <c r="R216" s="1116"/>
      <c r="S216" s="1116"/>
      <c r="T216" s="1116"/>
    </row>
    <row r="217">
      <c r="A217" s="1116"/>
      <c r="B217" s="1116"/>
      <c r="C217" s="1116"/>
      <c r="D217" s="1116"/>
      <c r="E217" s="1116"/>
      <c r="F217" s="1116"/>
      <c r="G217" s="1236"/>
      <c r="H217" s="1116"/>
      <c r="I217" s="1116"/>
      <c r="J217" s="1116"/>
      <c r="K217" s="1148"/>
      <c r="L217" s="1128"/>
      <c r="M217" s="1116"/>
      <c r="N217" s="1116"/>
      <c r="O217" s="1116"/>
      <c r="P217" s="1116"/>
      <c r="Q217" s="1116"/>
      <c r="R217" s="1116"/>
      <c r="S217" s="1116"/>
      <c r="T217" s="1116"/>
    </row>
    <row r="218">
      <c r="A218" s="1116"/>
      <c r="B218" s="1116"/>
      <c r="C218" s="1116"/>
      <c r="D218" s="1116"/>
      <c r="E218" s="1116"/>
      <c r="F218" s="1116"/>
      <c r="G218" s="1236"/>
      <c r="H218" s="1116"/>
      <c r="I218" s="1116"/>
      <c r="J218" s="1116"/>
      <c r="K218" s="1148"/>
      <c r="L218" s="1128"/>
      <c r="M218" s="1116"/>
      <c r="N218" s="1116"/>
      <c r="O218" s="1116"/>
      <c r="P218" s="1116"/>
      <c r="Q218" s="1116"/>
      <c r="R218" s="1116"/>
      <c r="S218" s="1116"/>
      <c r="T218" s="1116"/>
    </row>
    <row r="219">
      <c r="A219" s="1116"/>
      <c r="B219" s="1116"/>
      <c r="C219" s="1116"/>
      <c r="D219" s="1116"/>
      <c r="E219" s="1116"/>
      <c r="F219" s="1116"/>
      <c r="G219" s="1236"/>
      <c r="H219" s="1116"/>
      <c r="I219" s="1116"/>
      <c r="J219" s="1116"/>
      <c r="K219" s="1148"/>
      <c r="L219" s="1128"/>
      <c r="M219" s="1116"/>
      <c r="N219" s="1116"/>
      <c r="O219" s="1116"/>
      <c r="P219" s="1116"/>
      <c r="Q219" s="1116"/>
      <c r="R219" s="1116"/>
      <c r="S219" s="1116"/>
      <c r="T219" s="1116"/>
    </row>
    <row r="220">
      <c r="A220" s="1116"/>
      <c r="B220" s="1116"/>
      <c r="C220" s="1116"/>
      <c r="D220" s="1116"/>
      <c r="E220" s="1116"/>
      <c r="F220" s="1116"/>
      <c r="G220" s="1236"/>
      <c r="H220" s="1116"/>
      <c r="I220" s="1116"/>
      <c r="J220" s="1116"/>
      <c r="K220" s="1148"/>
      <c r="L220" s="1128"/>
      <c r="M220" s="1116"/>
      <c r="N220" s="1116"/>
      <c r="O220" s="1116"/>
      <c r="P220" s="1116"/>
      <c r="Q220" s="1116"/>
      <c r="R220" s="1116"/>
      <c r="S220" s="1116"/>
      <c r="T220" s="1116"/>
    </row>
    <row r="221">
      <c r="A221" s="1116"/>
      <c r="B221" s="1116"/>
      <c r="C221" s="1116"/>
      <c r="D221" s="1116"/>
      <c r="E221" s="1116"/>
      <c r="F221" s="1116"/>
      <c r="G221" s="1236"/>
      <c r="H221" s="1116"/>
      <c r="I221" s="1116"/>
      <c r="J221" s="1116"/>
      <c r="K221" s="1148"/>
      <c r="L221" s="1128"/>
      <c r="M221" s="1116"/>
      <c r="N221" s="1116"/>
      <c r="O221" s="1116"/>
      <c r="P221" s="1116"/>
      <c r="Q221" s="1116"/>
      <c r="R221" s="1116"/>
      <c r="S221" s="1116"/>
      <c r="T221" s="1116"/>
    </row>
    <row r="222">
      <c r="A222" s="1116"/>
      <c r="B222" s="1116"/>
      <c r="C222" s="1116"/>
      <c r="D222" s="1116"/>
      <c r="E222" s="1116"/>
      <c r="F222" s="1116"/>
      <c r="G222" s="1236"/>
      <c r="H222" s="1116"/>
      <c r="I222" s="1116"/>
      <c r="J222" s="1116"/>
      <c r="K222" s="1148"/>
      <c r="L222" s="1128"/>
      <c r="M222" s="1116"/>
      <c r="N222" s="1116"/>
      <c r="O222" s="1116"/>
      <c r="P222" s="1116"/>
      <c r="Q222" s="1116"/>
      <c r="R222" s="1116"/>
      <c r="S222" s="1116"/>
      <c r="T222" s="1116"/>
    </row>
    <row r="223">
      <c r="A223" s="1116"/>
      <c r="B223" s="1116"/>
      <c r="C223" s="1116"/>
      <c r="D223" s="1116"/>
      <c r="E223" s="1116"/>
      <c r="F223" s="1116"/>
      <c r="G223" s="1236"/>
      <c r="H223" s="1116"/>
      <c r="I223" s="1116"/>
      <c r="J223" s="1116"/>
      <c r="K223" s="1148"/>
      <c r="L223" s="1128"/>
      <c r="M223" s="1116"/>
      <c r="N223" s="1116"/>
      <c r="O223" s="1116"/>
      <c r="P223" s="1116"/>
      <c r="Q223" s="1116"/>
      <c r="R223" s="1116"/>
      <c r="S223" s="1116"/>
      <c r="T223" s="1116"/>
    </row>
    <row r="224">
      <c r="A224" s="1116"/>
      <c r="B224" s="1116"/>
      <c r="C224" s="1116"/>
      <c r="D224" s="1116"/>
      <c r="E224" s="1116"/>
      <c r="F224" s="1116"/>
      <c r="G224" s="1236"/>
      <c r="H224" s="1116"/>
      <c r="I224" s="1116"/>
      <c r="J224" s="1116"/>
      <c r="K224" s="1148"/>
      <c r="L224" s="1128"/>
      <c r="M224" s="1116"/>
      <c r="N224" s="1116"/>
      <c r="O224" s="1116"/>
      <c r="P224" s="1116"/>
      <c r="Q224" s="1116"/>
      <c r="R224" s="1116"/>
      <c r="S224" s="1116"/>
      <c r="T224" s="1116"/>
    </row>
    <row r="225">
      <c r="A225" s="1116"/>
      <c r="B225" s="1116"/>
      <c r="C225" s="1116"/>
      <c r="D225" s="1116"/>
      <c r="E225" s="1116"/>
      <c r="F225" s="1116"/>
      <c r="G225" s="1236"/>
      <c r="H225" s="1116"/>
      <c r="I225" s="1116"/>
      <c r="J225" s="1116"/>
      <c r="K225" s="1148"/>
      <c r="L225" s="1128"/>
      <c r="M225" s="1116"/>
      <c r="N225" s="1116"/>
      <c r="O225" s="1116"/>
      <c r="P225" s="1116"/>
      <c r="Q225" s="1116"/>
      <c r="R225" s="1116"/>
      <c r="S225" s="1116"/>
      <c r="T225" s="1116"/>
    </row>
    <row r="226">
      <c r="A226" s="1116"/>
      <c r="B226" s="1116"/>
      <c r="C226" s="1116"/>
      <c r="D226" s="1116"/>
      <c r="E226" s="1116"/>
      <c r="F226" s="1116"/>
      <c r="G226" s="1236"/>
      <c r="H226" s="1116"/>
      <c r="I226" s="1116"/>
      <c r="J226" s="1116"/>
      <c r="K226" s="1148"/>
      <c r="L226" s="1128"/>
      <c r="M226" s="1116"/>
      <c r="N226" s="1116"/>
      <c r="O226" s="1116"/>
      <c r="P226" s="1116"/>
      <c r="Q226" s="1116"/>
      <c r="R226" s="1116"/>
      <c r="S226" s="1116"/>
      <c r="T226" s="1116"/>
    </row>
    <row r="227">
      <c r="A227" s="1116"/>
      <c r="B227" s="1116"/>
      <c r="C227" s="1116"/>
      <c r="D227" s="1116"/>
      <c r="E227" s="1116"/>
      <c r="F227" s="1116"/>
      <c r="G227" s="1236"/>
      <c r="H227" s="1116"/>
      <c r="I227" s="1116"/>
      <c r="J227" s="1116"/>
      <c r="K227" s="1148"/>
      <c r="L227" s="1128"/>
      <c r="M227" s="1116"/>
      <c r="N227" s="1116"/>
      <c r="O227" s="1116"/>
      <c r="P227" s="1116"/>
      <c r="Q227" s="1116"/>
      <c r="R227" s="1116"/>
      <c r="S227" s="1116"/>
      <c r="T227" s="1116"/>
    </row>
    <row r="228">
      <c r="A228" s="1116"/>
      <c r="B228" s="1116"/>
      <c r="C228" s="1116"/>
      <c r="D228" s="1116"/>
      <c r="E228" s="1116"/>
      <c r="F228" s="1116"/>
      <c r="G228" s="1236"/>
      <c r="H228" s="1116"/>
      <c r="I228" s="1116"/>
      <c r="J228" s="1116"/>
      <c r="K228" s="1148"/>
      <c r="L228" s="1128"/>
      <c r="M228" s="1116"/>
      <c r="N228" s="1116"/>
      <c r="O228" s="1116"/>
      <c r="P228" s="1116"/>
      <c r="Q228" s="1116"/>
      <c r="R228" s="1116"/>
      <c r="S228" s="1116"/>
      <c r="T228" s="1116"/>
    </row>
    <row r="229">
      <c r="A229" s="1116"/>
      <c r="B229" s="1116"/>
      <c r="C229" s="1116"/>
      <c r="D229" s="1116"/>
      <c r="E229" s="1116"/>
      <c r="F229" s="1116"/>
      <c r="G229" s="1236"/>
      <c r="H229" s="1116"/>
      <c r="I229" s="1116"/>
      <c r="J229" s="1116"/>
      <c r="K229" s="1148"/>
      <c r="L229" s="1128"/>
      <c r="M229" s="1116"/>
      <c r="N229" s="1116"/>
      <c r="O229" s="1116"/>
      <c r="P229" s="1116"/>
      <c r="Q229" s="1116"/>
      <c r="R229" s="1116"/>
      <c r="S229" s="1116"/>
      <c r="T229" s="1116"/>
    </row>
    <row r="230">
      <c r="A230" s="1116"/>
      <c r="B230" s="1116"/>
      <c r="C230" s="1116"/>
      <c r="D230" s="1116"/>
      <c r="E230" s="1116"/>
      <c r="F230" s="1116"/>
      <c r="G230" s="1236"/>
      <c r="H230" s="1116"/>
      <c r="I230" s="1116"/>
      <c r="J230" s="1116"/>
      <c r="K230" s="1148"/>
      <c r="L230" s="1128"/>
      <c r="M230" s="1116"/>
      <c r="N230" s="1116"/>
      <c r="O230" s="1116"/>
      <c r="P230" s="1116"/>
      <c r="Q230" s="1116"/>
      <c r="R230" s="1116"/>
      <c r="S230" s="1116"/>
      <c r="T230" s="1116"/>
    </row>
    <row r="231">
      <c r="A231" s="1116"/>
      <c r="B231" s="1116"/>
      <c r="C231" s="1116"/>
      <c r="D231" s="1116"/>
      <c r="E231" s="1116"/>
      <c r="F231" s="1116"/>
      <c r="G231" s="1236"/>
      <c r="H231" s="1116"/>
      <c r="I231" s="1116"/>
      <c r="J231" s="1116"/>
      <c r="K231" s="1148"/>
      <c r="L231" s="1128"/>
      <c r="M231" s="1116"/>
      <c r="N231" s="1116"/>
      <c r="O231" s="1116"/>
      <c r="P231" s="1116"/>
      <c r="Q231" s="1116"/>
      <c r="R231" s="1116"/>
      <c r="S231" s="1116"/>
      <c r="T231" s="1116"/>
    </row>
    <row r="232">
      <c r="A232" s="1116"/>
      <c r="B232" s="1116"/>
      <c r="C232" s="1116"/>
      <c r="D232" s="1116"/>
      <c r="E232" s="1116"/>
      <c r="F232" s="1116"/>
      <c r="G232" s="1236"/>
      <c r="H232" s="1116"/>
      <c r="I232" s="1116"/>
      <c r="J232" s="1116"/>
      <c r="K232" s="1148"/>
      <c r="L232" s="1128"/>
      <c r="M232" s="1116"/>
      <c r="N232" s="1116"/>
      <c r="O232" s="1116"/>
      <c r="P232" s="1116"/>
      <c r="Q232" s="1116"/>
      <c r="R232" s="1116"/>
      <c r="S232" s="1116"/>
      <c r="T232" s="1116"/>
    </row>
    <row r="233">
      <c r="A233" s="1116"/>
      <c r="B233" s="1116"/>
      <c r="C233" s="1116"/>
      <c r="D233" s="1116"/>
      <c r="E233" s="1116"/>
      <c r="F233" s="1116"/>
      <c r="G233" s="1236"/>
      <c r="H233" s="1116"/>
      <c r="I233" s="1116"/>
      <c r="J233" s="1116"/>
      <c r="K233" s="1148"/>
      <c r="L233" s="1128"/>
      <c r="M233" s="1116"/>
      <c r="N233" s="1116"/>
      <c r="O233" s="1116"/>
      <c r="P233" s="1116"/>
      <c r="Q233" s="1116"/>
      <c r="R233" s="1116"/>
      <c r="S233" s="1116"/>
      <c r="T233" s="1116"/>
    </row>
    <row r="234">
      <c r="A234" s="1116"/>
      <c r="B234" s="1116"/>
      <c r="C234" s="1116"/>
      <c r="D234" s="1116"/>
      <c r="E234" s="1116"/>
      <c r="F234" s="1116"/>
      <c r="G234" s="1236"/>
      <c r="H234" s="1116"/>
      <c r="I234" s="1116"/>
      <c r="J234" s="1116"/>
      <c r="K234" s="1148"/>
      <c r="L234" s="1128"/>
      <c r="M234" s="1116"/>
      <c r="N234" s="1116"/>
      <c r="O234" s="1116"/>
      <c r="P234" s="1116"/>
      <c r="Q234" s="1116"/>
      <c r="R234" s="1116"/>
      <c r="S234" s="1116"/>
      <c r="T234" s="1116"/>
    </row>
    <row r="235">
      <c r="A235" s="1116"/>
      <c r="B235" s="1116"/>
      <c r="C235" s="1116"/>
      <c r="D235" s="1116"/>
      <c r="E235" s="1116"/>
      <c r="F235" s="1116"/>
      <c r="G235" s="1236"/>
      <c r="H235" s="1116"/>
      <c r="I235" s="1116"/>
      <c r="J235" s="1116"/>
      <c r="K235" s="1148"/>
      <c r="L235" s="1128"/>
      <c r="M235" s="1116"/>
      <c r="N235" s="1116"/>
      <c r="O235" s="1116"/>
      <c r="P235" s="1116"/>
      <c r="Q235" s="1116"/>
      <c r="R235" s="1116"/>
      <c r="S235" s="1116"/>
      <c r="T235" s="1116"/>
    </row>
    <row r="236">
      <c r="A236" s="1116"/>
      <c r="B236" s="1116"/>
      <c r="C236" s="1116"/>
      <c r="D236" s="1116"/>
      <c r="E236" s="1116"/>
      <c r="F236" s="1116"/>
      <c r="G236" s="1236"/>
      <c r="H236" s="1116"/>
      <c r="I236" s="1116"/>
      <c r="J236" s="1116"/>
      <c r="K236" s="1148"/>
      <c r="L236" s="1128"/>
      <c r="M236" s="1116"/>
      <c r="N236" s="1116"/>
      <c r="O236" s="1116"/>
      <c r="P236" s="1116"/>
      <c r="Q236" s="1116"/>
      <c r="R236" s="1116"/>
      <c r="S236" s="1116"/>
      <c r="T236" s="1116"/>
    </row>
    <row r="237">
      <c r="A237" s="1116"/>
      <c r="B237" s="1116"/>
      <c r="C237" s="1116"/>
      <c r="D237" s="1116"/>
      <c r="E237" s="1116"/>
      <c r="F237" s="1116"/>
      <c r="G237" s="1236"/>
      <c r="H237" s="1116"/>
      <c r="I237" s="1116"/>
      <c r="J237" s="1116"/>
      <c r="K237" s="1148"/>
      <c r="L237" s="1128"/>
      <c r="M237" s="1116"/>
      <c r="N237" s="1116"/>
      <c r="O237" s="1116"/>
      <c r="P237" s="1116"/>
      <c r="Q237" s="1116"/>
      <c r="R237" s="1116"/>
      <c r="S237" s="1116"/>
      <c r="T237" s="1116"/>
    </row>
    <row r="238">
      <c r="A238" s="1116"/>
      <c r="B238" s="1116"/>
      <c r="C238" s="1116"/>
      <c r="D238" s="1116"/>
      <c r="E238" s="1116"/>
      <c r="F238" s="1116"/>
      <c r="G238" s="1236"/>
      <c r="H238" s="1116"/>
      <c r="I238" s="1116"/>
      <c r="J238" s="1116"/>
      <c r="K238" s="1148"/>
      <c r="L238" s="1128"/>
      <c r="M238" s="1116"/>
      <c r="N238" s="1116"/>
      <c r="O238" s="1116"/>
      <c r="P238" s="1116"/>
      <c r="Q238" s="1116"/>
      <c r="R238" s="1116"/>
      <c r="S238" s="1116"/>
      <c r="T238" s="1116"/>
    </row>
    <row r="239">
      <c r="A239" s="1116"/>
      <c r="B239" s="1116"/>
      <c r="C239" s="1116"/>
      <c r="D239" s="1116"/>
      <c r="E239" s="1116"/>
      <c r="F239" s="1116"/>
      <c r="G239" s="1236"/>
      <c r="H239" s="1116"/>
      <c r="I239" s="1116"/>
      <c r="J239" s="1116"/>
      <c r="K239" s="1148"/>
      <c r="L239" s="1128"/>
      <c r="M239" s="1116"/>
      <c r="N239" s="1116"/>
      <c r="O239" s="1116"/>
      <c r="P239" s="1116"/>
      <c r="Q239" s="1116"/>
      <c r="R239" s="1116"/>
      <c r="S239" s="1116"/>
      <c r="T239" s="1116"/>
    </row>
    <row r="240">
      <c r="A240" s="1116"/>
      <c r="B240" s="1116"/>
      <c r="C240" s="1116"/>
      <c r="D240" s="1116"/>
      <c r="E240" s="1116"/>
      <c r="F240" s="1116"/>
      <c r="G240" s="1236"/>
      <c r="H240" s="1116"/>
      <c r="I240" s="1116"/>
      <c r="J240" s="1116"/>
      <c r="K240" s="1148"/>
      <c r="L240" s="1128"/>
      <c r="M240" s="1116"/>
      <c r="N240" s="1116"/>
      <c r="O240" s="1116"/>
      <c r="P240" s="1116"/>
      <c r="Q240" s="1116"/>
      <c r="R240" s="1116"/>
      <c r="S240" s="1116"/>
      <c r="T240" s="1116"/>
    </row>
    <row r="241">
      <c r="A241" s="1116"/>
      <c r="B241" s="1116"/>
      <c r="C241" s="1116"/>
      <c r="D241" s="1116"/>
      <c r="E241" s="1116"/>
      <c r="F241" s="1116"/>
      <c r="G241" s="1236"/>
      <c r="H241" s="1116"/>
      <c r="I241" s="1116"/>
      <c r="J241" s="1116"/>
      <c r="K241" s="1148"/>
      <c r="L241" s="1128"/>
      <c r="M241" s="1116"/>
      <c r="N241" s="1116"/>
      <c r="O241" s="1116"/>
      <c r="P241" s="1116"/>
      <c r="Q241" s="1116"/>
      <c r="R241" s="1116"/>
      <c r="S241" s="1116"/>
      <c r="T241" s="1116"/>
    </row>
    <row r="242">
      <c r="A242" s="1116"/>
      <c r="B242" s="1116"/>
      <c r="C242" s="1116"/>
      <c r="D242" s="1116"/>
      <c r="E242" s="1116"/>
      <c r="F242" s="1116"/>
      <c r="G242" s="1236"/>
      <c r="H242" s="1116"/>
      <c r="I242" s="1116"/>
      <c r="J242" s="1116"/>
      <c r="K242" s="1148"/>
      <c r="L242" s="1128"/>
      <c r="M242" s="1116"/>
      <c r="N242" s="1116"/>
      <c r="O242" s="1116"/>
      <c r="P242" s="1116"/>
      <c r="Q242" s="1116"/>
      <c r="R242" s="1116"/>
      <c r="S242" s="1116"/>
      <c r="T242" s="1116"/>
    </row>
    <row r="243">
      <c r="A243" s="1116"/>
      <c r="B243" s="1116"/>
      <c r="C243" s="1116"/>
      <c r="D243" s="1116"/>
      <c r="E243" s="1116"/>
      <c r="F243" s="1116"/>
      <c r="G243" s="1236"/>
      <c r="H243" s="1116"/>
      <c r="I243" s="1116"/>
      <c r="J243" s="1116"/>
      <c r="K243" s="1148"/>
      <c r="L243" s="1128"/>
      <c r="M243" s="1116"/>
      <c r="N243" s="1116"/>
      <c r="O243" s="1116"/>
      <c r="P243" s="1116"/>
      <c r="Q243" s="1116"/>
      <c r="R243" s="1116"/>
      <c r="S243" s="1116"/>
      <c r="T243" s="1116"/>
    </row>
    <row r="244">
      <c r="A244" s="1116"/>
      <c r="B244" s="1116"/>
      <c r="C244" s="1116"/>
      <c r="D244" s="1116"/>
      <c r="E244" s="1116"/>
      <c r="F244" s="1116"/>
      <c r="G244" s="1236"/>
      <c r="H244" s="1116"/>
      <c r="I244" s="1116"/>
      <c r="J244" s="1116"/>
      <c r="K244" s="1148"/>
      <c r="L244" s="1128"/>
      <c r="M244" s="1116"/>
      <c r="N244" s="1116"/>
      <c r="O244" s="1116"/>
      <c r="P244" s="1116"/>
      <c r="Q244" s="1116"/>
      <c r="R244" s="1116"/>
      <c r="S244" s="1116"/>
      <c r="T244" s="1116"/>
    </row>
    <row r="245">
      <c r="A245" s="1116"/>
      <c r="B245" s="1116"/>
      <c r="C245" s="1116"/>
      <c r="D245" s="1116"/>
      <c r="E245" s="1116"/>
      <c r="F245" s="1116"/>
      <c r="G245" s="1236"/>
      <c r="H245" s="1116"/>
      <c r="I245" s="1116"/>
      <c r="J245" s="1116"/>
      <c r="K245" s="1148"/>
      <c r="L245" s="1128"/>
      <c r="M245" s="1116"/>
      <c r="N245" s="1116"/>
      <c r="O245" s="1116"/>
      <c r="P245" s="1116"/>
      <c r="Q245" s="1116"/>
      <c r="R245" s="1116"/>
      <c r="S245" s="1116"/>
      <c r="T245" s="1116"/>
    </row>
    <row r="246">
      <c r="A246" s="1116"/>
      <c r="B246" s="1116"/>
      <c r="C246" s="1116"/>
      <c r="D246" s="1116"/>
      <c r="E246" s="1116"/>
      <c r="F246" s="1116"/>
      <c r="G246" s="1236"/>
      <c r="H246" s="1116"/>
      <c r="I246" s="1116"/>
      <c r="J246" s="1116"/>
      <c r="K246" s="1148"/>
      <c r="L246" s="1128"/>
      <c r="M246" s="1116"/>
      <c r="N246" s="1116"/>
      <c r="O246" s="1116"/>
      <c r="P246" s="1116"/>
      <c r="Q246" s="1116"/>
      <c r="R246" s="1116"/>
      <c r="S246" s="1116"/>
      <c r="T246" s="1116"/>
    </row>
    <row r="247">
      <c r="A247" s="1116"/>
      <c r="B247" s="1116"/>
      <c r="C247" s="1116"/>
      <c r="D247" s="1116"/>
      <c r="E247" s="1116"/>
      <c r="F247" s="1116"/>
      <c r="G247" s="1236"/>
      <c r="H247" s="1116"/>
      <c r="I247" s="1116"/>
      <c r="J247" s="1116"/>
      <c r="K247" s="1148"/>
      <c r="L247" s="1128"/>
      <c r="M247" s="1116"/>
      <c r="N247" s="1116"/>
      <c r="O247" s="1116"/>
      <c r="P247" s="1116"/>
      <c r="Q247" s="1116"/>
      <c r="R247" s="1116"/>
      <c r="S247" s="1116"/>
      <c r="T247" s="1116"/>
    </row>
    <row r="248">
      <c r="A248" s="1116"/>
      <c r="B248" s="1116"/>
      <c r="C248" s="1116"/>
      <c r="D248" s="1116"/>
      <c r="E248" s="1116"/>
      <c r="F248" s="1116"/>
      <c r="G248" s="1236"/>
      <c r="H248" s="1116"/>
      <c r="I248" s="1116"/>
      <c r="J248" s="1116"/>
      <c r="K248" s="1148"/>
      <c r="L248" s="1128"/>
      <c r="M248" s="1116"/>
      <c r="N248" s="1116"/>
      <c r="O248" s="1116"/>
      <c r="P248" s="1116"/>
      <c r="Q248" s="1116"/>
      <c r="R248" s="1116"/>
      <c r="S248" s="1116"/>
      <c r="T248" s="1116"/>
    </row>
    <row r="249">
      <c r="A249" s="1116"/>
      <c r="B249" s="1116"/>
      <c r="C249" s="1116"/>
      <c r="D249" s="1116"/>
      <c r="E249" s="1116"/>
      <c r="F249" s="1116"/>
      <c r="G249" s="1236"/>
      <c r="H249" s="1116"/>
      <c r="I249" s="1116"/>
      <c r="J249" s="1116"/>
      <c r="K249" s="1148"/>
      <c r="L249" s="1128"/>
      <c r="M249" s="1116"/>
      <c r="N249" s="1116"/>
      <c r="O249" s="1116"/>
      <c r="P249" s="1116"/>
      <c r="Q249" s="1116"/>
      <c r="R249" s="1116"/>
      <c r="S249" s="1116"/>
      <c r="T249" s="1116"/>
    </row>
    <row r="250">
      <c r="A250" s="1116"/>
      <c r="B250" s="1116"/>
      <c r="C250" s="1116"/>
      <c r="D250" s="1116"/>
      <c r="E250" s="1116"/>
      <c r="F250" s="1116"/>
      <c r="G250" s="1236"/>
      <c r="H250" s="1116"/>
      <c r="I250" s="1116"/>
      <c r="J250" s="1116"/>
      <c r="K250" s="1148"/>
      <c r="L250" s="1128"/>
      <c r="M250" s="1116"/>
      <c r="N250" s="1116"/>
      <c r="O250" s="1116"/>
      <c r="P250" s="1116"/>
      <c r="Q250" s="1116"/>
      <c r="R250" s="1116"/>
      <c r="S250" s="1116"/>
      <c r="T250" s="1116"/>
    </row>
    <row r="251">
      <c r="A251" s="1116"/>
      <c r="B251" s="1116"/>
      <c r="C251" s="1116"/>
      <c r="D251" s="1116"/>
      <c r="E251" s="1116"/>
      <c r="F251" s="1116"/>
      <c r="G251" s="1236"/>
      <c r="H251" s="1116"/>
      <c r="I251" s="1116"/>
      <c r="J251" s="1116"/>
      <c r="K251" s="1148"/>
      <c r="L251" s="1128"/>
      <c r="M251" s="1116"/>
      <c r="N251" s="1116"/>
      <c r="O251" s="1116"/>
      <c r="P251" s="1116"/>
      <c r="Q251" s="1116"/>
      <c r="R251" s="1116"/>
      <c r="S251" s="1116"/>
      <c r="T251" s="1116"/>
    </row>
    <row r="252">
      <c r="A252" s="1116"/>
      <c r="B252" s="1116"/>
      <c r="C252" s="1116"/>
      <c r="D252" s="1116"/>
      <c r="E252" s="1116"/>
      <c r="F252" s="1116"/>
      <c r="G252" s="1236"/>
      <c r="H252" s="1116"/>
      <c r="I252" s="1116"/>
      <c r="J252" s="1116"/>
      <c r="K252" s="1148"/>
      <c r="L252" s="1128"/>
      <c r="M252" s="1116"/>
      <c r="N252" s="1116"/>
      <c r="O252" s="1116"/>
      <c r="P252" s="1116"/>
      <c r="Q252" s="1116"/>
      <c r="R252" s="1116"/>
      <c r="S252" s="1116"/>
      <c r="T252" s="1116"/>
    </row>
    <row r="253">
      <c r="A253" s="1116"/>
      <c r="B253" s="1116"/>
      <c r="C253" s="1116"/>
      <c r="D253" s="1116"/>
      <c r="E253" s="1116"/>
      <c r="F253" s="1116"/>
      <c r="G253" s="1236"/>
      <c r="H253" s="1116"/>
      <c r="I253" s="1116"/>
      <c r="J253" s="1116"/>
      <c r="K253" s="1148"/>
      <c r="L253" s="1128"/>
      <c r="M253" s="1116"/>
      <c r="N253" s="1116"/>
      <c r="O253" s="1116"/>
      <c r="P253" s="1116"/>
      <c r="Q253" s="1116"/>
      <c r="R253" s="1116"/>
      <c r="S253" s="1116"/>
      <c r="T253" s="1116"/>
    </row>
    <row r="254">
      <c r="A254" s="1116"/>
      <c r="B254" s="1116"/>
      <c r="C254" s="1116"/>
      <c r="D254" s="1116"/>
      <c r="E254" s="1116"/>
      <c r="F254" s="1116"/>
      <c r="G254" s="1236"/>
      <c r="H254" s="1116"/>
      <c r="I254" s="1116"/>
      <c r="J254" s="1116"/>
      <c r="K254" s="1148"/>
      <c r="L254" s="1128"/>
      <c r="M254" s="1116"/>
      <c r="N254" s="1116"/>
      <c r="O254" s="1116"/>
      <c r="P254" s="1116"/>
      <c r="Q254" s="1116"/>
      <c r="R254" s="1116"/>
      <c r="S254" s="1116"/>
      <c r="T254" s="1116"/>
    </row>
    <row r="255">
      <c r="A255" s="1116"/>
      <c r="B255" s="1116"/>
      <c r="C255" s="1116"/>
      <c r="D255" s="1116"/>
      <c r="E255" s="1116"/>
      <c r="F255" s="1116"/>
      <c r="G255" s="1236"/>
      <c r="H255" s="1116"/>
      <c r="I255" s="1116"/>
      <c r="J255" s="1116"/>
      <c r="K255" s="1148"/>
      <c r="L255" s="1128"/>
      <c r="M255" s="1116"/>
      <c r="N255" s="1116"/>
      <c r="O255" s="1116"/>
      <c r="P255" s="1116"/>
      <c r="Q255" s="1116"/>
      <c r="R255" s="1116"/>
      <c r="S255" s="1116"/>
      <c r="T255" s="1116"/>
    </row>
    <row r="256">
      <c r="A256" s="1116"/>
      <c r="B256" s="1116"/>
      <c r="C256" s="1116"/>
      <c r="D256" s="1116"/>
      <c r="E256" s="1116"/>
      <c r="F256" s="1116"/>
      <c r="G256" s="1236"/>
      <c r="H256" s="1116"/>
      <c r="I256" s="1116"/>
      <c r="J256" s="1116"/>
      <c r="K256" s="1148"/>
      <c r="L256" s="1128"/>
      <c r="M256" s="1116"/>
      <c r="N256" s="1116"/>
      <c r="O256" s="1116"/>
      <c r="P256" s="1116"/>
      <c r="Q256" s="1116"/>
      <c r="R256" s="1116"/>
      <c r="S256" s="1116"/>
      <c r="T256" s="1116"/>
    </row>
    <row r="257">
      <c r="A257" s="1116"/>
      <c r="B257" s="1116"/>
      <c r="C257" s="1116"/>
      <c r="D257" s="1116"/>
      <c r="E257" s="1116"/>
      <c r="F257" s="1116"/>
      <c r="G257" s="1236"/>
      <c r="H257" s="1116"/>
      <c r="I257" s="1116"/>
      <c r="J257" s="1116"/>
      <c r="K257" s="1148"/>
      <c r="L257" s="1128"/>
      <c r="M257" s="1116"/>
      <c r="N257" s="1116"/>
      <c r="O257" s="1116"/>
      <c r="P257" s="1116"/>
      <c r="Q257" s="1116"/>
      <c r="R257" s="1116"/>
      <c r="S257" s="1116"/>
      <c r="T257" s="1116"/>
    </row>
    <row r="258">
      <c r="A258" s="1116"/>
      <c r="B258" s="1116"/>
      <c r="C258" s="1116"/>
      <c r="D258" s="1116"/>
      <c r="E258" s="1116"/>
      <c r="F258" s="1116"/>
      <c r="G258" s="1236"/>
      <c r="H258" s="1116"/>
      <c r="I258" s="1116"/>
      <c r="J258" s="1116"/>
      <c r="K258" s="1148"/>
      <c r="L258" s="1128"/>
      <c r="M258" s="1116"/>
      <c r="N258" s="1116"/>
      <c r="O258" s="1116"/>
      <c r="P258" s="1116"/>
      <c r="Q258" s="1116"/>
      <c r="R258" s="1116"/>
      <c r="S258" s="1116"/>
      <c r="T258" s="1116"/>
    </row>
    <row r="259">
      <c r="A259" s="1116"/>
      <c r="B259" s="1116"/>
      <c r="C259" s="1116"/>
      <c r="D259" s="1116"/>
      <c r="E259" s="1116"/>
      <c r="F259" s="1116"/>
      <c r="G259" s="1236"/>
      <c r="H259" s="1116"/>
      <c r="I259" s="1116"/>
      <c r="J259" s="1116"/>
      <c r="K259" s="1148"/>
      <c r="L259" s="1128"/>
      <c r="M259" s="1116"/>
      <c r="N259" s="1116"/>
      <c r="O259" s="1116"/>
      <c r="P259" s="1116"/>
      <c r="Q259" s="1116"/>
      <c r="R259" s="1116"/>
      <c r="S259" s="1116"/>
      <c r="T259" s="1116"/>
    </row>
    <row r="260">
      <c r="A260" s="1116"/>
      <c r="B260" s="1116"/>
      <c r="C260" s="1116"/>
      <c r="D260" s="1116"/>
      <c r="E260" s="1116"/>
      <c r="F260" s="1116"/>
      <c r="G260" s="1236"/>
      <c r="H260" s="1116"/>
      <c r="I260" s="1116"/>
      <c r="J260" s="1116"/>
      <c r="K260" s="1148"/>
      <c r="L260" s="1128"/>
      <c r="M260" s="1116"/>
      <c r="N260" s="1116"/>
      <c r="O260" s="1116"/>
      <c r="P260" s="1116"/>
      <c r="Q260" s="1116"/>
      <c r="R260" s="1116"/>
      <c r="S260" s="1116"/>
      <c r="T260" s="1116"/>
    </row>
    <row r="261">
      <c r="A261" s="1116"/>
      <c r="B261" s="1116"/>
      <c r="C261" s="1116"/>
      <c r="D261" s="1116"/>
      <c r="E261" s="1116"/>
      <c r="F261" s="1116"/>
      <c r="G261" s="1236"/>
      <c r="H261" s="1116"/>
      <c r="I261" s="1116"/>
      <c r="J261" s="1116"/>
      <c r="K261" s="1148"/>
      <c r="L261" s="1128"/>
      <c r="M261" s="1116"/>
      <c r="N261" s="1116"/>
      <c r="O261" s="1116"/>
      <c r="P261" s="1116"/>
      <c r="Q261" s="1116"/>
      <c r="R261" s="1116"/>
      <c r="S261" s="1116"/>
      <c r="T261" s="1116"/>
    </row>
    <row r="262">
      <c r="A262" s="1116"/>
      <c r="B262" s="1116"/>
      <c r="C262" s="1116"/>
      <c r="D262" s="1116"/>
      <c r="E262" s="1116"/>
      <c r="F262" s="1116"/>
      <c r="G262" s="1236"/>
      <c r="H262" s="1116"/>
      <c r="I262" s="1116"/>
      <c r="J262" s="1116"/>
      <c r="K262" s="1148"/>
      <c r="L262" s="1128"/>
      <c r="M262" s="1116"/>
      <c r="N262" s="1116"/>
      <c r="O262" s="1116"/>
      <c r="P262" s="1116"/>
      <c r="Q262" s="1116"/>
      <c r="R262" s="1116"/>
      <c r="S262" s="1116"/>
      <c r="T262" s="1116"/>
    </row>
    <row r="263">
      <c r="A263" s="1116"/>
      <c r="B263" s="1116"/>
      <c r="C263" s="1116"/>
      <c r="D263" s="1116"/>
      <c r="E263" s="1116"/>
      <c r="F263" s="1116"/>
      <c r="G263" s="1236"/>
      <c r="H263" s="1116"/>
      <c r="I263" s="1116"/>
      <c r="J263" s="1116"/>
      <c r="K263" s="1148"/>
      <c r="L263" s="1128"/>
      <c r="M263" s="1116"/>
      <c r="N263" s="1116"/>
      <c r="O263" s="1116"/>
      <c r="P263" s="1116"/>
      <c r="Q263" s="1116"/>
      <c r="R263" s="1116"/>
      <c r="S263" s="1116"/>
      <c r="T263" s="1116"/>
    </row>
    <row r="264">
      <c r="A264" s="1116"/>
      <c r="B264" s="1116"/>
      <c r="C264" s="1116"/>
      <c r="D264" s="1116"/>
      <c r="E264" s="1116"/>
      <c r="F264" s="1116"/>
      <c r="G264" s="1236"/>
      <c r="H264" s="1116"/>
      <c r="I264" s="1116"/>
      <c r="J264" s="1116"/>
      <c r="K264" s="1148"/>
      <c r="L264" s="1128"/>
      <c r="M264" s="1116"/>
      <c r="N264" s="1116"/>
      <c r="O264" s="1116"/>
      <c r="P264" s="1116"/>
      <c r="Q264" s="1116"/>
      <c r="R264" s="1116"/>
      <c r="S264" s="1116"/>
      <c r="T264" s="1116"/>
    </row>
    <row r="265">
      <c r="A265" s="1116"/>
      <c r="B265" s="1116"/>
      <c r="C265" s="1116"/>
      <c r="D265" s="1116"/>
      <c r="E265" s="1116"/>
      <c r="F265" s="1116"/>
      <c r="G265" s="1236"/>
      <c r="H265" s="1116"/>
      <c r="I265" s="1116"/>
      <c r="J265" s="1116"/>
      <c r="K265" s="1148"/>
      <c r="L265" s="1128"/>
      <c r="M265" s="1116"/>
      <c r="N265" s="1116"/>
      <c r="O265" s="1116"/>
      <c r="P265" s="1116"/>
      <c r="Q265" s="1116"/>
      <c r="R265" s="1116"/>
      <c r="S265" s="1116"/>
      <c r="T265" s="1116"/>
    </row>
    <row r="266">
      <c r="A266" s="1116"/>
      <c r="B266" s="1116"/>
      <c r="C266" s="1116"/>
      <c r="D266" s="1116"/>
      <c r="E266" s="1116"/>
      <c r="F266" s="1116"/>
      <c r="G266" s="1236"/>
      <c r="H266" s="1116"/>
      <c r="I266" s="1116"/>
      <c r="J266" s="1116"/>
      <c r="K266" s="1148"/>
      <c r="L266" s="1128"/>
      <c r="M266" s="1116"/>
      <c r="N266" s="1116"/>
      <c r="O266" s="1116"/>
      <c r="P266" s="1116"/>
      <c r="Q266" s="1116"/>
      <c r="R266" s="1116"/>
      <c r="S266" s="1116"/>
      <c r="T266" s="1116"/>
    </row>
    <row r="267">
      <c r="A267" s="1116"/>
      <c r="B267" s="1116"/>
      <c r="C267" s="1116"/>
      <c r="D267" s="1116"/>
      <c r="E267" s="1116"/>
      <c r="F267" s="1116"/>
      <c r="G267" s="1236"/>
      <c r="H267" s="1116"/>
      <c r="I267" s="1116"/>
      <c r="J267" s="1116"/>
      <c r="K267" s="1148"/>
      <c r="L267" s="1128"/>
      <c r="M267" s="1116"/>
      <c r="N267" s="1116"/>
      <c r="O267" s="1116"/>
      <c r="P267" s="1116"/>
      <c r="Q267" s="1116"/>
      <c r="R267" s="1116"/>
      <c r="S267" s="1116"/>
      <c r="T267" s="1116"/>
    </row>
    <row r="268">
      <c r="A268" s="1116"/>
      <c r="B268" s="1116"/>
      <c r="C268" s="1116"/>
      <c r="D268" s="1116"/>
      <c r="E268" s="1116"/>
      <c r="F268" s="1116"/>
      <c r="G268" s="1236"/>
      <c r="H268" s="1116"/>
      <c r="I268" s="1116"/>
      <c r="J268" s="1116"/>
      <c r="K268" s="1148"/>
      <c r="L268" s="1128"/>
      <c r="M268" s="1116"/>
      <c r="N268" s="1116"/>
      <c r="O268" s="1116"/>
      <c r="P268" s="1116"/>
      <c r="Q268" s="1116"/>
      <c r="R268" s="1116"/>
      <c r="S268" s="1116"/>
      <c r="T268" s="1116"/>
    </row>
    <row r="269">
      <c r="A269" s="1116"/>
      <c r="B269" s="1116"/>
      <c r="C269" s="1116"/>
      <c r="D269" s="1116"/>
      <c r="E269" s="1116"/>
      <c r="F269" s="1116"/>
      <c r="G269" s="1236"/>
      <c r="H269" s="1116"/>
      <c r="I269" s="1116"/>
      <c r="J269" s="1116"/>
      <c r="K269" s="1148"/>
      <c r="L269" s="1128"/>
      <c r="M269" s="1116"/>
      <c r="N269" s="1116"/>
      <c r="O269" s="1116"/>
      <c r="P269" s="1116"/>
      <c r="Q269" s="1116"/>
      <c r="R269" s="1116"/>
      <c r="S269" s="1116"/>
      <c r="T269" s="1116"/>
    </row>
    <row r="270">
      <c r="A270" s="1116"/>
      <c r="B270" s="1116"/>
      <c r="C270" s="1116"/>
      <c r="D270" s="1116"/>
      <c r="E270" s="1116"/>
      <c r="F270" s="1116"/>
      <c r="G270" s="1236"/>
      <c r="H270" s="1116"/>
      <c r="I270" s="1116"/>
      <c r="J270" s="1116"/>
      <c r="K270" s="1148"/>
      <c r="L270" s="1128"/>
      <c r="M270" s="1116"/>
      <c r="N270" s="1116"/>
      <c r="O270" s="1116"/>
      <c r="P270" s="1116"/>
      <c r="Q270" s="1116"/>
      <c r="R270" s="1116"/>
      <c r="S270" s="1116"/>
      <c r="T270" s="1116"/>
    </row>
    <row r="271">
      <c r="A271" s="1116"/>
      <c r="B271" s="1116"/>
      <c r="C271" s="1116"/>
      <c r="D271" s="1116"/>
      <c r="E271" s="1116"/>
      <c r="F271" s="1116"/>
      <c r="G271" s="1236"/>
      <c r="H271" s="1116"/>
      <c r="I271" s="1116"/>
      <c r="J271" s="1116"/>
      <c r="K271" s="1148"/>
      <c r="L271" s="1128"/>
      <c r="M271" s="1116"/>
      <c r="N271" s="1116"/>
      <c r="O271" s="1116"/>
      <c r="P271" s="1116"/>
      <c r="Q271" s="1116"/>
      <c r="R271" s="1116"/>
      <c r="S271" s="1116"/>
      <c r="T271" s="1116"/>
    </row>
    <row r="272">
      <c r="A272" s="1116"/>
      <c r="B272" s="1116"/>
      <c r="C272" s="1116"/>
      <c r="D272" s="1116"/>
      <c r="E272" s="1116"/>
      <c r="F272" s="1116"/>
      <c r="G272" s="1236"/>
      <c r="H272" s="1116"/>
      <c r="I272" s="1116"/>
      <c r="J272" s="1116"/>
      <c r="K272" s="1148"/>
      <c r="L272" s="1128"/>
      <c r="M272" s="1116"/>
      <c r="N272" s="1116"/>
      <c r="O272" s="1116"/>
      <c r="P272" s="1116"/>
      <c r="Q272" s="1116"/>
      <c r="R272" s="1116"/>
      <c r="S272" s="1116"/>
      <c r="T272" s="1116"/>
    </row>
    <row r="273">
      <c r="A273" s="1116"/>
      <c r="B273" s="1116"/>
      <c r="C273" s="1116"/>
      <c r="D273" s="1116"/>
      <c r="E273" s="1116"/>
      <c r="F273" s="1116"/>
      <c r="G273" s="1236"/>
      <c r="H273" s="1116"/>
      <c r="I273" s="1116"/>
      <c r="J273" s="1116"/>
      <c r="K273" s="1148"/>
      <c r="L273" s="1128"/>
      <c r="M273" s="1116"/>
      <c r="N273" s="1116"/>
      <c r="O273" s="1116"/>
      <c r="P273" s="1116"/>
      <c r="Q273" s="1116"/>
      <c r="R273" s="1116"/>
      <c r="S273" s="1116"/>
      <c r="T273" s="1116"/>
    </row>
    <row r="274">
      <c r="A274" s="1116"/>
      <c r="B274" s="1116"/>
      <c r="C274" s="1116"/>
      <c r="D274" s="1116"/>
      <c r="E274" s="1116"/>
      <c r="F274" s="1116"/>
      <c r="G274" s="1236"/>
      <c r="H274" s="1116"/>
      <c r="I274" s="1116"/>
      <c r="J274" s="1116"/>
      <c r="K274" s="1148"/>
      <c r="L274" s="1128"/>
      <c r="M274" s="1116"/>
      <c r="N274" s="1116"/>
      <c r="O274" s="1116"/>
      <c r="P274" s="1116"/>
      <c r="Q274" s="1116"/>
      <c r="R274" s="1116"/>
      <c r="S274" s="1116"/>
      <c r="T274" s="1116"/>
    </row>
    <row r="275">
      <c r="A275" s="1116"/>
      <c r="B275" s="1116"/>
      <c r="C275" s="1116"/>
      <c r="D275" s="1116"/>
      <c r="E275" s="1116"/>
      <c r="F275" s="1116"/>
      <c r="G275" s="1236"/>
      <c r="H275" s="1116"/>
      <c r="I275" s="1116"/>
      <c r="J275" s="1116"/>
      <c r="K275" s="1148"/>
      <c r="L275" s="1128"/>
      <c r="M275" s="1116"/>
      <c r="N275" s="1116"/>
      <c r="O275" s="1116"/>
      <c r="P275" s="1116"/>
      <c r="Q275" s="1116"/>
      <c r="R275" s="1116"/>
      <c r="S275" s="1116"/>
      <c r="T275" s="1116"/>
    </row>
    <row r="276">
      <c r="A276" s="1116"/>
      <c r="B276" s="1116"/>
      <c r="C276" s="1116"/>
      <c r="D276" s="1116"/>
      <c r="E276" s="1116"/>
      <c r="F276" s="1116"/>
      <c r="G276" s="1236"/>
      <c r="H276" s="1116"/>
      <c r="I276" s="1116"/>
      <c r="J276" s="1116"/>
      <c r="K276" s="1148"/>
      <c r="L276" s="1128"/>
      <c r="M276" s="1116"/>
      <c r="N276" s="1116"/>
      <c r="O276" s="1116"/>
      <c r="P276" s="1116"/>
      <c r="Q276" s="1116"/>
      <c r="R276" s="1116"/>
      <c r="S276" s="1116"/>
      <c r="T276" s="1116"/>
    </row>
    <row r="277">
      <c r="A277" s="1116"/>
      <c r="B277" s="1116"/>
      <c r="C277" s="1116"/>
      <c r="D277" s="1116"/>
      <c r="E277" s="1116"/>
      <c r="F277" s="1116"/>
      <c r="G277" s="1236"/>
      <c r="H277" s="1116"/>
      <c r="I277" s="1116"/>
      <c r="J277" s="1116"/>
      <c r="K277" s="1148"/>
      <c r="L277" s="1128"/>
      <c r="M277" s="1116"/>
      <c r="N277" s="1116"/>
      <c r="O277" s="1116"/>
      <c r="P277" s="1116"/>
      <c r="Q277" s="1116"/>
      <c r="R277" s="1116"/>
      <c r="S277" s="1116"/>
      <c r="T277" s="1116"/>
    </row>
    <row r="278">
      <c r="A278" s="1116"/>
      <c r="B278" s="1116"/>
      <c r="C278" s="1116"/>
      <c r="D278" s="1116"/>
      <c r="E278" s="1116"/>
      <c r="F278" s="1116"/>
      <c r="G278" s="1236"/>
      <c r="H278" s="1116"/>
      <c r="I278" s="1116"/>
      <c r="J278" s="1116"/>
      <c r="K278" s="1148"/>
      <c r="L278" s="1128"/>
      <c r="M278" s="1116"/>
      <c r="N278" s="1116"/>
      <c r="O278" s="1116"/>
      <c r="P278" s="1116"/>
      <c r="Q278" s="1116"/>
      <c r="R278" s="1116"/>
      <c r="S278" s="1116"/>
      <c r="T278" s="1116"/>
    </row>
    <row r="279">
      <c r="A279" s="1116"/>
      <c r="B279" s="1116"/>
      <c r="C279" s="1116"/>
      <c r="D279" s="1116"/>
      <c r="E279" s="1116"/>
      <c r="F279" s="1116"/>
      <c r="G279" s="1236"/>
      <c r="H279" s="1116"/>
      <c r="I279" s="1116"/>
      <c r="J279" s="1116"/>
      <c r="K279" s="1148"/>
      <c r="L279" s="1128"/>
      <c r="M279" s="1116"/>
      <c r="N279" s="1116"/>
      <c r="O279" s="1116"/>
      <c r="P279" s="1116"/>
      <c r="Q279" s="1116"/>
      <c r="R279" s="1116"/>
      <c r="S279" s="1116"/>
      <c r="T279" s="1116"/>
    </row>
    <row r="280">
      <c r="A280" s="1116"/>
      <c r="B280" s="1116"/>
      <c r="C280" s="1116"/>
      <c r="D280" s="1116"/>
      <c r="E280" s="1116"/>
      <c r="F280" s="1116"/>
      <c r="G280" s="1236"/>
      <c r="H280" s="1116"/>
      <c r="I280" s="1116"/>
      <c r="J280" s="1116"/>
      <c r="K280" s="1148"/>
      <c r="L280" s="1128"/>
      <c r="M280" s="1116"/>
      <c r="N280" s="1116"/>
      <c r="O280" s="1116"/>
      <c r="P280" s="1116"/>
      <c r="Q280" s="1116"/>
      <c r="R280" s="1116"/>
      <c r="S280" s="1116"/>
      <c r="T280" s="1116"/>
    </row>
    <row r="281">
      <c r="A281" s="1116"/>
      <c r="B281" s="1116"/>
      <c r="C281" s="1116"/>
      <c r="D281" s="1116"/>
      <c r="E281" s="1116"/>
      <c r="F281" s="1116"/>
      <c r="G281" s="1236"/>
      <c r="H281" s="1116"/>
      <c r="I281" s="1116"/>
      <c r="J281" s="1116"/>
      <c r="K281" s="1148"/>
      <c r="L281" s="1128"/>
      <c r="M281" s="1116"/>
      <c r="N281" s="1116"/>
      <c r="O281" s="1116"/>
      <c r="P281" s="1116"/>
      <c r="Q281" s="1116"/>
      <c r="R281" s="1116"/>
      <c r="S281" s="1116"/>
      <c r="T281" s="1116"/>
    </row>
    <row r="282">
      <c r="A282" s="1116"/>
      <c r="B282" s="1116"/>
      <c r="C282" s="1116"/>
      <c r="D282" s="1116"/>
      <c r="E282" s="1116"/>
      <c r="F282" s="1116"/>
      <c r="G282" s="1236"/>
      <c r="H282" s="1116"/>
      <c r="I282" s="1116"/>
      <c r="J282" s="1116"/>
      <c r="K282" s="1148"/>
      <c r="L282" s="1128"/>
      <c r="M282" s="1116"/>
      <c r="N282" s="1116"/>
      <c r="O282" s="1116"/>
      <c r="P282" s="1116"/>
      <c r="Q282" s="1116"/>
      <c r="R282" s="1116"/>
      <c r="S282" s="1116"/>
      <c r="T282" s="1116"/>
    </row>
    <row r="283">
      <c r="A283" s="1116"/>
      <c r="B283" s="1116"/>
      <c r="C283" s="1116"/>
      <c r="D283" s="1116"/>
      <c r="E283" s="1116"/>
      <c r="F283" s="1116"/>
      <c r="G283" s="1236"/>
      <c r="H283" s="1116"/>
      <c r="I283" s="1116"/>
      <c r="J283" s="1116"/>
      <c r="K283" s="1148"/>
      <c r="L283" s="1128"/>
      <c r="M283" s="1116"/>
      <c r="N283" s="1116"/>
      <c r="O283" s="1116"/>
      <c r="P283" s="1116"/>
      <c r="Q283" s="1116"/>
      <c r="R283" s="1116"/>
      <c r="S283" s="1116"/>
      <c r="T283" s="1116"/>
    </row>
    <row r="284">
      <c r="A284" s="1116"/>
      <c r="B284" s="1116"/>
      <c r="C284" s="1116"/>
      <c r="D284" s="1116"/>
      <c r="E284" s="1116"/>
      <c r="F284" s="1116"/>
      <c r="G284" s="1236"/>
      <c r="H284" s="1116"/>
      <c r="I284" s="1116"/>
      <c r="J284" s="1116"/>
      <c r="K284" s="1148"/>
      <c r="L284" s="1128"/>
      <c r="M284" s="1116"/>
      <c r="N284" s="1116"/>
      <c r="O284" s="1116"/>
      <c r="P284" s="1116"/>
      <c r="Q284" s="1116"/>
      <c r="R284" s="1116"/>
      <c r="S284" s="1116"/>
      <c r="T284" s="1116"/>
    </row>
    <row r="285">
      <c r="A285" s="1116"/>
      <c r="B285" s="1116"/>
      <c r="C285" s="1116"/>
      <c r="D285" s="1116"/>
      <c r="E285" s="1116"/>
      <c r="F285" s="1116"/>
      <c r="G285" s="1236"/>
      <c r="H285" s="1116"/>
      <c r="I285" s="1116"/>
      <c r="J285" s="1116"/>
      <c r="K285" s="1148"/>
      <c r="L285" s="1128"/>
      <c r="M285" s="1116"/>
      <c r="N285" s="1116"/>
      <c r="O285" s="1116"/>
      <c r="P285" s="1116"/>
      <c r="Q285" s="1116"/>
      <c r="R285" s="1116"/>
      <c r="S285" s="1116"/>
      <c r="T285" s="1116"/>
    </row>
    <row r="286">
      <c r="A286" s="1116"/>
      <c r="B286" s="1116"/>
      <c r="C286" s="1116"/>
      <c r="D286" s="1116"/>
      <c r="E286" s="1116"/>
      <c r="F286" s="1116"/>
      <c r="G286" s="1236"/>
      <c r="H286" s="1116"/>
      <c r="I286" s="1116"/>
      <c r="J286" s="1116"/>
      <c r="K286" s="1148"/>
      <c r="L286" s="1128"/>
      <c r="M286" s="1116"/>
      <c r="N286" s="1116"/>
      <c r="O286" s="1116"/>
      <c r="P286" s="1116"/>
      <c r="Q286" s="1116"/>
      <c r="R286" s="1116"/>
      <c r="S286" s="1116"/>
      <c r="T286" s="1116"/>
    </row>
    <row r="287">
      <c r="A287" s="1116"/>
      <c r="B287" s="1116"/>
      <c r="C287" s="1116"/>
      <c r="D287" s="1116"/>
      <c r="E287" s="1116"/>
      <c r="F287" s="1116"/>
      <c r="G287" s="1236"/>
      <c r="H287" s="1116"/>
      <c r="I287" s="1116"/>
      <c r="J287" s="1116"/>
      <c r="K287" s="1148"/>
      <c r="L287" s="1128"/>
      <c r="M287" s="1116"/>
      <c r="N287" s="1116"/>
      <c r="O287" s="1116"/>
      <c r="P287" s="1116"/>
      <c r="Q287" s="1116"/>
      <c r="R287" s="1116"/>
      <c r="S287" s="1116"/>
      <c r="T287" s="1116"/>
    </row>
    <row r="288">
      <c r="A288" s="1116"/>
      <c r="B288" s="1116"/>
      <c r="C288" s="1116"/>
      <c r="D288" s="1116"/>
      <c r="E288" s="1116"/>
      <c r="F288" s="1116"/>
      <c r="G288" s="1236"/>
      <c r="H288" s="1116"/>
      <c r="I288" s="1116"/>
      <c r="J288" s="1116"/>
      <c r="K288" s="1148"/>
      <c r="L288" s="1128"/>
      <c r="M288" s="1116"/>
      <c r="N288" s="1116"/>
      <c r="O288" s="1116"/>
      <c r="P288" s="1116"/>
      <c r="Q288" s="1116"/>
      <c r="R288" s="1116"/>
      <c r="S288" s="1116"/>
      <c r="T288" s="1116"/>
    </row>
    <row r="289">
      <c r="A289" s="1116"/>
      <c r="B289" s="1116"/>
      <c r="C289" s="1116"/>
      <c r="D289" s="1116"/>
      <c r="E289" s="1116"/>
      <c r="F289" s="1116"/>
      <c r="G289" s="1236"/>
      <c r="H289" s="1116"/>
      <c r="I289" s="1116"/>
      <c r="J289" s="1116"/>
      <c r="K289" s="1148"/>
      <c r="L289" s="1128"/>
      <c r="M289" s="1116"/>
      <c r="N289" s="1116"/>
      <c r="O289" s="1116"/>
      <c r="P289" s="1116"/>
      <c r="Q289" s="1116"/>
      <c r="R289" s="1116"/>
      <c r="S289" s="1116"/>
      <c r="T289" s="1116"/>
    </row>
    <row r="290">
      <c r="A290" s="1116"/>
      <c r="B290" s="1116"/>
      <c r="C290" s="1116"/>
      <c r="D290" s="1116"/>
      <c r="E290" s="1116"/>
      <c r="F290" s="1116"/>
      <c r="G290" s="1236"/>
      <c r="H290" s="1116"/>
      <c r="I290" s="1116"/>
      <c r="J290" s="1116"/>
      <c r="K290" s="1148"/>
      <c r="L290" s="1128"/>
      <c r="M290" s="1116"/>
      <c r="N290" s="1116"/>
      <c r="O290" s="1116"/>
      <c r="P290" s="1116"/>
      <c r="Q290" s="1116"/>
      <c r="R290" s="1116"/>
      <c r="S290" s="1116"/>
      <c r="T290" s="1116"/>
    </row>
    <row r="291">
      <c r="A291" s="1116"/>
      <c r="B291" s="1116"/>
      <c r="C291" s="1116"/>
      <c r="D291" s="1116"/>
      <c r="E291" s="1116"/>
      <c r="F291" s="1116"/>
      <c r="G291" s="1236"/>
      <c r="H291" s="1116"/>
      <c r="I291" s="1116"/>
      <c r="J291" s="1116"/>
      <c r="K291" s="1148"/>
      <c r="L291" s="1128"/>
      <c r="M291" s="1116"/>
      <c r="N291" s="1116"/>
      <c r="O291" s="1116"/>
      <c r="P291" s="1116"/>
      <c r="Q291" s="1116"/>
      <c r="R291" s="1116"/>
      <c r="S291" s="1116"/>
      <c r="T291" s="1116"/>
    </row>
    <row r="292">
      <c r="A292" s="1116"/>
      <c r="B292" s="1116"/>
      <c r="C292" s="1116"/>
      <c r="D292" s="1116"/>
      <c r="E292" s="1116"/>
      <c r="F292" s="1116"/>
      <c r="G292" s="1236"/>
      <c r="H292" s="1116"/>
      <c r="I292" s="1116"/>
      <c r="J292" s="1116"/>
      <c r="K292" s="1148"/>
      <c r="L292" s="1128"/>
      <c r="M292" s="1116"/>
      <c r="N292" s="1116"/>
      <c r="O292" s="1116"/>
      <c r="P292" s="1116"/>
      <c r="Q292" s="1116"/>
      <c r="R292" s="1116"/>
      <c r="S292" s="1116"/>
      <c r="T292" s="1116"/>
    </row>
    <row r="293">
      <c r="A293" s="1116"/>
      <c r="B293" s="1116"/>
      <c r="C293" s="1116"/>
      <c r="D293" s="1116"/>
      <c r="E293" s="1116"/>
      <c r="F293" s="1116"/>
      <c r="G293" s="1236"/>
      <c r="H293" s="1116"/>
      <c r="I293" s="1116"/>
      <c r="J293" s="1116"/>
      <c r="K293" s="1148"/>
      <c r="L293" s="1128"/>
      <c r="M293" s="1116"/>
      <c r="N293" s="1116"/>
      <c r="O293" s="1116"/>
      <c r="P293" s="1116"/>
      <c r="Q293" s="1116"/>
      <c r="R293" s="1116"/>
      <c r="S293" s="1116"/>
      <c r="T293" s="1116"/>
    </row>
    <row r="294">
      <c r="A294" s="1116"/>
      <c r="B294" s="1116"/>
      <c r="C294" s="1116"/>
      <c r="D294" s="1116"/>
      <c r="E294" s="1116"/>
      <c r="F294" s="1116"/>
      <c r="G294" s="1236"/>
      <c r="H294" s="1116"/>
      <c r="I294" s="1116"/>
      <c r="J294" s="1116"/>
      <c r="K294" s="1148"/>
      <c r="L294" s="1128"/>
      <c r="M294" s="1116"/>
      <c r="N294" s="1116"/>
      <c r="O294" s="1116"/>
      <c r="P294" s="1116"/>
      <c r="Q294" s="1116"/>
      <c r="R294" s="1116"/>
      <c r="S294" s="1116"/>
      <c r="T294" s="1116"/>
    </row>
    <row r="295">
      <c r="A295" s="1116"/>
      <c r="B295" s="1116"/>
      <c r="C295" s="1116"/>
      <c r="D295" s="1116"/>
      <c r="E295" s="1116"/>
      <c r="F295" s="1116"/>
      <c r="G295" s="1236"/>
      <c r="H295" s="1116"/>
      <c r="I295" s="1116"/>
      <c r="J295" s="1116"/>
      <c r="K295" s="1148"/>
      <c r="L295" s="1128"/>
      <c r="M295" s="1116"/>
      <c r="N295" s="1116"/>
      <c r="O295" s="1116"/>
      <c r="P295" s="1116"/>
      <c r="Q295" s="1116"/>
      <c r="R295" s="1116"/>
      <c r="S295" s="1116"/>
      <c r="T295" s="1116"/>
    </row>
    <row r="296">
      <c r="A296" s="1116"/>
      <c r="B296" s="1116"/>
      <c r="C296" s="1116"/>
      <c r="D296" s="1116"/>
      <c r="E296" s="1116"/>
      <c r="F296" s="1116"/>
      <c r="G296" s="1236"/>
      <c r="H296" s="1116"/>
      <c r="I296" s="1116"/>
      <c r="J296" s="1116"/>
      <c r="K296" s="1148"/>
      <c r="L296" s="1128"/>
      <c r="M296" s="1116"/>
      <c r="N296" s="1116"/>
      <c r="O296" s="1116"/>
      <c r="P296" s="1116"/>
      <c r="Q296" s="1116"/>
      <c r="R296" s="1116"/>
      <c r="S296" s="1116"/>
      <c r="T296" s="1116"/>
    </row>
    <row r="297">
      <c r="A297" s="1116"/>
      <c r="B297" s="1116"/>
      <c r="C297" s="1116"/>
      <c r="D297" s="1116"/>
      <c r="E297" s="1116"/>
      <c r="F297" s="1116"/>
      <c r="G297" s="1236"/>
      <c r="H297" s="1116"/>
      <c r="I297" s="1116"/>
      <c r="J297" s="1116"/>
      <c r="K297" s="1148"/>
      <c r="L297" s="1128"/>
      <c r="M297" s="1116"/>
      <c r="N297" s="1116"/>
      <c r="O297" s="1116"/>
      <c r="P297" s="1116"/>
      <c r="Q297" s="1116"/>
      <c r="R297" s="1116"/>
      <c r="S297" s="1116"/>
      <c r="T297" s="1116"/>
    </row>
    <row r="298">
      <c r="A298" s="1116"/>
      <c r="B298" s="1116"/>
      <c r="C298" s="1116"/>
      <c r="D298" s="1116"/>
      <c r="E298" s="1116"/>
      <c r="F298" s="1116"/>
      <c r="G298" s="1236"/>
      <c r="H298" s="1116"/>
      <c r="I298" s="1116"/>
      <c r="J298" s="1116"/>
      <c r="K298" s="1148"/>
      <c r="L298" s="1128"/>
      <c r="M298" s="1116"/>
      <c r="N298" s="1116"/>
      <c r="O298" s="1116"/>
      <c r="P298" s="1116"/>
      <c r="Q298" s="1116"/>
      <c r="R298" s="1116"/>
      <c r="S298" s="1116"/>
      <c r="T298" s="1116"/>
    </row>
    <row r="299">
      <c r="A299" s="1116"/>
      <c r="B299" s="1116"/>
      <c r="C299" s="1116"/>
      <c r="D299" s="1116"/>
      <c r="E299" s="1116"/>
      <c r="F299" s="1116"/>
      <c r="G299" s="1236"/>
      <c r="H299" s="1116"/>
      <c r="I299" s="1116"/>
      <c r="J299" s="1116"/>
      <c r="K299" s="1148"/>
      <c r="L299" s="1128"/>
      <c r="M299" s="1116"/>
      <c r="N299" s="1116"/>
      <c r="O299" s="1116"/>
      <c r="P299" s="1116"/>
      <c r="Q299" s="1116"/>
      <c r="R299" s="1116"/>
      <c r="S299" s="1116"/>
      <c r="T299" s="1116"/>
    </row>
    <row r="300">
      <c r="A300" s="1116"/>
      <c r="B300" s="1116"/>
      <c r="C300" s="1116"/>
      <c r="D300" s="1116"/>
      <c r="E300" s="1116"/>
      <c r="F300" s="1116"/>
      <c r="G300" s="1236"/>
      <c r="H300" s="1116"/>
      <c r="I300" s="1116"/>
      <c r="J300" s="1116"/>
      <c r="K300" s="1148"/>
      <c r="L300" s="1128"/>
      <c r="M300" s="1116"/>
      <c r="N300" s="1116"/>
      <c r="O300" s="1116"/>
      <c r="P300" s="1116"/>
      <c r="Q300" s="1116"/>
      <c r="R300" s="1116"/>
      <c r="S300" s="1116"/>
      <c r="T300" s="1116"/>
    </row>
    <row r="301">
      <c r="A301" s="1116"/>
      <c r="B301" s="1116"/>
      <c r="C301" s="1116"/>
      <c r="D301" s="1116"/>
      <c r="E301" s="1116"/>
      <c r="F301" s="1116"/>
      <c r="G301" s="1236"/>
      <c r="H301" s="1116"/>
      <c r="I301" s="1116"/>
      <c r="J301" s="1116"/>
      <c r="K301" s="1148"/>
      <c r="L301" s="1128"/>
      <c r="M301" s="1116"/>
      <c r="N301" s="1116"/>
      <c r="O301" s="1116"/>
      <c r="P301" s="1116"/>
      <c r="Q301" s="1116"/>
      <c r="R301" s="1116"/>
      <c r="S301" s="1116"/>
      <c r="T301" s="1116"/>
    </row>
    <row r="302">
      <c r="A302" s="1116"/>
      <c r="B302" s="1116"/>
      <c r="C302" s="1116"/>
      <c r="D302" s="1116"/>
      <c r="E302" s="1116"/>
      <c r="F302" s="1116"/>
      <c r="G302" s="1236"/>
      <c r="H302" s="1116"/>
      <c r="I302" s="1116"/>
      <c r="J302" s="1116"/>
      <c r="K302" s="1148"/>
      <c r="L302" s="1128"/>
      <c r="M302" s="1116"/>
      <c r="N302" s="1116"/>
      <c r="O302" s="1116"/>
      <c r="P302" s="1116"/>
      <c r="Q302" s="1116"/>
      <c r="R302" s="1116"/>
      <c r="S302" s="1116"/>
      <c r="T302" s="1116"/>
    </row>
    <row r="303">
      <c r="A303" s="1116"/>
      <c r="B303" s="1116"/>
      <c r="C303" s="1116"/>
      <c r="D303" s="1116"/>
      <c r="E303" s="1116"/>
      <c r="F303" s="1116"/>
      <c r="G303" s="1236"/>
      <c r="H303" s="1116"/>
      <c r="I303" s="1116"/>
      <c r="J303" s="1116"/>
      <c r="K303" s="1148"/>
      <c r="L303" s="1128"/>
      <c r="M303" s="1116"/>
      <c r="N303" s="1116"/>
      <c r="O303" s="1116"/>
      <c r="P303" s="1116"/>
      <c r="Q303" s="1116"/>
      <c r="R303" s="1116"/>
      <c r="S303" s="1116"/>
      <c r="T303" s="1116"/>
    </row>
    <row r="304">
      <c r="A304" s="1116"/>
      <c r="B304" s="1116"/>
      <c r="C304" s="1116"/>
      <c r="D304" s="1116"/>
      <c r="E304" s="1116"/>
      <c r="F304" s="1116"/>
      <c r="G304" s="1236"/>
      <c r="H304" s="1116"/>
      <c r="I304" s="1116"/>
      <c r="J304" s="1116"/>
      <c r="K304" s="1148"/>
      <c r="L304" s="1128"/>
      <c r="M304" s="1116"/>
      <c r="N304" s="1116"/>
      <c r="O304" s="1116"/>
      <c r="P304" s="1116"/>
      <c r="Q304" s="1116"/>
      <c r="R304" s="1116"/>
      <c r="S304" s="1116"/>
      <c r="T304" s="1116"/>
    </row>
    <row r="305">
      <c r="A305" s="1116"/>
      <c r="B305" s="1116"/>
      <c r="C305" s="1116"/>
      <c r="D305" s="1116"/>
      <c r="E305" s="1116"/>
      <c r="F305" s="1116"/>
      <c r="G305" s="1236"/>
      <c r="H305" s="1116"/>
      <c r="I305" s="1116"/>
      <c r="J305" s="1116"/>
      <c r="K305" s="1148"/>
      <c r="L305" s="1128"/>
      <c r="M305" s="1116"/>
      <c r="N305" s="1116"/>
      <c r="O305" s="1116"/>
      <c r="P305" s="1116"/>
      <c r="Q305" s="1116"/>
      <c r="R305" s="1116"/>
      <c r="S305" s="1116"/>
      <c r="T305" s="1116"/>
    </row>
    <row r="306">
      <c r="A306" s="1116"/>
      <c r="B306" s="1116"/>
      <c r="C306" s="1116"/>
      <c r="D306" s="1116"/>
      <c r="E306" s="1116"/>
      <c r="F306" s="1116"/>
      <c r="G306" s="1236"/>
      <c r="H306" s="1116"/>
      <c r="I306" s="1116"/>
      <c r="J306" s="1116"/>
      <c r="K306" s="1148"/>
      <c r="L306" s="1128"/>
      <c r="M306" s="1116"/>
      <c r="N306" s="1116"/>
      <c r="O306" s="1116"/>
      <c r="P306" s="1116"/>
      <c r="Q306" s="1116"/>
      <c r="R306" s="1116"/>
      <c r="S306" s="1116"/>
      <c r="T306" s="1116"/>
    </row>
    <row r="307">
      <c r="A307" s="1116"/>
      <c r="B307" s="1116"/>
      <c r="C307" s="1116"/>
      <c r="D307" s="1116"/>
      <c r="E307" s="1116"/>
      <c r="F307" s="1116"/>
      <c r="G307" s="1236"/>
      <c r="H307" s="1116"/>
      <c r="I307" s="1116"/>
      <c r="J307" s="1116"/>
      <c r="K307" s="1148"/>
      <c r="L307" s="1128"/>
      <c r="M307" s="1116"/>
      <c r="N307" s="1116"/>
      <c r="O307" s="1116"/>
      <c r="P307" s="1116"/>
      <c r="Q307" s="1116"/>
      <c r="R307" s="1116"/>
      <c r="S307" s="1116"/>
      <c r="T307" s="1116"/>
    </row>
    <row r="308">
      <c r="A308" s="1116"/>
      <c r="B308" s="1116"/>
      <c r="C308" s="1116"/>
      <c r="D308" s="1116"/>
      <c r="E308" s="1116"/>
      <c r="F308" s="1116"/>
      <c r="G308" s="1236"/>
      <c r="H308" s="1116"/>
      <c r="I308" s="1116"/>
      <c r="J308" s="1116"/>
      <c r="K308" s="1148"/>
      <c r="L308" s="1128"/>
      <c r="M308" s="1116"/>
      <c r="N308" s="1116"/>
      <c r="O308" s="1116"/>
      <c r="P308" s="1116"/>
      <c r="Q308" s="1116"/>
      <c r="R308" s="1116"/>
      <c r="S308" s="1116"/>
      <c r="T308" s="1116"/>
    </row>
    <row r="309">
      <c r="A309" s="1116"/>
      <c r="B309" s="1116"/>
      <c r="C309" s="1116"/>
      <c r="D309" s="1116"/>
      <c r="E309" s="1116"/>
      <c r="F309" s="1116"/>
      <c r="G309" s="1236"/>
      <c r="H309" s="1116"/>
      <c r="I309" s="1116"/>
      <c r="J309" s="1116"/>
      <c r="K309" s="1148"/>
      <c r="L309" s="1128"/>
      <c r="M309" s="1116"/>
      <c r="N309" s="1116"/>
      <c r="O309" s="1116"/>
      <c r="P309" s="1116"/>
      <c r="Q309" s="1116"/>
      <c r="R309" s="1116"/>
      <c r="S309" s="1116"/>
      <c r="T309" s="1116"/>
    </row>
    <row r="310">
      <c r="A310" s="1116"/>
      <c r="B310" s="1116"/>
      <c r="C310" s="1116"/>
      <c r="D310" s="1116"/>
      <c r="E310" s="1116"/>
      <c r="F310" s="1116"/>
      <c r="G310" s="1236"/>
      <c r="H310" s="1116"/>
      <c r="I310" s="1116"/>
      <c r="J310" s="1116"/>
      <c r="K310" s="1148"/>
      <c r="L310" s="1128"/>
      <c r="M310" s="1116"/>
      <c r="N310" s="1116"/>
      <c r="O310" s="1116"/>
      <c r="P310" s="1116"/>
      <c r="Q310" s="1116"/>
      <c r="R310" s="1116"/>
      <c r="S310" s="1116"/>
      <c r="T310" s="1116"/>
    </row>
    <row r="311">
      <c r="A311" s="1116"/>
      <c r="B311" s="1116"/>
      <c r="C311" s="1116"/>
      <c r="D311" s="1116"/>
      <c r="E311" s="1116"/>
      <c r="F311" s="1116"/>
      <c r="G311" s="1236"/>
      <c r="H311" s="1116"/>
      <c r="I311" s="1116"/>
      <c r="J311" s="1116"/>
      <c r="K311" s="1148"/>
      <c r="L311" s="1128"/>
      <c r="M311" s="1116"/>
      <c r="N311" s="1116"/>
      <c r="O311" s="1116"/>
      <c r="P311" s="1116"/>
      <c r="Q311" s="1116"/>
      <c r="R311" s="1116"/>
      <c r="S311" s="1116"/>
      <c r="T311" s="1116"/>
    </row>
    <row r="312">
      <c r="A312" s="1116"/>
      <c r="B312" s="1116"/>
      <c r="C312" s="1116"/>
      <c r="D312" s="1116"/>
      <c r="E312" s="1116"/>
      <c r="F312" s="1116"/>
      <c r="G312" s="1236"/>
      <c r="H312" s="1116"/>
      <c r="I312" s="1116"/>
      <c r="J312" s="1116"/>
      <c r="K312" s="1148"/>
      <c r="L312" s="1128"/>
      <c r="M312" s="1116"/>
      <c r="N312" s="1116"/>
      <c r="O312" s="1116"/>
      <c r="P312" s="1116"/>
      <c r="Q312" s="1116"/>
      <c r="R312" s="1116"/>
      <c r="S312" s="1116"/>
      <c r="T312" s="1116"/>
    </row>
    <row r="313">
      <c r="A313" s="1116"/>
      <c r="B313" s="1116"/>
      <c r="C313" s="1116"/>
      <c r="D313" s="1116"/>
      <c r="E313" s="1116"/>
      <c r="F313" s="1116"/>
      <c r="G313" s="1236"/>
      <c r="H313" s="1116"/>
      <c r="I313" s="1116"/>
      <c r="J313" s="1116"/>
      <c r="K313" s="1148"/>
      <c r="L313" s="1128"/>
      <c r="M313" s="1116"/>
      <c r="N313" s="1116"/>
      <c r="O313" s="1116"/>
      <c r="P313" s="1116"/>
      <c r="Q313" s="1116"/>
      <c r="R313" s="1116"/>
      <c r="S313" s="1116"/>
      <c r="T313" s="1116"/>
    </row>
    <row r="314">
      <c r="A314" s="1116"/>
      <c r="B314" s="1116"/>
      <c r="C314" s="1116"/>
      <c r="D314" s="1116"/>
      <c r="E314" s="1116"/>
      <c r="F314" s="1116"/>
      <c r="G314" s="1236"/>
      <c r="H314" s="1116"/>
      <c r="I314" s="1116"/>
      <c r="J314" s="1116"/>
      <c r="K314" s="1148"/>
      <c r="L314" s="1128"/>
      <c r="M314" s="1116"/>
      <c r="N314" s="1116"/>
      <c r="O314" s="1116"/>
      <c r="P314" s="1116"/>
      <c r="Q314" s="1116"/>
      <c r="R314" s="1116"/>
      <c r="S314" s="1116"/>
      <c r="T314" s="1116"/>
    </row>
    <row r="315">
      <c r="A315" s="1116"/>
      <c r="B315" s="1116"/>
      <c r="C315" s="1116"/>
      <c r="D315" s="1116"/>
      <c r="E315" s="1116"/>
      <c r="F315" s="1116"/>
      <c r="G315" s="1236"/>
      <c r="H315" s="1116"/>
      <c r="I315" s="1116"/>
      <c r="J315" s="1116"/>
      <c r="K315" s="1148"/>
      <c r="L315" s="1128"/>
      <c r="M315" s="1116"/>
      <c r="N315" s="1116"/>
      <c r="O315" s="1116"/>
      <c r="P315" s="1116"/>
      <c r="Q315" s="1116"/>
      <c r="R315" s="1116"/>
      <c r="S315" s="1116"/>
      <c r="T315" s="1116"/>
    </row>
    <row r="316">
      <c r="A316" s="1116"/>
      <c r="B316" s="1116"/>
      <c r="C316" s="1116"/>
      <c r="D316" s="1116"/>
      <c r="E316" s="1116"/>
      <c r="F316" s="1116"/>
      <c r="G316" s="1236"/>
      <c r="H316" s="1116"/>
      <c r="I316" s="1116"/>
      <c r="J316" s="1116"/>
      <c r="K316" s="1148"/>
      <c r="L316" s="1128"/>
      <c r="M316" s="1116"/>
      <c r="N316" s="1116"/>
      <c r="O316" s="1116"/>
      <c r="P316" s="1116"/>
      <c r="Q316" s="1116"/>
      <c r="R316" s="1116"/>
      <c r="S316" s="1116"/>
      <c r="T316" s="1116"/>
    </row>
    <row r="317">
      <c r="A317" s="1116"/>
      <c r="B317" s="1116"/>
      <c r="C317" s="1116"/>
      <c r="D317" s="1116"/>
      <c r="E317" s="1116"/>
      <c r="F317" s="1116"/>
      <c r="G317" s="1236"/>
      <c r="H317" s="1116"/>
      <c r="I317" s="1116"/>
      <c r="J317" s="1116"/>
      <c r="K317" s="1148"/>
      <c r="L317" s="1128"/>
      <c r="M317" s="1116"/>
      <c r="N317" s="1116"/>
      <c r="O317" s="1116"/>
      <c r="P317" s="1116"/>
      <c r="Q317" s="1116"/>
      <c r="R317" s="1116"/>
      <c r="S317" s="1116"/>
      <c r="T317" s="1116"/>
    </row>
    <row r="318">
      <c r="A318" s="1116"/>
      <c r="B318" s="1116"/>
      <c r="C318" s="1116"/>
      <c r="D318" s="1116"/>
      <c r="E318" s="1116"/>
      <c r="F318" s="1116"/>
      <c r="G318" s="1236"/>
      <c r="H318" s="1116"/>
      <c r="I318" s="1116"/>
      <c r="J318" s="1116"/>
      <c r="K318" s="1148"/>
      <c r="L318" s="1128"/>
      <c r="M318" s="1116"/>
      <c r="N318" s="1116"/>
      <c r="O318" s="1116"/>
      <c r="P318" s="1116"/>
      <c r="Q318" s="1116"/>
      <c r="R318" s="1116"/>
      <c r="S318" s="1116"/>
      <c r="T318" s="1116"/>
    </row>
    <row r="319">
      <c r="A319" s="1116"/>
      <c r="B319" s="1116"/>
      <c r="C319" s="1116"/>
      <c r="D319" s="1116"/>
      <c r="E319" s="1116"/>
      <c r="F319" s="1116"/>
      <c r="G319" s="1236"/>
      <c r="H319" s="1116"/>
      <c r="I319" s="1116"/>
      <c r="J319" s="1116"/>
      <c r="K319" s="1148"/>
      <c r="L319" s="1128"/>
      <c r="M319" s="1116"/>
      <c r="N319" s="1116"/>
      <c r="O319" s="1116"/>
      <c r="P319" s="1116"/>
      <c r="Q319" s="1116"/>
      <c r="R319" s="1116"/>
      <c r="S319" s="1116"/>
      <c r="T319" s="1116"/>
    </row>
    <row r="320">
      <c r="A320" s="1116"/>
      <c r="B320" s="1116"/>
      <c r="C320" s="1116"/>
      <c r="D320" s="1116"/>
      <c r="E320" s="1116"/>
      <c r="F320" s="1116"/>
      <c r="G320" s="1236"/>
      <c r="H320" s="1116"/>
      <c r="I320" s="1116"/>
      <c r="J320" s="1116"/>
      <c r="K320" s="1148"/>
      <c r="L320" s="1128"/>
      <c r="M320" s="1116"/>
      <c r="N320" s="1116"/>
      <c r="O320" s="1116"/>
      <c r="P320" s="1116"/>
      <c r="Q320" s="1116"/>
      <c r="R320" s="1116"/>
      <c r="S320" s="1116"/>
      <c r="T320" s="1116"/>
    </row>
    <row r="321">
      <c r="A321" s="1116"/>
      <c r="B321" s="1116"/>
      <c r="C321" s="1116"/>
      <c r="D321" s="1116"/>
      <c r="E321" s="1116"/>
      <c r="F321" s="1116"/>
      <c r="G321" s="1236"/>
      <c r="H321" s="1116"/>
      <c r="I321" s="1116"/>
      <c r="J321" s="1116"/>
      <c r="K321" s="1148"/>
      <c r="L321" s="1128"/>
      <c r="M321" s="1116"/>
      <c r="N321" s="1116"/>
      <c r="O321" s="1116"/>
      <c r="P321" s="1116"/>
      <c r="Q321" s="1116"/>
      <c r="R321" s="1116"/>
      <c r="S321" s="1116"/>
      <c r="T321" s="1116"/>
    </row>
    <row r="322">
      <c r="A322" s="1116"/>
      <c r="B322" s="1116"/>
      <c r="C322" s="1116"/>
      <c r="D322" s="1116"/>
      <c r="E322" s="1116"/>
      <c r="F322" s="1116"/>
      <c r="G322" s="1236"/>
      <c r="H322" s="1116"/>
      <c r="I322" s="1116"/>
      <c r="J322" s="1116"/>
      <c r="K322" s="1148"/>
      <c r="L322" s="1128"/>
      <c r="M322" s="1116"/>
      <c r="N322" s="1116"/>
      <c r="O322" s="1116"/>
      <c r="P322" s="1116"/>
      <c r="Q322" s="1116"/>
      <c r="R322" s="1116"/>
      <c r="S322" s="1116"/>
      <c r="T322" s="1116"/>
    </row>
    <row r="323">
      <c r="A323" s="1116"/>
      <c r="B323" s="1116"/>
      <c r="C323" s="1116"/>
      <c r="D323" s="1116"/>
      <c r="E323" s="1116"/>
      <c r="F323" s="1116"/>
      <c r="G323" s="1236"/>
      <c r="H323" s="1116"/>
      <c r="I323" s="1116"/>
      <c r="J323" s="1116"/>
      <c r="K323" s="1148"/>
      <c r="L323" s="1128"/>
      <c r="M323" s="1116"/>
      <c r="N323" s="1116"/>
      <c r="O323" s="1116"/>
      <c r="P323" s="1116"/>
      <c r="Q323" s="1116"/>
      <c r="R323" s="1116"/>
      <c r="S323" s="1116"/>
      <c r="T323" s="1116"/>
    </row>
    <row r="324">
      <c r="A324" s="1116"/>
      <c r="B324" s="1116"/>
      <c r="C324" s="1116"/>
      <c r="D324" s="1116"/>
      <c r="E324" s="1116"/>
      <c r="F324" s="1116"/>
      <c r="G324" s="1236"/>
      <c r="H324" s="1116"/>
      <c r="I324" s="1116"/>
      <c r="J324" s="1116"/>
      <c r="K324" s="1148"/>
      <c r="L324" s="1128"/>
      <c r="M324" s="1116"/>
      <c r="N324" s="1116"/>
      <c r="O324" s="1116"/>
      <c r="P324" s="1116"/>
      <c r="Q324" s="1116"/>
      <c r="R324" s="1116"/>
      <c r="S324" s="1116"/>
      <c r="T324" s="1116"/>
    </row>
    <row r="325">
      <c r="A325" s="1116"/>
      <c r="B325" s="1116"/>
      <c r="C325" s="1116"/>
      <c r="D325" s="1116"/>
      <c r="E325" s="1116"/>
      <c r="F325" s="1116"/>
      <c r="G325" s="1236"/>
      <c r="H325" s="1116"/>
      <c r="I325" s="1116"/>
      <c r="J325" s="1116"/>
      <c r="K325" s="1148"/>
      <c r="L325" s="1128"/>
      <c r="M325" s="1116"/>
      <c r="N325" s="1116"/>
      <c r="O325" s="1116"/>
      <c r="P325" s="1116"/>
      <c r="Q325" s="1116"/>
      <c r="R325" s="1116"/>
      <c r="S325" s="1116"/>
      <c r="T325" s="1116"/>
    </row>
    <row r="326">
      <c r="A326" s="1116"/>
      <c r="B326" s="1116"/>
      <c r="C326" s="1116"/>
      <c r="D326" s="1116"/>
      <c r="E326" s="1116"/>
      <c r="F326" s="1116"/>
      <c r="G326" s="1236"/>
      <c r="H326" s="1116"/>
      <c r="I326" s="1116"/>
      <c r="J326" s="1116"/>
      <c r="K326" s="1148"/>
      <c r="L326" s="1128"/>
      <c r="M326" s="1116"/>
      <c r="N326" s="1116"/>
      <c r="O326" s="1116"/>
      <c r="P326" s="1116"/>
      <c r="Q326" s="1116"/>
      <c r="R326" s="1116"/>
      <c r="S326" s="1116"/>
      <c r="T326" s="1116"/>
    </row>
    <row r="327">
      <c r="A327" s="1116"/>
      <c r="B327" s="1116"/>
      <c r="C327" s="1116"/>
      <c r="D327" s="1116"/>
      <c r="E327" s="1116"/>
      <c r="F327" s="1116"/>
      <c r="G327" s="1236"/>
      <c r="H327" s="1116"/>
      <c r="I327" s="1116"/>
      <c r="J327" s="1116"/>
      <c r="K327" s="1148"/>
      <c r="L327" s="1128"/>
      <c r="M327" s="1116"/>
      <c r="N327" s="1116"/>
      <c r="O327" s="1116"/>
      <c r="P327" s="1116"/>
      <c r="Q327" s="1116"/>
      <c r="R327" s="1116"/>
      <c r="S327" s="1116"/>
      <c r="T327" s="1116"/>
    </row>
    <row r="328">
      <c r="A328" s="1116"/>
      <c r="B328" s="1116"/>
      <c r="C328" s="1116"/>
      <c r="D328" s="1116"/>
      <c r="E328" s="1116"/>
      <c r="F328" s="1116"/>
      <c r="G328" s="1236"/>
      <c r="H328" s="1116"/>
      <c r="I328" s="1116"/>
      <c r="J328" s="1116"/>
      <c r="K328" s="1148"/>
      <c r="L328" s="1128"/>
      <c r="M328" s="1116"/>
      <c r="N328" s="1116"/>
      <c r="O328" s="1116"/>
      <c r="P328" s="1116"/>
      <c r="Q328" s="1116"/>
      <c r="R328" s="1116"/>
      <c r="S328" s="1116"/>
      <c r="T328" s="1116"/>
    </row>
    <row r="329">
      <c r="A329" s="1116"/>
      <c r="B329" s="1116"/>
      <c r="C329" s="1116"/>
      <c r="D329" s="1116"/>
      <c r="E329" s="1116"/>
      <c r="F329" s="1116"/>
      <c r="G329" s="1236"/>
      <c r="H329" s="1116"/>
      <c r="I329" s="1116"/>
      <c r="J329" s="1116"/>
      <c r="K329" s="1148"/>
      <c r="L329" s="1128"/>
      <c r="M329" s="1116"/>
      <c r="N329" s="1116"/>
      <c r="O329" s="1116"/>
      <c r="P329" s="1116"/>
      <c r="Q329" s="1116"/>
      <c r="R329" s="1116"/>
      <c r="S329" s="1116"/>
      <c r="T329" s="1116"/>
    </row>
    <row r="330">
      <c r="A330" s="1116"/>
      <c r="B330" s="1116"/>
      <c r="C330" s="1116"/>
      <c r="D330" s="1116"/>
      <c r="E330" s="1116"/>
      <c r="F330" s="1116"/>
      <c r="G330" s="1236"/>
      <c r="H330" s="1116"/>
      <c r="I330" s="1116"/>
      <c r="J330" s="1116"/>
      <c r="K330" s="1148"/>
      <c r="L330" s="1128"/>
      <c r="M330" s="1116"/>
      <c r="N330" s="1116"/>
      <c r="O330" s="1116"/>
      <c r="P330" s="1116"/>
      <c r="Q330" s="1116"/>
      <c r="R330" s="1116"/>
      <c r="S330" s="1116"/>
      <c r="T330" s="1116"/>
    </row>
    <row r="331">
      <c r="A331" s="1116"/>
      <c r="B331" s="1116"/>
      <c r="C331" s="1116"/>
      <c r="D331" s="1116"/>
      <c r="E331" s="1116"/>
      <c r="F331" s="1116"/>
      <c r="G331" s="1236"/>
      <c r="H331" s="1116"/>
      <c r="I331" s="1116"/>
      <c r="J331" s="1116"/>
      <c r="K331" s="1148"/>
      <c r="L331" s="1128"/>
      <c r="M331" s="1116"/>
      <c r="N331" s="1116"/>
      <c r="O331" s="1116"/>
      <c r="P331" s="1116"/>
      <c r="Q331" s="1116"/>
      <c r="R331" s="1116"/>
      <c r="S331" s="1116"/>
      <c r="T331" s="1116"/>
    </row>
    <row r="332">
      <c r="A332" s="1116"/>
      <c r="B332" s="1116"/>
      <c r="C332" s="1116"/>
      <c r="D332" s="1116"/>
      <c r="E332" s="1116"/>
      <c r="F332" s="1116"/>
      <c r="G332" s="1236"/>
      <c r="H332" s="1116"/>
      <c r="I332" s="1116"/>
      <c r="J332" s="1116"/>
      <c r="K332" s="1148"/>
      <c r="L332" s="1128"/>
      <c r="M332" s="1116"/>
      <c r="N332" s="1116"/>
      <c r="O332" s="1116"/>
      <c r="P332" s="1116"/>
      <c r="Q332" s="1116"/>
      <c r="R332" s="1116"/>
      <c r="S332" s="1116"/>
      <c r="T332" s="1116"/>
    </row>
    <row r="333">
      <c r="A333" s="1116"/>
      <c r="B333" s="1116"/>
      <c r="C333" s="1116"/>
      <c r="D333" s="1116"/>
      <c r="E333" s="1116"/>
      <c r="F333" s="1116"/>
      <c r="G333" s="1236"/>
      <c r="H333" s="1116"/>
      <c r="I333" s="1116"/>
      <c r="J333" s="1116"/>
      <c r="K333" s="1148"/>
      <c r="L333" s="1128"/>
      <c r="M333" s="1116"/>
      <c r="N333" s="1116"/>
      <c r="O333" s="1116"/>
      <c r="P333" s="1116"/>
      <c r="Q333" s="1116"/>
      <c r="R333" s="1116"/>
      <c r="S333" s="1116"/>
      <c r="T333" s="1116"/>
    </row>
    <row r="334">
      <c r="A334" s="1116"/>
      <c r="B334" s="1116"/>
      <c r="C334" s="1116"/>
      <c r="D334" s="1116"/>
      <c r="E334" s="1116"/>
      <c r="F334" s="1116"/>
      <c r="G334" s="1236"/>
      <c r="H334" s="1116"/>
      <c r="I334" s="1116"/>
      <c r="J334" s="1116"/>
      <c r="K334" s="1148"/>
      <c r="L334" s="1128"/>
      <c r="M334" s="1116"/>
      <c r="N334" s="1116"/>
      <c r="O334" s="1116"/>
      <c r="P334" s="1116"/>
      <c r="Q334" s="1116"/>
      <c r="R334" s="1116"/>
      <c r="S334" s="1116"/>
      <c r="T334" s="1116"/>
    </row>
    <row r="335">
      <c r="A335" s="1116"/>
      <c r="B335" s="1116"/>
      <c r="C335" s="1116"/>
      <c r="D335" s="1116"/>
      <c r="E335" s="1116"/>
      <c r="F335" s="1116"/>
      <c r="G335" s="1236"/>
      <c r="H335" s="1116"/>
      <c r="I335" s="1116"/>
      <c r="J335" s="1116"/>
      <c r="K335" s="1148"/>
      <c r="L335" s="1128"/>
      <c r="M335" s="1116"/>
      <c r="N335" s="1116"/>
      <c r="O335" s="1116"/>
      <c r="P335" s="1116"/>
      <c r="Q335" s="1116"/>
      <c r="R335" s="1116"/>
      <c r="S335" s="1116"/>
      <c r="T335" s="1116"/>
    </row>
    <row r="336">
      <c r="A336" s="1116"/>
      <c r="B336" s="1116"/>
      <c r="C336" s="1116"/>
      <c r="D336" s="1116"/>
      <c r="E336" s="1116"/>
      <c r="F336" s="1116"/>
      <c r="G336" s="1236"/>
      <c r="H336" s="1116"/>
      <c r="I336" s="1116"/>
      <c r="J336" s="1116"/>
      <c r="K336" s="1148"/>
      <c r="L336" s="1128"/>
      <c r="M336" s="1116"/>
      <c r="N336" s="1116"/>
      <c r="O336" s="1116"/>
      <c r="P336" s="1116"/>
      <c r="Q336" s="1116"/>
      <c r="R336" s="1116"/>
      <c r="S336" s="1116"/>
      <c r="T336" s="1116"/>
    </row>
    <row r="337">
      <c r="A337" s="1116"/>
      <c r="B337" s="1116"/>
      <c r="C337" s="1116"/>
      <c r="D337" s="1116"/>
      <c r="E337" s="1116"/>
      <c r="F337" s="1116"/>
      <c r="G337" s="1236"/>
      <c r="H337" s="1116"/>
      <c r="I337" s="1116"/>
      <c r="J337" s="1116"/>
      <c r="K337" s="1148"/>
      <c r="L337" s="1128"/>
      <c r="M337" s="1116"/>
      <c r="N337" s="1116"/>
      <c r="O337" s="1116"/>
      <c r="P337" s="1116"/>
      <c r="Q337" s="1116"/>
      <c r="R337" s="1116"/>
      <c r="S337" s="1116"/>
      <c r="T337" s="1116"/>
    </row>
    <row r="338">
      <c r="A338" s="1116"/>
      <c r="B338" s="1116"/>
      <c r="C338" s="1116"/>
      <c r="D338" s="1116"/>
      <c r="E338" s="1116"/>
      <c r="F338" s="1116"/>
      <c r="G338" s="1236"/>
      <c r="H338" s="1116"/>
      <c r="I338" s="1116"/>
      <c r="J338" s="1116"/>
      <c r="K338" s="1148"/>
      <c r="L338" s="1128"/>
      <c r="M338" s="1116"/>
      <c r="N338" s="1116"/>
      <c r="O338" s="1116"/>
      <c r="P338" s="1116"/>
      <c r="Q338" s="1116"/>
      <c r="R338" s="1116"/>
      <c r="S338" s="1116"/>
      <c r="T338" s="1116"/>
    </row>
    <row r="339">
      <c r="A339" s="1116"/>
      <c r="B339" s="1116"/>
      <c r="C339" s="1116"/>
      <c r="D339" s="1116"/>
      <c r="E339" s="1116"/>
      <c r="F339" s="1116"/>
      <c r="G339" s="1236"/>
      <c r="H339" s="1116"/>
      <c r="I339" s="1116"/>
      <c r="J339" s="1116"/>
      <c r="K339" s="1148"/>
      <c r="L339" s="1128"/>
      <c r="M339" s="1116"/>
      <c r="N339" s="1116"/>
      <c r="O339" s="1116"/>
      <c r="P339" s="1116"/>
      <c r="Q339" s="1116"/>
      <c r="R339" s="1116"/>
      <c r="S339" s="1116"/>
      <c r="T339" s="1116"/>
    </row>
    <row r="340">
      <c r="A340" s="1116"/>
      <c r="B340" s="1116"/>
      <c r="C340" s="1116"/>
      <c r="D340" s="1116"/>
      <c r="E340" s="1116"/>
      <c r="F340" s="1116"/>
      <c r="G340" s="1236"/>
      <c r="H340" s="1116"/>
      <c r="I340" s="1116"/>
      <c r="J340" s="1116"/>
      <c r="K340" s="1148"/>
      <c r="L340" s="1128"/>
      <c r="M340" s="1116"/>
      <c r="N340" s="1116"/>
      <c r="O340" s="1116"/>
      <c r="P340" s="1116"/>
      <c r="Q340" s="1116"/>
      <c r="R340" s="1116"/>
      <c r="S340" s="1116"/>
      <c r="T340" s="1116"/>
    </row>
    <row r="341">
      <c r="A341" s="1116"/>
      <c r="B341" s="1116"/>
      <c r="C341" s="1116"/>
      <c r="D341" s="1116"/>
      <c r="E341" s="1116"/>
      <c r="F341" s="1116"/>
      <c r="G341" s="1236"/>
      <c r="H341" s="1116"/>
      <c r="I341" s="1116"/>
      <c r="J341" s="1116"/>
      <c r="K341" s="1148"/>
      <c r="L341" s="1128"/>
      <c r="M341" s="1116"/>
      <c r="N341" s="1116"/>
      <c r="O341" s="1116"/>
      <c r="P341" s="1116"/>
      <c r="Q341" s="1116"/>
      <c r="R341" s="1116"/>
      <c r="S341" s="1116"/>
      <c r="T341" s="1116"/>
    </row>
    <row r="342">
      <c r="A342" s="1116"/>
      <c r="B342" s="1116"/>
      <c r="C342" s="1116"/>
      <c r="D342" s="1116"/>
      <c r="E342" s="1116"/>
      <c r="F342" s="1116"/>
      <c r="G342" s="1236"/>
      <c r="H342" s="1116"/>
      <c r="I342" s="1116"/>
      <c r="J342" s="1116"/>
      <c r="K342" s="1148"/>
      <c r="L342" s="1128"/>
      <c r="M342" s="1116"/>
      <c r="N342" s="1116"/>
      <c r="O342" s="1116"/>
      <c r="P342" s="1116"/>
      <c r="Q342" s="1116"/>
      <c r="R342" s="1116"/>
      <c r="S342" s="1116"/>
      <c r="T342" s="1116"/>
    </row>
    <row r="343">
      <c r="A343" s="1116"/>
      <c r="B343" s="1116"/>
      <c r="C343" s="1116"/>
      <c r="D343" s="1116"/>
      <c r="E343" s="1116"/>
      <c r="F343" s="1116"/>
      <c r="G343" s="1236"/>
      <c r="H343" s="1116"/>
      <c r="I343" s="1116"/>
      <c r="J343" s="1116"/>
      <c r="K343" s="1148"/>
      <c r="L343" s="1128"/>
      <c r="M343" s="1116"/>
      <c r="N343" s="1116"/>
      <c r="O343" s="1116"/>
      <c r="P343" s="1116"/>
      <c r="Q343" s="1116"/>
      <c r="R343" s="1116"/>
      <c r="S343" s="1116"/>
      <c r="T343" s="1116"/>
    </row>
    <row r="344">
      <c r="A344" s="1116"/>
      <c r="B344" s="1116"/>
      <c r="C344" s="1116"/>
      <c r="D344" s="1116"/>
      <c r="E344" s="1116"/>
      <c r="F344" s="1116"/>
      <c r="G344" s="1236"/>
      <c r="H344" s="1116"/>
      <c r="I344" s="1116"/>
      <c r="J344" s="1116"/>
      <c r="K344" s="1148"/>
      <c r="L344" s="1128"/>
      <c r="M344" s="1116"/>
      <c r="N344" s="1116"/>
      <c r="O344" s="1116"/>
      <c r="P344" s="1116"/>
      <c r="Q344" s="1116"/>
      <c r="R344" s="1116"/>
      <c r="S344" s="1116"/>
      <c r="T344" s="1116"/>
    </row>
    <row r="345">
      <c r="A345" s="1116"/>
      <c r="B345" s="1116"/>
      <c r="C345" s="1116"/>
      <c r="D345" s="1116"/>
      <c r="E345" s="1116"/>
      <c r="F345" s="1116"/>
      <c r="G345" s="1236"/>
      <c r="H345" s="1116"/>
      <c r="I345" s="1116"/>
      <c r="J345" s="1116"/>
      <c r="K345" s="1148"/>
      <c r="L345" s="1128"/>
      <c r="M345" s="1116"/>
      <c r="N345" s="1116"/>
      <c r="O345" s="1116"/>
      <c r="P345" s="1116"/>
      <c r="Q345" s="1116"/>
      <c r="R345" s="1116"/>
      <c r="S345" s="1116"/>
      <c r="T345" s="1116"/>
    </row>
    <row r="346">
      <c r="A346" s="1116"/>
      <c r="B346" s="1116"/>
      <c r="C346" s="1116"/>
      <c r="D346" s="1116"/>
      <c r="E346" s="1116"/>
      <c r="F346" s="1116"/>
      <c r="G346" s="1236"/>
      <c r="H346" s="1116"/>
      <c r="I346" s="1116"/>
      <c r="J346" s="1116"/>
      <c r="K346" s="1148"/>
      <c r="L346" s="1128"/>
      <c r="M346" s="1116"/>
      <c r="N346" s="1116"/>
      <c r="O346" s="1116"/>
      <c r="P346" s="1116"/>
      <c r="Q346" s="1116"/>
      <c r="R346" s="1116"/>
      <c r="S346" s="1116"/>
      <c r="T346" s="1116"/>
    </row>
    <row r="347">
      <c r="A347" s="1116"/>
      <c r="B347" s="1116"/>
      <c r="C347" s="1116"/>
      <c r="D347" s="1116"/>
      <c r="E347" s="1116"/>
      <c r="F347" s="1116"/>
      <c r="G347" s="1236"/>
      <c r="H347" s="1116"/>
      <c r="I347" s="1116"/>
      <c r="J347" s="1116"/>
      <c r="K347" s="1148"/>
      <c r="L347" s="1128"/>
      <c r="M347" s="1116"/>
      <c r="N347" s="1116"/>
      <c r="O347" s="1116"/>
      <c r="P347" s="1116"/>
      <c r="Q347" s="1116"/>
      <c r="R347" s="1116"/>
      <c r="S347" s="1116"/>
      <c r="T347" s="1116"/>
    </row>
    <row r="348">
      <c r="A348" s="1116"/>
      <c r="B348" s="1116"/>
      <c r="C348" s="1116"/>
      <c r="D348" s="1116"/>
      <c r="E348" s="1116"/>
      <c r="F348" s="1116"/>
      <c r="G348" s="1236"/>
      <c r="H348" s="1116"/>
      <c r="I348" s="1116"/>
      <c r="J348" s="1116"/>
      <c r="K348" s="1148"/>
      <c r="L348" s="1128"/>
      <c r="M348" s="1116"/>
      <c r="N348" s="1116"/>
      <c r="O348" s="1116"/>
      <c r="P348" s="1116"/>
      <c r="Q348" s="1116"/>
      <c r="R348" s="1116"/>
      <c r="S348" s="1116"/>
      <c r="T348" s="1116"/>
    </row>
    <row r="349">
      <c r="A349" s="1116"/>
      <c r="B349" s="1116"/>
      <c r="C349" s="1116"/>
      <c r="D349" s="1116"/>
      <c r="E349" s="1116"/>
      <c r="F349" s="1116"/>
      <c r="G349" s="1236"/>
      <c r="H349" s="1116"/>
      <c r="I349" s="1116"/>
      <c r="J349" s="1116"/>
      <c r="K349" s="1148"/>
      <c r="L349" s="1128"/>
      <c r="M349" s="1116"/>
      <c r="N349" s="1116"/>
      <c r="O349" s="1116"/>
      <c r="P349" s="1116"/>
      <c r="Q349" s="1116"/>
      <c r="R349" s="1116"/>
      <c r="S349" s="1116"/>
      <c r="T349" s="1116"/>
    </row>
    <row r="350">
      <c r="A350" s="1116"/>
      <c r="B350" s="1116"/>
      <c r="C350" s="1116"/>
      <c r="D350" s="1116"/>
      <c r="E350" s="1116"/>
      <c r="F350" s="1116"/>
      <c r="G350" s="1236"/>
      <c r="H350" s="1116"/>
      <c r="I350" s="1116"/>
      <c r="J350" s="1116"/>
      <c r="K350" s="1148"/>
      <c r="L350" s="1128"/>
      <c r="M350" s="1116"/>
      <c r="N350" s="1116"/>
      <c r="O350" s="1116"/>
      <c r="P350" s="1116"/>
      <c r="Q350" s="1116"/>
      <c r="R350" s="1116"/>
      <c r="S350" s="1116"/>
      <c r="T350" s="1116"/>
    </row>
    <row r="351">
      <c r="A351" s="1116"/>
      <c r="B351" s="1116"/>
      <c r="C351" s="1116"/>
      <c r="D351" s="1116"/>
      <c r="E351" s="1116"/>
      <c r="F351" s="1116"/>
      <c r="G351" s="1236"/>
      <c r="H351" s="1116"/>
      <c r="I351" s="1116"/>
      <c r="J351" s="1116"/>
      <c r="K351" s="1148"/>
      <c r="L351" s="1128"/>
      <c r="M351" s="1116"/>
      <c r="N351" s="1116"/>
      <c r="O351" s="1116"/>
      <c r="P351" s="1116"/>
      <c r="Q351" s="1116"/>
      <c r="R351" s="1116"/>
      <c r="S351" s="1116"/>
      <c r="T351" s="1116"/>
    </row>
    <row r="352">
      <c r="A352" s="1116"/>
      <c r="B352" s="1116"/>
      <c r="C352" s="1116"/>
      <c r="D352" s="1116"/>
      <c r="E352" s="1116"/>
      <c r="F352" s="1116"/>
      <c r="G352" s="1236"/>
      <c r="H352" s="1116"/>
      <c r="I352" s="1116"/>
      <c r="J352" s="1116"/>
      <c r="K352" s="1148"/>
      <c r="L352" s="1128"/>
      <c r="M352" s="1116"/>
      <c r="N352" s="1116"/>
      <c r="O352" s="1116"/>
      <c r="P352" s="1116"/>
      <c r="Q352" s="1116"/>
      <c r="R352" s="1116"/>
      <c r="S352" s="1116"/>
      <c r="T352" s="1116"/>
    </row>
    <row r="353">
      <c r="A353" s="1116"/>
      <c r="B353" s="1116"/>
      <c r="C353" s="1116"/>
      <c r="D353" s="1116"/>
      <c r="E353" s="1116"/>
      <c r="F353" s="1116"/>
      <c r="G353" s="1236"/>
      <c r="H353" s="1116"/>
      <c r="I353" s="1116"/>
      <c r="J353" s="1116"/>
      <c r="K353" s="1148"/>
      <c r="L353" s="1128"/>
      <c r="M353" s="1116"/>
      <c r="N353" s="1116"/>
      <c r="O353" s="1116"/>
      <c r="P353" s="1116"/>
      <c r="Q353" s="1116"/>
      <c r="R353" s="1116"/>
      <c r="S353" s="1116"/>
      <c r="T353" s="1116"/>
    </row>
    <row r="354">
      <c r="A354" s="1116"/>
      <c r="B354" s="1116"/>
      <c r="C354" s="1116"/>
      <c r="D354" s="1116"/>
      <c r="E354" s="1116"/>
      <c r="F354" s="1116"/>
      <c r="G354" s="1236"/>
      <c r="H354" s="1116"/>
      <c r="I354" s="1116"/>
      <c r="J354" s="1116"/>
      <c r="K354" s="1148"/>
      <c r="L354" s="1128"/>
      <c r="M354" s="1116"/>
      <c r="N354" s="1116"/>
      <c r="O354" s="1116"/>
      <c r="P354" s="1116"/>
      <c r="Q354" s="1116"/>
      <c r="R354" s="1116"/>
      <c r="S354" s="1116"/>
      <c r="T354" s="1116"/>
    </row>
    <row r="355">
      <c r="A355" s="1116"/>
      <c r="B355" s="1116"/>
      <c r="C355" s="1116"/>
      <c r="D355" s="1116"/>
      <c r="E355" s="1116"/>
      <c r="F355" s="1116"/>
      <c r="G355" s="1236"/>
      <c r="H355" s="1116"/>
      <c r="I355" s="1116"/>
      <c r="J355" s="1116"/>
      <c r="K355" s="1148"/>
      <c r="L355" s="1128"/>
      <c r="M355" s="1116"/>
      <c r="N355" s="1116"/>
      <c r="O355" s="1116"/>
      <c r="P355" s="1116"/>
      <c r="Q355" s="1116"/>
      <c r="R355" s="1116"/>
      <c r="S355" s="1116"/>
      <c r="T355" s="1116"/>
    </row>
    <row r="356">
      <c r="A356" s="1116"/>
      <c r="B356" s="1116"/>
      <c r="C356" s="1116"/>
      <c r="D356" s="1116"/>
      <c r="E356" s="1116"/>
      <c r="F356" s="1116"/>
      <c r="G356" s="1236"/>
      <c r="H356" s="1116"/>
      <c r="I356" s="1116"/>
      <c r="J356" s="1116"/>
      <c r="K356" s="1148"/>
      <c r="L356" s="1128"/>
      <c r="M356" s="1116"/>
      <c r="N356" s="1116"/>
      <c r="O356" s="1116"/>
      <c r="P356" s="1116"/>
      <c r="Q356" s="1116"/>
      <c r="R356" s="1116"/>
      <c r="S356" s="1116"/>
      <c r="T356" s="1116"/>
    </row>
    <row r="357">
      <c r="A357" s="1116"/>
      <c r="B357" s="1116"/>
      <c r="C357" s="1116"/>
      <c r="D357" s="1116"/>
      <c r="E357" s="1116"/>
      <c r="F357" s="1116"/>
      <c r="G357" s="1236"/>
      <c r="H357" s="1116"/>
      <c r="I357" s="1116"/>
      <c r="J357" s="1116"/>
      <c r="K357" s="1148"/>
      <c r="L357" s="1128"/>
      <c r="M357" s="1116"/>
      <c r="N357" s="1116"/>
      <c r="O357" s="1116"/>
      <c r="P357" s="1116"/>
      <c r="Q357" s="1116"/>
      <c r="R357" s="1116"/>
      <c r="S357" s="1116"/>
      <c r="T357" s="1116"/>
    </row>
    <row r="358">
      <c r="A358" s="1116"/>
      <c r="B358" s="1116"/>
      <c r="C358" s="1116"/>
      <c r="D358" s="1116"/>
      <c r="E358" s="1116"/>
      <c r="F358" s="1116"/>
      <c r="G358" s="1236"/>
      <c r="H358" s="1116"/>
      <c r="I358" s="1116"/>
      <c r="J358" s="1116"/>
      <c r="K358" s="1148"/>
      <c r="L358" s="1128"/>
      <c r="M358" s="1116"/>
      <c r="N358" s="1116"/>
      <c r="O358" s="1116"/>
      <c r="P358" s="1116"/>
      <c r="Q358" s="1116"/>
      <c r="R358" s="1116"/>
      <c r="S358" s="1116"/>
      <c r="T358" s="1116"/>
    </row>
    <row r="359">
      <c r="A359" s="1116"/>
      <c r="B359" s="1116"/>
      <c r="C359" s="1116"/>
      <c r="D359" s="1116"/>
      <c r="E359" s="1116"/>
      <c r="F359" s="1116"/>
      <c r="G359" s="1236"/>
      <c r="H359" s="1116"/>
      <c r="I359" s="1116"/>
      <c r="J359" s="1116"/>
      <c r="K359" s="1148"/>
      <c r="L359" s="1128"/>
      <c r="M359" s="1116"/>
      <c r="N359" s="1116"/>
      <c r="O359" s="1116"/>
      <c r="P359" s="1116"/>
      <c r="Q359" s="1116"/>
      <c r="R359" s="1116"/>
      <c r="S359" s="1116"/>
      <c r="T359" s="1116"/>
    </row>
    <row r="360">
      <c r="A360" s="1116"/>
      <c r="B360" s="1116"/>
      <c r="C360" s="1116"/>
      <c r="D360" s="1116"/>
      <c r="E360" s="1116"/>
      <c r="F360" s="1116"/>
      <c r="G360" s="1236"/>
      <c r="H360" s="1116"/>
      <c r="I360" s="1116"/>
      <c r="J360" s="1116"/>
      <c r="K360" s="1148"/>
      <c r="L360" s="1128"/>
      <c r="M360" s="1116"/>
      <c r="N360" s="1116"/>
      <c r="O360" s="1116"/>
      <c r="P360" s="1116"/>
      <c r="Q360" s="1116"/>
      <c r="R360" s="1116"/>
      <c r="S360" s="1116"/>
      <c r="T360" s="1116"/>
    </row>
    <row r="361">
      <c r="A361" s="1116"/>
      <c r="B361" s="1116"/>
      <c r="C361" s="1116"/>
      <c r="D361" s="1116"/>
      <c r="E361" s="1116"/>
      <c r="F361" s="1116"/>
      <c r="G361" s="1236"/>
      <c r="H361" s="1116"/>
      <c r="I361" s="1116"/>
      <c r="J361" s="1116"/>
      <c r="K361" s="1148"/>
      <c r="L361" s="1128"/>
      <c r="M361" s="1116"/>
      <c r="N361" s="1116"/>
      <c r="O361" s="1116"/>
      <c r="P361" s="1116"/>
      <c r="Q361" s="1116"/>
      <c r="R361" s="1116"/>
      <c r="S361" s="1116"/>
      <c r="T361" s="1116"/>
    </row>
    <row r="362">
      <c r="A362" s="1116"/>
      <c r="B362" s="1116"/>
      <c r="C362" s="1116"/>
      <c r="D362" s="1116"/>
      <c r="E362" s="1116"/>
      <c r="F362" s="1116"/>
      <c r="G362" s="1236"/>
      <c r="H362" s="1116"/>
      <c r="I362" s="1116"/>
      <c r="J362" s="1116"/>
      <c r="K362" s="1148"/>
      <c r="L362" s="1128"/>
      <c r="M362" s="1116"/>
      <c r="N362" s="1116"/>
      <c r="O362" s="1116"/>
      <c r="P362" s="1116"/>
      <c r="Q362" s="1116"/>
      <c r="R362" s="1116"/>
      <c r="S362" s="1116"/>
      <c r="T362" s="1116"/>
    </row>
    <row r="363">
      <c r="A363" s="1116"/>
      <c r="B363" s="1116"/>
      <c r="C363" s="1116"/>
      <c r="D363" s="1116"/>
      <c r="E363" s="1116"/>
      <c r="F363" s="1116"/>
      <c r="G363" s="1236"/>
      <c r="H363" s="1116"/>
      <c r="I363" s="1116"/>
      <c r="J363" s="1116"/>
      <c r="K363" s="1148"/>
      <c r="L363" s="1128"/>
      <c r="M363" s="1116"/>
      <c r="N363" s="1116"/>
      <c r="O363" s="1116"/>
      <c r="P363" s="1116"/>
      <c r="Q363" s="1116"/>
      <c r="R363" s="1116"/>
      <c r="S363" s="1116"/>
      <c r="T363" s="1116"/>
    </row>
    <row r="364">
      <c r="A364" s="1116"/>
      <c r="B364" s="1116"/>
      <c r="C364" s="1116"/>
      <c r="D364" s="1116"/>
      <c r="E364" s="1116"/>
      <c r="F364" s="1116"/>
      <c r="G364" s="1236"/>
      <c r="H364" s="1116"/>
      <c r="I364" s="1116"/>
      <c r="J364" s="1116"/>
      <c r="K364" s="1148"/>
      <c r="L364" s="1128"/>
      <c r="M364" s="1116"/>
      <c r="N364" s="1116"/>
      <c r="O364" s="1116"/>
      <c r="P364" s="1116"/>
      <c r="Q364" s="1116"/>
      <c r="R364" s="1116"/>
      <c r="S364" s="1116"/>
      <c r="T364" s="1116"/>
    </row>
    <row r="365">
      <c r="A365" s="1116"/>
      <c r="B365" s="1116"/>
      <c r="C365" s="1116"/>
      <c r="D365" s="1116"/>
      <c r="E365" s="1116"/>
      <c r="F365" s="1116"/>
      <c r="G365" s="1236"/>
      <c r="H365" s="1116"/>
      <c r="I365" s="1116"/>
      <c r="J365" s="1116"/>
      <c r="K365" s="1148"/>
      <c r="L365" s="1128"/>
      <c r="M365" s="1116"/>
      <c r="N365" s="1116"/>
      <c r="O365" s="1116"/>
      <c r="P365" s="1116"/>
      <c r="Q365" s="1116"/>
      <c r="R365" s="1116"/>
      <c r="S365" s="1116"/>
      <c r="T365" s="1116"/>
    </row>
    <row r="366">
      <c r="A366" s="1116"/>
      <c r="B366" s="1116"/>
      <c r="C366" s="1116"/>
      <c r="D366" s="1116"/>
      <c r="E366" s="1116"/>
      <c r="F366" s="1116"/>
      <c r="G366" s="1236"/>
      <c r="H366" s="1116"/>
      <c r="I366" s="1116"/>
      <c r="J366" s="1116"/>
      <c r="K366" s="1148"/>
      <c r="L366" s="1128"/>
      <c r="M366" s="1116"/>
      <c r="N366" s="1116"/>
      <c r="O366" s="1116"/>
      <c r="P366" s="1116"/>
      <c r="Q366" s="1116"/>
      <c r="R366" s="1116"/>
      <c r="S366" s="1116"/>
      <c r="T366" s="1116"/>
    </row>
    <row r="367">
      <c r="A367" s="1116"/>
      <c r="B367" s="1116"/>
      <c r="C367" s="1116"/>
      <c r="D367" s="1116"/>
      <c r="E367" s="1116"/>
      <c r="F367" s="1116"/>
      <c r="G367" s="1236"/>
      <c r="H367" s="1116"/>
      <c r="I367" s="1116"/>
      <c r="J367" s="1116"/>
      <c r="K367" s="1148"/>
      <c r="L367" s="1128"/>
      <c r="M367" s="1116"/>
      <c r="N367" s="1116"/>
      <c r="O367" s="1116"/>
      <c r="P367" s="1116"/>
      <c r="Q367" s="1116"/>
      <c r="R367" s="1116"/>
      <c r="S367" s="1116"/>
      <c r="T367" s="1116"/>
    </row>
    <row r="368">
      <c r="A368" s="1116"/>
      <c r="B368" s="1116"/>
      <c r="C368" s="1116"/>
      <c r="D368" s="1116"/>
      <c r="E368" s="1116"/>
      <c r="F368" s="1116"/>
      <c r="G368" s="1236"/>
      <c r="H368" s="1116"/>
      <c r="I368" s="1116"/>
      <c r="J368" s="1116"/>
      <c r="K368" s="1148"/>
      <c r="L368" s="1128"/>
      <c r="M368" s="1116"/>
      <c r="N368" s="1116"/>
      <c r="O368" s="1116"/>
      <c r="P368" s="1116"/>
      <c r="Q368" s="1116"/>
      <c r="R368" s="1116"/>
      <c r="S368" s="1116"/>
      <c r="T368" s="1116"/>
    </row>
    <row r="369">
      <c r="A369" s="1116"/>
      <c r="B369" s="1116"/>
      <c r="C369" s="1116"/>
      <c r="D369" s="1116"/>
      <c r="E369" s="1116"/>
      <c r="F369" s="1116"/>
      <c r="G369" s="1236"/>
      <c r="H369" s="1116"/>
      <c r="I369" s="1116"/>
      <c r="J369" s="1116"/>
      <c r="K369" s="1148"/>
      <c r="L369" s="1128"/>
      <c r="M369" s="1116"/>
      <c r="N369" s="1116"/>
      <c r="O369" s="1116"/>
      <c r="P369" s="1116"/>
      <c r="Q369" s="1116"/>
      <c r="R369" s="1116"/>
      <c r="S369" s="1116"/>
      <c r="T369" s="1116"/>
    </row>
    <row r="370">
      <c r="A370" s="1116"/>
      <c r="B370" s="1116"/>
      <c r="C370" s="1116"/>
      <c r="D370" s="1116"/>
      <c r="E370" s="1116"/>
      <c r="F370" s="1116"/>
      <c r="G370" s="1236"/>
      <c r="H370" s="1116"/>
      <c r="I370" s="1116"/>
      <c r="J370" s="1116"/>
      <c r="K370" s="1148"/>
      <c r="L370" s="1128"/>
      <c r="M370" s="1116"/>
      <c r="N370" s="1116"/>
      <c r="O370" s="1116"/>
      <c r="P370" s="1116"/>
      <c r="Q370" s="1116"/>
      <c r="R370" s="1116"/>
      <c r="S370" s="1116"/>
      <c r="T370" s="1116"/>
    </row>
    <row r="371">
      <c r="A371" s="1116"/>
      <c r="B371" s="1116"/>
      <c r="C371" s="1116"/>
      <c r="D371" s="1116"/>
      <c r="E371" s="1116"/>
      <c r="F371" s="1116"/>
      <c r="G371" s="1236"/>
      <c r="H371" s="1116"/>
      <c r="I371" s="1116"/>
      <c r="J371" s="1116"/>
      <c r="K371" s="1148"/>
      <c r="L371" s="1128"/>
      <c r="M371" s="1116"/>
      <c r="N371" s="1116"/>
      <c r="O371" s="1116"/>
      <c r="P371" s="1116"/>
      <c r="Q371" s="1116"/>
      <c r="R371" s="1116"/>
      <c r="S371" s="1116"/>
      <c r="T371" s="1116"/>
    </row>
    <row r="372">
      <c r="A372" s="1116"/>
      <c r="B372" s="1116"/>
      <c r="C372" s="1116"/>
      <c r="D372" s="1116"/>
      <c r="E372" s="1116"/>
      <c r="F372" s="1116"/>
      <c r="G372" s="1236"/>
      <c r="H372" s="1116"/>
      <c r="I372" s="1116"/>
      <c r="J372" s="1116"/>
      <c r="K372" s="1148"/>
      <c r="L372" s="1128"/>
      <c r="M372" s="1116"/>
      <c r="N372" s="1116"/>
      <c r="O372" s="1116"/>
      <c r="P372" s="1116"/>
      <c r="Q372" s="1116"/>
      <c r="R372" s="1116"/>
      <c r="S372" s="1116"/>
      <c r="T372" s="1116"/>
    </row>
    <row r="373">
      <c r="A373" s="1116"/>
      <c r="B373" s="1116"/>
      <c r="C373" s="1116"/>
      <c r="D373" s="1116"/>
      <c r="E373" s="1116"/>
      <c r="F373" s="1116"/>
      <c r="G373" s="1236"/>
      <c r="H373" s="1116"/>
      <c r="I373" s="1116"/>
      <c r="J373" s="1116"/>
      <c r="K373" s="1148"/>
      <c r="L373" s="1128"/>
      <c r="M373" s="1116"/>
      <c r="N373" s="1116"/>
      <c r="O373" s="1116"/>
      <c r="P373" s="1116"/>
      <c r="Q373" s="1116"/>
      <c r="R373" s="1116"/>
      <c r="S373" s="1116"/>
      <c r="T373" s="1116"/>
    </row>
    <row r="374">
      <c r="A374" s="1116"/>
      <c r="B374" s="1116"/>
      <c r="C374" s="1116"/>
      <c r="D374" s="1116"/>
      <c r="E374" s="1116"/>
      <c r="F374" s="1116"/>
      <c r="G374" s="1236"/>
      <c r="H374" s="1116"/>
      <c r="I374" s="1116"/>
      <c r="J374" s="1116"/>
      <c r="K374" s="1148"/>
      <c r="L374" s="1128"/>
      <c r="M374" s="1116"/>
      <c r="N374" s="1116"/>
      <c r="O374" s="1116"/>
      <c r="P374" s="1116"/>
      <c r="Q374" s="1116"/>
      <c r="R374" s="1116"/>
      <c r="S374" s="1116"/>
      <c r="T374" s="1116"/>
    </row>
    <row r="375">
      <c r="A375" s="1116"/>
      <c r="B375" s="1116"/>
      <c r="C375" s="1116"/>
      <c r="D375" s="1116"/>
      <c r="E375" s="1116"/>
      <c r="F375" s="1116"/>
      <c r="G375" s="1236"/>
      <c r="H375" s="1116"/>
      <c r="I375" s="1116"/>
      <c r="J375" s="1116"/>
      <c r="K375" s="1148"/>
      <c r="L375" s="1128"/>
      <c r="M375" s="1116"/>
      <c r="N375" s="1116"/>
      <c r="O375" s="1116"/>
      <c r="P375" s="1116"/>
      <c r="Q375" s="1116"/>
      <c r="R375" s="1116"/>
      <c r="S375" s="1116"/>
      <c r="T375" s="1116"/>
    </row>
    <row r="376">
      <c r="A376" s="1116"/>
      <c r="B376" s="1116"/>
      <c r="C376" s="1116"/>
      <c r="D376" s="1116"/>
      <c r="E376" s="1116"/>
      <c r="F376" s="1116"/>
      <c r="G376" s="1236"/>
      <c r="H376" s="1116"/>
      <c r="I376" s="1116"/>
      <c r="J376" s="1116"/>
      <c r="K376" s="1148"/>
      <c r="L376" s="1128"/>
      <c r="M376" s="1116"/>
      <c r="N376" s="1116"/>
      <c r="O376" s="1116"/>
      <c r="P376" s="1116"/>
      <c r="Q376" s="1116"/>
      <c r="R376" s="1116"/>
      <c r="S376" s="1116"/>
      <c r="T376" s="1116"/>
    </row>
    <row r="377">
      <c r="A377" s="1116"/>
      <c r="B377" s="1116"/>
      <c r="C377" s="1116"/>
      <c r="D377" s="1116"/>
      <c r="E377" s="1116"/>
      <c r="F377" s="1116"/>
      <c r="G377" s="1236"/>
      <c r="H377" s="1116"/>
      <c r="I377" s="1116"/>
      <c r="J377" s="1116"/>
      <c r="K377" s="1148"/>
      <c r="L377" s="1128"/>
      <c r="M377" s="1116"/>
      <c r="N377" s="1116"/>
      <c r="O377" s="1116"/>
      <c r="P377" s="1116"/>
      <c r="Q377" s="1116"/>
      <c r="R377" s="1116"/>
      <c r="S377" s="1116"/>
      <c r="T377" s="1116"/>
    </row>
    <row r="378">
      <c r="A378" s="1116"/>
      <c r="B378" s="1116"/>
      <c r="C378" s="1116"/>
      <c r="D378" s="1116"/>
      <c r="E378" s="1116"/>
      <c r="F378" s="1116"/>
      <c r="G378" s="1236"/>
      <c r="H378" s="1116"/>
      <c r="I378" s="1116"/>
      <c r="J378" s="1116"/>
      <c r="K378" s="1148"/>
      <c r="L378" s="1128"/>
      <c r="M378" s="1116"/>
      <c r="N378" s="1116"/>
      <c r="O378" s="1116"/>
      <c r="P378" s="1116"/>
      <c r="Q378" s="1116"/>
      <c r="R378" s="1116"/>
      <c r="S378" s="1116"/>
      <c r="T378" s="1116"/>
    </row>
    <row r="379">
      <c r="A379" s="1116"/>
      <c r="B379" s="1116"/>
      <c r="C379" s="1116"/>
      <c r="D379" s="1116"/>
      <c r="E379" s="1116"/>
      <c r="F379" s="1116"/>
      <c r="G379" s="1236"/>
      <c r="H379" s="1116"/>
      <c r="I379" s="1116"/>
      <c r="J379" s="1116"/>
      <c r="K379" s="1148"/>
      <c r="L379" s="1128"/>
      <c r="M379" s="1116"/>
      <c r="N379" s="1116"/>
      <c r="O379" s="1116"/>
      <c r="P379" s="1116"/>
      <c r="Q379" s="1116"/>
      <c r="R379" s="1116"/>
      <c r="S379" s="1116"/>
      <c r="T379" s="1116"/>
    </row>
    <row r="380">
      <c r="A380" s="1116"/>
      <c r="B380" s="1116"/>
      <c r="C380" s="1116"/>
      <c r="D380" s="1116"/>
      <c r="E380" s="1116"/>
      <c r="F380" s="1116"/>
      <c r="G380" s="1236"/>
      <c r="H380" s="1116"/>
      <c r="I380" s="1116"/>
      <c r="J380" s="1116"/>
      <c r="K380" s="1148"/>
      <c r="L380" s="1128"/>
      <c r="M380" s="1116"/>
      <c r="N380" s="1116"/>
      <c r="O380" s="1116"/>
      <c r="P380" s="1116"/>
      <c r="Q380" s="1116"/>
      <c r="R380" s="1116"/>
      <c r="S380" s="1116"/>
      <c r="T380" s="1116"/>
    </row>
    <row r="381">
      <c r="A381" s="1116"/>
      <c r="B381" s="1116"/>
      <c r="C381" s="1116"/>
      <c r="D381" s="1116"/>
      <c r="E381" s="1116"/>
      <c r="F381" s="1116"/>
      <c r="G381" s="1236"/>
      <c r="H381" s="1116"/>
      <c r="I381" s="1116"/>
      <c r="J381" s="1116"/>
      <c r="K381" s="1148"/>
      <c r="L381" s="1128"/>
      <c r="M381" s="1116"/>
      <c r="N381" s="1116"/>
      <c r="O381" s="1116"/>
      <c r="P381" s="1116"/>
      <c r="Q381" s="1116"/>
      <c r="R381" s="1116"/>
      <c r="S381" s="1116"/>
      <c r="T381" s="1116"/>
    </row>
    <row r="382">
      <c r="A382" s="1116"/>
      <c r="B382" s="1116"/>
      <c r="C382" s="1116"/>
      <c r="D382" s="1116"/>
      <c r="E382" s="1116"/>
      <c r="F382" s="1116"/>
      <c r="G382" s="1236"/>
      <c r="H382" s="1116"/>
      <c r="I382" s="1116"/>
      <c r="J382" s="1116"/>
      <c r="K382" s="1148"/>
      <c r="L382" s="1128"/>
      <c r="M382" s="1116"/>
      <c r="N382" s="1116"/>
      <c r="O382" s="1116"/>
      <c r="P382" s="1116"/>
      <c r="Q382" s="1116"/>
      <c r="R382" s="1116"/>
      <c r="S382" s="1116"/>
      <c r="T382" s="1116"/>
    </row>
    <row r="383">
      <c r="A383" s="1116"/>
      <c r="B383" s="1116"/>
      <c r="C383" s="1116"/>
      <c r="D383" s="1116"/>
      <c r="E383" s="1116"/>
      <c r="F383" s="1116"/>
      <c r="G383" s="1236"/>
      <c r="H383" s="1116"/>
      <c r="I383" s="1116"/>
      <c r="J383" s="1116"/>
      <c r="K383" s="1148"/>
      <c r="L383" s="1128"/>
      <c r="M383" s="1116"/>
      <c r="N383" s="1116"/>
      <c r="O383" s="1116"/>
      <c r="P383" s="1116"/>
      <c r="Q383" s="1116"/>
      <c r="R383" s="1116"/>
      <c r="S383" s="1116"/>
      <c r="T383" s="1116"/>
    </row>
    <row r="384">
      <c r="A384" s="1116"/>
      <c r="B384" s="1116"/>
      <c r="C384" s="1116"/>
      <c r="D384" s="1116"/>
      <c r="E384" s="1116"/>
      <c r="F384" s="1116"/>
      <c r="G384" s="1236"/>
      <c r="H384" s="1116"/>
      <c r="I384" s="1116"/>
      <c r="J384" s="1116"/>
      <c r="K384" s="1148"/>
      <c r="L384" s="1128"/>
      <c r="M384" s="1116"/>
      <c r="N384" s="1116"/>
      <c r="O384" s="1116"/>
      <c r="P384" s="1116"/>
      <c r="Q384" s="1116"/>
      <c r="R384" s="1116"/>
      <c r="S384" s="1116"/>
      <c r="T384" s="1116"/>
    </row>
    <row r="385">
      <c r="A385" s="1116"/>
      <c r="B385" s="1116"/>
      <c r="C385" s="1116"/>
      <c r="D385" s="1116"/>
      <c r="E385" s="1116"/>
      <c r="F385" s="1116"/>
      <c r="G385" s="1236"/>
      <c r="H385" s="1116"/>
      <c r="I385" s="1116"/>
      <c r="J385" s="1116"/>
      <c r="K385" s="1148"/>
      <c r="L385" s="1128"/>
      <c r="M385" s="1116"/>
      <c r="N385" s="1116"/>
      <c r="O385" s="1116"/>
      <c r="P385" s="1116"/>
      <c r="Q385" s="1116"/>
      <c r="R385" s="1116"/>
      <c r="S385" s="1116"/>
      <c r="T385" s="1116"/>
    </row>
    <row r="386">
      <c r="A386" s="1116"/>
      <c r="B386" s="1116"/>
      <c r="C386" s="1116"/>
      <c r="D386" s="1116"/>
      <c r="E386" s="1116"/>
      <c r="F386" s="1116"/>
      <c r="G386" s="1236"/>
      <c r="H386" s="1116"/>
      <c r="I386" s="1116"/>
      <c r="J386" s="1116"/>
      <c r="K386" s="1148"/>
      <c r="L386" s="1128"/>
      <c r="M386" s="1116"/>
      <c r="N386" s="1116"/>
      <c r="O386" s="1116"/>
      <c r="P386" s="1116"/>
      <c r="Q386" s="1116"/>
      <c r="R386" s="1116"/>
      <c r="S386" s="1116"/>
      <c r="T386" s="1116"/>
    </row>
    <row r="387">
      <c r="A387" s="1116"/>
      <c r="B387" s="1116"/>
      <c r="C387" s="1116"/>
      <c r="D387" s="1116"/>
      <c r="E387" s="1116"/>
      <c r="F387" s="1116"/>
      <c r="G387" s="1236"/>
      <c r="H387" s="1116"/>
      <c r="I387" s="1116"/>
      <c r="J387" s="1116"/>
      <c r="K387" s="1148"/>
      <c r="L387" s="1128"/>
      <c r="M387" s="1116"/>
      <c r="N387" s="1116"/>
      <c r="O387" s="1116"/>
      <c r="P387" s="1116"/>
      <c r="Q387" s="1116"/>
      <c r="R387" s="1116"/>
      <c r="S387" s="1116"/>
      <c r="T387" s="1116"/>
    </row>
    <row r="388">
      <c r="A388" s="1116"/>
      <c r="B388" s="1116"/>
      <c r="C388" s="1116"/>
      <c r="D388" s="1116"/>
      <c r="E388" s="1116"/>
      <c r="F388" s="1116"/>
      <c r="G388" s="1236"/>
      <c r="H388" s="1116"/>
      <c r="I388" s="1116"/>
      <c r="J388" s="1116"/>
      <c r="K388" s="1148"/>
      <c r="L388" s="1128"/>
      <c r="M388" s="1116"/>
      <c r="N388" s="1116"/>
      <c r="O388" s="1116"/>
      <c r="P388" s="1116"/>
      <c r="Q388" s="1116"/>
      <c r="R388" s="1116"/>
      <c r="S388" s="1116"/>
      <c r="T388" s="1116"/>
    </row>
    <row r="389">
      <c r="A389" s="1116"/>
      <c r="B389" s="1116"/>
      <c r="C389" s="1116"/>
      <c r="D389" s="1116"/>
      <c r="E389" s="1116"/>
      <c r="F389" s="1116"/>
      <c r="G389" s="1236"/>
      <c r="H389" s="1116"/>
      <c r="I389" s="1116"/>
      <c r="J389" s="1116"/>
      <c r="K389" s="1148"/>
      <c r="L389" s="1128"/>
      <c r="M389" s="1116"/>
      <c r="N389" s="1116"/>
      <c r="O389" s="1116"/>
      <c r="P389" s="1116"/>
      <c r="Q389" s="1116"/>
      <c r="R389" s="1116"/>
      <c r="S389" s="1116"/>
      <c r="T389" s="1116"/>
    </row>
    <row r="390">
      <c r="A390" s="1116"/>
      <c r="B390" s="1116"/>
      <c r="C390" s="1116"/>
      <c r="D390" s="1116"/>
      <c r="E390" s="1116"/>
      <c r="F390" s="1116"/>
      <c r="G390" s="1236"/>
      <c r="H390" s="1116"/>
      <c r="I390" s="1116"/>
      <c r="J390" s="1116"/>
      <c r="K390" s="1148"/>
      <c r="L390" s="1128"/>
      <c r="M390" s="1116"/>
      <c r="N390" s="1116"/>
      <c r="O390" s="1116"/>
      <c r="P390" s="1116"/>
      <c r="Q390" s="1116"/>
      <c r="R390" s="1116"/>
      <c r="S390" s="1116"/>
      <c r="T390" s="1116"/>
    </row>
    <row r="391">
      <c r="A391" s="1116"/>
      <c r="B391" s="1116"/>
      <c r="C391" s="1116"/>
      <c r="D391" s="1116"/>
      <c r="E391" s="1116"/>
      <c r="F391" s="1116"/>
      <c r="G391" s="1236"/>
      <c r="H391" s="1116"/>
      <c r="I391" s="1116"/>
      <c r="J391" s="1116"/>
      <c r="K391" s="1148"/>
      <c r="L391" s="1128"/>
      <c r="M391" s="1116"/>
      <c r="N391" s="1116"/>
      <c r="O391" s="1116"/>
      <c r="P391" s="1116"/>
      <c r="Q391" s="1116"/>
      <c r="R391" s="1116"/>
      <c r="S391" s="1116"/>
      <c r="T391" s="1116"/>
    </row>
    <row r="392">
      <c r="A392" s="1116"/>
      <c r="B392" s="1116"/>
      <c r="C392" s="1116"/>
      <c r="D392" s="1116"/>
      <c r="E392" s="1116"/>
      <c r="F392" s="1116"/>
      <c r="G392" s="1236"/>
      <c r="H392" s="1116"/>
      <c r="I392" s="1116"/>
      <c r="J392" s="1116"/>
      <c r="K392" s="1148"/>
      <c r="L392" s="1128"/>
      <c r="M392" s="1116"/>
      <c r="N392" s="1116"/>
      <c r="O392" s="1116"/>
      <c r="P392" s="1116"/>
      <c r="Q392" s="1116"/>
      <c r="R392" s="1116"/>
      <c r="S392" s="1116"/>
      <c r="T392" s="1116"/>
    </row>
    <row r="393">
      <c r="A393" s="1116"/>
      <c r="B393" s="1116"/>
      <c r="C393" s="1116"/>
      <c r="D393" s="1116"/>
      <c r="E393" s="1116"/>
      <c r="F393" s="1116"/>
      <c r="G393" s="1236"/>
      <c r="H393" s="1116"/>
      <c r="I393" s="1116"/>
      <c r="J393" s="1116"/>
      <c r="K393" s="1148"/>
      <c r="L393" s="1128"/>
      <c r="M393" s="1116"/>
      <c r="N393" s="1116"/>
      <c r="O393" s="1116"/>
      <c r="P393" s="1116"/>
      <c r="Q393" s="1116"/>
      <c r="R393" s="1116"/>
      <c r="S393" s="1116"/>
      <c r="T393" s="1116"/>
    </row>
    <row r="394">
      <c r="A394" s="1116"/>
      <c r="B394" s="1116"/>
      <c r="C394" s="1116"/>
      <c r="D394" s="1116"/>
      <c r="E394" s="1116"/>
      <c r="F394" s="1116"/>
      <c r="G394" s="1236"/>
      <c r="H394" s="1116"/>
      <c r="I394" s="1116"/>
      <c r="J394" s="1116"/>
      <c r="K394" s="1148"/>
      <c r="L394" s="1128"/>
      <c r="M394" s="1116"/>
      <c r="N394" s="1116"/>
      <c r="O394" s="1116"/>
      <c r="P394" s="1116"/>
      <c r="Q394" s="1116"/>
      <c r="R394" s="1116"/>
      <c r="S394" s="1116"/>
      <c r="T394" s="1116"/>
    </row>
    <row r="395">
      <c r="A395" s="1116"/>
      <c r="B395" s="1116"/>
      <c r="C395" s="1116"/>
      <c r="D395" s="1116"/>
      <c r="E395" s="1116"/>
      <c r="F395" s="1116"/>
      <c r="G395" s="1236"/>
      <c r="H395" s="1116"/>
      <c r="I395" s="1116"/>
      <c r="J395" s="1116"/>
      <c r="K395" s="1148"/>
      <c r="L395" s="1128"/>
      <c r="M395" s="1116"/>
      <c r="N395" s="1116"/>
      <c r="O395" s="1116"/>
      <c r="P395" s="1116"/>
      <c r="Q395" s="1116"/>
      <c r="R395" s="1116"/>
      <c r="S395" s="1116"/>
      <c r="T395" s="1116"/>
    </row>
    <row r="396">
      <c r="A396" s="1116"/>
      <c r="B396" s="1116"/>
      <c r="C396" s="1116"/>
      <c r="D396" s="1116"/>
      <c r="E396" s="1116"/>
      <c r="F396" s="1116"/>
      <c r="G396" s="1236"/>
      <c r="H396" s="1116"/>
      <c r="I396" s="1116"/>
      <c r="J396" s="1116"/>
      <c r="K396" s="1148"/>
      <c r="L396" s="1128"/>
      <c r="M396" s="1116"/>
      <c r="N396" s="1116"/>
      <c r="O396" s="1116"/>
      <c r="P396" s="1116"/>
      <c r="Q396" s="1116"/>
      <c r="R396" s="1116"/>
      <c r="S396" s="1116"/>
      <c r="T396" s="1116"/>
    </row>
    <row r="397">
      <c r="A397" s="1116"/>
      <c r="B397" s="1116"/>
      <c r="C397" s="1116"/>
      <c r="D397" s="1116"/>
      <c r="E397" s="1116"/>
      <c r="F397" s="1116"/>
      <c r="G397" s="1236"/>
      <c r="H397" s="1116"/>
      <c r="I397" s="1116"/>
      <c r="J397" s="1116"/>
      <c r="K397" s="1148"/>
      <c r="L397" s="1128"/>
      <c r="M397" s="1116"/>
      <c r="N397" s="1116"/>
      <c r="O397" s="1116"/>
      <c r="P397" s="1116"/>
      <c r="Q397" s="1116"/>
      <c r="R397" s="1116"/>
      <c r="S397" s="1116"/>
      <c r="T397" s="1116"/>
    </row>
    <row r="398">
      <c r="A398" s="1116"/>
      <c r="B398" s="1116"/>
      <c r="C398" s="1116"/>
      <c r="D398" s="1116"/>
      <c r="E398" s="1116"/>
      <c r="F398" s="1116"/>
      <c r="G398" s="1236"/>
      <c r="H398" s="1116"/>
      <c r="I398" s="1116"/>
      <c r="J398" s="1116"/>
      <c r="K398" s="1148"/>
      <c r="L398" s="1128"/>
      <c r="M398" s="1116"/>
      <c r="N398" s="1116"/>
      <c r="O398" s="1116"/>
      <c r="P398" s="1116"/>
      <c r="Q398" s="1116"/>
      <c r="R398" s="1116"/>
      <c r="S398" s="1116"/>
      <c r="T398" s="1116"/>
    </row>
    <row r="399">
      <c r="A399" s="1116"/>
      <c r="B399" s="1116"/>
      <c r="C399" s="1116"/>
      <c r="D399" s="1116"/>
      <c r="E399" s="1116"/>
      <c r="F399" s="1116"/>
      <c r="G399" s="1236"/>
      <c r="H399" s="1116"/>
      <c r="I399" s="1116"/>
      <c r="J399" s="1116"/>
      <c r="K399" s="1148"/>
      <c r="L399" s="1128"/>
      <c r="M399" s="1116"/>
      <c r="N399" s="1116"/>
      <c r="O399" s="1116"/>
      <c r="P399" s="1116"/>
      <c r="Q399" s="1116"/>
      <c r="R399" s="1116"/>
      <c r="S399" s="1116"/>
      <c r="T399" s="1116"/>
    </row>
    <row r="400">
      <c r="A400" s="1116"/>
      <c r="B400" s="1116"/>
      <c r="C400" s="1116"/>
      <c r="D400" s="1116"/>
      <c r="E400" s="1116"/>
      <c r="F400" s="1116"/>
      <c r="G400" s="1236"/>
      <c r="H400" s="1116"/>
      <c r="I400" s="1116"/>
      <c r="J400" s="1116"/>
      <c r="K400" s="1148"/>
      <c r="L400" s="1128"/>
      <c r="M400" s="1116"/>
      <c r="N400" s="1116"/>
      <c r="O400" s="1116"/>
      <c r="P400" s="1116"/>
      <c r="Q400" s="1116"/>
      <c r="R400" s="1116"/>
      <c r="S400" s="1116"/>
      <c r="T400" s="1116"/>
    </row>
    <row r="401">
      <c r="A401" s="1116"/>
      <c r="B401" s="1116"/>
      <c r="C401" s="1116"/>
      <c r="D401" s="1116"/>
      <c r="E401" s="1116"/>
      <c r="F401" s="1116"/>
      <c r="G401" s="1236"/>
      <c r="H401" s="1116"/>
      <c r="I401" s="1116"/>
      <c r="J401" s="1116"/>
      <c r="K401" s="1148"/>
      <c r="L401" s="1128"/>
      <c r="M401" s="1116"/>
      <c r="N401" s="1116"/>
      <c r="O401" s="1116"/>
      <c r="P401" s="1116"/>
      <c r="Q401" s="1116"/>
      <c r="R401" s="1116"/>
      <c r="S401" s="1116"/>
      <c r="T401" s="1116"/>
    </row>
    <row r="402">
      <c r="A402" s="1116"/>
      <c r="B402" s="1116"/>
      <c r="C402" s="1116"/>
      <c r="D402" s="1116"/>
      <c r="E402" s="1116"/>
      <c r="F402" s="1116"/>
      <c r="G402" s="1236"/>
      <c r="H402" s="1116"/>
      <c r="I402" s="1116"/>
      <c r="J402" s="1116"/>
      <c r="K402" s="1148"/>
      <c r="L402" s="1128"/>
      <c r="M402" s="1116"/>
      <c r="N402" s="1116"/>
      <c r="O402" s="1116"/>
      <c r="P402" s="1116"/>
      <c r="Q402" s="1116"/>
      <c r="R402" s="1116"/>
      <c r="S402" s="1116"/>
      <c r="T402" s="1116"/>
    </row>
    <row r="403">
      <c r="A403" s="1116"/>
      <c r="B403" s="1116"/>
      <c r="C403" s="1116"/>
      <c r="D403" s="1116"/>
      <c r="E403" s="1116"/>
      <c r="F403" s="1116"/>
      <c r="G403" s="1236"/>
      <c r="H403" s="1116"/>
      <c r="I403" s="1116"/>
      <c r="J403" s="1116"/>
      <c r="K403" s="1148"/>
      <c r="L403" s="1128"/>
      <c r="M403" s="1116"/>
      <c r="N403" s="1116"/>
      <c r="O403" s="1116"/>
      <c r="P403" s="1116"/>
      <c r="Q403" s="1116"/>
      <c r="R403" s="1116"/>
      <c r="S403" s="1116"/>
      <c r="T403" s="1116"/>
    </row>
    <row r="404">
      <c r="A404" s="1116"/>
      <c r="B404" s="1116"/>
      <c r="C404" s="1116"/>
      <c r="D404" s="1116"/>
      <c r="E404" s="1116"/>
      <c r="F404" s="1116"/>
      <c r="G404" s="1236"/>
      <c r="H404" s="1116"/>
      <c r="I404" s="1116"/>
      <c r="J404" s="1116"/>
      <c r="K404" s="1148"/>
      <c r="L404" s="1128"/>
      <c r="M404" s="1116"/>
      <c r="N404" s="1116"/>
      <c r="O404" s="1116"/>
      <c r="P404" s="1116"/>
      <c r="Q404" s="1116"/>
      <c r="R404" s="1116"/>
      <c r="S404" s="1116"/>
      <c r="T404" s="1116"/>
    </row>
    <row r="405">
      <c r="A405" s="1116"/>
      <c r="B405" s="1116"/>
      <c r="C405" s="1116"/>
      <c r="D405" s="1116"/>
      <c r="E405" s="1116"/>
      <c r="F405" s="1116"/>
      <c r="G405" s="1236"/>
      <c r="H405" s="1116"/>
      <c r="I405" s="1116"/>
      <c r="J405" s="1116"/>
      <c r="K405" s="1148"/>
      <c r="L405" s="1128"/>
      <c r="M405" s="1116"/>
      <c r="N405" s="1116"/>
      <c r="O405" s="1116"/>
      <c r="P405" s="1116"/>
      <c r="Q405" s="1116"/>
      <c r="R405" s="1116"/>
      <c r="S405" s="1116"/>
      <c r="T405" s="1116"/>
    </row>
    <row r="406">
      <c r="A406" s="1116"/>
      <c r="B406" s="1116"/>
      <c r="C406" s="1116"/>
      <c r="D406" s="1116"/>
      <c r="E406" s="1116"/>
      <c r="F406" s="1116"/>
      <c r="G406" s="1236"/>
      <c r="H406" s="1116"/>
      <c r="I406" s="1116"/>
      <c r="J406" s="1116"/>
      <c r="K406" s="1148"/>
      <c r="L406" s="1128"/>
      <c r="M406" s="1116"/>
      <c r="N406" s="1116"/>
      <c r="O406" s="1116"/>
      <c r="P406" s="1116"/>
      <c r="Q406" s="1116"/>
      <c r="R406" s="1116"/>
      <c r="S406" s="1116"/>
      <c r="T406" s="1116"/>
    </row>
    <row r="407">
      <c r="A407" s="1116"/>
      <c r="B407" s="1116"/>
      <c r="C407" s="1116"/>
      <c r="D407" s="1116"/>
      <c r="E407" s="1116"/>
      <c r="F407" s="1116"/>
      <c r="G407" s="1236"/>
      <c r="H407" s="1116"/>
      <c r="I407" s="1116"/>
      <c r="J407" s="1116"/>
      <c r="K407" s="1148"/>
      <c r="L407" s="1128"/>
      <c r="M407" s="1116"/>
      <c r="N407" s="1116"/>
      <c r="O407" s="1116"/>
      <c r="P407" s="1116"/>
      <c r="Q407" s="1116"/>
      <c r="R407" s="1116"/>
      <c r="S407" s="1116"/>
      <c r="T407" s="1116"/>
    </row>
    <row r="408">
      <c r="A408" s="1116"/>
      <c r="B408" s="1116"/>
      <c r="C408" s="1116"/>
      <c r="D408" s="1116"/>
      <c r="E408" s="1116"/>
      <c r="F408" s="1116"/>
      <c r="G408" s="1236"/>
      <c r="H408" s="1116"/>
      <c r="I408" s="1116"/>
      <c r="J408" s="1116"/>
      <c r="K408" s="1148"/>
      <c r="L408" s="1128"/>
      <c r="M408" s="1116"/>
      <c r="N408" s="1116"/>
      <c r="O408" s="1116"/>
      <c r="P408" s="1116"/>
      <c r="Q408" s="1116"/>
      <c r="R408" s="1116"/>
      <c r="S408" s="1116"/>
      <c r="T408" s="1116"/>
    </row>
    <row r="409">
      <c r="A409" s="1116"/>
      <c r="B409" s="1116"/>
      <c r="C409" s="1116"/>
      <c r="D409" s="1116"/>
      <c r="E409" s="1116"/>
      <c r="F409" s="1116"/>
      <c r="G409" s="1236"/>
      <c r="H409" s="1116"/>
      <c r="I409" s="1116"/>
      <c r="J409" s="1116"/>
      <c r="K409" s="1148"/>
      <c r="L409" s="1128"/>
      <c r="M409" s="1116"/>
      <c r="N409" s="1116"/>
      <c r="O409" s="1116"/>
      <c r="P409" s="1116"/>
      <c r="Q409" s="1116"/>
      <c r="R409" s="1116"/>
      <c r="S409" s="1116"/>
      <c r="T409" s="1116"/>
    </row>
    <row r="410">
      <c r="A410" s="1116"/>
      <c r="B410" s="1116"/>
      <c r="C410" s="1116"/>
      <c r="D410" s="1116"/>
      <c r="E410" s="1116"/>
      <c r="F410" s="1116"/>
      <c r="G410" s="1236"/>
      <c r="H410" s="1116"/>
      <c r="I410" s="1116"/>
      <c r="J410" s="1116"/>
      <c r="K410" s="1148"/>
      <c r="L410" s="1128"/>
      <c r="M410" s="1116"/>
      <c r="N410" s="1116"/>
      <c r="O410" s="1116"/>
      <c r="P410" s="1116"/>
      <c r="Q410" s="1116"/>
      <c r="R410" s="1116"/>
      <c r="S410" s="1116"/>
      <c r="T410" s="1116"/>
    </row>
    <row r="411">
      <c r="A411" s="1116"/>
      <c r="B411" s="1116"/>
      <c r="C411" s="1116"/>
      <c r="D411" s="1116"/>
      <c r="E411" s="1116"/>
      <c r="F411" s="1116"/>
      <c r="G411" s="1236"/>
      <c r="H411" s="1116"/>
      <c r="I411" s="1116"/>
      <c r="J411" s="1116"/>
      <c r="K411" s="1148"/>
      <c r="L411" s="1128"/>
      <c r="M411" s="1116"/>
      <c r="N411" s="1116"/>
      <c r="O411" s="1116"/>
      <c r="P411" s="1116"/>
      <c r="Q411" s="1116"/>
      <c r="R411" s="1116"/>
      <c r="S411" s="1116"/>
      <c r="T411" s="1116"/>
    </row>
    <row r="412">
      <c r="A412" s="1116"/>
      <c r="B412" s="1116"/>
      <c r="C412" s="1116"/>
      <c r="D412" s="1116"/>
      <c r="E412" s="1116"/>
      <c r="F412" s="1116"/>
      <c r="G412" s="1236"/>
      <c r="H412" s="1116"/>
      <c r="I412" s="1116"/>
      <c r="J412" s="1116"/>
      <c r="K412" s="1148"/>
      <c r="L412" s="1128"/>
      <c r="M412" s="1116"/>
      <c r="N412" s="1116"/>
      <c r="O412" s="1116"/>
      <c r="P412" s="1116"/>
      <c r="Q412" s="1116"/>
      <c r="R412" s="1116"/>
      <c r="S412" s="1116"/>
      <c r="T412" s="1116"/>
    </row>
    <row r="413">
      <c r="A413" s="1116"/>
      <c r="B413" s="1116"/>
      <c r="C413" s="1116"/>
      <c r="D413" s="1116"/>
      <c r="E413" s="1116"/>
      <c r="F413" s="1116"/>
      <c r="G413" s="1236"/>
      <c r="H413" s="1116"/>
      <c r="I413" s="1116"/>
      <c r="J413" s="1116"/>
      <c r="K413" s="1148"/>
      <c r="L413" s="1128"/>
      <c r="M413" s="1116"/>
      <c r="N413" s="1116"/>
      <c r="O413" s="1116"/>
      <c r="P413" s="1116"/>
      <c r="Q413" s="1116"/>
      <c r="R413" s="1116"/>
      <c r="S413" s="1116"/>
      <c r="T413" s="1116"/>
    </row>
    <row r="414">
      <c r="A414" s="1116"/>
      <c r="B414" s="1116"/>
      <c r="C414" s="1116"/>
      <c r="D414" s="1116"/>
      <c r="E414" s="1116"/>
      <c r="F414" s="1116"/>
      <c r="G414" s="1236"/>
      <c r="H414" s="1116"/>
      <c r="I414" s="1116"/>
      <c r="J414" s="1116"/>
      <c r="K414" s="1148"/>
      <c r="L414" s="1128"/>
      <c r="M414" s="1116"/>
      <c r="N414" s="1116"/>
      <c r="O414" s="1116"/>
      <c r="P414" s="1116"/>
      <c r="Q414" s="1116"/>
      <c r="R414" s="1116"/>
      <c r="S414" s="1116"/>
      <c r="T414" s="1116"/>
    </row>
    <row r="415">
      <c r="A415" s="1116"/>
      <c r="B415" s="1116"/>
      <c r="C415" s="1116"/>
      <c r="D415" s="1116"/>
      <c r="E415" s="1116"/>
      <c r="F415" s="1116"/>
      <c r="G415" s="1236"/>
      <c r="H415" s="1116"/>
      <c r="I415" s="1116"/>
      <c r="J415" s="1116"/>
      <c r="K415" s="1148"/>
      <c r="L415" s="1128"/>
      <c r="M415" s="1116"/>
      <c r="N415" s="1116"/>
      <c r="O415" s="1116"/>
      <c r="P415" s="1116"/>
      <c r="Q415" s="1116"/>
      <c r="R415" s="1116"/>
      <c r="S415" s="1116"/>
      <c r="T415" s="1116"/>
    </row>
    <row r="416">
      <c r="A416" s="1116"/>
      <c r="B416" s="1116"/>
      <c r="C416" s="1116"/>
      <c r="D416" s="1116"/>
      <c r="E416" s="1116"/>
      <c r="F416" s="1116"/>
      <c r="G416" s="1236"/>
      <c r="H416" s="1116"/>
      <c r="I416" s="1116"/>
      <c r="J416" s="1116"/>
      <c r="K416" s="1148"/>
      <c r="L416" s="1128"/>
      <c r="M416" s="1116"/>
      <c r="N416" s="1116"/>
      <c r="O416" s="1116"/>
      <c r="P416" s="1116"/>
      <c r="Q416" s="1116"/>
      <c r="R416" s="1116"/>
      <c r="S416" s="1116"/>
      <c r="T416" s="1116"/>
    </row>
    <row r="417">
      <c r="A417" s="1116"/>
      <c r="B417" s="1116"/>
      <c r="C417" s="1116"/>
      <c r="D417" s="1116"/>
      <c r="E417" s="1116"/>
      <c r="F417" s="1116"/>
      <c r="G417" s="1236"/>
      <c r="H417" s="1116"/>
      <c r="I417" s="1116"/>
      <c r="J417" s="1116"/>
      <c r="K417" s="1148"/>
      <c r="L417" s="1128"/>
      <c r="M417" s="1116"/>
      <c r="N417" s="1116"/>
      <c r="O417" s="1116"/>
      <c r="P417" s="1116"/>
      <c r="Q417" s="1116"/>
      <c r="R417" s="1116"/>
      <c r="S417" s="1116"/>
      <c r="T417" s="1116"/>
    </row>
    <row r="418">
      <c r="A418" s="1116"/>
      <c r="B418" s="1116"/>
      <c r="C418" s="1116"/>
      <c r="D418" s="1116"/>
      <c r="E418" s="1116"/>
      <c r="F418" s="1116"/>
      <c r="G418" s="1236"/>
      <c r="H418" s="1116"/>
      <c r="I418" s="1116"/>
      <c r="J418" s="1116"/>
      <c r="K418" s="1148"/>
      <c r="L418" s="1128"/>
      <c r="M418" s="1116"/>
      <c r="N418" s="1116"/>
      <c r="O418" s="1116"/>
      <c r="P418" s="1116"/>
      <c r="Q418" s="1116"/>
      <c r="R418" s="1116"/>
      <c r="S418" s="1116"/>
      <c r="T418" s="1116"/>
    </row>
    <row r="419">
      <c r="A419" s="1116"/>
      <c r="B419" s="1116"/>
      <c r="C419" s="1116"/>
      <c r="D419" s="1116"/>
      <c r="E419" s="1116"/>
      <c r="F419" s="1116"/>
      <c r="G419" s="1236"/>
      <c r="H419" s="1116"/>
      <c r="I419" s="1116"/>
      <c r="J419" s="1116"/>
      <c r="K419" s="1148"/>
      <c r="L419" s="1128"/>
      <c r="M419" s="1116"/>
      <c r="N419" s="1116"/>
      <c r="O419" s="1116"/>
      <c r="P419" s="1116"/>
      <c r="Q419" s="1116"/>
      <c r="R419" s="1116"/>
      <c r="S419" s="1116"/>
      <c r="T419" s="1116"/>
    </row>
    <row r="420">
      <c r="A420" s="1116"/>
      <c r="B420" s="1116"/>
      <c r="C420" s="1116"/>
      <c r="D420" s="1116"/>
      <c r="E420" s="1116"/>
      <c r="F420" s="1116"/>
      <c r="G420" s="1236"/>
      <c r="H420" s="1116"/>
      <c r="I420" s="1116"/>
      <c r="J420" s="1116"/>
      <c r="K420" s="1148"/>
      <c r="L420" s="1128"/>
      <c r="M420" s="1116"/>
      <c r="N420" s="1116"/>
      <c r="O420" s="1116"/>
      <c r="P420" s="1116"/>
      <c r="Q420" s="1116"/>
      <c r="R420" s="1116"/>
      <c r="S420" s="1116"/>
      <c r="T420" s="1116"/>
    </row>
    <row r="421">
      <c r="A421" s="1116"/>
      <c r="B421" s="1116"/>
      <c r="C421" s="1116"/>
      <c r="D421" s="1116"/>
      <c r="E421" s="1116"/>
      <c r="F421" s="1116"/>
      <c r="G421" s="1236"/>
      <c r="H421" s="1116"/>
      <c r="I421" s="1116"/>
      <c r="J421" s="1116"/>
      <c r="K421" s="1148"/>
      <c r="L421" s="1128"/>
      <c r="M421" s="1116"/>
      <c r="N421" s="1116"/>
      <c r="O421" s="1116"/>
      <c r="P421" s="1116"/>
      <c r="Q421" s="1116"/>
      <c r="R421" s="1116"/>
      <c r="S421" s="1116"/>
      <c r="T421" s="1116"/>
    </row>
    <row r="422">
      <c r="A422" s="1116"/>
      <c r="B422" s="1116"/>
      <c r="C422" s="1116"/>
      <c r="D422" s="1116"/>
      <c r="E422" s="1116"/>
      <c r="F422" s="1116"/>
      <c r="G422" s="1236"/>
      <c r="H422" s="1116"/>
      <c r="I422" s="1116"/>
      <c r="J422" s="1116"/>
      <c r="K422" s="1148"/>
      <c r="L422" s="1128"/>
      <c r="M422" s="1116"/>
      <c r="N422" s="1116"/>
      <c r="O422" s="1116"/>
      <c r="P422" s="1116"/>
      <c r="Q422" s="1116"/>
      <c r="R422" s="1116"/>
      <c r="S422" s="1116"/>
      <c r="T422" s="1116"/>
    </row>
    <row r="423">
      <c r="A423" s="1116"/>
      <c r="B423" s="1116"/>
      <c r="C423" s="1116"/>
      <c r="D423" s="1116"/>
      <c r="E423" s="1116"/>
      <c r="F423" s="1116"/>
      <c r="G423" s="1236"/>
      <c r="H423" s="1116"/>
      <c r="I423" s="1116"/>
      <c r="J423" s="1116"/>
      <c r="K423" s="1148"/>
      <c r="L423" s="1128"/>
      <c r="M423" s="1116"/>
      <c r="N423" s="1116"/>
      <c r="O423" s="1116"/>
      <c r="P423" s="1116"/>
      <c r="Q423" s="1116"/>
      <c r="R423" s="1116"/>
      <c r="S423" s="1116"/>
      <c r="T423" s="1116"/>
    </row>
    <row r="424">
      <c r="A424" s="1116"/>
      <c r="B424" s="1116"/>
      <c r="C424" s="1116"/>
      <c r="D424" s="1116"/>
      <c r="E424" s="1116"/>
      <c r="F424" s="1116"/>
      <c r="G424" s="1236"/>
      <c r="H424" s="1116"/>
      <c r="I424" s="1116"/>
      <c r="J424" s="1116"/>
      <c r="K424" s="1148"/>
      <c r="L424" s="1128"/>
      <c r="M424" s="1116"/>
      <c r="N424" s="1116"/>
      <c r="O424" s="1116"/>
      <c r="P424" s="1116"/>
      <c r="Q424" s="1116"/>
      <c r="R424" s="1116"/>
      <c r="S424" s="1116"/>
      <c r="T424" s="1116"/>
    </row>
    <row r="425">
      <c r="A425" s="1116"/>
      <c r="B425" s="1116"/>
      <c r="C425" s="1116"/>
      <c r="D425" s="1116"/>
      <c r="E425" s="1116"/>
      <c r="F425" s="1116"/>
      <c r="G425" s="1236"/>
      <c r="H425" s="1116"/>
      <c r="I425" s="1116"/>
      <c r="J425" s="1116"/>
      <c r="K425" s="1148"/>
      <c r="L425" s="1128"/>
      <c r="M425" s="1116"/>
      <c r="N425" s="1116"/>
      <c r="O425" s="1116"/>
      <c r="P425" s="1116"/>
      <c r="Q425" s="1116"/>
      <c r="R425" s="1116"/>
      <c r="S425" s="1116"/>
      <c r="T425" s="1116"/>
    </row>
    <row r="426">
      <c r="A426" s="1116"/>
      <c r="B426" s="1116"/>
      <c r="C426" s="1116"/>
      <c r="D426" s="1116"/>
      <c r="E426" s="1116"/>
      <c r="F426" s="1116"/>
      <c r="G426" s="1236"/>
      <c r="H426" s="1116"/>
      <c r="I426" s="1116"/>
      <c r="J426" s="1116"/>
      <c r="K426" s="1148"/>
      <c r="L426" s="1128"/>
      <c r="M426" s="1116"/>
      <c r="N426" s="1116"/>
      <c r="O426" s="1116"/>
      <c r="P426" s="1116"/>
      <c r="Q426" s="1116"/>
      <c r="R426" s="1116"/>
      <c r="S426" s="1116"/>
      <c r="T426" s="1116"/>
    </row>
    <row r="427">
      <c r="A427" s="1116"/>
      <c r="B427" s="1116"/>
      <c r="C427" s="1116"/>
      <c r="D427" s="1116"/>
      <c r="E427" s="1116"/>
      <c r="F427" s="1116"/>
      <c r="G427" s="1236"/>
      <c r="H427" s="1116"/>
      <c r="I427" s="1116"/>
      <c r="J427" s="1116"/>
      <c r="K427" s="1148"/>
      <c r="L427" s="1128"/>
      <c r="M427" s="1116"/>
      <c r="N427" s="1116"/>
      <c r="O427" s="1116"/>
      <c r="P427" s="1116"/>
      <c r="Q427" s="1116"/>
      <c r="R427" s="1116"/>
      <c r="S427" s="1116"/>
      <c r="T427" s="1116"/>
    </row>
    <row r="428">
      <c r="A428" s="1116"/>
      <c r="B428" s="1116"/>
      <c r="C428" s="1116"/>
      <c r="D428" s="1116"/>
      <c r="E428" s="1116"/>
      <c r="F428" s="1116"/>
      <c r="G428" s="1236"/>
      <c r="H428" s="1116"/>
      <c r="I428" s="1116"/>
      <c r="J428" s="1116"/>
      <c r="K428" s="1148"/>
      <c r="L428" s="1128"/>
      <c r="M428" s="1116"/>
      <c r="N428" s="1116"/>
      <c r="O428" s="1116"/>
      <c r="P428" s="1116"/>
      <c r="Q428" s="1116"/>
      <c r="R428" s="1116"/>
      <c r="S428" s="1116"/>
      <c r="T428" s="1116"/>
    </row>
    <row r="429">
      <c r="A429" s="1116"/>
      <c r="B429" s="1116"/>
      <c r="C429" s="1116"/>
      <c r="D429" s="1116"/>
      <c r="E429" s="1116"/>
      <c r="F429" s="1116"/>
      <c r="G429" s="1236"/>
      <c r="H429" s="1116"/>
      <c r="I429" s="1116"/>
      <c r="J429" s="1116"/>
      <c r="K429" s="1148"/>
      <c r="L429" s="1128"/>
      <c r="M429" s="1116"/>
      <c r="N429" s="1116"/>
      <c r="O429" s="1116"/>
      <c r="P429" s="1116"/>
      <c r="Q429" s="1116"/>
      <c r="R429" s="1116"/>
      <c r="S429" s="1116"/>
      <c r="T429" s="1116"/>
    </row>
    <row r="430">
      <c r="A430" s="1116"/>
      <c r="B430" s="1116"/>
      <c r="C430" s="1116"/>
      <c r="D430" s="1116"/>
      <c r="E430" s="1116"/>
      <c r="F430" s="1116"/>
      <c r="G430" s="1236"/>
      <c r="H430" s="1116"/>
      <c r="I430" s="1116"/>
      <c r="J430" s="1116"/>
      <c r="K430" s="1148"/>
      <c r="L430" s="1128"/>
      <c r="M430" s="1116"/>
      <c r="N430" s="1116"/>
      <c r="O430" s="1116"/>
      <c r="P430" s="1116"/>
      <c r="Q430" s="1116"/>
      <c r="R430" s="1116"/>
      <c r="S430" s="1116"/>
      <c r="T430" s="1116"/>
    </row>
    <row r="431">
      <c r="A431" s="1116"/>
      <c r="B431" s="1116"/>
      <c r="C431" s="1116"/>
      <c r="D431" s="1116"/>
      <c r="E431" s="1116"/>
      <c r="F431" s="1116"/>
      <c r="G431" s="1236"/>
      <c r="H431" s="1116"/>
      <c r="I431" s="1116"/>
      <c r="J431" s="1116"/>
      <c r="K431" s="1148"/>
      <c r="L431" s="1128"/>
      <c r="M431" s="1116"/>
      <c r="N431" s="1116"/>
      <c r="O431" s="1116"/>
      <c r="P431" s="1116"/>
      <c r="Q431" s="1116"/>
      <c r="R431" s="1116"/>
      <c r="S431" s="1116"/>
      <c r="T431" s="1116"/>
    </row>
    <row r="432">
      <c r="A432" s="1116"/>
      <c r="B432" s="1116"/>
      <c r="C432" s="1116"/>
      <c r="D432" s="1116"/>
      <c r="E432" s="1116"/>
      <c r="F432" s="1116"/>
      <c r="G432" s="1236"/>
      <c r="H432" s="1116"/>
      <c r="I432" s="1116"/>
      <c r="J432" s="1116"/>
      <c r="K432" s="1148"/>
      <c r="L432" s="1128"/>
      <c r="M432" s="1116"/>
      <c r="N432" s="1116"/>
      <c r="O432" s="1116"/>
      <c r="P432" s="1116"/>
      <c r="Q432" s="1116"/>
      <c r="R432" s="1116"/>
      <c r="S432" s="1116"/>
      <c r="T432" s="1116"/>
    </row>
    <row r="433">
      <c r="A433" s="1116"/>
      <c r="B433" s="1116"/>
      <c r="C433" s="1116"/>
      <c r="D433" s="1116"/>
      <c r="E433" s="1116"/>
      <c r="F433" s="1116"/>
      <c r="G433" s="1236"/>
      <c r="H433" s="1116"/>
      <c r="I433" s="1116"/>
      <c r="J433" s="1116"/>
      <c r="K433" s="1148"/>
      <c r="L433" s="1128"/>
      <c r="M433" s="1116"/>
      <c r="N433" s="1116"/>
      <c r="O433" s="1116"/>
      <c r="P433" s="1116"/>
      <c r="Q433" s="1116"/>
      <c r="R433" s="1116"/>
      <c r="S433" s="1116"/>
      <c r="T433" s="1116"/>
    </row>
    <row r="434">
      <c r="A434" s="1116"/>
      <c r="B434" s="1116"/>
      <c r="C434" s="1116"/>
      <c r="D434" s="1116"/>
      <c r="E434" s="1116"/>
      <c r="F434" s="1116"/>
      <c r="G434" s="1236"/>
      <c r="H434" s="1116"/>
      <c r="I434" s="1116"/>
      <c r="J434" s="1116"/>
      <c r="K434" s="1148"/>
      <c r="L434" s="1128"/>
      <c r="M434" s="1116"/>
      <c r="N434" s="1116"/>
      <c r="O434" s="1116"/>
      <c r="P434" s="1116"/>
      <c r="Q434" s="1116"/>
      <c r="R434" s="1116"/>
      <c r="S434" s="1116"/>
      <c r="T434" s="1116"/>
    </row>
    <row r="435">
      <c r="A435" s="1116"/>
      <c r="B435" s="1116"/>
      <c r="C435" s="1116"/>
      <c r="D435" s="1116"/>
      <c r="E435" s="1116"/>
      <c r="F435" s="1116"/>
      <c r="G435" s="1236"/>
      <c r="H435" s="1116"/>
      <c r="I435" s="1116"/>
      <c r="J435" s="1116"/>
      <c r="K435" s="1148"/>
      <c r="L435" s="1128"/>
      <c r="M435" s="1116"/>
      <c r="N435" s="1116"/>
      <c r="O435" s="1116"/>
      <c r="P435" s="1116"/>
      <c r="Q435" s="1116"/>
      <c r="R435" s="1116"/>
      <c r="S435" s="1116"/>
      <c r="T435" s="1116"/>
    </row>
    <row r="436">
      <c r="A436" s="1116"/>
      <c r="B436" s="1116"/>
      <c r="C436" s="1116"/>
      <c r="D436" s="1116"/>
      <c r="E436" s="1116"/>
      <c r="F436" s="1116"/>
      <c r="G436" s="1236"/>
      <c r="H436" s="1116"/>
      <c r="I436" s="1116"/>
      <c r="J436" s="1116"/>
      <c r="K436" s="1148"/>
      <c r="L436" s="1128"/>
      <c r="M436" s="1116"/>
      <c r="N436" s="1116"/>
      <c r="O436" s="1116"/>
      <c r="P436" s="1116"/>
      <c r="Q436" s="1116"/>
      <c r="R436" s="1116"/>
      <c r="S436" s="1116"/>
      <c r="T436" s="1116"/>
    </row>
    <row r="437">
      <c r="A437" s="1116"/>
      <c r="B437" s="1116"/>
      <c r="C437" s="1116"/>
      <c r="D437" s="1116"/>
      <c r="E437" s="1116"/>
      <c r="F437" s="1116"/>
      <c r="G437" s="1236"/>
      <c r="H437" s="1116"/>
      <c r="I437" s="1116"/>
      <c r="J437" s="1116"/>
      <c r="K437" s="1148"/>
      <c r="L437" s="1128"/>
      <c r="M437" s="1116"/>
      <c r="N437" s="1116"/>
      <c r="O437" s="1116"/>
      <c r="P437" s="1116"/>
      <c r="Q437" s="1116"/>
      <c r="R437" s="1116"/>
      <c r="S437" s="1116"/>
      <c r="T437" s="1116"/>
    </row>
    <row r="438">
      <c r="A438" s="1116"/>
      <c r="B438" s="1116"/>
      <c r="C438" s="1116"/>
      <c r="D438" s="1116"/>
      <c r="E438" s="1116"/>
      <c r="F438" s="1116"/>
      <c r="G438" s="1236"/>
      <c r="H438" s="1116"/>
      <c r="I438" s="1116"/>
      <c r="J438" s="1116"/>
      <c r="K438" s="1148"/>
      <c r="L438" s="1128"/>
      <c r="M438" s="1116"/>
      <c r="N438" s="1116"/>
      <c r="O438" s="1116"/>
      <c r="P438" s="1116"/>
      <c r="Q438" s="1116"/>
      <c r="R438" s="1116"/>
      <c r="S438" s="1116"/>
      <c r="T438" s="1116"/>
    </row>
    <row r="439">
      <c r="A439" s="1116"/>
      <c r="B439" s="1116"/>
      <c r="C439" s="1116"/>
      <c r="D439" s="1116"/>
      <c r="E439" s="1116"/>
      <c r="F439" s="1116"/>
      <c r="G439" s="1236"/>
      <c r="H439" s="1116"/>
      <c r="I439" s="1116"/>
      <c r="J439" s="1116"/>
      <c r="K439" s="1148"/>
      <c r="L439" s="1128"/>
      <c r="M439" s="1116"/>
      <c r="N439" s="1116"/>
      <c r="O439" s="1116"/>
      <c r="P439" s="1116"/>
      <c r="Q439" s="1116"/>
      <c r="R439" s="1116"/>
      <c r="S439" s="1116"/>
      <c r="T439" s="1116"/>
    </row>
    <row r="440">
      <c r="A440" s="1116"/>
      <c r="B440" s="1116"/>
      <c r="C440" s="1116"/>
      <c r="D440" s="1116"/>
      <c r="E440" s="1116"/>
      <c r="F440" s="1116"/>
      <c r="G440" s="1236"/>
      <c r="H440" s="1116"/>
      <c r="I440" s="1116"/>
      <c r="J440" s="1116"/>
      <c r="K440" s="1148"/>
      <c r="L440" s="1128"/>
      <c r="M440" s="1116"/>
      <c r="N440" s="1116"/>
      <c r="O440" s="1116"/>
      <c r="P440" s="1116"/>
      <c r="Q440" s="1116"/>
      <c r="R440" s="1116"/>
      <c r="S440" s="1116"/>
      <c r="T440" s="1116"/>
    </row>
    <row r="441">
      <c r="A441" s="1116"/>
      <c r="B441" s="1116"/>
      <c r="C441" s="1116"/>
      <c r="D441" s="1116"/>
      <c r="E441" s="1116"/>
      <c r="F441" s="1116"/>
      <c r="G441" s="1236"/>
      <c r="H441" s="1116"/>
      <c r="I441" s="1116"/>
      <c r="J441" s="1116"/>
      <c r="K441" s="1148"/>
      <c r="L441" s="1128"/>
      <c r="M441" s="1116"/>
      <c r="N441" s="1116"/>
      <c r="O441" s="1116"/>
      <c r="P441" s="1116"/>
      <c r="Q441" s="1116"/>
      <c r="R441" s="1116"/>
      <c r="S441" s="1116"/>
      <c r="T441" s="1116"/>
    </row>
    <row r="442">
      <c r="A442" s="1116"/>
      <c r="B442" s="1116"/>
      <c r="C442" s="1116"/>
      <c r="D442" s="1116"/>
      <c r="E442" s="1116"/>
      <c r="F442" s="1116"/>
      <c r="G442" s="1236"/>
      <c r="H442" s="1116"/>
      <c r="I442" s="1116"/>
      <c r="J442" s="1116"/>
      <c r="K442" s="1148"/>
      <c r="L442" s="1128"/>
      <c r="M442" s="1116"/>
      <c r="N442" s="1116"/>
      <c r="O442" s="1116"/>
      <c r="P442" s="1116"/>
      <c r="Q442" s="1116"/>
      <c r="R442" s="1116"/>
      <c r="S442" s="1116"/>
      <c r="T442" s="1116"/>
    </row>
    <row r="443">
      <c r="A443" s="1116"/>
      <c r="B443" s="1116"/>
      <c r="C443" s="1116"/>
      <c r="D443" s="1116"/>
      <c r="E443" s="1116"/>
      <c r="F443" s="1116"/>
      <c r="G443" s="1236"/>
      <c r="H443" s="1116"/>
      <c r="I443" s="1116"/>
      <c r="J443" s="1116"/>
      <c r="K443" s="1148"/>
      <c r="L443" s="1128"/>
      <c r="M443" s="1116"/>
      <c r="N443" s="1116"/>
      <c r="O443" s="1116"/>
      <c r="P443" s="1116"/>
      <c r="Q443" s="1116"/>
      <c r="R443" s="1116"/>
      <c r="S443" s="1116"/>
      <c r="T443" s="1116"/>
    </row>
    <row r="444">
      <c r="A444" s="1116"/>
      <c r="B444" s="1116"/>
      <c r="C444" s="1116"/>
      <c r="D444" s="1116"/>
      <c r="E444" s="1116"/>
      <c r="F444" s="1116"/>
      <c r="G444" s="1236"/>
      <c r="H444" s="1116"/>
      <c r="I444" s="1116"/>
      <c r="J444" s="1116"/>
      <c r="K444" s="1148"/>
      <c r="L444" s="1128"/>
      <c r="M444" s="1116"/>
      <c r="N444" s="1116"/>
      <c r="O444" s="1116"/>
      <c r="P444" s="1116"/>
      <c r="Q444" s="1116"/>
      <c r="R444" s="1116"/>
      <c r="S444" s="1116"/>
      <c r="T444" s="1116"/>
    </row>
    <row r="445">
      <c r="A445" s="1116"/>
      <c r="B445" s="1116"/>
      <c r="C445" s="1116"/>
      <c r="D445" s="1116"/>
      <c r="E445" s="1116"/>
      <c r="F445" s="1116"/>
      <c r="G445" s="1236"/>
      <c r="H445" s="1116"/>
      <c r="I445" s="1116"/>
      <c r="J445" s="1116"/>
      <c r="K445" s="1148"/>
      <c r="L445" s="1128"/>
      <c r="M445" s="1116"/>
      <c r="N445" s="1116"/>
      <c r="O445" s="1116"/>
      <c r="P445" s="1116"/>
      <c r="Q445" s="1116"/>
      <c r="R445" s="1116"/>
      <c r="S445" s="1116"/>
      <c r="T445" s="1116"/>
    </row>
    <row r="446">
      <c r="A446" s="1116"/>
      <c r="B446" s="1116"/>
      <c r="C446" s="1116"/>
      <c r="D446" s="1116"/>
      <c r="E446" s="1116"/>
      <c r="F446" s="1116"/>
      <c r="G446" s="1236"/>
      <c r="H446" s="1116"/>
      <c r="I446" s="1116"/>
      <c r="J446" s="1116"/>
      <c r="K446" s="1148"/>
      <c r="L446" s="1128"/>
      <c r="M446" s="1116"/>
      <c r="N446" s="1116"/>
      <c r="O446" s="1116"/>
      <c r="P446" s="1116"/>
      <c r="Q446" s="1116"/>
      <c r="R446" s="1116"/>
      <c r="S446" s="1116"/>
      <c r="T446" s="1116"/>
    </row>
    <row r="447">
      <c r="A447" s="1116"/>
      <c r="B447" s="1116"/>
      <c r="C447" s="1116"/>
      <c r="D447" s="1116"/>
      <c r="E447" s="1116"/>
      <c r="F447" s="1116"/>
      <c r="G447" s="1236"/>
      <c r="H447" s="1116"/>
      <c r="I447" s="1116"/>
      <c r="J447" s="1116"/>
      <c r="K447" s="1148"/>
      <c r="L447" s="1128"/>
      <c r="M447" s="1116"/>
      <c r="N447" s="1116"/>
      <c r="O447" s="1116"/>
      <c r="P447" s="1116"/>
      <c r="Q447" s="1116"/>
      <c r="R447" s="1116"/>
      <c r="S447" s="1116"/>
      <c r="T447" s="1116"/>
    </row>
    <row r="448">
      <c r="A448" s="1116"/>
      <c r="B448" s="1116"/>
      <c r="C448" s="1116"/>
      <c r="D448" s="1116"/>
      <c r="E448" s="1116"/>
      <c r="F448" s="1116"/>
      <c r="G448" s="1236"/>
      <c r="H448" s="1116"/>
      <c r="I448" s="1116"/>
      <c r="J448" s="1116"/>
      <c r="K448" s="1148"/>
      <c r="L448" s="1128"/>
      <c r="M448" s="1116"/>
      <c r="N448" s="1116"/>
      <c r="O448" s="1116"/>
      <c r="P448" s="1116"/>
      <c r="Q448" s="1116"/>
      <c r="R448" s="1116"/>
      <c r="S448" s="1116"/>
      <c r="T448" s="1116"/>
    </row>
    <row r="449">
      <c r="A449" s="1116"/>
      <c r="B449" s="1116"/>
      <c r="C449" s="1116"/>
      <c r="D449" s="1116"/>
      <c r="E449" s="1116"/>
      <c r="F449" s="1116"/>
      <c r="G449" s="1236"/>
      <c r="H449" s="1116"/>
      <c r="I449" s="1116"/>
      <c r="J449" s="1116"/>
      <c r="K449" s="1148"/>
      <c r="L449" s="1128"/>
      <c r="M449" s="1116"/>
      <c r="N449" s="1116"/>
      <c r="O449" s="1116"/>
      <c r="P449" s="1116"/>
      <c r="Q449" s="1116"/>
      <c r="R449" s="1116"/>
      <c r="S449" s="1116"/>
      <c r="T449" s="1116"/>
    </row>
    <row r="450">
      <c r="A450" s="1116"/>
      <c r="B450" s="1116"/>
      <c r="C450" s="1116"/>
      <c r="D450" s="1116"/>
      <c r="E450" s="1116"/>
      <c r="F450" s="1116"/>
      <c r="G450" s="1236"/>
      <c r="H450" s="1116"/>
      <c r="I450" s="1116"/>
      <c r="J450" s="1116"/>
      <c r="K450" s="1148"/>
      <c r="L450" s="1128"/>
      <c r="M450" s="1116"/>
      <c r="N450" s="1116"/>
      <c r="O450" s="1116"/>
      <c r="P450" s="1116"/>
      <c r="Q450" s="1116"/>
      <c r="R450" s="1116"/>
      <c r="S450" s="1116"/>
      <c r="T450" s="1116"/>
    </row>
    <row r="451">
      <c r="A451" s="1116"/>
      <c r="B451" s="1116"/>
      <c r="C451" s="1116"/>
      <c r="D451" s="1116"/>
      <c r="E451" s="1116"/>
      <c r="F451" s="1116"/>
      <c r="G451" s="1236"/>
      <c r="H451" s="1116"/>
      <c r="I451" s="1116"/>
      <c r="J451" s="1116"/>
      <c r="K451" s="1148"/>
      <c r="L451" s="1128"/>
      <c r="M451" s="1116"/>
      <c r="N451" s="1116"/>
      <c r="O451" s="1116"/>
      <c r="P451" s="1116"/>
      <c r="Q451" s="1116"/>
      <c r="R451" s="1116"/>
      <c r="S451" s="1116"/>
      <c r="T451" s="1116"/>
    </row>
    <row r="452">
      <c r="A452" s="1116"/>
      <c r="B452" s="1116"/>
      <c r="C452" s="1116"/>
      <c r="D452" s="1116"/>
      <c r="E452" s="1116"/>
      <c r="F452" s="1116"/>
      <c r="G452" s="1236"/>
      <c r="H452" s="1116"/>
      <c r="I452" s="1116"/>
      <c r="J452" s="1116"/>
      <c r="K452" s="1148"/>
      <c r="L452" s="1128"/>
      <c r="M452" s="1116"/>
      <c r="N452" s="1116"/>
      <c r="O452" s="1116"/>
      <c r="P452" s="1116"/>
      <c r="Q452" s="1116"/>
      <c r="R452" s="1116"/>
      <c r="S452" s="1116"/>
      <c r="T452" s="1116"/>
    </row>
    <row r="453">
      <c r="A453" s="1116"/>
      <c r="B453" s="1116"/>
      <c r="C453" s="1116"/>
      <c r="D453" s="1116"/>
      <c r="E453" s="1116"/>
      <c r="F453" s="1116"/>
      <c r="G453" s="1236"/>
      <c r="H453" s="1116"/>
      <c r="I453" s="1116"/>
      <c r="J453" s="1116"/>
      <c r="K453" s="1148"/>
      <c r="L453" s="1128"/>
      <c r="M453" s="1116"/>
      <c r="N453" s="1116"/>
      <c r="O453" s="1116"/>
      <c r="P453" s="1116"/>
      <c r="Q453" s="1116"/>
      <c r="R453" s="1116"/>
      <c r="S453" s="1116"/>
      <c r="T453" s="1116"/>
    </row>
    <row r="454">
      <c r="A454" s="1116"/>
      <c r="B454" s="1116"/>
      <c r="C454" s="1116"/>
      <c r="D454" s="1116"/>
      <c r="E454" s="1116"/>
      <c r="F454" s="1116"/>
      <c r="G454" s="1236"/>
      <c r="H454" s="1116"/>
      <c r="I454" s="1116"/>
      <c r="J454" s="1116"/>
      <c r="K454" s="1148"/>
      <c r="L454" s="1128"/>
      <c r="M454" s="1116"/>
      <c r="N454" s="1116"/>
      <c r="O454" s="1116"/>
      <c r="P454" s="1116"/>
      <c r="Q454" s="1116"/>
      <c r="R454" s="1116"/>
      <c r="S454" s="1116"/>
      <c r="T454" s="1116"/>
    </row>
    <row r="455">
      <c r="A455" s="1116"/>
      <c r="B455" s="1116"/>
      <c r="C455" s="1116"/>
      <c r="D455" s="1116"/>
      <c r="E455" s="1116"/>
      <c r="F455" s="1116"/>
      <c r="G455" s="1236"/>
      <c r="H455" s="1116"/>
      <c r="I455" s="1116"/>
      <c r="J455" s="1116"/>
      <c r="K455" s="1148"/>
      <c r="L455" s="1128"/>
      <c r="M455" s="1116"/>
      <c r="N455" s="1116"/>
      <c r="O455" s="1116"/>
      <c r="P455" s="1116"/>
      <c r="Q455" s="1116"/>
      <c r="R455" s="1116"/>
      <c r="S455" s="1116"/>
      <c r="T455" s="1116"/>
    </row>
    <row r="456">
      <c r="A456" s="1116"/>
      <c r="B456" s="1116"/>
      <c r="C456" s="1116"/>
      <c r="D456" s="1116"/>
      <c r="E456" s="1116"/>
      <c r="F456" s="1116"/>
      <c r="G456" s="1236"/>
      <c r="H456" s="1116"/>
      <c r="I456" s="1116"/>
      <c r="J456" s="1116"/>
      <c r="K456" s="1148"/>
      <c r="L456" s="1128"/>
      <c r="M456" s="1116"/>
      <c r="N456" s="1116"/>
      <c r="O456" s="1116"/>
      <c r="P456" s="1116"/>
      <c r="Q456" s="1116"/>
      <c r="R456" s="1116"/>
      <c r="S456" s="1116"/>
      <c r="T456" s="1116"/>
    </row>
    <row r="457">
      <c r="A457" s="1116"/>
      <c r="B457" s="1116"/>
      <c r="C457" s="1116"/>
      <c r="D457" s="1116"/>
      <c r="E457" s="1116"/>
      <c r="F457" s="1116"/>
      <c r="G457" s="1236"/>
      <c r="H457" s="1116"/>
      <c r="I457" s="1116"/>
      <c r="J457" s="1116"/>
      <c r="K457" s="1148"/>
      <c r="L457" s="1128"/>
      <c r="M457" s="1116"/>
      <c r="N457" s="1116"/>
      <c r="O457" s="1116"/>
      <c r="P457" s="1116"/>
      <c r="Q457" s="1116"/>
      <c r="R457" s="1116"/>
      <c r="S457" s="1116"/>
      <c r="T457" s="1116"/>
    </row>
    <row r="458">
      <c r="A458" s="1116"/>
      <c r="B458" s="1116"/>
      <c r="C458" s="1116"/>
      <c r="D458" s="1116"/>
      <c r="E458" s="1116"/>
      <c r="F458" s="1116"/>
      <c r="G458" s="1236"/>
      <c r="H458" s="1116"/>
      <c r="I458" s="1116"/>
      <c r="J458" s="1116"/>
      <c r="K458" s="1148"/>
      <c r="L458" s="1128"/>
      <c r="M458" s="1116"/>
      <c r="N458" s="1116"/>
      <c r="O458" s="1116"/>
      <c r="P458" s="1116"/>
      <c r="Q458" s="1116"/>
      <c r="R458" s="1116"/>
      <c r="S458" s="1116"/>
      <c r="T458" s="1116"/>
    </row>
    <row r="459">
      <c r="A459" s="1116"/>
      <c r="B459" s="1116"/>
      <c r="C459" s="1116"/>
      <c r="D459" s="1116"/>
      <c r="E459" s="1116"/>
      <c r="F459" s="1116"/>
      <c r="G459" s="1236"/>
      <c r="H459" s="1116"/>
      <c r="I459" s="1116"/>
      <c r="J459" s="1116"/>
      <c r="K459" s="1148"/>
      <c r="L459" s="1128"/>
      <c r="M459" s="1116"/>
      <c r="N459" s="1116"/>
      <c r="O459" s="1116"/>
      <c r="P459" s="1116"/>
      <c r="Q459" s="1116"/>
      <c r="R459" s="1116"/>
      <c r="S459" s="1116"/>
      <c r="T459" s="1116"/>
    </row>
    <row r="460">
      <c r="A460" s="1116"/>
      <c r="B460" s="1116"/>
      <c r="C460" s="1116"/>
      <c r="D460" s="1116"/>
      <c r="E460" s="1116"/>
      <c r="F460" s="1116"/>
      <c r="G460" s="1236"/>
      <c r="H460" s="1116"/>
      <c r="I460" s="1116"/>
      <c r="J460" s="1116"/>
      <c r="K460" s="1148"/>
      <c r="L460" s="1128"/>
      <c r="M460" s="1116"/>
      <c r="N460" s="1116"/>
      <c r="O460" s="1116"/>
      <c r="P460" s="1116"/>
      <c r="Q460" s="1116"/>
      <c r="R460" s="1116"/>
      <c r="S460" s="1116"/>
      <c r="T460" s="1116"/>
    </row>
    <row r="461">
      <c r="A461" s="1116"/>
      <c r="B461" s="1116"/>
      <c r="C461" s="1116"/>
      <c r="D461" s="1116"/>
      <c r="E461" s="1116"/>
      <c r="F461" s="1116"/>
      <c r="G461" s="1236"/>
      <c r="H461" s="1116"/>
      <c r="I461" s="1116"/>
      <c r="J461" s="1116"/>
      <c r="K461" s="1148"/>
      <c r="L461" s="1128"/>
      <c r="M461" s="1116"/>
      <c r="N461" s="1116"/>
      <c r="O461" s="1116"/>
      <c r="P461" s="1116"/>
      <c r="Q461" s="1116"/>
      <c r="R461" s="1116"/>
      <c r="S461" s="1116"/>
      <c r="T461" s="1116"/>
    </row>
    <row r="462">
      <c r="A462" s="1116"/>
      <c r="B462" s="1116"/>
      <c r="C462" s="1116"/>
      <c r="D462" s="1116"/>
      <c r="E462" s="1116"/>
      <c r="F462" s="1116"/>
      <c r="G462" s="1236"/>
      <c r="H462" s="1116"/>
      <c r="I462" s="1116"/>
      <c r="J462" s="1116"/>
      <c r="K462" s="1148"/>
      <c r="L462" s="1128"/>
      <c r="M462" s="1116"/>
      <c r="N462" s="1116"/>
      <c r="O462" s="1116"/>
      <c r="P462" s="1116"/>
      <c r="Q462" s="1116"/>
      <c r="R462" s="1116"/>
      <c r="S462" s="1116"/>
      <c r="T462" s="1116"/>
    </row>
    <row r="463">
      <c r="A463" s="1116"/>
      <c r="B463" s="1116"/>
      <c r="C463" s="1116"/>
      <c r="D463" s="1116"/>
      <c r="E463" s="1116"/>
      <c r="F463" s="1116"/>
      <c r="G463" s="1236"/>
      <c r="H463" s="1116"/>
      <c r="I463" s="1116"/>
      <c r="J463" s="1116"/>
      <c r="K463" s="1148"/>
      <c r="L463" s="1128"/>
      <c r="M463" s="1116"/>
      <c r="N463" s="1116"/>
      <c r="O463" s="1116"/>
      <c r="P463" s="1116"/>
      <c r="Q463" s="1116"/>
      <c r="R463" s="1116"/>
      <c r="S463" s="1116"/>
      <c r="T463" s="1116"/>
    </row>
    <row r="464">
      <c r="A464" s="1116"/>
      <c r="B464" s="1116"/>
      <c r="C464" s="1116"/>
      <c r="D464" s="1116"/>
      <c r="E464" s="1116"/>
      <c r="F464" s="1116"/>
      <c r="G464" s="1236"/>
      <c r="H464" s="1116"/>
      <c r="I464" s="1116"/>
      <c r="J464" s="1116"/>
      <c r="K464" s="1148"/>
      <c r="L464" s="1128"/>
      <c r="M464" s="1116"/>
      <c r="N464" s="1116"/>
      <c r="O464" s="1116"/>
      <c r="P464" s="1116"/>
      <c r="Q464" s="1116"/>
      <c r="R464" s="1116"/>
      <c r="S464" s="1116"/>
      <c r="T464" s="1116"/>
    </row>
    <row r="465">
      <c r="A465" s="1116"/>
      <c r="B465" s="1116"/>
      <c r="C465" s="1116"/>
      <c r="D465" s="1116"/>
      <c r="E465" s="1116"/>
      <c r="F465" s="1116"/>
      <c r="G465" s="1236"/>
      <c r="H465" s="1116"/>
      <c r="I465" s="1116"/>
      <c r="J465" s="1116"/>
      <c r="K465" s="1148"/>
      <c r="L465" s="1128"/>
      <c r="M465" s="1116"/>
      <c r="N465" s="1116"/>
      <c r="O465" s="1116"/>
      <c r="P465" s="1116"/>
      <c r="Q465" s="1116"/>
      <c r="R465" s="1116"/>
      <c r="S465" s="1116"/>
      <c r="T465" s="1116"/>
    </row>
    <row r="466">
      <c r="A466" s="1116"/>
      <c r="B466" s="1116"/>
      <c r="C466" s="1116"/>
      <c r="D466" s="1116"/>
      <c r="E466" s="1116"/>
      <c r="F466" s="1116"/>
      <c r="G466" s="1236"/>
      <c r="H466" s="1116"/>
      <c r="I466" s="1116"/>
      <c r="J466" s="1116"/>
      <c r="K466" s="1148"/>
      <c r="L466" s="1128"/>
      <c r="M466" s="1116"/>
      <c r="N466" s="1116"/>
      <c r="O466" s="1116"/>
      <c r="P466" s="1116"/>
      <c r="Q466" s="1116"/>
      <c r="R466" s="1116"/>
      <c r="S466" s="1116"/>
      <c r="T466" s="1116"/>
    </row>
    <row r="467">
      <c r="A467" s="1116"/>
      <c r="B467" s="1116"/>
      <c r="C467" s="1116"/>
      <c r="D467" s="1116"/>
      <c r="E467" s="1116"/>
      <c r="F467" s="1116"/>
      <c r="G467" s="1236"/>
      <c r="H467" s="1116"/>
      <c r="I467" s="1116"/>
      <c r="J467" s="1116"/>
      <c r="K467" s="1148"/>
      <c r="L467" s="1128"/>
      <c r="M467" s="1116"/>
      <c r="N467" s="1116"/>
      <c r="O467" s="1116"/>
      <c r="P467" s="1116"/>
      <c r="Q467" s="1116"/>
      <c r="R467" s="1116"/>
      <c r="S467" s="1116"/>
      <c r="T467" s="1116"/>
    </row>
    <row r="468">
      <c r="A468" s="1116"/>
      <c r="B468" s="1116"/>
      <c r="C468" s="1116"/>
      <c r="D468" s="1116"/>
      <c r="E468" s="1116"/>
      <c r="F468" s="1116"/>
      <c r="G468" s="1236"/>
      <c r="H468" s="1116"/>
      <c r="I468" s="1116"/>
      <c r="J468" s="1116"/>
      <c r="K468" s="1148"/>
      <c r="L468" s="1128"/>
      <c r="M468" s="1116"/>
      <c r="N468" s="1116"/>
      <c r="O468" s="1116"/>
      <c r="P468" s="1116"/>
      <c r="Q468" s="1116"/>
      <c r="R468" s="1116"/>
      <c r="S468" s="1116"/>
      <c r="T468" s="1116"/>
    </row>
    <row r="469">
      <c r="A469" s="1116"/>
      <c r="B469" s="1116"/>
      <c r="C469" s="1116"/>
      <c r="D469" s="1116"/>
      <c r="E469" s="1116"/>
      <c r="F469" s="1116"/>
      <c r="G469" s="1236"/>
      <c r="H469" s="1116"/>
      <c r="I469" s="1116"/>
      <c r="J469" s="1116"/>
      <c r="K469" s="1148"/>
      <c r="L469" s="1128"/>
      <c r="M469" s="1116"/>
      <c r="N469" s="1116"/>
      <c r="O469" s="1116"/>
      <c r="P469" s="1116"/>
      <c r="Q469" s="1116"/>
      <c r="R469" s="1116"/>
      <c r="S469" s="1116"/>
      <c r="T469" s="1116"/>
    </row>
    <row r="470">
      <c r="A470" s="1116"/>
      <c r="B470" s="1116"/>
      <c r="C470" s="1116"/>
      <c r="D470" s="1116"/>
      <c r="E470" s="1116"/>
      <c r="F470" s="1116"/>
      <c r="G470" s="1236"/>
      <c r="H470" s="1116"/>
      <c r="I470" s="1116"/>
      <c r="J470" s="1116"/>
      <c r="K470" s="1148"/>
      <c r="L470" s="1128"/>
      <c r="M470" s="1116"/>
      <c r="N470" s="1116"/>
      <c r="O470" s="1116"/>
      <c r="P470" s="1116"/>
      <c r="Q470" s="1116"/>
      <c r="R470" s="1116"/>
      <c r="S470" s="1116"/>
      <c r="T470" s="1116"/>
    </row>
    <row r="471">
      <c r="A471" s="1116"/>
      <c r="B471" s="1116"/>
      <c r="C471" s="1116"/>
      <c r="D471" s="1116"/>
      <c r="E471" s="1116"/>
      <c r="F471" s="1116"/>
      <c r="G471" s="1236"/>
      <c r="H471" s="1116"/>
      <c r="I471" s="1116"/>
      <c r="J471" s="1116"/>
      <c r="K471" s="1148"/>
      <c r="L471" s="1128"/>
      <c r="M471" s="1116"/>
      <c r="N471" s="1116"/>
      <c r="O471" s="1116"/>
      <c r="P471" s="1116"/>
      <c r="Q471" s="1116"/>
      <c r="R471" s="1116"/>
      <c r="S471" s="1116"/>
      <c r="T471" s="1116"/>
    </row>
    <row r="472">
      <c r="A472" s="1116"/>
      <c r="B472" s="1116"/>
      <c r="C472" s="1116"/>
      <c r="D472" s="1116"/>
      <c r="E472" s="1116"/>
      <c r="F472" s="1116"/>
      <c r="G472" s="1236"/>
      <c r="H472" s="1116"/>
      <c r="I472" s="1116"/>
      <c r="J472" s="1116"/>
      <c r="K472" s="1148"/>
      <c r="L472" s="1128"/>
      <c r="M472" s="1116"/>
      <c r="N472" s="1116"/>
      <c r="O472" s="1116"/>
      <c r="P472" s="1116"/>
      <c r="Q472" s="1116"/>
      <c r="R472" s="1116"/>
      <c r="S472" s="1116"/>
      <c r="T472" s="1116"/>
    </row>
    <row r="473">
      <c r="A473" s="1116"/>
      <c r="B473" s="1116"/>
      <c r="C473" s="1116"/>
      <c r="D473" s="1116"/>
      <c r="E473" s="1116"/>
      <c r="F473" s="1116"/>
      <c r="G473" s="1236"/>
      <c r="H473" s="1116"/>
      <c r="I473" s="1116"/>
      <c r="J473" s="1116"/>
      <c r="K473" s="1148"/>
      <c r="L473" s="1128"/>
      <c r="M473" s="1116"/>
      <c r="N473" s="1116"/>
      <c r="O473" s="1116"/>
      <c r="P473" s="1116"/>
      <c r="Q473" s="1116"/>
      <c r="R473" s="1116"/>
      <c r="S473" s="1116"/>
      <c r="T473" s="1116"/>
    </row>
    <row r="474">
      <c r="A474" s="1116"/>
      <c r="B474" s="1116"/>
      <c r="C474" s="1116"/>
      <c r="D474" s="1116"/>
      <c r="E474" s="1116"/>
      <c r="F474" s="1116"/>
      <c r="G474" s="1236"/>
      <c r="H474" s="1116"/>
      <c r="I474" s="1116"/>
      <c r="J474" s="1116"/>
      <c r="K474" s="1148"/>
      <c r="L474" s="1128"/>
      <c r="M474" s="1116"/>
      <c r="N474" s="1116"/>
      <c r="O474" s="1116"/>
      <c r="P474" s="1116"/>
      <c r="Q474" s="1116"/>
      <c r="R474" s="1116"/>
      <c r="S474" s="1116"/>
      <c r="T474" s="1116"/>
    </row>
    <row r="475">
      <c r="A475" s="1116"/>
      <c r="B475" s="1116"/>
      <c r="C475" s="1116"/>
      <c r="D475" s="1116"/>
      <c r="E475" s="1116"/>
      <c r="F475" s="1116"/>
      <c r="G475" s="1236"/>
      <c r="H475" s="1116"/>
      <c r="I475" s="1116"/>
      <c r="J475" s="1116"/>
      <c r="K475" s="1148"/>
      <c r="L475" s="1128"/>
      <c r="M475" s="1116"/>
      <c r="N475" s="1116"/>
      <c r="O475" s="1116"/>
      <c r="P475" s="1116"/>
      <c r="Q475" s="1116"/>
      <c r="R475" s="1116"/>
      <c r="S475" s="1116"/>
      <c r="T475" s="1116"/>
    </row>
    <row r="476">
      <c r="A476" s="1116"/>
      <c r="B476" s="1116"/>
      <c r="C476" s="1116"/>
      <c r="D476" s="1116"/>
      <c r="E476" s="1116"/>
      <c r="F476" s="1116"/>
      <c r="G476" s="1236"/>
      <c r="H476" s="1116"/>
      <c r="I476" s="1116"/>
      <c r="J476" s="1116"/>
      <c r="K476" s="1148"/>
      <c r="L476" s="1128"/>
      <c r="M476" s="1116"/>
      <c r="N476" s="1116"/>
      <c r="O476" s="1116"/>
      <c r="P476" s="1116"/>
      <c r="Q476" s="1116"/>
      <c r="R476" s="1116"/>
      <c r="S476" s="1116"/>
      <c r="T476" s="1116"/>
    </row>
    <row r="477">
      <c r="A477" s="1116"/>
      <c r="B477" s="1116"/>
      <c r="C477" s="1116"/>
      <c r="D477" s="1116"/>
      <c r="E477" s="1116"/>
      <c r="F477" s="1116"/>
      <c r="G477" s="1236"/>
      <c r="H477" s="1116"/>
      <c r="I477" s="1116"/>
      <c r="J477" s="1116"/>
      <c r="K477" s="1148"/>
      <c r="L477" s="1128"/>
      <c r="M477" s="1116"/>
      <c r="N477" s="1116"/>
      <c r="O477" s="1116"/>
      <c r="P477" s="1116"/>
      <c r="Q477" s="1116"/>
      <c r="R477" s="1116"/>
      <c r="S477" s="1116"/>
      <c r="T477" s="1116"/>
    </row>
    <row r="478">
      <c r="A478" s="1116"/>
      <c r="B478" s="1116"/>
      <c r="C478" s="1116"/>
      <c r="D478" s="1116"/>
      <c r="E478" s="1116"/>
      <c r="F478" s="1116"/>
      <c r="G478" s="1236"/>
      <c r="H478" s="1116"/>
      <c r="I478" s="1116"/>
      <c r="J478" s="1116"/>
      <c r="K478" s="1148"/>
      <c r="L478" s="1128"/>
      <c r="M478" s="1116"/>
      <c r="N478" s="1116"/>
      <c r="O478" s="1116"/>
      <c r="P478" s="1116"/>
      <c r="Q478" s="1116"/>
      <c r="R478" s="1116"/>
      <c r="S478" s="1116"/>
      <c r="T478" s="1116"/>
    </row>
    <row r="479">
      <c r="A479" s="1116"/>
      <c r="B479" s="1116"/>
      <c r="C479" s="1116"/>
      <c r="D479" s="1116"/>
      <c r="E479" s="1116"/>
      <c r="F479" s="1116"/>
      <c r="G479" s="1236"/>
      <c r="H479" s="1116"/>
      <c r="I479" s="1116"/>
      <c r="J479" s="1116"/>
      <c r="K479" s="1148"/>
      <c r="L479" s="1128"/>
      <c r="M479" s="1116"/>
      <c r="N479" s="1116"/>
      <c r="O479" s="1116"/>
      <c r="P479" s="1116"/>
      <c r="Q479" s="1116"/>
      <c r="R479" s="1116"/>
      <c r="S479" s="1116"/>
      <c r="T479" s="1116"/>
    </row>
    <row r="480">
      <c r="A480" s="1116"/>
      <c r="B480" s="1116"/>
      <c r="C480" s="1116"/>
      <c r="D480" s="1116"/>
      <c r="E480" s="1116"/>
      <c r="F480" s="1116"/>
      <c r="G480" s="1236"/>
      <c r="H480" s="1116"/>
      <c r="I480" s="1116"/>
      <c r="J480" s="1116"/>
      <c r="K480" s="1148"/>
      <c r="L480" s="1128"/>
      <c r="M480" s="1116"/>
      <c r="N480" s="1116"/>
      <c r="O480" s="1116"/>
      <c r="P480" s="1116"/>
      <c r="Q480" s="1116"/>
      <c r="R480" s="1116"/>
      <c r="S480" s="1116"/>
      <c r="T480" s="1116"/>
    </row>
    <row r="481">
      <c r="A481" s="1116"/>
      <c r="B481" s="1116"/>
      <c r="C481" s="1116"/>
      <c r="D481" s="1116"/>
      <c r="E481" s="1116"/>
      <c r="F481" s="1116"/>
      <c r="G481" s="1236"/>
      <c r="H481" s="1116"/>
      <c r="I481" s="1116"/>
      <c r="J481" s="1116"/>
      <c r="K481" s="1148"/>
      <c r="L481" s="1128"/>
      <c r="M481" s="1116"/>
      <c r="N481" s="1116"/>
      <c r="O481" s="1116"/>
      <c r="P481" s="1116"/>
      <c r="Q481" s="1116"/>
      <c r="R481" s="1116"/>
      <c r="S481" s="1116"/>
      <c r="T481" s="1116"/>
    </row>
    <row r="482">
      <c r="A482" s="1116"/>
      <c r="B482" s="1116"/>
      <c r="C482" s="1116"/>
      <c r="D482" s="1116"/>
      <c r="E482" s="1116"/>
      <c r="F482" s="1116"/>
      <c r="G482" s="1236"/>
      <c r="H482" s="1116"/>
      <c r="I482" s="1116"/>
      <c r="J482" s="1116"/>
      <c r="K482" s="1148"/>
      <c r="L482" s="1128"/>
      <c r="M482" s="1116"/>
      <c r="N482" s="1116"/>
      <c r="O482" s="1116"/>
      <c r="P482" s="1116"/>
      <c r="Q482" s="1116"/>
      <c r="R482" s="1116"/>
      <c r="S482" s="1116"/>
      <c r="T482" s="1116"/>
    </row>
    <row r="483">
      <c r="A483" s="1116"/>
      <c r="B483" s="1116"/>
      <c r="C483" s="1116"/>
      <c r="D483" s="1116"/>
      <c r="E483" s="1116"/>
      <c r="F483" s="1116"/>
      <c r="G483" s="1236"/>
      <c r="H483" s="1116"/>
      <c r="I483" s="1116"/>
      <c r="J483" s="1116"/>
      <c r="K483" s="1148"/>
      <c r="L483" s="1128"/>
      <c r="M483" s="1116"/>
      <c r="N483" s="1116"/>
      <c r="O483" s="1116"/>
      <c r="P483" s="1116"/>
      <c r="Q483" s="1116"/>
      <c r="R483" s="1116"/>
      <c r="S483" s="1116"/>
      <c r="T483" s="1116"/>
    </row>
    <row r="484">
      <c r="A484" s="1116"/>
      <c r="B484" s="1116"/>
      <c r="C484" s="1116"/>
      <c r="D484" s="1116"/>
      <c r="E484" s="1116"/>
      <c r="F484" s="1116"/>
      <c r="G484" s="1236"/>
      <c r="H484" s="1116"/>
      <c r="I484" s="1116"/>
      <c r="J484" s="1116"/>
      <c r="K484" s="1148"/>
      <c r="L484" s="1128"/>
      <c r="M484" s="1116"/>
      <c r="N484" s="1116"/>
      <c r="O484" s="1116"/>
      <c r="P484" s="1116"/>
      <c r="Q484" s="1116"/>
      <c r="R484" s="1116"/>
      <c r="S484" s="1116"/>
      <c r="T484" s="1116"/>
    </row>
    <row r="485">
      <c r="A485" s="1116"/>
      <c r="B485" s="1116"/>
      <c r="C485" s="1116"/>
      <c r="D485" s="1116"/>
      <c r="E485" s="1116"/>
      <c r="F485" s="1116"/>
      <c r="G485" s="1236"/>
      <c r="H485" s="1116"/>
      <c r="I485" s="1116"/>
      <c r="J485" s="1116"/>
      <c r="K485" s="1148"/>
      <c r="L485" s="1128"/>
      <c r="M485" s="1116"/>
      <c r="N485" s="1116"/>
      <c r="O485" s="1116"/>
      <c r="P485" s="1116"/>
      <c r="Q485" s="1116"/>
      <c r="R485" s="1116"/>
      <c r="S485" s="1116"/>
      <c r="T485" s="1116"/>
    </row>
    <row r="486">
      <c r="A486" s="1116"/>
      <c r="B486" s="1116"/>
      <c r="C486" s="1116"/>
      <c r="D486" s="1116"/>
      <c r="E486" s="1116"/>
      <c r="F486" s="1116"/>
      <c r="G486" s="1236"/>
      <c r="H486" s="1116"/>
      <c r="I486" s="1116"/>
      <c r="J486" s="1116"/>
      <c r="K486" s="1148"/>
      <c r="L486" s="1128"/>
      <c r="M486" s="1116"/>
      <c r="N486" s="1116"/>
      <c r="O486" s="1116"/>
      <c r="P486" s="1116"/>
      <c r="Q486" s="1116"/>
      <c r="R486" s="1116"/>
      <c r="S486" s="1116"/>
      <c r="T486" s="1116"/>
    </row>
    <row r="487">
      <c r="A487" s="1116"/>
      <c r="B487" s="1116"/>
      <c r="C487" s="1116"/>
      <c r="D487" s="1116"/>
      <c r="E487" s="1116"/>
      <c r="F487" s="1116"/>
      <c r="G487" s="1236"/>
      <c r="H487" s="1116"/>
      <c r="I487" s="1116"/>
      <c r="J487" s="1116"/>
      <c r="K487" s="1148"/>
      <c r="L487" s="1128"/>
      <c r="M487" s="1116"/>
      <c r="N487" s="1116"/>
      <c r="O487" s="1116"/>
      <c r="P487" s="1116"/>
      <c r="Q487" s="1116"/>
      <c r="R487" s="1116"/>
      <c r="S487" s="1116"/>
      <c r="T487" s="1116"/>
    </row>
    <row r="488">
      <c r="A488" s="1116"/>
      <c r="B488" s="1116"/>
      <c r="C488" s="1116"/>
      <c r="D488" s="1116"/>
      <c r="E488" s="1116"/>
      <c r="F488" s="1116"/>
      <c r="G488" s="1236"/>
      <c r="H488" s="1116"/>
      <c r="I488" s="1116"/>
      <c r="J488" s="1116"/>
      <c r="K488" s="1148"/>
      <c r="L488" s="1128"/>
      <c r="M488" s="1116"/>
      <c r="N488" s="1116"/>
      <c r="O488" s="1116"/>
      <c r="P488" s="1116"/>
      <c r="Q488" s="1116"/>
      <c r="R488" s="1116"/>
      <c r="S488" s="1116"/>
      <c r="T488" s="1116"/>
    </row>
    <row r="489">
      <c r="A489" s="1116"/>
      <c r="B489" s="1116"/>
      <c r="C489" s="1116"/>
      <c r="D489" s="1116"/>
      <c r="E489" s="1116"/>
      <c r="F489" s="1116"/>
      <c r="G489" s="1236"/>
      <c r="H489" s="1116"/>
      <c r="I489" s="1116"/>
      <c r="J489" s="1116"/>
      <c r="K489" s="1148"/>
      <c r="L489" s="1128"/>
      <c r="M489" s="1116"/>
      <c r="N489" s="1116"/>
      <c r="O489" s="1116"/>
      <c r="P489" s="1116"/>
      <c r="Q489" s="1116"/>
      <c r="R489" s="1116"/>
      <c r="S489" s="1116"/>
      <c r="T489" s="1116"/>
    </row>
    <row r="490">
      <c r="A490" s="1116"/>
      <c r="B490" s="1116"/>
      <c r="C490" s="1116"/>
      <c r="D490" s="1116"/>
      <c r="E490" s="1116"/>
      <c r="F490" s="1116"/>
      <c r="G490" s="1236"/>
      <c r="H490" s="1116"/>
      <c r="I490" s="1116"/>
      <c r="J490" s="1116"/>
      <c r="K490" s="1148"/>
      <c r="L490" s="1128"/>
      <c r="M490" s="1116"/>
      <c r="N490" s="1116"/>
      <c r="O490" s="1116"/>
      <c r="P490" s="1116"/>
      <c r="Q490" s="1116"/>
      <c r="R490" s="1116"/>
      <c r="S490" s="1116"/>
      <c r="T490" s="1116"/>
    </row>
    <row r="491">
      <c r="A491" s="1116"/>
      <c r="B491" s="1116"/>
      <c r="C491" s="1116"/>
      <c r="D491" s="1116"/>
      <c r="E491" s="1116"/>
      <c r="F491" s="1116"/>
      <c r="G491" s="1236"/>
      <c r="H491" s="1116"/>
      <c r="I491" s="1116"/>
      <c r="J491" s="1116"/>
      <c r="K491" s="1148"/>
      <c r="L491" s="1128"/>
      <c r="M491" s="1116"/>
      <c r="N491" s="1116"/>
      <c r="O491" s="1116"/>
      <c r="P491" s="1116"/>
      <c r="Q491" s="1116"/>
      <c r="R491" s="1116"/>
      <c r="S491" s="1116"/>
      <c r="T491" s="1116"/>
    </row>
    <row r="492">
      <c r="A492" s="1116"/>
      <c r="B492" s="1116"/>
      <c r="C492" s="1116"/>
      <c r="D492" s="1116"/>
      <c r="E492" s="1116"/>
      <c r="F492" s="1116"/>
      <c r="G492" s="1236"/>
      <c r="H492" s="1116"/>
      <c r="I492" s="1116"/>
      <c r="J492" s="1116"/>
      <c r="K492" s="1148"/>
      <c r="L492" s="1128"/>
      <c r="M492" s="1116"/>
      <c r="N492" s="1116"/>
      <c r="O492" s="1116"/>
      <c r="P492" s="1116"/>
      <c r="Q492" s="1116"/>
      <c r="R492" s="1116"/>
      <c r="S492" s="1116"/>
      <c r="T492" s="1116"/>
    </row>
    <row r="493">
      <c r="A493" s="1116"/>
      <c r="B493" s="1116"/>
      <c r="C493" s="1116"/>
      <c r="D493" s="1116"/>
      <c r="E493" s="1116"/>
      <c r="F493" s="1116"/>
      <c r="G493" s="1236"/>
      <c r="H493" s="1116"/>
      <c r="I493" s="1116"/>
      <c r="J493" s="1116"/>
      <c r="K493" s="1148"/>
      <c r="L493" s="1128"/>
      <c r="M493" s="1116"/>
      <c r="N493" s="1116"/>
      <c r="O493" s="1116"/>
      <c r="P493" s="1116"/>
      <c r="Q493" s="1116"/>
      <c r="R493" s="1116"/>
      <c r="S493" s="1116"/>
      <c r="T493" s="1116"/>
    </row>
    <row r="494">
      <c r="A494" s="1116"/>
      <c r="B494" s="1116"/>
      <c r="C494" s="1116"/>
      <c r="D494" s="1116"/>
      <c r="E494" s="1116"/>
      <c r="F494" s="1116"/>
      <c r="G494" s="1236"/>
      <c r="H494" s="1116"/>
      <c r="I494" s="1116"/>
      <c r="J494" s="1116"/>
      <c r="K494" s="1148"/>
      <c r="L494" s="1128"/>
      <c r="M494" s="1116"/>
      <c r="N494" s="1116"/>
      <c r="O494" s="1116"/>
      <c r="P494" s="1116"/>
      <c r="Q494" s="1116"/>
      <c r="R494" s="1116"/>
      <c r="S494" s="1116"/>
      <c r="T494" s="1116"/>
    </row>
    <row r="495">
      <c r="A495" s="1116"/>
      <c r="B495" s="1116"/>
      <c r="C495" s="1116"/>
      <c r="D495" s="1116"/>
      <c r="E495" s="1116"/>
      <c r="F495" s="1116"/>
      <c r="G495" s="1236"/>
      <c r="H495" s="1116"/>
      <c r="I495" s="1116"/>
      <c r="J495" s="1116"/>
      <c r="K495" s="1148"/>
      <c r="L495" s="1128"/>
      <c r="M495" s="1116"/>
      <c r="N495" s="1116"/>
      <c r="O495" s="1116"/>
      <c r="P495" s="1116"/>
      <c r="Q495" s="1116"/>
      <c r="R495" s="1116"/>
      <c r="S495" s="1116"/>
      <c r="T495" s="1116"/>
    </row>
    <row r="496">
      <c r="A496" s="1116"/>
      <c r="B496" s="1116"/>
      <c r="C496" s="1116"/>
      <c r="D496" s="1116"/>
      <c r="E496" s="1116"/>
      <c r="F496" s="1116"/>
      <c r="G496" s="1236"/>
      <c r="H496" s="1116"/>
      <c r="I496" s="1116"/>
      <c r="J496" s="1116"/>
      <c r="K496" s="1148"/>
      <c r="L496" s="1128"/>
      <c r="M496" s="1116"/>
      <c r="N496" s="1116"/>
      <c r="O496" s="1116"/>
      <c r="P496" s="1116"/>
      <c r="Q496" s="1116"/>
      <c r="R496" s="1116"/>
      <c r="S496" s="1116"/>
      <c r="T496" s="1116"/>
    </row>
    <row r="497">
      <c r="A497" s="1116"/>
      <c r="B497" s="1116"/>
      <c r="C497" s="1116"/>
      <c r="D497" s="1116"/>
      <c r="E497" s="1116"/>
      <c r="F497" s="1116"/>
      <c r="G497" s="1236"/>
      <c r="H497" s="1116"/>
      <c r="I497" s="1116"/>
      <c r="J497" s="1116"/>
      <c r="K497" s="1148"/>
      <c r="L497" s="1128"/>
      <c r="M497" s="1116"/>
      <c r="N497" s="1116"/>
      <c r="O497" s="1116"/>
      <c r="P497" s="1116"/>
      <c r="Q497" s="1116"/>
      <c r="R497" s="1116"/>
      <c r="S497" s="1116"/>
      <c r="T497" s="1116"/>
    </row>
    <row r="498">
      <c r="A498" s="1116"/>
      <c r="B498" s="1116"/>
      <c r="C498" s="1116"/>
      <c r="D498" s="1116"/>
      <c r="E498" s="1116"/>
      <c r="F498" s="1116"/>
      <c r="G498" s="1236"/>
      <c r="H498" s="1116"/>
      <c r="I498" s="1116"/>
      <c r="J498" s="1116"/>
      <c r="K498" s="1148"/>
      <c r="L498" s="1128"/>
      <c r="M498" s="1116"/>
      <c r="N498" s="1116"/>
      <c r="O498" s="1116"/>
      <c r="P498" s="1116"/>
      <c r="Q498" s="1116"/>
      <c r="R498" s="1116"/>
      <c r="S498" s="1116"/>
      <c r="T498" s="1116"/>
    </row>
    <row r="499">
      <c r="A499" s="1116"/>
      <c r="B499" s="1116"/>
      <c r="C499" s="1116"/>
      <c r="D499" s="1116"/>
      <c r="E499" s="1116"/>
      <c r="F499" s="1116"/>
      <c r="G499" s="1236"/>
      <c r="H499" s="1116"/>
      <c r="I499" s="1116"/>
      <c r="J499" s="1116"/>
      <c r="K499" s="1148"/>
      <c r="L499" s="1128"/>
      <c r="M499" s="1116"/>
      <c r="N499" s="1116"/>
      <c r="O499" s="1116"/>
      <c r="P499" s="1116"/>
      <c r="Q499" s="1116"/>
      <c r="R499" s="1116"/>
      <c r="S499" s="1116"/>
      <c r="T499" s="1116"/>
    </row>
    <row r="500">
      <c r="A500" s="1116"/>
      <c r="B500" s="1116"/>
      <c r="C500" s="1116"/>
      <c r="D500" s="1116"/>
      <c r="E500" s="1116"/>
      <c r="F500" s="1116"/>
      <c r="G500" s="1236"/>
      <c r="H500" s="1116"/>
      <c r="I500" s="1116"/>
      <c r="J500" s="1116"/>
      <c r="K500" s="1148"/>
      <c r="L500" s="1128"/>
      <c r="M500" s="1116"/>
      <c r="N500" s="1116"/>
      <c r="O500" s="1116"/>
      <c r="P500" s="1116"/>
      <c r="Q500" s="1116"/>
      <c r="R500" s="1116"/>
      <c r="S500" s="1116"/>
      <c r="T500" s="1116"/>
    </row>
    <row r="501">
      <c r="A501" s="1116"/>
      <c r="B501" s="1116"/>
      <c r="C501" s="1116"/>
      <c r="D501" s="1116"/>
      <c r="E501" s="1116"/>
      <c r="F501" s="1116"/>
      <c r="G501" s="1236"/>
      <c r="H501" s="1116"/>
      <c r="I501" s="1116"/>
      <c r="J501" s="1116"/>
      <c r="K501" s="1148"/>
      <c r="L501" s="1128"/>
      <c r="M501" s="1116"/>
      <c r="N501" s="1116"/>
      <c r="O501" s="1116"/>
      <c r="P501" s="1116"/>
      <c r="Q501" s="1116"/>
      <c r="R501" s="1116"/>
      <c r="S501" s="1116"/>
      <c r="T501" s="1116"/>
    </row>
    <row r="502">
      <c r="A502" s="1116"/>
      <c r="B502" s="1116"/>
      <c r="C502" s="1116"/>
      <c r="D502" s="1116"/>
      <c r="E502" s="1116"/>
      <c r="F502" s="1116"/>
      <c r="G502" s="1236"/>
      <c r="H502" s="1116"/>
      <c r="I502" s="1116"/>
      <c r="J502" s="1116"/>
      <c r="K502" s="1148"/>
      <c r="L502" s="1128"/>
      <c r="M502" s="1116"/>
      <c r="N502" s="1116"/>
      <c r="O502" s="1116"/>
      <c r="P502" s="1116"/>
      <c r="Q502" s="1116"/>
      <c r="R502" s="1116"/>
      <c r="S502" s="1116"/>
      <c r="T502" s="1116"/>
    </row>
    <row r="503">
      <c r="A503" s="1116"/>
      <c r="B503" s="1116"/>
      <c r="C503" s="1116"/>
      <c r="D503" s="1116"/>
      <c r="E503" s="1116"/>
      <c r="F503" s="1116"/>
      <c r="G503" s="1236"/>
      <c r="H503" s="1116"/>
      <c r="I503" s="1116"/>
      <c r="J503" s="1116"/>
      <c r="K503" s="1148"/>
      <c r="L503" s="1128"/>
      <c r="M503" s="1116"/>
      <c r="N503" s="1116"/>
      <c r="O503" s="1116"/>
      <c r="P503" s="1116"/>
      <c r="Q503" s="1116"/>
      <c r="R503" s="1116"/>
      <c r="S503" s="1116"/>
      <c r="T503" s="1116"/>
    </row>
    <row r="504">
      <c r="A504" s="1116"/>
      <c r="B504" s="1116"/>
      <c r="C504" s="1116"/>
      <c r="D504" s="1116"/>
      <c r="E504" s="1116"/>
      <c r="F504" s="1116"/>
      <c r="G504" s="1236"/>
      <c r="H504" s="1116"/>
      <c r="I504" s="1116"/>
      <c r="J504" s="1116"/>
      <c r="K504" s="1148"/>
      <c r="L504" s="1128"/>
      <c r="M504" s="1116"/>
      <c r="N504" s="1116"/>
      <c r="O504" s="1116"/>
      <c r="P504" s="1116"/>
      <c r="Q504" s="1116"/>
      <c r="R504" s="1116"/>
      <c r="S504" s="1116"/>
      <c r="T504" s="1116"/>
    </row>
    <row r="505">
      <c r="A505" s="1116"/>
      <c r="B505" s="1116"/>
      <c r="C505" s="1116"/>
      <c r="D505" s="1116"/>
      <c r="E505" s="1116"/>
      <c r="F505" s="1116"/>
      <c r="G505" s="1236"/>
      <c r="H505" s="1116"/>
      <c r="I505" s="1116"/>
      <c r="J505" s="1116"/>
      <c r="K505" s="1148"/>
      <c r="L505" s="1128"/>
      <c r="M505" s="1116"/>
      <c r="N505" s="1116"/>
      <c r="O505" s="1116"/>
      <c r="P505" s="1116"/>
      <c r="Q505" s="1116"/>
      <c r="R505" s="1116"/>
      <c r="S505" s="1116"/>
      <c r="T505" s="1116"/>
    </row>
    <row r="506">
      <c r="A506" s="1116"/>
      <c r="B506" s="1116"/>
      <c r="C506" s="1116"/>
      <c r="D506" s="1116"/>
      <c r="E506" s="1116"/>
      <c r="F506" s="1116"/>
      <c r="G506" s="1236"/>
      <c r="H506" s="1116"/>
      <c r="I506" s="1116"/>
      <c r="J506" s="1116"/>
      <c r="K506" s="1148"/>
      <c r="L506" s="1128"/>
      <c r="M506" s="1116"/>
      <c r="N506" s="1116"/>
      <c r="O506" s="1116"/>
      <c r="P506" s="1116"/>
      <c r="Q506" s="1116"/>
      <c r="R506" s="1116"/>
      <c r="S506" s="1116"/>
      <c r="T506" s="1116"/>
    </row>
    <row r="507">
      <c r="A507" s="1116"/>
      <c r="B507" s="1116"/>
      <c r="C507" s="1116"/>
      <c r="D507" s="1116"/>
      <c r="E507" s="1116"/>
      <c r="F507" s="1116"/>
      <c r="G507" s="1236"/>
      <c r="H507" s="1116"/>
      <c r="I507" s="1116"/>
      <c r="J507" s="1116"/>
      <c r="K507" s="1148"/>
      <c r="L507" s="1128"/>
      <c r="M507" s="1116"/>
      <c r="N507" s="1116"/>
      <c r="O507" s="1116"/>
      <c r="P507" s="1116"/>
      <c r="Q507" s="1116"/>
      <c r="R507" s="1116"/>
      <c r="S507" s="1116"/>
      <c r="T507" s="1116"/>
    </row>
    <row r="508">
      <c r="A508" s="1116"/>
      <c r="B508" s="1116"/>
      <c r="C508" s="1116"/>
      <c r="D508" s="1116"/>
      <c r="E508" s="1116"/>
      <c r="F508" s="1116"/>
      <c r="G508" s="1236"/>
      <c r="H508" s="1116"/>
      <c r="I508" s="1116"/>
      <c r="J508" s="1116"/>
      <c r="K508" s="1148"/>
      <c r="L508" s="1128"/>
      <c r="M508" s="1116"/>
      <c r="N508" s="1116"/>
      <c r="O508" s="1116"/>
      <c r="P508" s="1116"/>
      <c r="Q508" s="1116"/>
      <c r="R508" s="1116"/>
      <c r="S508" s="1116"/>
      <c r="T508" s="1116"/>
    </row>
    <row r="509">
      <c r="A509" s="1116"/>
      <c r="B509" s="1116"/>
      <c r="C509" s="1116"/>
      <c r="D509" s="1116"/>
      <c r="E509" s="1116"/>
      <c r="F509" s="1116"/>
      <c r="G509" s="1236"/>
      <c r="H509" s="1116"/>
      <c r="I509" s="1116"/>
      <c r="J509" s="1116"/>
      <c r="K509" s="1148"/>
      <c r="L509" s="1128"/>
      <c r="M509" s="1116"/>
      <c r="N509" s="1116"/>
      <c r="O509" s="1116"/>
      <c r="P509" s="1116"/>
      <c r="Q509" s="1116"/>
      <c r="R509" s="1116"/>
      <c r="S509" s="1116"/>
      <c r="T509" s="1116"/>
    </row>
    <row r="510">
      <c r="A510" s="1116"/>
      <c r="B510" s="1116"/>
      <c r="C510" s="1116"/>
      <c r="D510" s="1116"/>
      <c r="E510" s="1116"/>
      <c r="F510" s="1116"/>
      <c r="G510" s="1236"/>
      <c r="H510" s="1116"/>
      <c r="I510" s="1116"/>
      <c r="J510" s="1116"/>
      <c r="K510" s="1148"/>
      <c r="L510" s="1128"/>
      <c r="M510" s="1116"/>
      <c r="N510" s="1116"/>
      <c r="O510" s="1116"/>
      <c r="P510" s="1116"/>
      <c r="Q510" s="1116"/>
      <c r="R510" s="1116"/>
      <c r="S510" s="1116"/>
      <c r="T510" s="1116"/>
    </row>
    <row r="511">
      <c r="A511" s="1116"/>
      <c r="B511" s="1116"/>
      <c r="C511" s="1116"/>
      <c r="D511" s="1116"/>
      <c r="E511" s="1116"/>
      <c r="F511" s="1116"/>
      <c r="G511" s="1236"/>
      <c r="H511" s="1116"/>
      <c r="I511" s="1116"/>
      <c r="J511" s="1116"/>
      <c r="K511" s="1148"/>
      <c r="L511" s="1128"/>
      <c r="M511" s="1116"/>
      <c r="N511" s="1116"/>
      <c r="O511" s="1116"/>
      <c r="P511" s="1116"/>
      <c r="Q511" s="1116"/>
      <c r="R511" s="1116"/>
      <c r="S511" s="1116"/>
      <c r="T511" s="1116"/>
    </row>
    <row r="512">
      <c r="A512" s="1116"/>
      <c r="B512" s="1116"/>
      <c r="C512" s="1116"/>
      <c r="D512" s="1116"/>
      <c r="E512" s="1116"/>
      <c r="F512" s="1116"/>
      <c r="G512" s="1236"/>
      <c r="H512" s="1116"/>
      <c r="I512" s="1116"/>
      <c r="J512" s="1116"/>
      <c r="K512" s="1148"/>
      <c r="L512" s="1128"/>
      <c r="M512" s="1116"/>
      <c r="N512" s="1116"/>
      <c r="O512" s="1116"/>
      <c r="P512" s="1116"/>
      <c r="Q512" s="1116"/>
      <c r="R512" s="1116"/>
      <c r="S512" s="1116"/>
      <c r="T512" s="1116"/>
    </row>
    <row r="513">
      <c r="A513" s="1116"/>
      <c r="B513" s="1116"/>
      <c r="C513" s="1116"/>
      <c r="D513" s="1116"/>
      <c r="E513" s="1116"/>
      <c r="F513" s="1116"/>
      <c r="G513" s="1236"/>
      <c r="H513" s="1116"/>
      <c r="I513" s="1116"/>
      <c r="J513" s="1116"/>
      <c r="K513" s="1148"/>
      <c r="L513" s="1128"/>
      <c r="M513" s="1116"/>
      <c r="N513" s="1116"/>
      <c r="O513" s="1116"/>
      <c r="P513" s="1116"/>
      <c r="Q513" s="1116"/>
      <c r="R513" s="1116"/>
      <c r="S513" s="1116"/>
      <c r="T513" s="1116"/>
    </row>
    <row r="514">
      <c r="A514" s="1116"/>
      <c r="B514" s="1116"/>
      <c r="C514" s="1116"/>
      <c r="D514" s="1116"/>
      <c r="E514" s="1116"/>
      <c r="F514" s="1116"/>
      <c r="G514" s="1236"/>
      <c r="H514" s="1116"/>
      <c r="I514" s="1116"/>
      <c r="J514" s="1116"/>
      <c r="K514" s="1148"/>
      <c r="L514" s="1128"/>
      <c r="M514" s="1116"/>
      <c r="N514" s="1116"/>
      <c r="O514" s="1116"/>
      <c r="P514" s="1116"/>
      <c r="Q514" s="1116"/>
      <c r="R514" s="1116"/>
      <c r="S514" s="1116"/>
      <c r="T514" s="1116"/>
    </row>
    <row r="515">
      <c r="A515" s="1116"/>
      <c r="B515" s="1116"/>
      <c r="C515" s="1116"/>
      <c r="D515" s="1116"/>
      <c r="E515" s="1116"/>
      <c r="F515" s="1116"/>
      <c r="G515" s="1236"/>
      <c r="H515" s="1116"/>
      <c r="I515" s="1116"/>
      <c r="J515" s="1116"/>
      <c r="K515" s="1148"/>
      <c r="L515" s="1128"/>
      <c r="M515" s="1116"/>
      <c r="N515" s="1116"/>
      <c r="O515" s="1116"/>
      <c r="P515" s="1116"/>
      <c r="Q515" s="1116"/>
      <c r="R515" s="1116"/>
      <c r="S515" s="1116"/>
      <c r="T515" s="1116"/>
    </row>
    <row r="516">
      <c r="A516" s="1116"/>
      <c r="B516" s="1116"/>
      <c r="C516" s="1116"/>
      <c r="D516" s="1116"/>
      <c r="E516" s="1116"/>
      <c r="F516" s="1116"/>
      <c r="G516" s="1236"/>
      <c r="H516" s="1116"/>
      <c r="I516" s="1116"/>
      <c r="J516" s="1116"/>
      <c r="K516" s="1148"/>
      <c r="L516" s="1128"/>
      <c r="M516" s="1116"/>
      <c r="N516" s="1116"/>
      <c r="O516" s="1116"/>
      <c r="P516" s="1116"/>
      <c r="Q516" s="1116"/>
      <c r="R516" s="1116"/>
      <c r="S516" s="1116"/>
      <c r="T516" s="1116"/>
    </row>
    <row r="517">
      <c r="A517" s="1116"/>
      <c r="B517" s="1116"/>
      <c r="C517" s="1116"/>
      <c r="D517" s="1116"/>
      <c r="E517" s="1116"/>
      <c r="F517" s="1116"/>
      <c r="G517" s="1236"/>
      <c r="H517" s="1116"/>
      <c r="I517" s="1116"/>
      <c r="J517" s="1116"/>
      <c r="K517" s="1148"/>
      <c r="L517" s="1128"/>
      <c r="M517" s="1116"/>
      <c r="N517" s="1116"/>
      <c r="O517" s="1116"/>
      <c r="P517" s="1116"/>
      <c r="Q517" s="1116"/>
      <c r="R517" s="1116"/>
      <c r="S517" s="1116"/>
      <c r="T517" s="1116"/>
    </row>
    <row r="518">
      <c r="A518" s="1116"/>
      <c r="B518" s="1116"/>
      <c r="C518" s="1116"/>
      <c r="D518" s="1116"/>
      <c r="E518" s="1116"/>
      <c r="F518" s="1116"/>
      <c r="G518" s="1236"/>
      <c r="H518" s="1116"/>
      <c r="I518" s="1116"/>
      <c r="J518" s="1116"/>
      <c r="K518" s="1148"/>
      <c r="L518" s="1128"/>
      <c r="M518" s="1116"/>
      <c r="N518" s="1116"/>
      <c r="O518" s="1116"/>
      <c r="P518" s="1116"/>
      <c r="Q518" s="1116"/>
      <c r="R518" s="1116"/>
      <c r="S518" s="1116"/>
      <c r="T518" s="1116"/>
    </row>
    <row r="519">
      <c r="A519" s="1116"/>
      <c r="B519" s="1116"/>
      <c r="C519" s="1116"/>
      <c r="D519" s="1116"/>
      <c r="E519" s="1116"/>
      <c r="F519" s="1116"/>
      <c r="G519" s="1236"/>
      <c r="H519" s="1116"/>
      <c r="I519" s="1116"/>
      <c r="J519" s="1116"/>
      <c r="K519" s="1148"/>
      <c r="L519" s="1128"/>
      <c r="M519" s="1116"/>
      <c r="N519" s="1116"/>
      <c r="O519" s="1116"/>
      <c r="P519" s="1116"/>
      <c r="Q519" s="1116"/>
      <c r="R519" s="1116"/>
      <c r="S519" s="1116"/>
      <c r="T519" s="1116"/>
    </row>
    <row r="520">
      <c r="A520" s="1116"/>
      <c r="B520" s="1116"/>
      <c r="C520" s="1116"/>
      <c r="D520" s="1116"/>
      <c r="E520" s="1116"/>
      <c r="F520" s="1116"/>
      <c r="G520" s="1236"/>
      <c r="H520" s="1116"/>
      <c r="I520" s="1116"/>
      <c r="J520" s="1116"/>
      <c r="K520" s="1148"/>
      <c r="L520" s="1128"/>
      <c r="M520" s="1116"/>
      <c r="N520" s="1116"/>
      <c r="O520" s="1116"/>
      <c r="P520" s="1116"/>
      <c r="Q520" s="1116"/>
      <c r="R520" s="1116"/>
      <c r="S520" s="1116"/>
      <c r="T520" s="1116"/>
    </row>
    <row r="521">
      <c r="A521" s="1116"/>
      <c r="B521" s="1116"/>
      <c r="C521" s="1116"/>
      <c r="D521" s="1116"/>
      <c r="E521" s="1116"/>
      <c r="F521" s="1116"/>
      <c r="G521" s="1236"/>
      <c r="H521" s="1116"/>
      <c r="I521" s="1116"/>
      <c r="J521" s="1116"/>
      <c r="K521" s="1148"/>
      <c r="L521" s="1128"/>
      <c r="M521" s="1116"/>
      <c r="N521" s="1116"/>
      <c r="O521" s="1116"/>
      <c r="P521" s="1116"/>
      <c r="Q521" s="1116"/>
      <c r="R521" s="1116"/>
      <c r="S521" s="1116"/>
      <c r="T521" s="1116"/>
    </row>
    <row r="522">
      <c r="A522" s="1116"/>
      <c r="B522" s="1116"/>
      <c r="C522" s="1116"/>
      <c r="D522" s="1116"/>
      <c r="E522" s="1116"/>
      <c r="F522" s="1116"/>
      <c r="G522" s="1236"/>
      <c r="H522" s="1116"/>
      <c r="I522" s="1116"/>
      <c r="J522" s="1116"/>
      <c r="K522" s="1148"/>
      <c r="L522" s="1128"/>
      <c r="M522" s="1116"/>
      <c r="N522" s="1116"/>
      <c r="O522" s="1116"/>
      <c r="P522" s="1116"/>
      <c r="Q522" s="1116"/>
      <c r="R522" s="1116"/>
      <c r="S522" s="1116"/>
      <c r="T522" s="1116"/>
    </row>
    <row r="523">
      <c r="A523" s="1116"/>
      <c r="B523" s="1116"/>
      <c r="C523" s="1116"/>
      <c r="D523" s="1116"/>
      <c r="E523" s="1116"/>
      <c r="F523" s="1116"/>
      <c r="G523" s="1236"/>
      <c r="H523" s="1116"/>
      <c r="I523" s="1116"/>
      <c r="J523" s="1116"/>
      <c r="K523" s="1148"/>
      <c r="L523" s="1128"/>
      <c r="M523" s="1116"/>
      <c r="N523" s="1116"/>
      <c r="O523" s="1116"/>
      <c r="P523" s="1116"/>
      <c r="Q523" s="1116"/>
      <c r="R523" s="1116"/>
      <c r="S523" s="1116"/>
      <c r="T523" s="1116"/>
    </row>
    <row r="524">
      <c r="A524" s="1116"/>
      <c r="B524" s="1116"/>
      <c r="C524" s="1116"/>
      <c r="D524" s="1116"/>
      <c r="E524" s="1116"/>
      <c r="F524" s="1116"/>
      <c r="G524" s="1236"/>
      <c r="H524" s="1116"/>
      <c r="I524" s="1116"/>
      <c r="J524" s="1116"/>
      <c r="K524" s="1148"/>
      <c r="L524" s="1128"/>
      <c r="M524" s="1116"/>
      <c r="N524" s="1116"/>
      <c r="O524" s="1116"/>
      <c r="P524" s="1116"/>
      <c r="Q524" s="1116"/>
      <c r="R524" s="1116"/>
      <c r="S524" s="1116"/>
      <c r="T524" s="1116"/>
    </row>
    <row r="525">
      <c r="A525" s="1116"/>
      <c r="B525" s="1116"/>
      <c r="C525" s="1116"/>
      <c r="D525" s="1116"/>
      <c r="E525" s="1116"/>
      <c r="F525" s="1116"/>
      <c r="G525" s="1236"/>
      <c r="H525" s="1116"/>
      <c r="I525" s="1116"/>
      <c r="J525" s="1116"/>
      <c r="K525" s="1148"/>
      <c r="L525" s="1128"/>
      <c r="M525" s="1116"/>
      <c r="N525" s="1116"/>
      <c r="O525" s="1116"/>
      <c r="P525" s="1116"/>
      <c r="Q525" s="1116"/>
      <c r="R525" s="1116"/>
      <c r="S525" s="1116"/>
      <c r="T525" s="1116"/>
    </row>
    <row r="526">
      <c r="A526" s="1116"/>
      <c r="B526" s="1116"/>
      <c r="C526" s="1116"/>
      <c r="D526" s="1116"/>
      <c r="E526" s="1116"/>
      <c r="F526" s="1116"/>
      <c r="G526" s="1236"/>
      <c r="H526" s="1116"/>
      <c r="I526" s="1116"/>
      <c r="J526" s="1116"/>
      <c r="K526" s="1148"/>
      <c r="L526" s="1128"/>
      <c r="M526" s="1116"/>
      <c r="N526" s="1116"/>
      <c r="O526" s="1116"/>
      <c r="P526" s="1116"/>
      <c r="Q526" s="1116"/>
      <c r="R526" s="1116"/>
      <c r="S526" s="1116"/>
      <c r="T526" s="1116"/>
    </row>
    <row r="527">
      <c r="A527" s="1116"/>
      <c r="B527" s="1116"/>
      <c r="C527" s="1116"/>
      <c r="D527" s="1116"/>
      <c r="E527" s="1116"/>
      <c r="F527" s="1116"/>
      <c r="G527" s="1236"/>
      <c r="H527" s="1116"/>
      <c r="I527" s="1116"/>
      <c r="J527" s="1116"/>
      <c r="K527" s="1148"/>
      <c r="L527" s="1128"/>
      <c r="M527" s="1116"/>
      <c r="N527" s="1116"/>
      <c r="O527" s="1116"/>
      <c r="P527" s="1116"/>
      <c r="Q527" s="1116"/>
      <c r="R527" s="1116"/>
      <c r="S527" s="1116"/>
      <c r="T527" s="1116"/>
    </row>
    <row r="528">
      <c r="A528" s="1116"/>
      <c r="B528" s="1116"/>
      <c r="C528" s="1116"/>
      <c r="D528" s="1116"/>
      <c r="E528" s="1116"/>
      <c r="F528" s="1116"/>
      <c r="G528" s="1236"/>
      <c r="H528" s="1116"/>
      <c r="I528" s="1116"/>
      <c r="J528" s="1116"/>
      <c r="K528" s="1148"/>
      <c r="L528" s="1128"/>
      <c r="M528" s="1116"/>
      <c r="N528" s="1116"/>
      <c r="O528" s="1116"/>
      <c r="P528" s="1116"/>
      <c r="Q528" s="1116"/>
      <c r="R528" s="1116"/>
      <c r="S528" s="1116"/>
      <c r="T528" s="1116"/>
    </row>
    <row r="529">
      <c r="A529" s="1116"/>
      <c r="B529" s="1116"/>
      <c r="C529" s="1116"/>
      <c r="D529" s="1116"/>
      <c r="E529" s="1116"/>
      <c r="F529" s="1116"/>
      <c r="G529" s="1236"/>
      <c r="H529" s="1116"/>
      <c r="I529" s="1116"/>
      <c r="J529" s="1116"/>
      <c r="K529" s="1148"/>
      <c r="L529" s="1128"/>
      <c r="M529" s="1116"/>
      <c r="N529" s="1116"/>
      <c r="O529" s="1116"/>
      <c r="P529" s="1116"/>
      <c r="Q529" s="1116"/>
      <c r="R529" s="1116"/>
      <c r="S529" s="1116"/>
      <c r="T529" s="1116"/>
    </row>
    <row r="530">
      <c r="A530" s="1116"/>
      <c r="B530" s="1116"/>
      <c r="C530" s="1116"/>
      <c r="D530" s="1116"/>
      <c r="E530" s="1116"/>
      <c r="F530" s="1116"/>
      <c r="G530" s="1236"/>
      <c r="H530" s="1116"/>
      <c r="I530" s="1116"/>
      <c r="J530" s="1116"/>
      <c r="K530" s="1148"/>
      <c r="L530" s="1128"/>
      <c r="M530" s="1116"/>
      <c r="N530" s="1116"/>
      <c r="O530" s="1116"/>
      <c r="P530" s="1116"/>
      <c r="Q530" s="1116"/>
      <c r="R530" s="1116"/>
      <c r="S530" s="1116"/>
      <c r="T530" s="1116"/>
    </row>
    <row r="531">
      <c r="A531" s="1116"/>
      <c r="B531" s="1116"/>
      <c r="C531" s="1116"/>
      <c r="D531" s="1116"/>
      <c r="E531" s="1116"/>
      <c r="F531" s="1116"/>
      <c r="G531" s="1236"/>
      <c r="H531" s="1116"/>
      <c r="I531" s="1116"/>
      <c r="J531" s="1116"/>
      <c r="K531" s="1148"/>
      <c r="L531" s="1128"/>
      <c r="M531" s="1116"/>
      <c r="N531" s="1116"/>
      <c r="O531" s="1116"/>
      <c r="P531" s="1116"/>
      <c r="Q531" s="1116"/>
      <c r="R531" s="1116"/>
      <c r="S531" s="1116"/>
      <c r="T531" s="1116"/>
    </row>
    <row r="532">
      <c r="A532" s="1116"/>
      <c r="B532" s="1116"/>
      <c r="C532" s="1116"/>
      <c r="D532" s="1116"/>
      <c r="E532" s="1116"/>
      <c r="F532" s="1116"/>
      <c r="G532" s="1236"/>
      <c r="H532" s="1116"/>
      <c r="I532" s="1116"/>
      <c r="J532" s="1116"/>
      <c r="K532" s="1148"/>
      <c r="L532" s="1128"/>
      <c r="M532" s="1116"/>
      <c r="N532" s="1116"/>
      <c r="O532" s="1116"/>
      <c r="P532" s="1116"/>
      <c r="Q532" s="1116"/>
      <c r="R532" s="1116"/>
      <c r="S532" s="1116"/>
      <c r="T532" s="1116"/>
    </row>
    <row r="533">
      <c r="A533" s="1116"/>
      <c r="B533" s="1116"/>
      <c r="C533" s="1116"/>
      <c r="D533" s="1116"/>
      <c r="E533" s="1116"/>
      <c r="F533" s="1116"/>
      <c r="G533" s="1236"/>
      <c r="H533" s="1116"/>
      <c r="I533" s="1116"/>
      <c r="J533" s="1116"/>
      <c r="K533" s="1148"/>
      <c r="L533" s="1128"/>
      <c r="M533" s="1116"/>
      <c r="N533" s="1116"/>
      <c r="O533" s="1116"/>
      <c r="P533" s="1116"/>
      <c r="Q533" s="1116"/>
      <c r="R533" s="1116"/>
      <c r="S533" s="1116"/>
      <c r="T533" s="1116"/>
    </row>
    <row r="534">
      <c r="A534" s="1116"/>
      <c r="B534" s="1116"/>
      <c r="C534" s="1116"/>
      <c r="D534" s="1116"/>
      <c r="E534" s="1116"/>
      <c r="F534" s="1116"/>
      <c r="G534" s="1236"/>
      <c r="H534" s="1116"/>
      <c r="I534" s="1116"/>
      <c r="J534" s="1116"/>
      <c r="K534" s="1148"/>
      <c r="L534" s="1128"/>
      <c r="M534" s="1116"/>
      <c r="N534" s="1116"/>
      <c r="O534" s="1116"/>
      <c r="P534" s="1116"/>
      <c r="Q534" s="1116"/>
      <c r="R534" s="1116"/>
      <c r="S534" s="1116"/>
      <c r="T534" s="1116"/>
    </row>
    <row r="535">
      <c r="A535" s="1116"/>
      <c r="B535" s="1116"/>
      <c r="C535" s="1116"/>
      <c r="D535" s="1116"/>
      <c r="E535" s="1116"/>
      <c r="F535" s="1116"/>
      <c r="G535" s="1236"/>
      <c r="H535" s="1116"/>
      <c r="I535" s="1116"/>
      <c r="J535" s="1116"/>
      <c r="K535" s="1148"/>
      <c r="L535" s="1128"/>
      <c r="M535" s="1116"/>
      <c r="N535" s="1116"/>
      <c r="O535" s="1116"/>
      <c r="P535" s="1116"/>
      <c r="Q535" s="1116"/>
      <c r="R535" s="1116"/>
      <c r="S535" s="1116"/>
      <c r="T535" s="1116"/>
    </row>
    <row r="536">
      <c r="A536" s="1116"/>
      <c r="B536" s="1116"/>
      <c r="C536" s="1116"/>
      <c r="D536" s="1116"/>
      <c r="E536" s="1116"/>
      <c r="F536" s="1116"/>
      <c r="G536" s="1236"/>
      <c r="H536" s="1116"/>
      <c r="I536" s="1116"/>
      <c r="J536" s="1116"/>
      <c r="K536" s="1148"/>
      <c r="L536" s="1128"/>
      <c r="M536" s="1116"/>
      <c r="N536" s="1116"/>
      <c r="O536" s="1116"/>
      <c r="P536" s="1116"/>
      <c r="Q536" s="1116"/>
      <c r="R536" s="1116"/>
      <c r="S536" s="1116"/>
      <c r="T536" s="1116"/>
    </row>
    <row r="537">
      <c r="A537" s="1116"/>
      <c r="B537" s="1116"/>
      <c r="C537" s="1116"/>
      <c r="D537" s="1116"/>
      <c r="E537" s="1116"/>
      <c r="F537" s="1116"/>
      <c r="G537" s="1236"/>
      <c r="H537" s="1116"/>
      <c r="I537" s="1116"/>
      <c r="J537" s="1116"/>
      <c r="K537" s="1148"/>
      <c r="L537" s="1128"/>
      <c r="M537" s="1116"/>
      <c r="N537" s="1116"/>
      <c r="O537" s="1116"/>
      <c r="P537" s="1116"/>
      <c r="Q537" s="1116"/>
      <c r="R537" s="1116"/>
      <c r="S537" s="1116"/>
      <c r="T537" s="1116"/>
    </row>
    <row r="538">
      <c r="A538" s="1116"/>
      <c r="B538" s="1116"/>
      <c r="C538" s="1116"/>
      <c r="D538" s="1116"/>
      <c r="E538" s="1116"/>
      <c r="F538" s="1116"/>
      <c r="G538" s="1236"/>
      <c r="H538" s="1116"/>
      <c r="I538" s="1116"/>
      <c r="J538" s="1116"/>
      <c r="K538" s="1148"/>
      <c r="L538" s="1128"/>
      <c r="M538" s="1116"/>
      <c r="N538" s="1116"/>
      <c r="O538" s="1116"/>
      <c r="P538" s="1116"/>
      <c r="Q538" s="1116"/>
      <c r="R538" s="1116"/>
      <c r="S538" s="1116"/>
      <c r="T538" s="1116"/>
    </row>
    <row r="539">
      <c r="A539" s="1116"/>
      <c r="B539" s="1116"/>
      <c r="C539" s="1116"/>
      <c r="D539" s="1116"/>
      <c r="E539" s="1116"/>
      <c r="F539" s="1116"/>
      <c r="G539" s="1236"/>
      <c r="H539" s="1116"/>
      <c r="I539" s="1116"/>
      <c r="J539" s="1116"/>
      <c r="K539" s="1148"/>
      <c r="L539" s="1128"/>
      <c r="M539" s="1116"/>
      <c r="N539" s="1116"/>
      <c r="O539" s="1116"/>
      <c r="P539" s="1116"/>
      <c r="Q539" s="1116"/>
      <c r="R539" s="1116"/>
      <c r="S539" s="1116"/>
      <c r="T539" s="1116"/>
    </row>
    <row r="540">
      <c r="A540" s="1116"/>
      <c r="B540" s="1116"/>
      <c r="C540" s="1116"/>
      <c r="D540" s="1116"/>
      <c r="E540" s="1116"/>
      <c r="F540" s="1116"/>
      <c r="G540" s="1236"/>
      <c r="H540" s="1116"/>
      <c r="I540" s="1116"/>
      <c r="J540" s="1116"/>
      <c r="K540" s="1148"/>
      <c r="L540" s="1128"/>
      <c r="M540" s="1116"/>
      <c r="N540" s="1116"/>
      <c r="O540" s="1116"/>
      <c r="P540" s="1116"/>
      <c r="Q540" s="1116"/>
      <c r="R540" s="1116"/>
      <c r="S540" s="1116"/>
      <c r="T540" s="1116"/>
    </row>
    <row r="541">
      <c r="A541" s="1116"/>
      <c r="B541" s="1116"/>
      <c r="C541" s="1116"/>
      <c r="D541" s="1116"/>
      <c r="E541" s="1116"/>
      <c r="F541" s="1116"/>
      <c r="G541" s="1236"/>
      <c r="H541" s="1116"/>
      <c r="I541" s="1116"/>
      <c r="J541" s="1116"/>
      <c r="K541" s="1148"/>
      <c r="L541" s="1128"/>
      <c r="M541" s="1116"/>
      <c r="N541" s="1116"/>
      <c r="O541" s="1116"/>
      <c r="P541" s="1116"/>
      <c r="Q541" s="1116"/>
      <c r="R541" s="1116"/>
      <c r="S541" s="1116"/>
      <c r="T541" s="1116"/>
    </row>
    <row r="542">
      <c r="A542" s="1116"/>
      <c r="B542" s="1116"/>
      <c r="C542" s="1116"/>
      <c r="D542" s="1116"/>
      <c r="E542" s="1116"/>
      <c r="F542" s="1116"/>
      <c r="G542" s="1236"/>
      <c r="H542" s="1116"/>
      <c r="I542" s="1116"/>
      <c r="J542" s="1116"/>
      <c r="K542" s="1148"/>
      <c r="L542" s="1128"/>
      <c r="M542" s="1116"/>
      <c r="N542" s="1116"/>
      <c r="O542" s="1116"/>
      <c r="P542" s="1116"/>
      <c r="Q542" s="1116"/>
      <c r="R542" s="1116"/>
      <c r="S542" s="1116"/>
      <c r="T542" s="1116"/>
    </row>
    <row r="543">
      <c r="A543" s="1116"/>
      <c r="B543" s="1116"/>
      <c r="C543" s="1116"/>
      <c r="D543" s="1116"/>
      <c r="E543" s="1116"/>
      <c r="F543" s="1116"/>
      <c r="G543" s="1236"/>
      <c r="H543" s="1116"/>
      <c r="I543" s="1116"/>
      <c r="J543" s="1116"/>
      <c r="K543" s="1148"/>
      <c r="L543" s="1128"/>
      <c r="M543" s="1116"/>
      <c r="N543" s="1116"/>
      <c r="O543" s="1116"/>
      <c r="P543" s="1116"/>
      <c r="Q543" s="1116"/>
      <c r="R543" s="1116"/>
      <c r="S543" s="1116"/>
      <c r="T543" s="1116"/>
    </row>
    <row r="544">
      <c r="A544" s="1116"/>
      <c r="B544" s="1116"/>
      <c r="C544" s="1116"/>
      <c r="D544" s="1116"/>
      <c r="E544" s="1116"/>
      <c r="F544" s="1116"/>
      <c r="G544" s="1236"/>
      <c r="H544" s="1116"/>
      <c r="I544" s="1116"/>
      <c r="J544" s="1116"/>
      <c r="K544" s="1148"/>
      <c r="L544" s="1128"/>
      <c r="M544" s="1116"/>
      <c r="N544" s="1116"/>
      <c r="O544" s="1116"/>
      <c r="P544" s="1116"/>
      <c r="Q544" s="1116"/>
      <c r="R544" s="1116"/>
      <c r="S544" s="1116"/>
      <c r="T544" s="1116"/>
    </row>
    <row r="545">
      <c r="A545" s="1116"/>
      <c r="B545" s="1116"/>
      <c r="C545" s="1116"/>
      <c r="D545" s="1116"/>
      <c r="E545" s="1116"/>
      <c r="F545" s="1116"/>
      <c r="G545" s="1236"/>
      <c r="H545" s="1116"/>
      <c r="I545" s="1116"/>
      <c r="J545" s="1116"/>
      <c r="K545" s="1148"/>
      <c r="L545" s="1128"/>
      <c r="M545" s="1116"/>
      <c r="N545" s="1116"/>
      <c r="O545" s="1116"/>
      <c r="P545" s="1116"/>
      <c r="Q545" s="1116"/>
      <c r="R545" s="1116"/>
      <c r="S545" s="1116"/>
      <c r="T545" s="1116"/>
    </row>
    <row r="546">
      <c r="A546" s="1116"/>
      <c r="B546" s="1116"/>
      <c r="C546" s="1116"/>
      <c r="D546" s="1116"/>
      <c r="E546" s="1116"/>
      <c r="F546" s="1116"/>
      <c r="G546" s="1236"/>
      <c r="H546" s="1116"/>
      <c r="I546" s="1116"/>
      <c r="J546" s="1116"/>
      <c r="K546" s="1148"/>
      <c r="L546" s="1128"/>
      <c r="M546" s="1116"/>
      <c r="N546" s="1116"/>
      <c r="O546" s="1116"/>
      <c r="P546" s="1116"/>
      <c r="Q546" s="1116"/>
      <c r="R546" s="1116"/>
      <c r="S546" s="1116"/>
      <c r="T546" s="1116"/>
    </row>
    <row r="547">
      <c r="A547" s="1116"/>
      <c r="B547" s="1116"/>
      <c r="C547" s="1116"/>
      <c r="D547" s="1116"/>
      <c r="E547" s="1116"/>
      <c r="F547" s="1116"/>
      <c r="G547" s="1236"/>
      <c r="H547" s="1116"/>
      <c r="I547" s="1116"/>
      <c r="J547" s="1116"/>
      <c r="K547" s="1148"/>
      <c r="L547" s="1128"/>
      <c r="M547" s="1116"/>
      <c r="N547" s="1116"/>
      <c r="O547" s="1116"/>
      <c r="P547" s="1116"/>
      <c r="Q547" s="1116"/>
      <c r="R547" s="1116"/>
      <c r="S547" s="1116"/>
      <c r="T547" s="1116"/>
    </row>
    <row r="548">
      <c r="A548" s="1116"/>
      <c r="B548" s="1116"/>
      <c r="C548" s="1116"/>
      <c r="D548" s="1116"/>
      <c r="E548" s="1116"/>
      <c r="F548" s="1116"/>
      <c r="G548" s="1236"/>
      <c r="H548" s="1116"/>
      <c r="I548" s="1116"/>
      <c r="J548" s="1116"/>
      <c r="K548" s="1148"/>
      <c r="L548" s="1128"/>
      <c r="M548" s="1116"/>
      <c r="N548" s="1116"/>
      <c r="O548" s="1116"/>
      <c r="P548" s="1116"/>
      <c r="Q548" s="1116"/>
      <c r="R548" s="1116"/>
      <c r="S548" s="1116"/>
      <c r="T548" s="1116"/>
    </row>
    <row r="549">
      <c r="A549" s="1116"/>
      <c r="B549" s="1116"/>
      <c r="C549" s="1116"/>
      <c r="D549" s="1116"/>
      <c r="E549" s="1116"/>
      <c r="F549" s="1116"/>
      <c r="G549" s="1236"/>
      <c r="H549" s="1116"/>
      <c r="I549" s="1116"/>
      <c r="J549" s="1116"/>
      <c r="K549" s="1148"/>
      <c r="L549" s="1128"/>
      <c r="M549" s="1116"/>
      <c r="N549" s="1116"/>
      <c r="O549" s="1116"/>
      <c r="P549" s="1116"/>
      <c r="Q549" s="1116"/>
      <c r="R549" s="1116"/>
      <c r="S549" s="1116"/>
      <c r="T549" s="1116"/>
    </row>
    <row r="550">
      <c r="A550" s="1116"/>
      <c r="B550" s="1116"/>
      <c r="C550" s="1116"/>
      <c r="D550" s="1116"/>
      <c r="E550" s="1116"/>
      <c r="F550" s="1116"/>
      <c r="G550" s="1236"/>
      <c r="H550" s="1116"/>
      <c r="I550" s="1116"/>
      <c r="J550" s="1116"/>
      <c r="K550" s="1148"/>
      <c r="L550" s="1128"/>
      <c r="M550" s="1116"/>
      <c r="N550" s="1116"/>
      <c r="O550" s="1116"/>
      <c r="P550" s="1116"/>
      <c r="Q550" s="1116"/>
      <c r="R550" s="1116"/>
      <c r="S550" s="1116"/>
      <c r="T550" s="1116"/>
    </row>
    <row r="551">
      <c r="A551" s="1116"/>
      <c r="B551" s="1116"/>
      <c r="C551" s="1116"/>
      <c r="D551" s="1116"/>
      <c r="E551" s="1116"/>
      <c r="F551" s="1116"/>
      <c r="G551" s="1236"/>
      <c r="H551" s="1116"/>
      <c r="I551" s="1116"/>
      <c r="J551" s="1116"/>
      <c r="K551" s="1148"/>
      <c r="L551" s="1128"/>
      <c r="M551" s="1116"/>
      <c r="N551" s="1116"/>
      <c r="O551" s="1116"/>
      <c r="P551" s="1116"/>
      <c r="Q551" s="1116"/>
      <c r="R551" s="1116"/>
      <c r="S551" s="1116"/>
      <c r="T551" s="1116"/>
    </row>
    <row r="552">
      <c r="A552" s="1116"/>
      <c r="B552" s="1116"/>
      <c r="C552" s="1116"/>
      <c r="D552" s="1116"/>
      <c r="E552" s="1116"/>
      <c r="F552" s="1116"/>
      <c r="G552" s="1236"/>
      <c r="H552" s="1116"/>
      <c r="I552" s="1116"/>
      <c r="J552" s="1116"/>
      <c r="K552" s="1148"/>
      <c r="L552" s="1128"/>
      <c r="M552" s="1116"/>
      <c r="N552" s="1116"/>
      <c r="O552" s="1116"/>
      <c r="P552" s="1116"/>
      <c r="Q552" s="1116"/>
      <c r="R552" s="1116"/>
      <c r="S552" s="1116"/>
      <c r="T552" s="1116"/>
    </row>
    <row r="553">
      <c r="A553" s="1116"/>
      <c r="B553" s="1116"/>
      <c r="C553" s="1116"/>
      <c r="D553" s="1116"/>
      <c r="E553" s="1116"/>
      <c r="F553" s="1116"/>
      <c r="G553" s="1236"/>
      <c r="H553" s="1116"/>
      <c r="I553" s="1116"/>
      <c r="J553" s="1116"/>
      <c r="K553" s="1148"/>
      <c r="L553" s="1128"/>
      <c r="M553" s="1116"/>
      <c r="N553" s="1116"/>
      <c r="O553" s="1116"/>
      <c r="P553" s="1116"/>
      <c r="Q553" s="1116"/>
      <c r="R553" s="1116"/>
      <c r="S553" s="1116"/>
      <c r="T553" s="1116"/>
    </row>
    <row r="554">
      <c r="A554" s="1116"/>
      <c r="B554" s="1116"/>
      <c r="C554" s="1116"/>
      <c r="D554" s="1116"/>
      <c r="E554" s="1116"/>
      <c r="F554" s="1116"/>
      <c r="G554" s="1236"/>
      <c r="H554" s="1116"/>
      <c r="I554" s="1116"/>
      <c r="J554" s="1116"/>
      <c r="K554" s="1148"/>
      <c r="L554" s="1128"/>
      <c r="M554" s="1116"/>
      <c r="N554" s="1116"/>
      <c r="O554" s="1116"/>
      <c r="P554" s="1116"/>
      <c r="Q554" s="1116"/>
      <c r="R554" s="1116"/>
      <c r="S554" s="1116"/>
      <c r="T554" s="1116"/>
    </row>
    <row r="555">
      <c r="A555" s="1116"/>
      <c r="B555" s="1116"/>
      <c r="C555" s="1116"/>
      <c r="D555" s="1116"/>
      <c r="E555" s="1116"/>
      <c r="F555" s="1116"/>
      <c r="G555" s="1236"/>
      <c r="H555" s="1116"/>
      <c r="I555" s="1116"/>
      <c r="J555" s="1116"/>
      <c r="K555" s="1148"/>
      <c r="L555" s="1128"/>
      <c r="M555" s="1116"/>
      <c r="N555" s="1116"/>
      <c r="O555" s="1116"/>
      <c r="P555" s="1116"/>
      <c r="Q555" s="1116"/>
      <c r="R555" s="1116"/>
      <c r="S555" s="1116"/>
      <c r="T555" s="1116"/>
    </row>
    <row r="556">
      <c r="A556" s="1116"/>
      <c r="B556" s="1116"/>
      <c r="C556" s="1116"/>
      <c r="D556" s="1116"/>
      <c r="E556" s="1116"/>
      <c r="F556" s="1116"/>
      <c r="G556" s="1236"/>
      <c r="H556" s="1116"/>
      <c r="I556" s="1116"/>
      <c r="J556" s="1116"/>
      <c r="K556" s="1148"/>
      <c r="L556" s="1128"/>
      <c r="M556" s="1116"/>
      <c r="N556" s="1116"/>
      <c r="O556" s="1116"/>
      <c r="P556" s="1116"/>
      <c r="Q556" s="1116"/>
      <c r="R556" s="1116"/>
      <c r="S556" s="1116"/>
      <c r="T556" s="1116"/>
    </row>
    <row r="557">
      <c r="A557" s="1116"/>
      <c r="B557" s="1116"/>
      <c r="C557" s="1116"/>
      <c r="D557" s="1116"/>
      <c r="E557" s="1116"/>
      <c r="F557" s="1116"/>
      <c r="G557" s="1236"/>
      <c r="H557" s="1116"/>
      <c r="I557" s="1116"/>
      <c r="J557" s="1116"/>
      <c r="K557" s="1148"/>
      <c r="L557" s="1128"/>
      <c r="M557" s="1116"/>
      <c r="N557" s="1116"/>
      <c r="O557" s="1116"/>
      <c r="P557" s="1116"/>
      <c r="Q557" s="1116"/>
      <c r="R557" s="1116"/>
      <c r="S557" s="1116"/>
      <c r="T557" s="1116"/>
    </row>
    <row r="558">
      <c r="A558" s="1116"/>
      <c r="B558" s="1116"/>
      <c r="C558" s="1116"/>
      <c r="D558" s="1116"/>
      <c r="E558" s="1116"/>
      <c r="F558" s="1116"/>
      <c r="G558" s="1236"/>
      <c r="H558" s="1116"/>
      <c r="I558" s="1116"/>
      <c r="J558" s="1116"/>
      <c r="K558" s="1148"/>
      <c r="L558" s="1128"/>
      <c r="M558" s="1116"/>
      <c r="N558" s="1116"/>
      <c r="O558" s="1116"/>
      <c r="P558" s="1116"/>
      <c r="Q558" s="1116"/>
      <c r="R558" s="1116"/>
      <c r="S558" s="1116"/>
      <c r="T558" s="1116"/>
    </row>
    <row r="559">
      <c r="A559" s="1116"/>
      <c r="B559" s="1116"/>
      <c r="C559" s="1116"/>
      <c r="D559" s="1116"/>
      <c r="E559" s="1116"/>
      <c r="F559" s="1116"/>
      <c r="G559" s="1236"/>
      <c r="H559" s="1116"/>
      <c r="I559" s="1116"/>
      <c r="J559" s="1116"/>
      <c r="K559" s="1148"/>
      <c r="L559" s="1128"/>
      <c r="M559" s="1116"/>
      <c r="N559" s="1116"/>
      <c r="O559" s="1116"/>
      <c r="P559" s="1116"/>
      <c r="Q559" s="1116"/>
      <c r="R559" s="1116"/>
      <c r="S559" s="1116"/>
      <c r="T559" s="1116"/>
    </row>
    <row r="560">
      <c r="A560" s="1116"/>
      <c r="B560" s="1116"/>
      <c r="C560" s="1116"/>
      <c r="D560" s="1116"/>
      <c r="E560" s="1116"/>
      <c r="F560" s="1116"/>
      <c r="G560" s="1236"/>
      <c r="H560" s="1116"/>
      <c r="I560" s="1116"/>
      <c r="J560" s="1116"/>
      <c r="K560" s="1148"/>
      <c r="L560" s="1128"/>
      <c r="M560" s="1116"/>
      <c r="N560" s="1116"/>
      <c r="O560" s="1116"/>
      <c r="P560" s="1116"/>
      <c r="Q560" s="1116"/>
      <c r="R560" s="1116"/>
      <c r="S560" s="1116"/>
      <c r="T560" s="1116"/>
    </row>
    <row r="561">
      <c r="A561" s="1116"/>
      <c r="B561" s="1116"/>
      <c r="C561" s="1116"/>
      <c r="D561" s="1116"/>
      <c r="E561" s="1116"/>
      <c r="F561" s="1116"/>
      <c r="G561" s="1236"/>
      <c r="H561" s="1116"/>
      <c r="I561" s="1116"/>
      <c r="J561" s="1116"/>
      <c r="K561" s="1148"/>
      <c r="L561" s="1128"/>
      <c r="M561" s="1116"/>
      <c r="N561" s="1116"/>
      <c r="O561" s="1116"/>
      <c r="P561" s="1116"/>
      <c r="Q561" s="1116"/>
      <c r="R561" s="1116"/>
      <c r="S561" s="1116"/>
      <c r="T561" s="1116"/>
    </row>
    <row r="562">
      <c r="A562" s="1116"/>
      <c r="B562" s="1116"/>
      <c r="C562" s="1116"/>
      <c r="D562" s="1116"/>
      <c r="E562" s="1116"/>
      <c r="F562" s="1116"/>
      <c r="G562" s="1236"/>
      <c r="H562" s="1116"/>
      <c r="I562" s="1116"/>
      <c r="J562" s="1116"/>
      <c r="K562" s="1148"/>
      <c r="L562" s="1128"/>
      <c r="M562" s="1116"/>
      <c r="N562" s="1116"/>
      <c r="O562" s="1116"/>
      <c r="P562" s="1116"/>
      <c r="Q562" s="1116"/>
      <c r="R562" s="1116"/>
      <c r="S562" s="1116"/>
      <c r="T562" s="1116"/>
    </row>
    <row r="563">
      <c r="A563" s="1116"/>
      <c r="B563" s="1116"/>
      <c r="C563" s="1116"/>
      <c r="D563" s="1116"/>
      <c r="E563" s="1116"/>
      <c r="F563" s="1116"/>
      <c r="G563" s="1236"/>
      <c r="H563" s="1116"/>
      <c r="I563" s="1116"/>
      <c r="J563" s="1116"/>
      <c r="K563" s="1148"/>
      <c r="L563" s="1128"/>
      <c r="M563" s="1116"/>
      <c r="N563" s="1116"/>
      <c r="O563" s="1116"/>
      <c r="P563" s="1116"/>
      <c r="Q563" s="1116"/>
      <c r="R563" s="1116"/>
      <c r="S563" s="1116"/>
      <c r="T563" s="1116"/>
    </row>
    <row r="564">
      <c r="A564" s="1116"/>
      <c r="B564" s="1116"/>
      <c r="C564" s="1116"/>
      <c r="D564" s="1116"/>
      <c r="E564" s="1116"/>
      <c r="F564" s="1116"/>
      <c r="G564" s="1236"/>
      <c r="H564" s="1116"/>
      <c r="I564" s="1116"/>
      <c r="J564" s="1116"/>
      <c r="K564" s="1148"/>
      <c r="L564" s="1128"/>
      <c r="M564" s="1116"/>
      <c r="N564" s="1116"/>
      <c r="O564" s="1116"/>
      <c r="P564" s="1116"/>
      <c r="Q564" s="1116"/>
      <c r="R564" s="1116"/>
      <c r="S564" s="1116"/>
      <c r="T564" s="1116"/>
    </row>
    <row r="565">
      <c r="A565" s="1116"/>
      <c r="B565" s="1116"/>
      <c r="C565" s="1116"/>
      <c r="D565" s="1116"/>
      <c r="E565" s="1116"/>
      <c r="F565" s="1116"/>
      <c r="G565" s="1236"/>
      <c r="H565" s="1116"/>
      <c r="I565" s="1116"/>
      <c r="J565" s="1116"/>
      <c r="K565" s="1148"/>
      <c r="L565" s="1128"/>
      <c r="M565" s="1116"/>
      <c r="N565" s="1116"/>
      <c r="O565" s="1116"/>
      <c r="P565" s="1116"/>
      <c r="Q565" s="1116"/>
      <c r="R565" s="1116"/>
      <c r="S565" s="1116"/>
      <c r="T565" s="1116"/>
    </row>
    <row r="566">
      <c r="A566" s="1116"/>
      <c r="B566" s="1116"/>
      <c r="C566" s="1116"/>
      <c r="D566" s="1116"/>
      <c r="E566" s="1116"/>
      <c r="F566" s="1116"/>
      <c r="G566" s="1236"/>
      <c r="H566" s="1116"/>
      <c r="I566" s="1116"/>
      <c r="J566" s="1116"/>
      <c r="K566" s="1148"/>
      <c r="L566" s="1128"/>
      <c r="M566" s="1116"/>
      <c r="N566" s="1116"/>
      <c r="O566" s="1116"/>
      <c r="P566" s="1116"/>
      <c r="Q566" s="1116"/>
      <c r="R566" s="1116"/>
      <c r="S566" s="1116"/>
      <c r="T566" s="1116"/>
    </row>
    <row r="567">
      <c r="A567" s="1116"/>
      <c r="B567" s="1116"/>
      <c r="C567" s="1116"/>
      <c r="D567" s="1116"/>
      <c r="E567" s="1116"/>
      <c r="F567" s="1116"/>
      <c r="G567" s="1236"/>
      <c r="H567" s="1116"/>
      <c r="I567" s="1116"/>
      <c r="J567" s="1116"/>
      <c r="K567" s="1148"/>
      <c r="L567" s="1128"/>
      <c r="M567" s="1116"/>
      <c r="N567" s="1116"/>
      <c r="O567" s="1116"/>
      <c r="P567" s="1116"/>
      <c r="Q567" s="1116"/>
      <c r="R567" s="1116"/>
      <c r="S567" s="1116"/>
      <c r="T567" s="1116"/>
    </row>
    <row r="568">
      <c r="A568" s="1116"/>
      <c r="B568" s="1116"/>
      <c r="C568" s="1116"/>
      <c r="D568" s="1116"/>
      <c r="E568" s="1116"/>
      <c r="F568" s="1116"/>
      <c r="G568" s="1236"/>
      <c r="H568" s="1116"/>
      <c r="I568" s="1116"/>
      <c r="J568" s="1116"/>
      <c r="K568" s="1148"/>
      <c r="L568" s="1128"/>
      <c r="M568" s="1116"/>
      <c r="N568" s="1116"/>
      <c r="O568" s="1116"/>
      <c r="P568" s="1116"/>
      <c r="Q568" s="1116"/>
      <c r="R568" s="1116"/>
      <c r="S568" s="1116"/>
      <c r="T568" s="1116"/>
    </row>
    <row r="569">
      <c r="A569" s="1116"/>
      <c r="B569" s="1116"/>
      <c r="C569" s="1116"/>
      <c r="D569" s="1116"/>
      <c r="E569" s="1116"/>
      <c r="F569" s="1116"/>
      <c r="G569" s="1236"/>
      <c r="H569" s="1116"/>
      <c r="I569" s="1116"/>
      <c r="J569" s="1116"/>
      <c r="K569" s="1148"/>
      <c r="L569" s="1128"/>
      <c r="M569" s="1116"/>
      <c r="N569" s="1116"/>
      <c r="O569" s="1116"/>
      <c r="P569" s="1116"/>
      <c r="Q569" s="1116"/>
      <c r="R569" s="1116"/>
      <c r="S569" s="1116"/>
      <c r="T569" s="1116"/>
    </row>
    <row r="570">
      <c r="A570" s="1116"/>
      <c r="B570" s="1116"/>
      <c r="C570" s="1116"/>
      <c r="D570" s="1116"/>
      <c r="E570" s="1116"/>
      <c r="F570" s="1116"/>
      <c r="G570" s="1236"/>
      <c r="H570" s="1116"/>
      <c r="I570" s="1116"/>
      <c r="J570" s="1116"/>
      <c r="K570" s="1148"/>
      <c r="L570" s="1128"/>
      <c r="M570" s="1116"/>
      <c r="N570" s="1116"/>
      <c r="O570" s="1116"/>
      <c r="P570" s="1116"/>
      <c r="Q570" s="1116"/>
      <c r="R570" s="1116"/>
      <c r="S570" s="1116"/>
      <c r="T570" s="1116"/>
    </row>
    <row r="571">
      <c r="A571" s="1116"/>
      <c r="B571" s="1116"/>
      <c r="C571" s="1116"/>
      <c r="D571" s="1116"/>
      <c r="E571" s="1116"/>
      <c r="F571" s="1116"/>
      <c r="G571" s="1236"/>
      <c r="H571" s="1116"/>
      <c r="I571" s="1116"/>
      <c r="J571" s="1116"/>
      <c r="K571" s="1148"/>
      <c r="L571" s="1128"/>
      <c r="M571" s="1116"/>
      <c r="N571" s="1116"/>
      <c r="O571" s="1116"/>
      <c r="P571" s="1116"/>
      <c r="Q571" s="1116"/>
      <c r="R571" s="1116"/>
      <c r="S571" s="1116"/>
      <c r="T571" s="1116"/>
    </row>
    <row r="572">
      <c r="A572" s="1116"/>
      <c r="B572" s="1116"/>
      <c r="C572" s="1116"/>
      <c r="D572" s="1116"/>
      <c r="E572" s="1116"/>
      <c r="F572" s="1116"/>
      <c r="G572" s="1236"/>
      <c r="H572" s="1116"/>
      <c r="I572" s="1116"/>
      <c r="J572" s="1116"/>
      <c r="K572" s="1148"/>
      <c r="L572" s="1128"/>
      <c r="M572" s="1116"/>
      <c r="N572" s="1116"/>
      <c r="O572" s="1116"/>
      <c r="P572" s="1116"/>
      <c r="Q572" s="1116"/>
      <c r="R572" s="1116"/>
      <c r="S572" s="1116"/>
      <c r="T572" s="1116"/>
    </row>
    <row r="573">
      <c r="A573" s="1116"/>
      <c r="B573" s="1116"/>
      <c r="C573" s="1116"/>
      <c r="D573" s="1116"/>
      <c r="E573" s="1116"/>
      <c r="F573" s="1116"/>
      <c r="G573" s="1236"/>
      <c r="H573" s="1116"/>
      <c r="I573" s="1116"/>
      <c r="J573" s="1116"/>
      <c r="K573" s="1148"/>
      <c r="L573" s="1128"/>
      <c r="M573" s="1116"/>
      <c r="N573" s="1116"/>
      <c r="O573" s="1116"/>
      <c r="P573" s="1116"/>
      <c r="Q573" s="1116"/>
      <c r="R573" s="1116"/>
      <c r="S573" s="1116"/>
      <c r="T573" s="1116"/>
    </row>
    <row r="574">
      <c r="A574" s="1116"/>
      <c r="B574" s="1116"/>
      <c r="C574" s="1116"/>
      <c r="D574" s="1116"/>
      <c r="E574" s="1116"/>
      <c r="F574" s="1116"/>
      <c r="G574" s="1236"/>
      <c r="H574" s="1116"/>
      <c r="I574" s="1116"/>
      <c r="J574" s="1116"/>
      <c r="K574" s="1148"/>
      <c r="L574" s="1128"/>
      <c r="M574" s="1116"/>
      <c r="N574" s="1116"/>
      <c r="O574" s="1116"/>
      <c r="P574" s="1116"/>
      <c r="Q574" s="1116"/>
      <c r="R574" s="1116"/>
      <c r="S574" s="1116"/>
      <c r="T574" s="1116"/>
    </row>
    <row r="575">
      <c r="A575" s="1116"/>
      <c r="B575" s="1116"/>
      <c r="C575" s="1116"/>
      <c r="D575" s="1116"/>
      <c r="E575" s="1116"/>
      <c r="F575" s="1116"/>
      <c r="G575" s="1236"/>
      <c r="H575" s="1116"/>
      <c r="I575" s="1116"/>
      <c r="J575" s="1116"/>
      <c r="K575" s="1148"/>
      <c r="L575" s="1128"/>
      <c r="M575" s="1116"/>
      <c r="N575" s="1116"/>
      <c r="O575" s="1116"/>
      <c r="P575" s="1116"/>
      <c r="Q575" s="1116"/>
      <c r="R575" s="1116"/>
      <c r="S575" s="1116"/>
      <c r="T575" s="1116"/>
    </row>
    <row r="576">
      <c r="A576" s="1116"/>
      <c r="B576" s="1116"/>
      <c r="C576" s="1116"/>
      <c r="D576" s="1116"/>
      <c r="E576" s="1116"/>
      <c r="F576" s="1116"/>
      <c r="G576" s="1236"/>
      <c r="H576" s="1116"/>
      <c r="I576" s="1116"/>
      <c r="J576" s="1116"/>
      <c r="K576" s="1148"/>
      <c r="L576" s="1128"/>
      <c r="M576" s="1116"/>
      <c r="N576" s="1116"/>
      <c r="O576" s="1116"/>
      <c r="P576" s="1116"/>
      <c r="Q576" s="1116"/>
      <c r="R576" s="1116"/>
      <c r="S576" s="1116"/>
      <c r="T576" s="1116"/>
    </row>
    <row r="577">
      <c r="A577" s="1116"/>
      <c r="B577" s="1116"/>
      <c r="C577" s="1116"/>
      <c r="D577" s="1116"/>
      <c r="E577" s="1116"/>
      <c r="F577" s="1116"/>
      <c r="G577" s="1236"/>
      <c r="H577" s="1116"/>
      <c r="I577" s="1116"/>
      <c r="J577" s="1116"/>
      <c r="K577" s="1148"/>
      <c r="L577" s="1128"/>
      <c r="M577" s="1116"/>
      <c r="N577" s="1116"/>
      <c r="O577" s="1116"/>
      <c r="P577" s="1116"/>
      <c r="Q577" s="1116"/>
      <c r="R577" s="1116"/>
      <c r="S577" s="1116"/>
      <c r="T577" s="1116"/>
    </row>
    <row r="578">
      <c r="A578" s="1116"/>
      <c r="B578" s="1116"/>
      <c r="C578" s="1116"/>
      <c r="D578" s="1116"/>
      <c r="E578" s="1116"/>
      <c r="F578" s="1116"/>
      <c r="G578" s="1236"/>
      <c r="H578" s="1116"/>
      <c r="I578" s="1116"/>
      <c r="J578" s="1116"/>
      <c r="K578" s="1148"/>
      <c r="L578" s="1128"/>
      <c r="M578" s="1116"/>
      <c r="N578" s="1116"/>
      <c r="O578" s="1116"/>
      <c r="P578" s="1116"/>
      <c r="Q578" s="1116"/>
      <c r="R578" s="1116"/>
      <c r="S578" s="1116"/>
      <c r="T578" s="1116"/>
    </row>
    <row r="579">
      <c r="A579" s="1116"/>
      <c r="B579" s="1116"/>
      <c r="C579" s="1116"/>
      <c r="D579" s="1116"/>
      <c r="E579" s="1116"/>
      <c r="F579" s="1116"/>
      <c r="G579" s="1236"/>
      <c r="H579" s="1116"/>
      <c r="I579" s="1116"/>
      <c r="J579" s="1116"/>
      <c r="K579" s="1148"/>
      <c r="L579" s="1128"/>
      <c r="M579" s="1116"/>
      <c r="N579" s="1116"/>
      <c r="O579" s="1116"/>
      <c r="P579" s="1116"/>
      <c r="Q579" s="1116"/>
      <c r="R579" s="1116"/>
      <c r="S579" s="1116"/>
      <c r="T579" s="1116"/>
    </row>
    <row r="580">
      <c r="A580" s="1116"/>
      <c r="B580" s="1116"/>
      <c r="C580" s="1116"/>
      <c r="D580" s="1116"/>
      <c r="E580" s="1116"/>
      <c r="F580" s="1116"/>
      <c r="G580" s="1236"/>
      <c r="H580" s="1116"/>
      <c r="I580" s="1116"/>
      <c r="J580" s="1116"/>
      <c r="K580" s="1148"/>
      <c r="L580" s="1128"/>
      <c r="M580" s="1116"/>
      <c r="N580" s="1116"/>
      <c r="O580" s="1116"/>
      <c r="P580" s="1116"/>
      <c r="Q580" s="1116"/>
      <c r="R580" s="1116"/>
      <c r="S580" s="1116"/>
      <c r="T580" s="1116"/>
    </row>
    <row r="581">
      <c r="A581" s="1116"/>
      <c r="B581" s="1116"/>
      <c r="C581" s="1116"/>
      <c r="D581" s="1116"/>
      <c r="E581" s="1116"/>
      <c r="F581" s="1116"/>
      <c r="G581" s="1236"/>
      <c r="H581" s="1116"/>
      <c r="I581" s="1116"/>
      <c r="J581" s="1116"/>
      <c r="K581" s="1148"/>
      <c r="L581" s="1128"/>
      <c r="M581" s="1116"/>
      <c r="N581" s="1116"/>
      <c r="O581" s="1116"/>
      <c r="P581" s="1116"/>
      <c r="Q581" s="1116"/>
      <c r="R581" s="1116"/>
      <c r="S581" s="1116"/>
      <c r="T581" s="1116"/>
    </row>
    <row r="582">
      <c r="A582" s="1116"/>
      <c r="B582" s="1116"/>
      <c r="C582" s="1116"/>
      <c r="D582" s="1116"/>
      <c r="E582" s="1116"/>
      <c r="F582" s="1116"/>
      <c r="G582" s="1236"/>
      <c r="H582" s="1116"/>
      <c r="I582" s="1116"/>
      <c r="J582" s="1116"/>
      <c r="K582" s="1148"/>
      <c r="L582" s="1128"/>
      <c r="M582" s="1116"/>
      <c r="N582" s="1116"/>
      <c r="O582" s="1116"/>
      <c r="P582" s="1116"/>
      <c r="Q582" s="1116"/>
      <c r="R582" s="1116"/>
      <c r="S582" s="1116"/>
      <c r="T582" s="1116"/>
    </row>
    <row r="583">
      <c r="A583" s="1116"/>
      <c r="B583" s="1116"/>
      <c r="C583" s="1116"/>
      <c r="D583" s="1116"/>
      <c r="E583" s="1116"/>
      <c r="F583" s="1116"/>
      <c r="G583" s="1236"/>
      <c r="H583" s="1116"/>
      <c r="I583" s="1116"/>
      <c r="J583" s="1116"/>
      <c r="K583" s="1148"/>
      <c r="L583" s="1128"/>
      <c r="M583" s="1116"/>
      <c r="N583" s="1116"/>
      <c r="O583" s="1116"/>
      <c r="P583" s="1116"/>
      <c r="Q583" s="1116"/>
      <c r="R583" s="1116"/>
      <c r="S583" s="1116"/>
      <c r="T583" s="1116"/>
    </row>
    <row r="584">
      <c r="A584" s="1116"/>
      <c r="B584" s="1116"/>
      <c r="C584" s="1116"/>
      <c r="D584" s="1116"/>
      <c r="E584" s="1116"/>
      <c r="F584" s="1116"/>
      <c r="G584" s="1236"/>
      <c r="H584" s="1116"/>
      <c r="I584" s="1116"/>
      <c r="J584" s="1116"/>
      <c r="K584" s="1148"/>
      <c r="L584" s="1128"/>
      <c r="M584" s="1116"/>
      <c r="N584" s="1116"/>
      <c r="O584" s="1116"/>
      <c r="P584" s="1116"/>
      <c r="Q584" s="1116"/>
      <c r="R584" s="1116"/>
      <c r="S584" s="1116"/>
      <c r="T584" s="1116"/>
    </row>
    <row r="585">
      <c r="A585" s="1116"/>
      <c r="B585" s="1116"/>
      <c r="C585" s="1116"/>
      <c r="D585" s="1116"/>
      <c r="E585" s="1116"/>
      <c r="F585" s="1116"/>
      <c r="G585" s="1236"/>
      <c r="H585" s="1116"/>
      <c r="I585" s="1116"/>
      <c r="J585" s="1116"/>
      <c r="K585" s="1148"/>
      <c r="L585" s="1128"/>
      <c r="M585" s="1116"/>
      <c r="N585" s="1116"/>
      <c r="O585" s="1116"/>
      <c r="P585" s="1116"/>
      <c r="Q585" s="1116"/>
      <c r="R585" s="1116"/>
      <c r="S585" s="1116"/>
      <c r="T585" s="1116"/>
    </row>
    <row r="586">
      <c r="A586" s="1116"/>
      <c r="B586" s="1116"/>
      <c r="C586" s="1116"/>
      <c r="D586" s="1116"/>
      <c r="E586" s="1116"/>
      <c r="F586" s="1116"/>
      <c r="G586" s="1236"/>
      <c r="H586" s="1116"/>
      <c r="I586" s="1116"/>
      <c r="J586" s="1116"/>
      <c r="K586" s="1148"/>
      <c r="L586" s="1128"/>
      <c r="M586" s="1116"/>
      <c r="N586" s="1116"/>
      <c r="O586" s="1116"/>
      <c r="P586" s="1116"/>
      <c r="Q586" s="1116"/>
      <c r="R586" s="1116"/>
      <c r="S586" s="1116"/>
      <c r="T586" s="1116"/>
    </row>
    <row r="587">
      <c r="A587" s="1116"/>
      <c r="B587" s="1116"/>
      <c r="C587" s="1116"/>
      <c r="D587" s="1116"/>
      <c r="E587" s="1116"/>
      <c r="F587" s="1116"/>
      <c r="G587" s="1236"/>
      <c r="H587" s="1116"/>
      <c r="I587" s="1116"/>
      <c r="J587" s="1116"/>
      <c r="K587" s="1148"/>
      <c r="L587" s="1128"/>
      <c r="M587" s="1116"/>
      <c r="N587" s="1116"/>
      <c r="O587" s="1116"/>
      <c r="P587" s="1116"/>
      <c r="Q587" s="1116"/>
      <c r="R587" s="1116"/>
      <c r="S587" s="1116"/>
      <c r="T587" s="1116"/>
    </row>
    <row r="588">
      <c r="A588" s="1116"/>
      <c r="B588" s="1116"/>
      <c r="C588" s="1116"/>
      <c r="D588" s="1116"/>
      <c r="E588" s="1116"/>
      <c r="F588" s="1116"/>
      <c r="G588" s="1236"/>
      <c r="H588" s="1116"/>
      <c r="I588" s="1116"/>
      <c r="J588" s="1116"/>
      <c r="K588" s="1148"/>
      <c r="L588" s="1128"/>
      <c r="M588" s="1116"/>
      <c r="N588" s="1116"/>
      <c r="O588" s="1116"/>
      <c r="P588" s="1116"/>
      <c r="Q588" s="1116"/>
      <c r="R588" s="1116"/>
      <c r="S588" s="1116"/>
      <c r="T588" s="1116"/>
    </row>
    <row r="589">
      <c r="A589" s="1116"/>
      <c r="B589" s="1116"/>
      <c r="C589" s="1116"/>
      <c r="D589" s="1116"/>
      <c r="E589" s="1116"/>
      <c r="F589" s="1116"/>
      <c r="G589" s="1236"/>
      <c r="H589" s="1116"/>
      <c r="I589" s="1116"/>
      <c r="J589" s="1116"/>
      <c r="K589" s="1148"/>
      <c r="L589" s="1128"/>
      <c r="M589" s="1116"/>
      <c r="N589" s="1116"/>
      <c r="O589" s="1116"/>
      <c r="P589" s="1116"/>
      <c r="Q589" s="1116"/>
      <c r="R589" s="1116"/>
      <c r="S589" s="1116"/>
      <c r="T589" s="1116"/>
    </row>
    <row r="590">
      <c r="A590" s="1116"/>
      <c r="B590" s="1116"/>
      <c r="C590" s="1116"/>
      <c r="D590" s="1116"/>
      <c r="E590" s="1116"/>
      <c r="F590" s="1116"/>
      <c r="G590" s="1236"/>
      <c r="H590" s="1116"/>
      <c r="I590" s="1116"/>
      <c r="J590" s="1116"/>
      <c r="K590" s="1148"/>
      <c r="L590" s="1128"/>
      <c r="M590" s="1116"/>
      <c r="N590" s="1116"/>
      <c r="O590" s="1116"/>
      <c r="P590" s="1116"/>
      <c r="Q590" s="1116"/>
      <c r="R590" s="1116"/>
      <c r="S590" s="1116"/>
      <c r="T590" s="1116"/>
    </row>
    <row r="591">
      <c r="A591" s="1116"/>
      <c r="B591" s="1116"/>
      <c r="C591" s="1116"/>
      <c r="D591" s="1116"/>
      <c r="E591" s="1116"/>
      <c r="F591" s="1116"/>
      <c r="G591" s="1236"/>
      <c r="H591" s="1116"/>
      <c r="I591" s="1116"/>
      <c r="J591" s="1116"/>
      <c r="K591" s="1148"/>
      <c r="L591" s="1128"/>
      <c r="M591" s="1116"/>
      <c r="N591" s="1116"/>
      <c r="O591" s="1116"/>
      <c r="P591" s="1116"/>
      <c r="Q591" s="1116"/>
      <c r="R591" s="1116"/>
      <c r="S591" s="1116"/>
      <c r="T591" s="1116"/>
    </row>
    <row r="592">
      <c r="A592" s="1116"/>
      <c r="B592" s="1116"/>
      <c r="C592" s="1116"/>
      <c r="D592" s="1116"/>
      <c r="E592" s="1116"/>
      <c r="F592" s="1116"/>
      <c r="G592" s="1236"/>
      <c r="H592" s="1116"/>
      <c r="I592" s="1116"/>
      <c r="J592" s="1116"/>
      <c r="K592" s="1148"/>
      <c r="L592" s="1128"/>
      <c r="M592" s="1116"/>
      <c r="N592" s="1116"/>
      <c r="O592" s="1116"/>
      <c r="P592" s="1116"/>
      <c r="Q592" s="1116"/>
      <c r="R592" s="1116"/>
      <c r="S592" s="1116"/>
      <c r="T592" s="1116"/>
    </row>
    <row r="593">
      <c r="A593" s="1116"/>
      <c r="B593" s="1116"/>
      <c r="C593" s="1116"/>
      <c r="D593" s="1116"/>
      <c r="E593" s="1116"/>
      <c r="F593" s="1116"/>
      <c r="G593" s="1236"/>
      <c r="H593" s="1116"/>
      <c r="I593" s="1116"/>
      <c r="J593" s="1116"/>
      <c r="K593" s="1148"/>
      <c r="L593" s="1128"/>
      <c r="M593" s="1116"/>
      <c r="N593" s="1116"/>
      <c r="O593" s="1116"/>
      <c r="P593" s="1116"/>
      <c r="Q593" s="1116"/>
      <c r="R593" s="1116"/>
      <c r="S593" s="1116"/>
      <c r="T593" s="1116"/>
    </row>
    <row r="594">
      <c r="A594" s="1116"/>
      <c r="B594" s="1116"/>
      <c r="C594" s="1116"/>
      <c r="D594" s="1116"/>
      <c r="E594" s="1116"/>
      <c r="F594" s="1116"/>
      <c r="G594" s="1236"/>
      <c r="H594" s="1116"/>
      <c r="I594" s="1116"/>
      <c r="J594" s="1116"/>
      <c r="K594" s="1148"/>
      <c r="L594" s="1128"/>
      <c r="M594" s="1116"/>
      <c r="N594" s="1116"/>
      <c r="O594" s="1116"/>
      <c r="P594" s="1116"/>
      <c r="Q594" s="1116"/>
      <c r="R594" s="1116"/>
      <c r="S594" s="1116"/>
      <c r="T594" s="1116"/>
    </row>
    <row r="595">
      <c r="A595" s="1116"/>
      <c r="B595" s="1116"/>
      <c r="C595" s="1116"/>
      <c r="D595" s="1116"/>
      <c r="E595" s="1116"/>
      <c r="F595" s="1116"/>
      <c r="G595" s="1236"/>
      <c r="H595" s="1116"/>
      <c r="I595" s="1116"/>
      <c r="J595" s="1116"/>
      <c r="K595" s="1148"/>
      <c r="L595" s="1128"/>
      <c r="M595" s="1116"/>
      <c r="N595" s="1116"/>
      <c r="O595" s="1116"/>
      <c r="P595" s="1116"/>
      <c r="Q595" s="1116"/>
      <c r="R595" s="1116"/>
      <c r="S595" s="1116"/>
      <c r="T595" s="1116"/>
    </row>
    <row r="596">
      <c r="A596" s="1116"/>
      <c r="B596" s="1116"/>
      <c r="C596" s="1116"/>
      <c r="D596" s="1116"/>
      <c r="E596" s="1116"/>
      <c r="F596" s="1116"/>
      <c r="G596" s="1236"/>
      <c r="H596" s="1116"/>
      <c r="I596" s="1116"/>
      <c r="J596" s="1116"/>
      <c r="K596" s="1148"/>
      <c r="L596" s="1128"/>
      <c r="M596" s="1116"/>
      <c r="N596" s="1116"/>
      <c r="O596" s="1116"/>
      <c r="P596" s="1116"/>
      <c r="Q596" s="1116"/>
      <c r="R596" s="1116"/>
      <c r="S596" s="1116"/>
      <c r="T596" s="1116"/>
    </row>
    <row r="597">
      <c r="A597" s="1116"/>
      <c r="B597" s="1116"/>
      <c r="C597" s="1116"/>
      <c r="D597" s="1116"/>
      <c r="E597" s="1116"/>
      <c r="F597" s="1116"/>
      <c r="G597" s="1236"/>
      <c r="H597" s="1116"/>
      <c r="I597" s="1116"/>
      <c r="J597" s="1116"/>
      <c r="K597" s="1148"/>
      <c r="L597" s="1128"/>
      <c r="M597" s="1116"/>
      <c r="N597" s="1116"/>
      <c r="O597" s="1116"/>
      <c r="P597" s="1116"/>
      <c r="Q597" s="1116"/>
      <c r="R597" s="1116"/>
      <c r="S597" s="1116"/>
      <c r="T597" s="1116"/>
    </row>
    <row r="598">
      <c r="A598" s="1116"/>
      <c r="B598" s="1116"/>
      <c r="C598" s="1116"/>
      <c r="D598" s="1116"/>
      <c r="E598" s="1116"/>
      <c r="F598" s="1116"/>
      <c r="G598" s="1236"/>
      <c r="H598" s="1116"/>
      <c r="I598" s="1116"/>
      <c r="J598" s="1116"/>
      <c r="K598" s="1148"/>
      <c r="L598" s="1128"/>
      <c r="M598" s="1116"/>
      <c r="N598" s="1116"/>
      <c r="O598" s="1116"/>
      <c r="P598" s="1116"/>
      <c r="Q598" s="1116"/>
      <c r="R598" s="1116"/>
      <c r="S598" s="1116"/>
      <c r="T598" s="1116"/>
    </row>
    <row r="599">
      <c r="A599" s="1116"/>
      <c r="B599" s="1116"/>
      <c r="C599" s="1116"/>
      <c r="D599" s="1116"/>
      <c r="E599" s="1116"/>
      <c r="F599" s="1116"/>
      <c r="G599" s="1236"/>
      <c r="H599" s="1116"/>
      <c r="I599" s="1116"/>
      <c r="J599" s="1116"/>
      <c r="K599" s="1148"/>
      <c r="L599" s="1128"/>
      <c r="M599" s="1116"/>
      <c r="N599" s="1116"/>
      <c r="O599" s="1116"/>
      <c r="P599" s="1116"/>
      <c r="Q599" s="1116"/>
      <c r="R599" s="1116"/>
      <c r="S599" s="1116"/>
      <c r="T599" s="1116"/>
    </row>
    <row r="600">
      <c r="A600" s="1116"/>
      <c r="B600" s="1116"/>
      <c r="C600" s="1116"/>
      <c r="D600" s="1116"/>
      <c r="E600" s="1116"/>
      <c r="F600" s="1116"/>
      <c r="G600" s="1236"/>
      <c r="H600" s="1116"/>
      <c r="I600" s="1116"/>
      <c r="J600" s="1116"/>
      <c r="K600" s="1148"/>
      <c r="L600" s="1128"/>
      <c r="M600" s="1116"/>
      <c r="N600" s="1116"/>
      <c r="O600" s="1116"/>
      <c r="P600" s="1116"/>
      <c r="Q600" s="1116"/>
      <c r="R600" s="1116"/>
      <c r="S600" s="1116"/>
      <c r="T600" s="1116"/>
    </row>
    <row r="601">
      <c r="A601" s="1116"/>
      <c r="B601" s="1116"/>
      <c r="C601" s="1116"/>
      <c r="D601" s="1116"/>
      <c r="E601" s="1116"/>
      <c r="F601" s="1116"/>
      <c r="G601" s="1236"/>
      <c r="H601" s="1116"/>
      <c r="I601" s="1116"/>
      <c r="J601" s="1116"/>
      <c r="K601" s="1148"/>
      <c r="L601" s="1128"/>
      <c r="M601" s="1116"/>
      <c r="N601" s="1116"/>
      <c r="O601" s="1116"/>
      <c r="P601" s="1116"/>
      <c r="Q601" s="1116"/>
      <c r="R601" s="1116"/>
      <c r="S601" s="1116"/>
      <c r="T601" s="1116"/>
    </row>
    <row r="602">
      <c r="A602" s="1116"/>
      <c r="B602" s="1116"/>
      <c r="C602" s="1116"/>
      <c r="D602" s="1116"/>
      <c r="E602" s="1116"/>
      <c r="F602" s="1116"/>
      <c r="G602" s="1236"/>
      <c r="H602" s="1116"/>
      <c r="I602" s="1116"/>
      <c r="J602" s="1116"/>
      <c r="K602" s="1148"/>
      <c r="L602" s="1128"/>
      <c r="M602" s="1116"/>
      <c r="N602" s="1116"/>
      <c r="O602" s="1116"/>
      <c r="P602" s="1116"/>
      <c r="Q602" s="1116"/>
      <c r="R602" s="1116"/>
      <c r="S602" s="1116"/>
      <c r="T602" s="1116"/>
    </row>
    <row r="603">
      <c r="A603" s="1116"/>
      <c r="B603" s="1116"/>
      <c r="C603" s="1116"/>
      <c r="D603" s="1116"/>
      <c r="E603" s="1116"/>
      <c r="F603" s="1116"/>
      <c r="G603" s="1236"/>
      <c r="H603" s="1116"/>
      <c r="I603" s="1116"/>
      <c r="J603" s="1116"/>
      <c r="K603" s="1148"/>
      <c r="L603" s="1128"/>
      <c r="M603" s="1116"/>
      <c r="N603" s="1116"/>
      <c r="O603" s="1116"/>
      <c r="P603" s="1116"/>
      <c r="Q603" s="1116"/>
      <c r="R603" s="1116"/>
      <c r="S603" s="1116"/>
      <c r="T603" s="1116"/>
    </row>
    <row r="604">
      <c r="A604" s="1116"/>
      <c r="B604" s="1116"/>
      <c r="C604" s="1116"/>
      <c r="D604" s="1116"/>
      <c r="E604" s="1116"/>
      <c r="F604" s="1116"/>
      <c r="G604" s="1236"/>
      <c r="H604" s="1116"/>
      <c r="I604" s="1116"/>
      <c r="J604" s="1116"/>
      <c r="K604" s="1148"/>
      <c r="L604" s="1128"/>
      <c r="M604" s="1116"/>
      <c r="N604" s="1116"/>
      <c r="O604" s="1116"/>
      <c r="P604" s="1116"/>
      <c r="Q604" s="1116"/>
      <c r="R604" s="1116"/>
      <c r="S604" s="1116"/>
      <c r="T604" s="1116"/>
    </row>
    <row r="605">
      <c r="A605" s="1116"/>
      <c r="B605" s="1116"/>
      <c r="C605" s="1116"/>
      <c r="D605" s="1116"/>
      <c r="E605" s="1116"/>
      <c r="F605" s="1116"/>
      <c r="G605" s="1236"/>
      <c r="H605" s="1116"/>
      <c r="I605" s="1116"/>
      <c r="J605" s="1116"/>
      <c r="K605" s="1148"/>
      <c r="L605" s="1128"/>
      <c r="M605" s="1116"/>
      <c r="N605" s="1116"/>
      <c r="O605" s="1116"/>
      <c r="P605" s="1116"/>
      <c r="Q605" s="1116"/>
      <c r="R605" s="1116"/>
      <c r="S605" s="1116"/>
      <c r="T605" s="1116"/>
    </row>
    <row r="606">
      <c r="A606" s="1116"/>
      <c r="B606" s="1116"/>
      <c r="C606" s="1116"/>
      <c r="D606" s="1116"/>
      <c r="E606" s="1116"/>
      <c r="F606" s="1116"/>
      <c r="G606" s="1236"/>
      <c r="H606" s="1116"/>
      <c r="I606" s="1116"/>
      <c r="J606" s="1116"/>
      <c r="K606" s="1148"/>
      <c r="L606" s="1128"/>
      <c r="M606" s="1116"/>
      <c r="N606" s="1116"/>
      <c r="O606" s="1116"/>
      <c r="P606" s="1116"/>
      <c r="Q606" s="1116"/>
      <c r="R606" s="1116"/>
      <c r="S606" s="1116"/>
      <c r="T606" s="1116"/>
    </row>
    <row r="607">
      <c r="A607" s="1116"/>
      <c r="B607" s="1116"/>
      <c r="C607" s="1116"/>
      <c r="D607" s="1116"/>
      <c r="E607" s="1116"/>
      <c r="F607" s="1116"/>
      <c r="G607" s="1236"/>
      <c r="H607" s="1116"/>
      <c r="I607" s="1116"/>
      <c r="J607" s="1116"/>
      <c r="K607" s="1148"/>
      <c r="L607" s="1128"/>
      <c r="M607" s="1116"/>
      <c r="N607" s="1116"/>
      <c r="O607" s="1116"/>
      <c r="P607" s="1116"/>
      <c r="Q607" s="1116"/>
      <c r="R607" s="1116"/>
      <c r="S607" s="1116"/>
      <c r="T607" s="1116"/>
    </row>
    <row r="608">
      <c r="A608" s="1116"/>
      <c r="B608" s="1116"/>
      <c r="C608" s="1116"/>
      <c r="D608" s="1116"/>
      <c r="E608" s="1116"/>
      <c r="F608" s="1116"/>
      <c r="G608" s="1236"/>
      <c r="H608" s="1116"/>
      <c r="I608" s="1116"/>
      <c r="J608" s="1116"/>
      <c r="K608" s="1148"/>
      <c r="L608" s="1128"/>
      <c r="M608" s="1116"/>
      <c r="N608" s="1116"/>
      <c r="O608" s="1116"/>
      <c r="P608" s="1116"/>
      <c r="Q608" s="1116"/>
      <c r="R608" s="1116"/>
      <c r="S608" s="1116"/>
      <c r="T608" s="1116"/>
    </row>
    <row r="609">
      <c r="A609" s="1116"/>
      <c r="B609" s="1116"/>
      <c r="C609" s="1116"/>
      <c r="D609" s="1116"/>
      <c r="E609" s="1116"/>
      <c r="F609" s="1116"/>
      <c r="G609" s="1236"/>
      <c r="H609" s="1116"/>
      <c r="I609" s="1116"/>
      <c r="J609" s="1116"/>
      <c r="K609" s="1148"/>
      <c r="L609" s="1128"/>
      <c r="M609" s="1116"/>
      <c r="N609" s="1116"/>
      <c r="O609" s="1116"/>
      <c r="P609" s="1116"/>
      <c r="Q609" s="1116"/>
      <c r="R609" s="1116"/>
      <c r="S609" s="1116"/>
      <c r="T609" s="1116"/>
    </row>
    <row r="610">
      <c r="A610" s="1116"/>
      <c r="B610" s="1116"/>
      <c r="C610" s="1116"/>
      <c r="D610" s="1116"/>
      <c r="E610" s="1116"/>
      <c r="F610" s="1116"/>
      <c r="G610" s="1236"/>
      <c r="H610" s="1116"/>
      <c r="I610" s="1116"/>
      <c r="J610" s="1116"/>
      <c r="K610" s="1148"/>
      <c r="L610" s="1128"/>
      <c r="M610" s="1116"/>
      <c r="N610" s="1116"/>
      <c r="O610" s="1116"/>
      <c r="P610" s="1116"/>
      <c r="Q610" s="1116"/>
      <c r="R610" s="1116"/>
      <c r="S610" s="1116"/>
      <c r="T610" s="1116"/>
    </row>
    <row r="611">
      <c r="A611" s="1116"/>
      <c r="B611" s="1116"/>
      <c r="C611" s="1116"/>
      <c r="D611" s="1116"/>
      <c r="E611" s="1116"/>
      <c r="F611" s="1116"/>
      <c r="G611" s="1236"/>
      <c r="H611" s="1116"/>
      <c r="I611" s="1116"/>
      <c r="J611" s="1116"/>
      <c r="K611" s="1148"/>
      <c r="L611" s="1128"/>
      <c r="M611" s="1116"/>
      <c r="N611" s="1116"/>
      <c r="O611" s="1116"/>
      <c r="P611" s="1116"/>
      <c r="Q611" s="1116"/>
      <c r="R611" s="1116"/>
      <c r="S611" s="1116"/>
      <c r="T611" s="1116"/>
    </row>
    <row r="612">
      <c r="A612" s="1116"/>
      <c r="B612" s="1116"/>
      <c r="C612" s="1116"/>
      <c r="D612" s="1116"/>
      <c r="E612" s="1116"/>
      <c r="F612" s="1116"/>
      <c r="G612" s="1236"/>
      <c r="H612" s="1116"/>
      <c r="I612" s="1116"/>
      <c r="J612" s="1116"/>
      <c r="K612" s="1148"/>
      <c r="L612" s="1128"/>
      <c r="M612" s="1116"/>
      <c r="N612" s="1116"/>
      <c r="O612" s="1116"/>
      <c r="P612" s="1116"/>
      <c r="Q612" s="1116"/>
      <c r="R612" s="1116"/>
      <c r="S612" s="1116"/>
      <c r="T612" s="1116"/>
    </row>
    <row r="613">
      <c r="A613" s="1116"/>
      <c r="B613" s="1116"/>
      <c r="C613" s="1116"/>
      <c r="D613" s="1116"/>
      <c r="E613" s="1116"/>
      <c r="F613" s="1116"/>
      <c r="G613" s="1236"/>
      <c r="H613" s="1116"/>
      <c r="I613" s="1116"/>
      <c r="J613" s="1116"/>
      <c r="K613" s="1148"/>
      <c r="L613" s="1128"/>
      <c r="M613" s="1116"/>
      <c r="N613" s="1116"/>
      <c r="O613" s="1116"/>
      <c r="P613" s="1116"/>
      <c r="Q613" s="1116"/>
      <c r="R613" s="1116"/>
      <c r="S613" s="1116"/>
      <c r="T613" s="1116"/>
    </row>
    <row r="614">
      <c r="A614" s="1116"/>
      <c r="B614" s="1116"/>
      <c r="C614" s="1116"/>
      <c r="D614" s="1116"/>
      <c r="E614" s="1116"/>
      <c r="F614" s="1116"/>
      <c r="G614" s="1236"/>
      <c r="H614" s="1116"/>
      <c r="I614" s="1116"/>
      <c r="J614" s="1116"/>
      <c r="K614" s="1148"/>
      <c r="L614" s="1128"/>
      <c r="M614" s="1116"/>
      <c r="N614" s="1116"/>
      <c r="O614" s="1116"/>
      <c r="P614" s="1116"/>
      <c r="Q614" s="1116"/>
      <c r="R614" s="1116"/>
      <c r="S614" s="1116"/>
      <c r="T614" s="1116"/>
    </row>
    <row r="615">
      <c r="A615" s="1116"/>
      <c r="B615" s="1116"/>
      <c r="C615" s="1116"/>
      <c r="D615" s="1116"/>
      <c r="E615" s="1116"/>
      <c r="F615" s="1116"/>
      <c r="G615" s="1236"/>
      <c r="H615" s="1116"/>
      <c r="I615" s="1116"/>
      <c r="J615" s="1116"/>
      <c r="K615" s="1148"/>
      <c r="L615" s="1128"/>
      <c r="M615" s="1116"/>
      <c r="N615" s="1116"/>
      <c r="O615" s="1116"/>
      <c r="P615" s="1116"/>
      <c r="Q615" s="1116"/>
      <c r="R615" s="1116"/>
      <c r="S615" s="1116"/>
      <c r="T615" s="1116"/>
    </row>
    <row r="616">
      <c r="A616" s="1116"/>
      <c r="B616" s="1116"/>
      <c r="C616" s="1116"/>
      <c r="D616" s="1116"/>
      <c r="E616" s="1116"/>
      <c r="F616" s="1116"/>
      <c r="G616" s="1236"/>
      <c r="H616" s="1116"/>
      <c r="I616" s="1116"/>
      <c r="J616" s="1116"/>
      <c r="K616" s="1148"/>
      <c r="L616" s="1128"/>
      <c r="M616" s="1116"/>
      <c r="N616" s="1116"/>
      <c r="O616" s="1116"/>
      <c r="P616" s="1116"/>
      <c r="Q616" s="1116"/>
      <c r="R616" s="1116"/>
      <c r="S616" s="1116"/>
      <c r="T616" s="1116"/>
    </row>
    <row r="617">
      <c r="A617" s="1116"/>
      <c r="B617" s="1116"/>
      <c r="C617" s="1116"/>
      <c r="D617" s="1116"/>
      <c r="E617" s="1116"/>
      <c r="F617" s="1116"/>
      <c r="G617" s="1236"/>
      <c r="H617" s="1116"/>
      <c r="I617" s="1116"/>
      <c r="J617" s="1116"/>
      <c r="K617" s="1148"/>
      <c r="L617" s="1128"/>
      <c r="M617" s="1116"/>
      <c r="N617" s="1116"/>
      <c r="O617" s="1116"/>
      <c r="P617" s="1116"/>
      <c r="Q617" s="1116"/>
      <c r="R617" s="1116"/>
      <c r="S617" s="1116"/>
      <c r="T617" s="1116"/>
    </row>
    <row r="618">
      <c r="A618" s="1116"/>
      <c r="B618" s="1116"/>
      <c r="C618" s="1116"/>
      <c r="D618" s="1116"/>
      <c r="E618" s="1116"/>
      <c r="F618" s="1116"/>
      <c r="G618" s="1236"/>
      <c r="H618" s="1116"/>
      <c r="I618" s="1116"/>
      <c r="J618" s="1116"/>
      <c r="K618" s="1148"/>
      <c r="L618" s="1128"/>
      <c r="M618" s="1116"/>
      <c r="N618" s="1116"/>
      <c r="O618" s="1116"/>
      <c r="P618" s="1116"/>
      <c r="Q618" s="1116"/>
      <c r="R618" s="1116"/>
      <c r="S618" s="1116"/>
      <c r="T618" s="1116"/>
    </row>
    <row r="619">
      <c r="A619" s="1116"/>
      <c r="B619" s="1116"/>
      <c r="C619" s="1116"/>
      <c r="D619" s="1116"/>
      <c r="E619" s="1116"/>
      <c r="F619" s="1116"/>
      <c r="G619" s="1236"/>
      <c r="H619" s="1116"/>
      <c r="I619" s="1116"/>
      <c r="J619" s="1116"/>
      <c r="K619" s="1148"/>
      <c r="L619" s="1128"/>
      <c r="M619" s="1116"/>
      <c r="N619" s="1116"/>
      <c r="O619" s="1116"/>
      <c r="P619" s="1116"/>
      <c r="Q619" s="1116"/>
      <c r="R619" s="1116"/>
      <c r="S619" s="1116"/>
      <c r="T619" s="1116"/>
    </row>
    <row r="620">
      <c r="A620" s="1116"/>
      <c r="B620" s="1116"/>
      <c r="C620" s="1116"/>
      <c r="D620" s="1116"/>
      <c r="E620" s="1116"/>
      <c r="F620" s="1116"/>
      <c r="G620" s="1236"/>
      <c r="H620" s="1116"/>
      <c r="I620" s="1116"/>
      <c r="J620" s="1116"/>
      <c r="K620" s="1148"/>
      <c r="L620" s="1128"/>
      <c r="M620" s="1116"/>
      <c r="N620" s="1116"/>
      <c r="O620" s="1116"/>
      <c r="P620" s="1116"/>
      <c r="Q620" s="1116"/>
      <c r="R620" s="1116"/>
      <c r="S620" s="1116"/>
      <c r="T620" s="1116"/>
    </row>
    <row r="621">
      <c r="A621" s="1116"/>
      <c r="B621" s="1116"/>
      <c r="C621" s="1116"/>
      <c r="D621" s="1116"/>
      <c r="E621" s="1116"/>
      <c r="F621" s="1116"/>
      <c r="G621" s="1236"/>
      <c r="H621" s="1116"/>
      <c r="I621" s="1116"/>
      <c r="J621" s="1116"/>
      <c r="K621" s="1148"/>
      <c r="L621" s="1128"/>
      <c r="M621" s="1116"/>
      <c r="N621" s="1116"/>
      <c r="O621" s="1116"/>
      <c r="P621" s="1116"/>
      <c r="Q621" s="1116"/>
      <c r="R621" s="1116"/>
      <c r="S621" s="1116"/>
      <c r="T621" s="1116"/>
    </row>
    <row r="622">
      <c r="A622" s="1116"/>
      <c r="B622" s="1116"/>
      <c r="C622" s="1116"/>
      <c r="D622" s="1116"/>
      <c r="E622" s="1116"/>
      <c r="F622" s="1116"/>
      <c r="G622" s="1236"/>
      <c r="H622" s="1116"/>
      <c r="I622" s="1116"/>
      <c r="J622" s="1116"/>
      <c r="K622" s="1148"/>
      <c r="L622" s="1128"/>
      <c r="M622" s="1116"/>
      <c r="N622" s="1116"/>
      <c r="O622" s="1116"/>
      <c r="P622" s="1116"/>
      <c r="Q622" s="1116"/>
      <c r="R622" s="1116"/>
      <c r="S622" s="1116"/>
      <c r="T622" s="1116"/>
    </row>
    <row r="623">
      <c r="A623" s="1116"/>
      <c r="B623" s="1116"/>
      <c r="C623" s="1116"/>
      <c r="D623" s="1116"/>
      <c r="E623" s="1116"/>
      <c r="F623" s="1116"/>
      <c r="G623" s="1236"/>
      <c r="H623" s="1116"/>
      <c r="I623" s="1116"/>
      <c r="J623" s="1116"/>
      <c r="K623" s="1148"/>
      <c r="L623" s="1128"/>
      <c r="M623" s="1116"/>
      <c r="N623" s="1116"/>
      <c r="O623" s="1116"/>
      <c r="P623" s="1116"/>
      <c r="Q623" s="1116"/>
      <c r="R623" s="1116"/>
      <c r="S623" s="1116"/>
      <c r="T623" s="1116"/>
    </row>
    <row r="624">
      <c r="A624" s="1116"/>
      <c r="B624" s="1116"/>
      <c r="C624" s="1116"/>
      <c r="D624" s="1116"/>
      <c r="E624" s="1116"/>
      <c r="F624" s="1116"/>
      <c r="G624" s="1236"/>
      <c r="H624" s="1116"/>
      <c r="I624" s="1116"/>
      <c r="J624" s="1116"/>
      <c r="K624" s="1148"/>
      <c r="L624" s="1128"/>
      <c r="M624" s="1116"/>
      <c r="N624" s="1116"/>
      <c r="O624" s="1116"/>
      <c r="P624" s="1116"/>
      <c r="Q624" s="1116"/>
      <c r="R624" s="1116"/>
      <c r="S624" s="1116"/>
      <c r="T624" s="1116"/>
    </row>
    <row r="625">
      <c r="A625" s="1116"/>
      <c r="B625" s="1116"/>
      <c r="C625" s="1116"/>
      <c r="D625" s="1116"/>
      <c r="E625" s="1116"/>
      <c r="F625" s="1116"/>
      <c r="G625" s="1236"/>
      <c r="H625" s="1116"/>
      <c r="I625" s="1116"/>
      <c r="J625" s="1116"/>
      <c r="K625" s="1148"/>
      <c r="L625" s="1128"/>
      <c r="M625" s="1116"/>
      <c r="N625" s="1116"/>
      <c r="O625" s="1116"/>
      <c r="P625" s="1116"/>
      <c r="Q625" s="1116"/>
      <c r="R625" s="1116"/>
      <c r="S625" s="1116"/>
      <c r="T625" s="1116"/>
    </row>
    <row r="626">
      <c r="A626" s="1116"/>
      <c r="B626" s="1116"/>
      <c r="C626" s="1116"/>
      <c r="D626" s="1116"/>
      <c r="E626" s="1116"/>
      <c r="F626" s="1116"/>
      <c r="G626" s="1236"/>
      <c r="H626" s="1116"/>
      <c r="I626" s="1116"/>
      <c r="J626" s="1116"/>
      <c r="K626" s="1148"/>
      <c r="L626" s="1128"/>
      <c r="M626" s="1116"/>
      <c r="N626" s="1116"/>
      <c r="O626" s="1116"/>
      <c r="P626" s="1116"/>
      <c r="Q626" s="1116"/>
      <c r="R626" s="1116"/>
      <c r="S626" s="1116"/>
      <c r="T626" s="1116"/>
    </row>
    <row r="627">
      <c r="A627" s="1116"/>
      <c r="B627" s="1116"/>
      <c r="C627" s="1116"/>
      <c r="D627" s="1116"/>
      <c r="E627" s="1116"/>
      <c r="F627" s="1116"/>
      <c r="G627" s="1236"/>
      <c r="H627" s="1116"/>
      <c r="I627" s="1116"/>
      <c r="J627" s="1116"/>
      <c r="K627" s="1148"/>
      <c r="L627" s="1128"/>
      <c r="M627" s="1116"/>
      <c r="N627" s="1116"/>
      <c r="O627" s="1116"/>
      <c r="P627" s="1116"/>
      <c r="Q627" s="1116"/>
      <c r="R627" s="1116"/>
      <c r="S627" s="1116"/>
      <c r="T627" s="1116"/>
    </row>
    <row r="628">
      <c r="A628" s="1116"/>
      <c r="B628" s="1116"/>
      <c r="C628" s="1116"/>
      <c r="D628" s="1116"/>
      <c r="E628" s="1116"/>
      <c r="F628" s="1116"/>
      <c r="G628" s="1236"/>
      <c r="H628" s="1116"/>
      <c r="I628" s="1116"/>
      <c r="J628" s="1116"/>
      <c r="K628" s="1148"/>
      <c r="L628" s="1128"/>
      <c r="M628" s="1116"/>
      <c r="N628" s="1116"/>
      <c r="O628" s="1116"/>
      <c r="P628" s="1116"/>
      <c r="Q628" s="1116"/>
      <c r="R628" s="1116"/>
      <c r="S628" s="1116"/>
      <c r="T628" s="1116"/>
    </row>
    <row r="629">
      <c r="A629" s="1116"/>
      <c r="B629" s="1116"/>
      <c r="C629" s="1116"/>
      <c r="D629" s="1116"/>
      <c r="E629" s="1116"/>
      <c r="F629" s="1116"/>
      <c r="G629" s="1236"/>
      <c r="H629" s="1116"/>
      <c r="I629" s="1116"/>
      <c r="J629" s="1116"/>
      <c r="K629" s="1148"/>
      <c r="L629" s="1128"/>
      <c r="M629" s="1116"/>
      <c r="N629" s="1116"/>
      <c r="O629" s="1116"/>
      <c r="P629" s="1116"/>
      <c r="Q629" s="1116"/>
      <c r="R629" s="1116"/>
      <c r="S629" s="1116"/>
      <c r="T629" s="1116"/>
    </row>
    <row r="630">
      <c r="A630" s="1116"/>
      <c r="B630" s="1116"/>
      <c r="C630" s="1116"/>
      <c r="D630" s="1116"/>
      <c r="E630" s="1116"/>
      <c r="F630" s="1116"/>
      <c r="G630" s="1236"/>
      <c r="H630" s="1116"/>
      <c r="I630" s="1116"/>
      <c r="J630" s="1116"/>
      <c r="K630" s="1148"/>
      <c r="L630" s="1128"/>
      <c r="M630" s="1116"/>
      <c r="N630" s="1116"/>
      <c r="O630" s="1116"/>
      <c r="P630" s="1116"/>
      <c r="Q630" s="1116"/>
      <c r="R630" s="1116"/>
      <c r="S630" s="1116"/>
      <c r="T630" s="1116"/>
    </row>
    <row r="631">
      <c r="A631" s="1116"/>
      <c r="B631" s="1116"/>
      <c r="C631" s="1116"/>
      <c r="D631" s="1116"/>
      <c r="E631" s="1116"/>
      <c r="F631" s="1116"/>
      <c r="G631" s="1236"/>
      <c r="H631" s="1116"/>
      <c r="I631" s="1116"/>
      <c r="J631" s="1116"/>
      <c r="K631" s="1148"/>
      <c r="L631" s="1128"/>
      <c r="M631" s="1116"/>
      <c r="N631" s="1116"/>
      <c r="O631" s="1116"/>
      <c r="P631" s="1116"/>
      <c r="Q631" s="1116"/>
      <c r="R631" s="1116"/>
      <c r="S631" s="1116"/>
      <c r="T631" s="1116"/>
    </row>
    <row r="632">
      <c r="A632" s="1116"/>
      <c r="B632" s="1116"/>
      <c r="C632" s="1116"/>
      <c r="D632" s="1116"/>
      <c r="E632" s="1116"/>
      <c r="F632" s="1116"/>
      <c r="G632" s="1236"/>
      <c r="H632" s="1116"/>
      <c r="I632" s="1116"/>
      <c r="J632" s="1116"/>
      <c r="K632" s="1148"/>
      <c r="L632" s="1128"/>
      <c r="M632" s="1116"/>
      <c r="N632" s="1116"/>
      <c r="O632" s="1116"/>
      <c r="P632" s="1116"/>
      <c r="Q632" s="1116"/>
      <c r="R632" s="1116"/>
      <c r="S632" s="1116"/>
      <c r="T632" s="1116"/>
    </row>
    <row r="633">
      <c r="A633" s="1116"/>
      <c r="B633" s="1116"/>
      <c r="C633" s="1116"/>
      <c r="D633" s="1116"/>
      <c r="E633" s="1116"/>
      <c r="F633" s="1116"/>
      <c r="G633" s="1236"/>
      <c r="H633" s="1116"/>
      <c r="I633" s="1116"/>
      <c r="J633" s="1116"/>
      <c r="K633" s="1148"/>
      <c r="L633" s="1128"/>
      <c r="M633" s="1116"/>
      <c r="N633" s="1116"/>
      <c r="O633" s="1116"/>
      <c r="P633" s="1116"/>
      <c r="Q633" s="1116"/>
      <c r="R633" s="1116"/>
      <c r="S633" s="1116"/>
      <c r="T633" s="1116"/>
    </row>
    <row r="634">
      <c r="A634" s="1116"/>
      <c r="B634" s="1116"/>
      <c r="C634" s="1116"/>
      <c r="D634" s="1116"/>
      <c r="E634" s="1116"/>
      <c r="F634" s="1116"/>
      <c r="G634" s="1236"/>
      <c r="H634" s="1116"/>
      <c r="I634" s="1116"/>
      <c r="J634" s="1116"/>
      <c r="K634" s="1148"/>
      <c r="L634" s="1128"/>
      <c r="M634" s="1116"/>
      <c r="N634" s="1116"/>
      <c r="O634" s="1116"/>
      <c r="P634" s="1116"/>
      <c r="Q634" s="1116"/>
      <c r="R634" s="1116"/>
      <c r="S634" s="1116"/>
      <c r="T634" s="1116"/>
    </row>
    <row r="635">
      <c r="A635" s="1116"/>
      <c r="B635" s="1116"/>
      <c r="C635" s="1116"/>
      <c r="D635" s="1116"/>
      <c r="E635" s="1116"/>
      <c r="F635" s="1116"/>
      <c r="G635" s="1236"/>
      <c r="H635" s="1116"/>
      <c r="I635" s="1116"/>
      <c r="J635" s="1116"/>
      <c r="K635" s="1148"/>
      <c r="L635" s="1128"/>
      <c r="M635" s="1116"/>
      <c r="N635" s="1116"/>
      <c r="O635" s="1116"/>
      <c r="P635" s="1116"/>
      <c r="Q635" s="1116"/>
      <c r="R635" s="1116"/>
      <c r="S635" s="1116"/>
      <c r="T635" s="1116"/>
    </row>
    <row r="636">
      <c r="A636" s="1116"/>
      <c r="B636" s="1116"/>
      <c r="C636" s="1116"/>
      <c r="D636" s="1116"/>
      <c r="E636" s="1116"/>
      <c r="F636" s="1116"/>
      <c r="G636" s="1236"/>
      <c r="H636" s="1116"/>
      <c r="I636" s="1116"/>
      <c r="J636" s="1116"/>
      <c r="K636" s="1148"/>
      <c r="L636" s="1128"/>
      <c r="M636" s="1116"/>
      <c r="N636" s="1116"/>
      <c r="O636" s="1116"/>
      <c r="P636" s="1116"/>
      <c r="Q636" s="1116"/>
      <c r="R636" s="1116"/>
      <c r="S636" s="1116"/>
      <c r="T636" s="1116"/>
    </row>
    <row r="637">
      <c r="A637" s="1116"/>
      <c r="B637" s="1116"/>
      <c r="C637" s="1116"/>
      <c r="D637" s="1116"/>
      <c r="E637" s="1116"/>
      <c r="F637" s="1116"/>
      <c r="G637" s="1236"/>
      <c r="H637" s="1116"/>
      <c r="I637" s="1116"/>
      <c r="J637" s="1116"/>
      <c r="K637" s="1148"/>
      <c r="L637" s="1128"/>
      <c r="M637" s="1116"/>
      <c r="N637" s="1116"/>
      <c r="O637" s="1116"/>
      <c r="P637" s="1116"/>
      <c r="Q637" s="1116"/>
      <c r="R637" s="1116"/>
      <c r="S637" s="1116"/>
      <c r="T637" s="1116"/>
    </row>
    <row r="638">
      <c r="A638" s="1116"/>
      <c r="B638" s="1116"/>
      <c r="C638" s="1116"/>
      <c r="D638" s="1116"/>
      <c r="E638" s="1116"/>
      <c r="F638" s="1116"/>
      <c r="G638" s="1236"/>
      <c r="H638" s="1116"/>
      <c r="I638" s="1116"/>
      <c r="J638" s="1116"/>
      <c r="K638" s="1148"/>
      <c r="L638" s="1128"/>
      <c r="M638" s="1116"/>
      <c r="N638" s="1116"/>
      <c r="O638" s="1116"/>
      <c r="P638" s="1116"/>
      <c r="Q638" s="1116"/>
      <c r="R638" s="1116"/>
      <c r="S638" s="1116"/>
      <c r="T638" s="1116"/>
    </row>
    <row r="639">
      <c r="A639" s="1116"/>
      <c r="B639" s="1116"/>
      <c r="C639" s="1116"/>
      <c r="D639" s="1116"/>
      <c r="E639" s="1116"/>
      <c r="F639" s="1116"/>
      <c r="G639" s="1236"/>
      <c r="H639" s="1116"/>
      <c r="I639" s="1116"/>
      <c r="J639" s="1116"/>
      <c r="K639" s="1148"/>
      <c r="L639" s="1128"/>
      <c r="M639" s="1116"/>
      <c r="N639" s="1116"/>
      <c r="O639" s="1116"/>
      <c r="P639" s="1116"/>
      <c r="Q639" s="1116"/>
      <c r="R639" s="1116"/>
      <c r="S639" s="1116"/>
      <c r="T639" s="1116"/>
    </row>
    <row r="640">
      <c r="A640" s="1116"/>
      <c r="B640" s="1116"/>
      <c r="C640" s="1116"/>
      <c r="D640" s="1116"/>
      <c r="E640" s="1116"/>
      <c r="F640" s="1116"/>
      <c r="G640" s="1236"/>
      <c r="H640" s="1116"/>
      <c r="I640" s="1116"/>
      <c r="J640" s="1116"/>
      <c r="K640" s="1148"/>
      <c r="L640" s="1128"/>
      <c r="M640" s="1116"/>
      <c r="N640" s="1116"/>
      <c r="O640" s="1116"/>
      <c r="P640" s="1116"/>
      <c r="Q640" s="1116"/>
      <c r="R640" s="1116"/>
      <c r="S640" s="1116"/>
      <c r="T640" s="1116"/>
    </row>
    <row r="641">
      <c r="A641" s="1116"/>
      <c r="B641" s="1116"/>
      <c r="C641" s="1116"/>
      <c r="D641" s="1116"/>
      <c r="E641" s="1116"/>
      <c r="F641" s="1116"/>
      <c r="G641" s="1236"/>
      <c r="H641" s="1116"/>
      <c r="I641" s="1116"/>
      <c r="J641" s="1116"/>
      <c r="K641" s="1148"/>
      <c r="L641" s="1128"/>
      <c r="M641" s="1116"/>
      <c r="N641" s="1116"/>
      <c r="O641" s="1116"/>
      <c r="P641" s="1116"/>
      <c r="Q641" s="1116"/>
      <c r="R641" s="1116"/>
      <c r="S641" s="1116"/>
      <c r="T641" s="1116"/>
    </row>
    <row r="642">
      <c r="A642" s="1116"/>
      <c r="B642" s="1116"/>
      <c r="C642" s="1116"/>
      <c r="D642" s="1116"/>
      <c r="E642" s="1116"/>
      <c r="F642" s="1116"/>
      <c r="G642" s="1236"/>
      <c r="H642" s="1116"/>
      <c r="I642" s="1116"/>
      <c r="J642" s="1116"/>
      <c r="K642" s="1148"/>
      <c r="L642" s="1128"/>
      <c r="M642" s="1116"/>
      <c r="N642" s="1116"/>
      <c r="O642" s="1116"/>
      <c r="P642" s="1116"/>
      <c r="Q642" s="1116"/>
      <c r="R642" s="1116"/>
      <c r="S642" s="1116"/>
      <c r="T642" s="1116"/>
    </row>
    <row r="643">
      <c r="A643" s="1116"/>
      <c r="B643" s="1116"/>
      <c r="C643" s="1116"/>
      <c r="D643" s="1116"/>
      <c r="E643" s="1116"/>
      <c r="F643" s="1116"/>
      <c r="G643" s="1236"/>
      <c r="H643" s="1116"/>
      <c r="I643" s="1116"/>
      <c r="J643" s="1116"/>
      <c r="K643" s="1148"/>
      <c r="L643" s="1128"/>
      <c r="M643" s="1116"/>
      <c r="N643" s="1116"/>
      <c r="O643" s="1116"/>
      <c r="P643" s="1116"/>
      <c r="Q643" s="1116"/>
      <c r="R643" s="1116"/>
      <c r="S643" s="1116"/>
      <c r="T643" s="1116"/>
    </row>
    <row r="644">
      <c r="A644" s="1116"/>
      <c r="B644" s="1116"/>
      <c r="C644" s="1116"/>
      <c r="D644" s="1116"/>
      <c r="E644" s="1116"/>
      <c r="F644" s="1116"/>
      <c r="G644" s="1236"/>
      <c r="H644" s="1116"/>
      <c r="I644" s="1116"/>
      <c r="J644" s="1116"/>
      <c r="K644" s="1148"/>
      <c r="L644" s="1128"/>
      <c r="M644" s="1116"/>
      <c r="N644" s="1116"/>
      <c r="O644" s="1116"/>
      <c r="P644" s="1116"/>
      <c r="Q644" s="1116"/>
      <c r="R644" s="1116"/>
      <c r="S644" s="1116"/>
      <c r="T644" s="1116"/>
    </row>
    <row r="645">
      <c r="A645" s="1116"/>
      <c r="B645" s="1116"/>
      <c r="C645" s="1116"/>
      <c r="D645" s="1116"/>
      <c r="E645" s="1116"/>
      <c r="F645" s="1116"/>
      <c r="G645" s="1236"/>
      <c r="H645" s="1116"/>
      <c r="I645" s="1116"/>
      <c r="J645" s="1116"/>
      <c r="K645" s="1148"/>
      <c r="L645" s="1128"/>
      <c r="M645" s="1116"/>
      <c r="N645" s="1116"/>
      <c r="O645" s="1116"/>
      <c r="P645" s="1116"/>
      <c r="Q645" s="1116"/>
      <c r="R645" s="1116"/>
      <c r="S645" s="1116"/>
      <c r="T645" s="1116"/>
    </row>
    <row r="646">
      <c r="A646" s="1116"/>
      <c r="B646" s="1116"/>
      <c r="C646" s="1116"/>
      <c r="D646" s="1116"/>
      <c r="E646" s="1116"/>
      <c r="F646" s="1116"/>
      <c r="G646" s="1236"/>
      <c r="H646" s="1116"/>
      <c r="I646" s="1116"/>
      <c r="J646" s="1116"/>
      <c r="K646" s="1148"/>
      <c r="L646" s="1128"/>
      <c r="M646" s="1116"/>
      <c r="N646" s="1116"/>
      <c r="O646" s="1116"/>
      <c r="P646" s="1116"/>
      <c r="Q646" s="1116"/>
      <c r="R646" s="1116"/>
      <c r="S646" s="1116"/>
      <c r="T646" s="1116"/>
    </row>
    <row r="647">
      <c r="A647" s="1116"/>
      <c r="B647" s="1116"/>
      <c r="C647" s="1116"/>
      <c r="D647" s="1116"/>
      <c r="E647" s="1116"/>
      <c r="F647" s="1116"/>
      <c r="G647" s="1236"/>
      <c r="H647" s="1116"/>
      <c r="I647" s="1116"/>
      <c r="J647" s="1116"/>
      <c r="K647" s="1148"/>
      <c r="L647" s="1128"/>
      <c r="M647" s="1116"/>
      <c r="N647" s="1116"/>
      <c r="O647" s="1116"/>
      <c r="P647" s="1116"/>
      <c r="Q647" s="1116"/>
      <c r="R647" s="1116"/>
      <c r="S647" s="1116"/>
      <c r="T647" s="1116"/>
    </row>
    <row r="648">
      <c r="A648" s="1116"/>
      <c r="B648" s="1116"/>
      <c r="C648" s="1116"/>
      <c r="D648" s="1116"/>
      <c r="E648" s="1116"/>
      <c r="F648" s="1116"/>
      <c r="G648" s="1236"/>
      <c r="H648" s="1116"/>
      <c r="I648" s="1116"/>
      <c r="J648" s="1116"/>
      <c r="K648" s="1148"/>
      <c r="L648" s="1128"/>
      <c r="M648" s="1116"/>
      <c r="N648" s="1116"/>
      <c r="O648" s="1116"/>
      <c r="P648" s="1116"/>
      <c r="Q648" s="1116"/>
      <c r="R648" s="1116"/>
      <c r="S648" s="1116"/>
      <c r="T648" s="1116"/>
    </row>
    <row r="649">
      <c r="A649" s="1116"/>
      <c r="B649" s="1116"/>
      <c r="C649" s="1116"/>
      <c r="D649" s="1116"/>
      <c r="E649" s="1116"/>
      <c r="F649" s="1116"/>
      <c r="G649" s="1236"/>
      <c r="H649" s="1116"/>
      <c r="I649" s="1116"/>
      <c r="J649" s="1116"/>
      <c r="K649" s="1148"/>
      <c r="L649" s="1128"/>
      <c r="M649" s="1116"/>
      <c r="N649" s="1116"/>
      <c r="O649" s="1116"/>
      <c r="P649" s="1116"/>
      <c r="Q649" s="1116"/>
      <c r="R649" s="1116"/>
      <c r="S649" s="1116"/>
      <c r="T649" s="1116"/>
    </row>
    <row r="650">
      <c r="A650" s="1116"/>
      <c r="B650" s="1116"/>
      <c r="C650" s="1116"/>
      <c r="D650" s="1116"/>
      <c r="E650" s="1116"/>
      <c r="F650" s="1116"/>
      <c r="G650" s="1236"/>
      <c r="H650" s="1116"/>
      <c r="I650" s="1116"/>
      <c r="J650" s="1116"/>
      <c r="K650" s="1148"/>
      <c r="L650" s="1128"/>
      <c r="M650" s="1116"/>
      <c r="N650" s="1116"/>
      <c r="O650" s="1116"/>
      <c r="P650" s="1116"/>
      <c r="Q650" s="1116"/>
      <c r="R650" s="1116"/>
      <c r="S650" s="1116"/>
      <c r="T650" s="1116"/>
    </row>
    <row r="651">
      <c r="A651" s="1116"/>
      <c r="B651" s="1116"/>
      <c r="C651" s="1116"/>
      <c r="D651" s="1116"/>
      <c r="E651" s="1116"/>
      <c r="F651" s="1116"/>
      <c r="G651" s="1236"/>
      <c r="H651" s="1116"/>
      <c r="I651" s="1116"/>
      <c r="J651" s="1116"/>
      <c r="K651" s="1148"/>
      <c r="L651" s="1128"/>
      <c r="M651" s="1116"/>
      <c r="N651" s="1116"/>
      <c r="O651" s="1116"/>
      <c r="P651" s="1116"/>
      <c r="Q651" s="1116"/>
      <c r="R651" s="1116"/>
      <c r="S651" s="1116"/>
      <c r="T651" s="1116"/>
    </row>
    <row r="652">
      <c r="A652" s="1116"/>
      <c r="B652" s="1116"/>
      <c r="C652" s="1116"/>
      <c r="D652" s="1116"/>
      <c r="E652" s="1116"/>
      <c r="F652" s="1116"/>
      <c r="G652" s="1236"/>
      <c r="H652" s="1116"/>
      <c r="I652" s="1116"/>
      <c r="J652" s="1116"/>
      <c r="K652" s="1148"/>
      <c r="L652" s="1128"/>
      <c r="M652" s="1116"/>
      <c r="N652" s="1116"/>
      <c r="O652" s="1116"/>
      <c r="P652" s="1116"/>
      <c r="Q652" s="1116"/>
      <c r="R652" s="1116"/>
      <c r="S652" s="1116"/>
      <c r="T652" s="1116"/>
    </row>
    <row r="653">
      <c r="A653" s="1116"/>
      <c r="B653" s="1116"/>
      <c r="C653" s="1116"/>
      <c r="D653" s="1116"/>
      <c r="E653" s="1116"/>
      <c r="F653" s="1116"/>
      <c r="G653" s="1236"/>
      <c r="H653" s="1116"/>
      <c r="I653" s="1116"/>
      <c r="J653" s="1116"/>
      <c r="K653" s="1148"/>
      <c r="L653" s="1128"/>
      <c r="M653" s="1116"/>
      <c r="N653" s="1116"/>
      <c r="O653" s="1116"/>
      <c r="P653" s="1116"/>
      <c r="Q653" s="1116"/>
      <c r="R653" s="1116"/>
      <c r="S653" s="1116"/>
      <c r="T653" s="1116"/>
    </row>
    <row r="654">
      <c r="A654" s="1116"/>
      <c r="B654" s="1116"/>
      <c r="C654" s="1116"/>
      <c r="D654" s="1116"/>
      <c r="E654" s="1116"/>
      <c r="F654" s="1116"/>
      <c r="G654" s="1236"/>
      <c r="H654" s="1116"/>
      <c r="I654" s="1116"/>
      <c r="J654" s="1116"/>
      <c r="K654" s="1148"/>
      <c r="L654" s="1128"/>
      <c r="M654" s="1116"/>
      <c r="N654" s="1116"/>
      <c r="O654" s="1116"/>
      <c r="P654" s="1116"/>
      <c r="Q654" s="1116"/>
      <c r="R654" s="1116"/>
      <c r="S654" s="1116"/>
      <c r="T654" s="1116"/>
    </row>
    <row r="655">
      <c r="A655" s="1116"/>
      <c r="B655" s="1116"/>
      <c r="C655" s="1116"/>
      <c r="D655" s="1116"/>
      <c r="E655" s="1116"/>
      <c r="F655" s="1116"/>
      <c r="G655" s="1236"/>
      <c r="H655" s="1116"/>
      <c r="I655" s="1116"/>
      <c r="J655" s="1116"/>
      <c r="K655" s="1148"/>
      <c r="L655" s="1128"/>
      <c r="M655" s="1116"/>
      <c r="N655" s="1116"/>
      <c r="O655" s="1116"/>
      <c r="P655" s="1116"/>
      <c r="Q655" s="1116"/>
      <c r="R655" s="1116"/>
      <c r="S655" s="1116"/>
      <c r="T655" s="1116"/>
    </row>
    <row r="656">
      <c r="A656" s="1116"/>
      <c r="B656" s="1116"/>
      <c r="C656" s="1116"/>
      <c r="D656" s="1116"/>
      <c r="E656" s="1116"/>
      <c r="F656" s="1116"/>
      <c r="G656" s="1236"/>
      <c r="H656" s="1116"/>
      <c r="I656" s="1116"/>
      <c r="J656" s="1116"/>
      <c r="K656" s="1148"/>
      <c r="L656" s="1128"/>
      <c r="M656" s="1116"/>
      <c r="N656" s="1116"/>
      <c r="O656" s="1116"/>
      <c r="P656" s="1116"/>
      <c r="Q656" s="1116"/>
      <c r="R656" s="1116"/>
      <c r="S656" s="1116"/>
      <c r="T656" s="1116"/>
    </row>
    <row r="657">
      <c r="A657" s="1116"/>
      <c r="B657" s="1116"/>
      <c r="C657" s="1116"/>
      <c r="D657" s="1116"/>
      <c r="E657" s="1116"/>
      <c r="F657" s="1116"/>
      <c r="G657" s="1236"/>
      <c r="H657" s="1116"/>
      <c r="I657" s="1116"/>
      <c r="J657" s="1116"/>
      <c r="K657" s="1148"/>
      <c r="L657" s="1128"/>
      <c r="M657" s="1116"/>
      <c r="N657" s="1116"/>
      <c r="O657" s="1116"/>
      <c r="P657" s="1116"/>
      <c r="Q657" s="1116"/>
      <c r="R657" s="1116"/>
      <c r="S657" s="1116"/>
      <c r="T657" s="1116"/>
    </row>
    <row r="658">
      <c r="A658" s="1116"/>
      <c r="B658" s="1116"/>
      <c r="C658" s="1116"/>
      <c r="D658" s="1116"/>
      <c r="E658" s="1116"/>
      <c r="F658" s="1116"/>
      <c r="G658" s="1236"/>
      <c r="H658" s="1116"/>
      <c r="I658" s="1116"/>
      <c r="J658" s="1116"/>
      <c r="K658" s="1148"/>
      <c r="L658" s="1128"/>
      <c r="M658" s="1116"/>
      <c r="N658" s="1116"/>
      <c r="O658" s="1116"/>
      <c r="P658" s="1116"/>
      <c r="Q658" s="1116"/>
      <c r="R658" s="1116"/>
      <c r="S658" s="1116"/>
      <c r="T658" s="1116"/>
    </row>
    <row r="659">
      <c r="A659" s="1116"/>
      <c r="B659" s="1116"/>
      <c r="C659" s="1116"/>
      <c r="D659" s="1116"/>
      <c r="E659" s="1116"/>
      <c r="F659" s="1116"/>
      <c r="G659" s="1236"/>
      <c r="H659" s="1116"/>
      <c r="I659" s="1116"/>
      <c r="J659" s="1116"/>
      <c r="K659" s="1148"/>
      <c r="L659" s="1128"/>
      <c r="M659" s="1116"/>
      <c r="N659" s="1116"/>
      <c r="O659" s="1116"/>
      <c r="P659" s="1116"/>
      <c r="Q659" s="1116"/>
      <c r="R659" s="1116"/>
      <c r="S659" s="1116"/>
      <c r="T659" s="1116"/>
    </row>
    <row r="660">
      <c r="A660" s="1116"/>
      <c r="B660" s="1116"/>
      <c r="C660" s="1116"/>
      <c r="D660" s="1116"/>
      <c r="E660" s="1116"/>
      <c r="F660" s="1116"/>
      <c r="G660" s="1236"/>
      <c r="H660" s="1116"/>
      <c r="I660" s="1116"/>
      <c r="J660" s="1116"/>
      <c r="K660" s="1148"/>
      <c r="L660" s="1128"/>
      <c r="M660" s="1116"/>
      <c r="N660" s="1116"/>
      <c r="O660" s="1116"/>
      <c r="P660" s="1116"/>
      <c r="Q660" s="1116"/>
      <c r="R660" s="1116"/>
      <c r="S660" s="1116"/>
      <c r="T660" s="1116"/>
    </row>
    <row r="661">
      <c r="A661" s="1116"/>
      <c r="B661" s="1116"/>
      <c r="C661" s="1116"/>
      <c r="D661" s="1116"/>
      <c r="E661" s="1116"/>
      <c r="F661" s="1116"/>
      <c r="G661" s="1236"/>
      <c r="H661" s="1116"/>
      <c r="I661" s="1116"/>
      <c r="J661" s="1116"/>
      <c r="K661" s="1148"/>
      <c r="L661" s="1128"/>
      <c r="M661" s="1116"/>
      <c r="N661" s="1116"/>
      <c r="O661" s="1116"/>
      <c r="P661" s="1116"/>
      <c r="Q661" s="1116"/>
      <c r="R661" s="1116"/>
      <c r="S661" s="1116"/>
      <c r="T661" s="1116"/>
    </row>
    <row r="662">
      <c r="A662" s="1116"/>
      <c r="B662" s="1116"/>
      <c r="C662" s="1116"/>
      <c r="D662" s="1116"/>
      <c r="E662" s="1116"/>
      <c r="F662" s="1116"/>
      <c r="G662" s="1236"/>
      <c r="H662" s="1116"/>
      <c r="I662" s="1116"/>
      <c r="J662" s="1116"/>
      <c r="K662" s="1148"/>
      <c r="L662" s="1128"/>
      <c r="M662" s="1116"/>
      <c r="N662" s="1116"/>
      <c r="O662" s="1116"/>
      <c r="P662" s="1116"/>
      <c r="Q662" s="1116"/>
      <c r="R662" s="1116"/>
      <c r="S662" s="1116"/>
      <c r="T662" s="1116"/>
    </row>
    <row r="663">
      <c r="A663" s="1116"/>
      <c r="B663" s="1116"/>
      <c r="C663" s="1116"/>
      <c r="D663" s="1116"/>
      <c r="E663" s="1116"/>
      <c r="F663" s="1116"/>
      <c r="G663" s="1236"/>
      <c r="H663" s="1116"/>
      <c r="I663" s="1116"/>
      <c r="J663" s="1116"/>
      <c r="K663" s="1148"/>
      <c r="L663" s="1128"/>
      <c r="M663" s="1116"/>
      <c r="N663" s="1116"/>
      <c r="O663" s="1116"/>
      <c r="P663" s="1116"/>
      <c r="Q663" s="1116"/>
      <c r="R663" s="1116"/>
      <c r="S663" s="1116"/>
      <c r="T663" s="1116"/>
    </row>
    <row r="664">
      <c r="A664" s="1116"/>
      <c r="B664" s="1116"/>
      <c r="C664" s="1116"/>
      <c r="D664" s="1116"/>
      <c r="E664" s="1116"/>
      <c r="F664" s="1116"/>
      <c r="G664" s="1236"/>
      <c r="H664" s="1116"/>
      <c r="I664" s="1116"/>
      <c r="J664" s="1116"/>
      <c r="K664" s="1148"/>
      <c r="L664" s="1128"/>
      <c r="M664" s="1116"/>
      <c r="N664" s="1116"/>
      <c r="O664" s="1116"/>
      <c r="P664" s="1116"/>
      <c r="Q664" s="1116"/>
      <c r="R664" s="1116"/>
      <c r="S664" s="1116"/>
      <c r="T664" s="1116"/>
    </row>
    <row r="665">
      <c r="A665" s="1116"/>
      <c r="B665" s="1116"/>
      <c r="C665" s="1116"/>
      <c r="D665" s="1116"/>
      <c r="E665" s="1116"/>
      <c r="F665" s="1116"/>
      <c r="G665" s="1236"/>
      <c r="H665" s="1116"/>
      <c r="I665" s="1116"/>
      <c r="J665" s="1116"/>
      <c r="K665" s="1148"/>
      <c r="L665" s="1128"/>
      <c r="M665" s="1116"/>
      <c r="N665" s="1116"/>
      <c r="O665" s="1116"/>
      <c r="P665" s="1116"/>
      <c r="Q665" s="1116"/>
      <c r="R665" s="1116"/>
      <c r="S665" s="1116"/>
      <c r="T665" s="1116"/>
    </row>
    <row r="666">
      <c r="A666" s="1116"/>
      <c r="B666" s="1116"/>
      <c r="C666" s="1116"/>
      <c r="D666" s="1116"/>
      <c r="E666" s="1116"/>
      <c r="F666" s="1116"/>
      <c r="G666" s="1236"/>
      <c r="H666" s="1116"/>
      <c r="I666" s="1116"/>
      <c r="J666" s="1116"/>
      <c r="K666" s="1148"/>
      <c r="L666" s="1128"/>
      <c r="M666" s="1116"/>
      <c r="N666" s="1116"/>
      <c r="O666" s="1116"/>
      <c r="P666" s="1116"/>
      <c r="Q666" s="1116"/>
      <c r="R666" s="1116"/>
      <c r="S666" s="1116"/>
      <c r="T666" s="1116"/>
    </row>
    <row r="667">
      <c r="A667" s="1116"/>
      <c r="B667" s="1116"/>
      <c r="C667" s="1116"/>
      <c r="D667" s="1116"/>
      <c r="E667" s="1116"/>
      <c r="F667" s="1116"/>
      <c r="G667" s="1236"/>
      <c r="H667" s="1116"/>
      <c r="I667" s="1116"/>
      <c r="J667" s="1116"/>
      <c r="K667" s="1148"/>
      <c r="L667" s="1128"/>
      <c r="M667" s="1116"/>
      <c r="N667" s="1116"/>
      <c r="O667" s="1116"/>
      <c r="P667" s="1116"/>
      <c r="Q667" s="1116"/>
      <c r="R667" s="1116"/>
      <c r="S667" s="1116"/>
      <c r="T667" s="1116"/>
    </row>
    <row r="668">
      <c r="A668" s="1116"/>
      <c r="B668" s="1116"/>
      <c r="C668" s="1116"/>
      <c r="D668" s="1116"/>
      <c r="E668" s="1116"/>
      <c r="F668" s="1116"/>
      <c r="G668" s="1236"/>
      <c r="H668" s="1116"/>
      <c r="I668" s="1116"/>
      <c r="J668" s="1116"/>
      <c r="K668" s="1148"/>
      <c r="L668" s="1128"/>
      <c r="M668" s="1116"/>
      <c r="N668" s="1116"/>
      <c r="O668" s="1116"/>
      <c r="P668" s="1116"/>
      <c r="Q668" s="1116"/>
      <c r="R668" s="1116"/>
      <c r="S668" s="1116"/>
      <c r="T668" s="1116"/>
    </row>
    <row r="669">
      <c r="A669" s="1116"/>
      <c r="B669" s="1116"/>
      <c r="C669" s="1116"/>
      <c r="D669" s="1116"/>
      <c r="E669" s="1116"/>
      <c r="F669" s="1116"/>
      <c r="G669" s="1236"/>
      <c r="H669" s="1116"/>
      <c r="I669" s="1116"/>
      <c r="J669" s="1116"/>
      <c r="K669" s="1148"/>
      <c r="L669" s="1128"/>
      <c r="M669" s="1116"/>
      <c r="N669" s="1116"/>
      <c r="O669" s="1116"/>
      <c r="P669" s="1116"/>
      <c r="Q669" s="1116"/>
      <c r="R669" s="1116"/>
      <c r="S669" s="1116"/>
      <c r="T669" s="1116"/>
    </row>
    <row r="670">
      <c r="A670" s="1116"/>
      <c r="B670" s="1116"/>
      <c r="C670" s="1116"/>
      <c r="D670" s="1116"/>
      <c r="E670" s="1116"/>
      <c r="F670" s="1116"/>
      <c r="G670" s="1236"/>
      <c r="H670" s="1116"/>
      <c r="I670" s="1116"/>
      <c r="J670" s="1116"/>
      <c r="K670" s="1148"/>
      <c r="L670" s="1128"/>
      <c r="M670" s="1116"/>
      <c r="N670" s="1116"/>
      <c r="O670" s="1116"/>
      <c r="P670" s="1116"/>
      <c r="Q670" s="1116"/>
      <c r="R670" s="1116"/>
      <c r="S670" s="1116"/>
      <c r="T670" s="1116"/>
    </row>
    <row r="671">
      <c r="A671" s="1116"/>
      <c r="B671" s="1116"/>
      <c r="C671" s="1116"/>
      <c r="D671" s="1116"/>
      <c r="E671" s="1116"/>
      <c r="F671" s="1116"/>
      <c r="G671" s="1236"/>
      <c r="H671" s="1116"/>
      <c r="I671" s="1116"/>
      <c r="J671" s="1116"/>
      <c r="K671" s="1148"/>
      <c r="L671" s="1128"/>
      <c r="M671" s="1116"/>
      <c r="N671" s="1116"/>
      <c r="O671" s="1116"/>
      <c r="P671" s="1116"/>
      <c r="Q671" s="1116"/>
      <c r="R671" s="1116"/>
      <c r="S671" s="1116"/>
      <c r="T671" s="1116"/>
    </row>
    <row r="672">
      <c r="A672" s="1116"/>
      <c r="B672" s="1116"/>
      <c r="C672" s="1116"/>
      <c r="D672" s="1116"/>
      <c r="E672" s="1116"/>
      <c r="F672" s="1116"/>
      <c r="G672" s="1236"/>
      <c r="H672" s="1116"/>
      <c r="I672" s="1116"/>
      <c r="J672" s="1116"/>
      <c r="K672" s="1148"/>
      <c r="L672" s="1128"/>
      <c r="M672" s="1116"/>
      <c r="N672" s="1116"/>
      <c r="O672" s="1116"/>
      <c r="P672" s="1116"/>
      <c r="Q672" s="1116"/>
      <c r="R672" s="1116"/>
      <c r="S672" s="1116"/>
      <c r="T672" s="1116"/>
    </row>
    <row r="673">
      <c r="A673" s="1116"/>
      <c r="B673" s="1116"/>
      <c r="C673" s="1116"/>
      <c r="D673" s="1116"/>
      <c r="E673" s="1116"/>
      <c r="F673" s="1116"/>
      <c r="G673" s="1236"/>
      <c r="H673" s="1116"/>
      <c r="I673" s="1116"/>
      <c r="J673" s="1116"/>
      <c r="K673" s="1148"/>
      <c r="L673" s="1128"/>
      <c r="M673" s="1116"/>
      <c r="N673" s="1116"/>
      <c r="O673" s="1116"/>
      <c r="P673" s="1116"/>
      <c r="Q673" s="1116"/>
      <c r="R673" s="1116"/>
      <c r="S673" s="1116"/>
      <c r="T673" s="1116"/>
    </row>
    <row r="674">
      <c r="A674" s="1116"/>
      <c r="B674" s="1116"/>
      <c r="C674" s="1116"/>
      <c r="D674" s="1116"/>
      <c r="E674" s="1116"/>
      <c r="F674" s="1116"/>
      <c r="G674" s="1236"/>
      <c r="H674" s="1116"/>
      <c r="I674" s="1116"/>
      <c r="J674" s="1116"/>
      <c r="K674" s="1148"/>
      <c r="L674" s="1128"/>
      <c r="M674" s="1116"/>
      <c r="N674" s="1116"/>
      <c r="O674" s="1116"/>
      <c r="P674" s="1116"/>
      <c r="Q674" s="1116"/>
      <c r="R674" s="1116"/>
      <c r="S674" s="1116"/>
      <c r="T674" s="1116"/>
    </row>
    <row r="675">
      <c r="A675" s="1116"/>
      <c r="B675" s="1116"/>
      <c r="C675" s="1116"/>
      <c r="D675" s="1116"/>
      <c r="E675" s="1116"/>
      <c r="F675" s="1116"/>
      <c r="G675" s="1236"/>
      <c r="H675" s="1116"/>
      <c r="I675" s="1116"/>
      <c r="J675" s="1116"/>
      <c r="K675" s="1148"/>
      <c r="L675" s="1128"/>
      <c r="M675" s="1116"/>
      <c r="N675" s="1116"/>
      <c r="O675" s="1116"/>
      <c r="P675" s="1116"/>
      <c r="Q675" s="1116"/>
      <c r="R675" s="1116"/>
      <c r="S675" s="1116"/>
      <c r="T675" s="1116"/>
    </row>
    <row r="676">
      <c r="A676" s="1116"/>
      <c r="B676" s="1116"/>
      <c r="C676" s="1116"/>
      <c r="D676" s="1116"/>
      <c r="E676" s="1116"/>
      <c r="F676" s="1116"/>
      <c r="G676" s="1236"/>
      <c r="H676" s="1116"/>
      <c r="I676" s="1116"/>
      <c r="J676" s="1116"/>
      <c r="K676" s="1148"/>
      <c r="L676" s="1128"/>
      <c r="M676" s="1116"/>
      <c r="N676" s="1116"/>
      <c r="O676" s="1116"/>
      <c r="P676" s="1116"/>
      <c r="Q676" s="1116"/>
      <c r="R676" s="1116"/>
      <c r="S676" s="1116"/>
      <c r="T676" s="1116"/>
    </row>
    <row r="677">
      <c r="A677" s="1116"/>
      <c r="B677" s="1116"/>
      <c r="C677" s="1116"/>
      <c r="D677" s="1116"/>
      <c r="E677" s="1116"/>
      <c r="F677" s="1116"/>
      <c r="G677" s="1236"/>
      <c r="H677" s="1116"/>
      <c r="I677" s="1116"/>
      <c r="J677" s="1116"/>
      <c r="K677" s="1148"/>
      <c r="L677" s="1128"/>
      <c r="M677" s="1116"/>
      <c r="N677" s="1116"/>
      <c r="O677" s="1116"/>
      <c r="P677" s="1116"/>
      <c r="Q677" s="1116"/>
      <c r="R677" s="1116"/>
      <c r="S677" s="1116"/>
      <c r="T677" s="1116"/>
    </row>
    <row r="678">
      <c r="A678" s="1116"/>
      <c r="B678" s="1116"/>
      <c r="C678" s="1116"/>
      <c r="D678" s="1116"/>
      <c r="E678" s="1116"/>
      <c r="F678" s="1116"/>
      <c r="G678" s="1236"/>
      <c r="H678" s="1116"/>
      <c r="I678" s="1116"/>
      <c r="J678" s="1116"/>
      <c r="K678" s="1148"/>
      <c r="L678" s="1128"/>
      <c r="M678" s="1116"/>
      <c r="N678" s="1116"/>
      <c r="O678" s="1116"/>
      <c r="P678" s="1116"/>
      <c r="Q678" s="1116"/>
      <c r="R678" s="1116"/>
      <c r="S678" s="1116"/>
      <c r="T678" s="1116"/>
    </row>
    <row r="679">
      <c r="A679" s="1116"/>
      <c r="B679" s="1116"/>
      <c r="C679" s="1116"/>
      <c r="D679" s="1116"/>
      <c r="E679" s="1116"/>
      <c r="F679" s="1116"/>
      <c r="G679" s="1236"/>
      <c r="H679" s="1116"/>
      <c r="I679" s="1116"/>
      <c r="J679" s="1116"/>
      <c r="K679" s="1148"/>
      <c r="L679" s="1128"/>
      <c r="M679" s="1116"/>
      <c r="N679" s="1116"/>
      <c r="O679" s="1116"/>
      <c r="P679" s="1116"/>
      <c r="Q679" s="1116"/>
      <c r="R679" s="1116"/>
      <c r="S679" s="1116"/>
      <c r="T679" s="1116"/>
    </row>
    <row r="680">
      <c r="A680" s="1116"/>
      <c r="B680" s="1116"/>
      <c r="C680" s="1116"/>
      <c r="D680" s="1116"/>
      <c r="E680" s="1116"/>
      <c r="F680" s="1116"/>
      <c r="G680" s="1236"/>
      <c r="H680" s="1116"/>
      <c r="I680" s="1116"/>
      <c r="J680" s="1116"/>
      <c r="K680" s="1148"/>
      <c r="L680" s="1128"/>
      <c r="M680" s="1116"/>
      <c r="N680" s="1116"/>
      <c r="O680" s="1116"/>
      <c r="P680" s="1116"/>
      <c r="Q680" s="1116"/>
      <c r="R680" s="1116"/>
      <c r="S680" s="1116"/>
      <c r="T680" s="1116"/>
    </row>
    <row r="681">
      <c r="A681" s="1116"/>
      <c r="B681" s="1116"/>
      <c r="C681" s="1116"/>
      <c r="D681" s="1116"/>
      <c r="E681" s="1116"/>
      <c r="F681" s="1116"/>
      <c r="G681" s="1236"/>
      <c r="H681" s="1116"/>
      <c r="I681" s="1116"/>
      <c r="J681" s="1116"/>
      <c r="K681" s="1148"/>
      <c r="L681" s="1128"/>
      <c r="M681" s="1116"/>
      <c r="N681" s="1116"/>
      <c r="O681" s="1116"/>
      <c r="P681" s="1116"/>
      <c r="Q681" s="1116"/>
      <c r="R681" s="1116"/>
      <c r="S681" s="1116"/>
      <c r="T681" s="1116"/>
    </row>
    <row r="682">
      <c r="A682" s="1116"/>
      <c r="B682" s="1116"/>
      <c r="C682" s="1116"/>
      <c r="D682" s="1116"/>
      <c r="E682" s="1116"/>
      <c r="F682" s="1116"/>
      <c r="G682" s="1236"/>
      <c r="H682" s="1116"/>
      <c r="I682" s="1116"/>
      <c r="J682" s="1116"/>
      <c r="K682" s="1148"/>
      <c r="L682" s="1128"/>
      <c r="M682" s="1116"/>
      <c r="N682" s="1116"/>
      <c r="O682" s="1116"/>
      <c r="P682" s="1116"/>
      <c r="Q682" s="1116"/>
      <c r="R682" s="1116"/>
      <c r="S682" s="1116"/>
      <c r="T682" s="1116"/>
    </row>
    <row r="683">
      <c r="A683" s="1116"/>
      <c r="B683" s="1116"/>
      <c r="C683" s="1116"/>
      <c r="D683" s="1116"/>
      <c r="E683" s="1116"/>
      <c r="F683" s="1116"/>
      <c r="G683" s="1236"/>
      <c r="H683" s="1116"/>
      <c r="I683" s="1116"/>
      <c r="J683" s="1116"/>
      <c r="K683" s="1148"/>
      <c r="L683" s="1128"/>
      <c r="M683" s="1116"/>
      <c r="N683" s="1116"/>
      <c r="O683" s="1116"/>
      <c r="P683" s="1116"/>
      <c r="Q683" s="1116"/>
      <c r="R683" s="1116"/>
      <c r="S683" s="1116"/>
      <c r="T683" s="1116"/>
    </row>
    <row r="684">
      <c r="A684" s="1116"/>
      <c r="B684" s="1116"/>
      <c r="C684" s="1116"/>
      <c r="D684" s="1116"/>
      <c r="E684" s="1116"/>
      <c r="F684" s="1116"/>
      <c r="G684" s="1236"/>
      <c r="H684" s="1116"/>
      <c r="I684" s="1116"/>
      <c r="J684" s="1116"/>
      <c r="K684" s="1148"/>
      <c r="L684" s="1128"/>
      <c r="M684" s="1116"/>
      <c r="N684" s="1116"/>
      <c r="O684" s="1116"/>
      <c r="P684" s="1116"/>
      <c r="Q684" s="1116"/>
      <c r="R684" s="1116"/>
      <c r="S684" s="1116"/>
      <c r="T684" s="1116"/>
    </row>
    <row r="685">
      <c r="A685" s="1116"/>
      <c r="B685" s="1116"/>
      <c r="C685" s="1116"/>
      <c r="D685" s="1116"/>
      <c r="E685" s="1116"/>
      <c r="F685" s="1116"/>
      <c r="G685" s="1236"/>
      <c r="H685" s="1116"/>
      <c r="I685" s="1116"/>
      <c r="J685" s="1116"/>
      <c r="K685" s="1148"/>
      <c r="L685" s="1128"/>
      <c r="M685" s="1116"/>
      <c r="N685" s="1116"/>
      <c r="O685" s="1116"/>
      <c r="P685" s="1116"/>
      <c r="Q685" s="1116"/>
      <c r="R685" s="1116"/>
      <c r="S685" s="1116"/>
      <c r="T685" s="1116"/>
    </row>
    <row r="686">
      <c r="A686" s="1116"/>
      <c r="B686" s="1116"/>
      <c r="C686" s="1116"/>
      <c r="D686" s="1116"/>
      <c r="E686" s="1116"/>
      <c r="F686" s="1116"/>
      <c r="G686" s="1236"/>
      <c r="H686" s="1116"/>
      <c r="I686" s="1116"/>
      <c r="J686" s="1116"/>
      <c r="K686" s="1148"/>
      <c r="L686" s="1128"/>
      <c r="M686" s="1116"/>
      <c r="N686" s="1116"/>
      <c r="O686" s="1116"/>
      <c r="P686" s="1116"/>
      <c r="Q686" s="1116"/>
      <c r="R686" s="1116"/>
      <c r="S686" s="1116"/>
      <c r="T686" s="1116"/>
    </row>
    <row r="687">
      <c r="A687" s="1116"/>
      <c r="B687" s="1116"/>
      <c r="C687" s="1116"/>
      <c r="D687" s="1116"/>
      <c r="E687" s="1116"/>
      <c r="F687" s="1116"/>
      <c r="G687" s="1236"/>
      <c r="H687" s="1116"/>
      <c r="I687" s="1116"/>
      <c r="J687" s="1116"/>
      <c r="K687" s="1148"/>
      <c r="L687" s="1128"/>
      <c r="M687" s="1116"/>
      <c r="N687" s="1116"/>
      <c r="O687" s="1116"/>
      <c r="P687" s="1116"/>
      <c r="Q687" s="1116"/>
      <c r="R687" s="1116"/>
      <c r="S687" s="1116"/>
      <c r="T687" s="1116"/>
    </row>
    <row r="688">
      <c r="A688" s="1116"/>
      <c r="B688" s="1116"/>
      <c r="C688" s="1116"/>
      <c r="D688" s="1116"/>
      <c r="E688" s="1116"/>
      <c r="F688" s="1116"/>
      <c r="G688" s="1236"/>
      <c r="H688" s="1116"/>
      <c r="I688" s="1116"/>
      <c r="J688" s="1116"/>
      <c r="K688" s="1148"/>
      <c r="L688" s="1128"/>
      <c r="M688" s="1116"/>
      <c r="N688" s="1116"/>
      <c r="O688" s="1116"/>
      <c r="P688" s="1116"/>
      <c r="Q688" s="1116"/>
      <c r="R688" s="1116"/>
      <c r="S688" s="1116"/>
      <c r="T688" s="1116"/>
    </row>
    <row r="689">
      <c r="A689" s="1116"/>
      <c r="B689" s="1116"/>
      <c r="C689" s="1116"/>
      <c r="D689" s="1116"/>
      <c r="E689" s="1116"/>
      <c r="F689" s="1116"/>
      <c r="G689" s="1236"/>
      <c r="H689" s="1116"/>
      <c r="I689" s="1116"/>
      <c r="J689" s="1116"/>
      <c r="K689" s="1148"/>
      <c r="L689" s="1128"/>
      <c r="M689" s="1116"/>
      <c r="N689" s="1116"/>
      <c r="O689" s="1116"/>
      <c r="P689" s="1116"/>
      <c r="Q689" s="1116"/>
      <c r="R689" s="1116"/>
      <c r="S689" s="1116"/>
      <c r="T689" s="1116"/>
    </row>
    <row r="690">
      <c r="A690" s="1116"/>
      <c r="B690" s="1116"/>
      <c r="C690" s="1116"/>
      <c r="D690" s="1116"/>
      <c r="E690" s="1116"/>
      <c r="F690" s="1116"/>
      <c r="G690" s="1236"/>
      <c r="H690" s="1116"/>
      <c r="I690" s="1116"/>
      <c r="J690" s="1116"/>
      <c r="K690" s="1148"/>
      <c r="L690" s="1128"/>
      <c r="M690" s="1116"/>
      <c r="N690" s="1116"/>
      <c r="O690" s="1116"/>
      <c r="P690" s="1116"/>
      <c r="Q690" s="1116"/>
      <c r="R690" s="1116"/>
      <c r="S690" s="1116"/>
      <c r="T690" s="1116"/>
    </row>
    <row r="691">
      <c r="A691" s="1116"/>
      <c r="B691" s="1116"/>
      <c r="C691" s="1116"/>
      <c r="D691" s="1116"/>
      <c r="E691" s="1116"/>
      <c r="F691" s="1116"/>
      <c r="G691" s="1236"/>
      <c r="H691" s="1116"/>
      <c r="I691" s="1116"/>
      <c r="J691" s="1116"/>
      <c r="K691" s="1148"/>
      <c r="L691" s="1128"/>
      <c r="M691" s="1116"/>
      <c r="N691" s="1116"/>
      <c r="O691" s="1116"/>
      <c r="P691" s="1116"/>
      <c r="Q691" s="1116"/>
      <c r="R691" s="1116"/>
      <c r="S691" s="1116"/>
      <c r="T691" s="1116"/>
    </row>
    <row r="692">
      <c r="A692" s="1116"/>
      <c r="B692" s="1116"/>
      <c r="C692" s="1116"/>
      <c r="D692" s="1116"/>
      <c r="E692" s="1116"/>
      <c r="F692" s="1116"/>
      <c r="G692" s="1236"/>
      <c r="H692" s="1116"/>
      <c r="I692" s="1116"/>
      <c r="J692" s="1116"/>
      <c r="K692" s="1148"/>
      <c r="L692" s="1128"/>
      <c r="M692" s="1116"/>
      <c r="N692" s="1116"/>
      <c r="O692" s="1116"/>
      <c r="P692" s="1116"/>
      <c r="Q692" s="1116"/>
      <c r="R692" s="1116"/>
      <c r="S692" s="1116"/>
      <c r="T692" s="1116"/>
    </row>
    <row r="693">
      <c r="A693" s="1116"/>
      <c r="B693" s="1116"/>
      <c r="C693" s="1116"/>
      <c r="D693" s="1116"/>
      <c r="E693" s="1116"/>
      <c r="F693" s="1116"/>
      <c r="G693" s="1236"/>
      <c r="H693" s="1116"/>
      <c r="I693" s="1116"/>
      <c r="J693" s="1116"/>
      <c r="K693" s="1148"/>
      <c r="L693" s="1128"/>
      <c r="M693" s="1116"/>
      <c r="N693" s="1116"/>
      <c r="O693" s="1116"/>
      <c r="P693" s="1116"/>
      <c r="Q693" s="1116"/>
      <c r="R693" s="1116"/>
      <c r="S693" s="1116"/>
      <c r="T693" s="1116"/>
    </row>
    <row r="694">
      <c r="A694" s="1116"/>
      <c r="B694" s="1116"/>
      <c r="C694" s="1116"/>
      <c r="D694" s="1116"/>
      <c r="E694" s="1116"/>
      <c r="F694" s="1116"/>
      <c r="G694" s="1236"/>
      <c r="H694" s="1116"/>
      <c r="I694" s="1116"/>
      <c r="J694" s="1116"/>
      <c r="K694" s="1148"/>
      <c r="L694" s="1128"/>
      <c r="M694" s="1116"/>
      <c r="N694" s="1116"/>
      <c r="O694" s="1116"/>
      <c r="P694" s="1116"/>
      <c r="Q694" s="1116"/>
      <c r="R694" s="1116"/>
      <c r="S694" s="1116"/>
      <c r="T694" s="1116"/>
    </row>
    <row r="695">
      <c r="A695" s="1116"/>
      <c r="B695" s="1116"/>
      <c r="C695" s="1116"/>
      <c r="D695" s="1116"/>
      <c r="E695" s="1116"/>
      <c r="F695" s="1116"/>
      <c r="G695" s="1236"/>
      <c r="H695" s="1116"/>
      <c r="I695" s="1116"/>
      <c r="J695" s="1116"/>
      <c r="K695" s="1148"/>
      <c r="L695" s="1128"/>
      <c r="M695" s="1116"/>
      <c r="N695" s="1116"/>
      <c r="O695" s="1116"/>
      <c r="P695" s="1116"/>
      <c r="Q695" s="1116"/>
      <c r="R695" s="1116"/>
      <c r="S695" s="1116"/>
      <c r="T695" s="1116"/>
    </row>
    <row r="696">
      <c r="A696" s="1116"/>
      <c r="B696" s="1116"/>
      <c r="C696" s="1116"/>
      <c r="D696" s="1116"/>
      <c r="E696" s="1116"/>
      <c r="F696" s="1116"/>
      <c r="G696" s="1236"/>
      <c r="H696" s="1116"/>
      <c r="I696" s="1116"/>
      <c r="J696" s="1116"/>
      <c r="K696" s="1148"/>
      <c r="L696" s="1128"/>
      <c r="M696" s="1116"/>
      <c r="N696" s="1116"/>
      <c r="O696" s="1116"/>
      <c r="P696" s="1116"/>
      <c r="Q696" s="1116"/>
      <c r="R696" s="1116"/>
      <c r="S696" s="1116"/>
      <c r="T696" s="1116"/>
    </row>
    <row r="697">
      <c r="A697" s="1116"/>
      <c r="B697" s="1116"/>
      <c r="C697" s="1116"/>
      <c r="D697" s="1116"/>
      <c r="E697" s="1116"/>
      <c r="F697" s="1116"/>
      <c r="G697" s="1236"/>
      <c r="H697" s="1116"/>
      <c r="I697" s="1116"/>
      <c r="J697" s="1116"/>
      <c r="K697" s="1148"/>
      <c r="L697" s="1128"/>
      <c r="M697" s="1116"/>
      <c r="N697" s="1116"/>
      <c r="O697" s="1116"/>
      <c r="P697" s="1116"/>
      <c r="Q697" s="1116"/>
      <c r="R697" s="1116"/>
      <c r="S697" s="1116"/>
      <c r="T697" s="1116"/>
    </row>
    <row r="698">
      <c r="A698" s="1116"/>
      <c r="B698" s="1116"/>
      <c r="C698" s="1116"/>
      <c r="D698" s="1116"/>
      <c r="E698" s="1116"/>
      <c r="F698" s="1116"/>
      <c r="G698" s="1236"/>
      <c r="H698" s="1116"/>
      <c r="I698" s="1116"/>
      <c r="J698" s="1116"/>
      <c r="K698" s="1148"/>
      <c r="L698" s="1128"/>
      <c r="M698" s="1116"/>
      <c r="N698" s="1116"/>
      <c r="O698" s="1116"/>
      <c r="P698" s="1116"/>
      <c r="Q698" s="1116"/>
      <c r="R698" s="1116"/>
      <c r="S698" s="1116"/>
      <c r="T698" s="1116"/>
    </row>
    <row r="699">
      <c r="A699" s="1116"/>
      <c r="B699" s="1116"/>
      <c r="C699" s="1116"/>
      <c r="D699" s="1116"/>
      <c r="E699" s="1116"/>
      <c r="F699" s="1116"/>
      <c r="G699" s="1236"/>
      <c r="H699" s="1116"/>
      <c r="I699" s="1116"/>
      <c r="J699" s="1116"/>
      <c r="K699" s="1148"/>
      <c r="L699" s="1128"/>
      <c r="M699" s="1116"/>
      <c r="N699" s="1116"/>
      <c r="O699" s="1116"/>
      <c r="P699" s="1116"/>
      <c r="Q699" s="1116"/>
      <c r="R699" s="1116"/>
      <c r="S699" s="1116"/>
      <c r="T699" s="1116"/>
    </row>
    <row r="700">
      <c r="A700" s="1116"/>
      <c r="B700" s="1116"/>
      <c r="C700" s="1116"/>
      <c r="D700" s="1116"/>
      <c r="E700" s="1116"/>
      <c r="F700" s="1116"/>
      <c r="G700" s="1236"/>
      <c r="H700" s="1116"/>
      <c r="I700" s="1116"/>
      <c r="J700" s="1116"/>
      <c r="K700" s="1148"/>
      <c r="L700" s="1128"/>
      <c r="M700" s="1116"/>
      <c r="N700" s="1116"/>
      <c r="O700" s="1116"/>
      <c r="P700" s="1116"/>
      <c r="Q700" s="1116"/>
      <c r="R700" s="1116"/>
      <c r="S700" s="1116"/>
      <c r="T700" s="1116"/>
    </row>
    <row r="701">
      <c r="A701" s="1116"/>
      <c r="B701" s="1116"/>
      <c r="C701" s="1116"/>
      <c r="D701" s="1116"/>
      <c r="E701" s="1116"/>
      <c r="F701" s="1116"/>
      <c r="G701" s="1236"/>
      <c r="H701" s="1116"/>
      <c r="I701" s="1116"/>
      <c r="J701" s="1116"/>
      <c r="K701" s="1148"/>
      <c r="L701" s="1128"/>
      <c r="M701" s="1116"/>
      <c r="N701" s="1116"/>
      <c r="O701" s="1116"/>
      <c r="P701" s="1116"/>
      <c r="Q701" s="1116"/>
      <c r="R701" s="1116"/>
      <c r="S701" s="1116"/>
      <c r="T701" s="1116"/>
    </row>
    <row r="702">
      <c r="A702" s="1116"/>
      <c r="B702" s="1116"/>
      <c r="C702" s="1116"/>
      <c r="D702" s="1116"/>
      <c r="E702" s="1116"/>
      <c r="F702" s="1116"/>
      <c r="G702" s="1236"/>
      <c r="H702" s="1116"/>
      <c r="I702" s="1116"/>
      <c r="J702" s="1116"/>
      <c r="K702" s="1148"/>
      <c r="L702" s="1128"/>
      <c r="M702" s="1116"/>
      <c r="N702" s="1116"/>
      <c r="O702" s="1116"/>
      <c r="P702" s="1116"/>
      <c r="Q702" s="1116"/>
      <c r="R702" s="1116"/>
      <c r="S702" s="1116"/>
      <c r="T702" s="1116"/>
    </row>
    <row r="703">
      <c r="A703" s="1116"/>
      <c r="B703" s="1116"/>
      <c r="C703" s="1116"/>
      <c r="D703" s="1116"/>
      <c r="E703" s="1116"/>
      <c r="F703" s="1116"/>
      <c r="G703" s="1236"/>
      <c r="H703" s="1116"/>
      <c r="I703" s="1116"/>
      <c r="J703" s="1116"/>
      <c r="K703" s="1148"/>
      <c r="L703" s="1128"/>
      <c r="M703" s="1116"/>
      <c r="N703" s="1116"/>
      <c r="O703" s="1116"/>
      <c r="P703" s="1116"/>
      <c r="Q703" s="1116"/>
      <c r="R703" s="1116"/>
      <c r="S703" s="1116"/>
      <c r="T703" s="1116"/>
    </row>
    <row r="704">
      <c r="A704" s="1116"/>
      <c r="B704" s="1116"/>
      <c r="C704" s="1116"/>
      <c r="D704" s="1116"/>
      <c r="E704" s="1116"/>
      <c r="F704" s="1116"/>
      <c r="G704" s="1236"/>
      <c r="H704" s="1116"/>
      <c r="I704" s="1116"/>
      <c r="J704" s="1116"/>
      <c r="K704" s="1148"/>
      <c r="L704" s="1128"/>
      <c r="M704" s="1116"/>
      <c r="N704" s="1116"/>
      <c r="O704" s="1116"/>
      <c r="P704" s="1116"/>
      <c r="Q704" s="1116"/>
      <c r="R704" s="1116"/>
      <c r="S704" s="1116"/>
      <c r="T704" s="1116"/>
    </row>
    <row r="705">
      <c r="A705" s="1116"/>
      <c r="B705" s="1116"/>
      <c r="C705" s="1116"/>
      <c r="D705" s="1116"/>
      <c r="E705" s="1116"/>
      <c r="F705" s="1116"/>
      <c r="G705" s="1236"/>
      <c r="H705" s="1116"/>
      <c r="I705" s="1116"/>
      <c r="J705" s="1116"/>
      <c r="K705" s="1148"/>
      <c r="L705" s="1128"/>
      <c r="M705" s="1116"/>
      <c r="N705" s="1116"/>
      <c r="O705" s="1116"/>
      <c r="P705" s="1116"/>
      <c r="Q705" s="1116"/>
      <c r="R705" s="1116"/>
      <c r="S705" s="1116"/>
      <c r="T705" s="1116"/>
    </row>
    <row r="706">
      <c r="A706" s="1116"/>
      <c r="B706" s="1116"/>
      <c r="C706" s="1116"/>
      <c r="D706" s="1116"/>
      <c r="E706" s="1116"/>
      <c r="F706" s="1116"/>
      <c r="G706" s="1236"/>
      <c r="H706" s="1116"/>
      <c r="I706" s="1116"/>
      <c r="J706" s="1116"/>
      <c r="K706" s="1148"/>
      <c r="L706" s="1128"/>
      <c r="M706" s="1116"/>
      <c r="N706" s="1116"/>
      <c r="O706" s="1116"/>
      <c r="P706" s="1116"/>
      <c r="Q706" s="1116"/>
      <c r="R706" s="1116"/>
      <c r="S706" s="1116"/>
      <c r="T706" s="1116"/>
    </row>
    <row r="707">
      <c r="A707" s="1116"/>
      <c r="B707" s="1116"/>
      <c r="C707" s="1116"/>
      <c r="D707" s="1116"/>
      <c r="E707" s="1116"/>
      <c r="F707" s="1116"/>
      <c r="G707" s="1236"/>
      <c r="H707" s="1116"/>
      <c r="I707" s="1116"/>
      <c r="J707" s="1116"/>
      <c r="K707" s="1148"/>
      <c r="L707" s="1128"/>
      <c r="M707" s="1116"/>
      <c r="N707" s="1116"/>
      <c r="O707" s="1116"/>
      <c r="P707" s="1116"/>
      <c r="Q707" s="1116"/>
      <c r="R707" s="1116"/>
      <c r="S707" s="1116"/>
      <c r="T707" s="1116"/>
    </row>
    <row r="708">
      <c r="A708" s="1116"/>
      <c r="B708" s="1116"/>
      <c r="C708" s="1116"/>
      <c r="D708" s="1116"/>
      <c r="E708" s="1116"/>
      <c r="F708" s="1116"/>
      <c r="G708" s="1236"/>
      <c r="H708" s="1116"/>
      <c r="I708" s="1116"/>
      <c r="J708" s="1116"/>
      <c r="K708" s="1148"/>
      <c r="L708" s="1128"/>
      <c r="M708" s="1116"/>
      <c r="N708" s="1116"/>
      <c r="O708" s="1116"/>
      <c r="P708" s="1116"/>
      <c r="Q708" s="1116"/>
      <c r="R708" s="1116"/>
      <c r="S708" s="1116"/>
      <c r="T708" s="1116"/>
    </row>
    <row r="709">
      <c r="A709" s="1116"/>
      <c r="B709" s="1116"/>
      <c r="C709" s="1116"/>
      <c r="D709" s="1116"/>
      <c r="E709" s="1116"/>
      <c r="F709" s="1116"/>
      <c r="G709" s="1236"/>
      <c r="H709" s="1116"/>
      <c r="I709" s="1116"/>
      <c r="J709" s="1116"/>
      <c r="K709" s="1148"/>
      <c r="L709" s="1128"/>
      <c r="M709" s="1116"/>
      <c r="N709" s="1116"/>
      <c r="O709" s="1116"/>
      <c r="P709" s="1116"/>
      <c r="Q709" s="1116"/>
      <c r="R709" s="1116"/>
      <c r="S709" s="1116"/>
      <c r="T709" s="1116"/>
    </row>
    <row r="710">
      <c r="A710" s="1116"/>
      <c r="B710" s="1116"/>
      <c r="C710" s="1116"/>
      <c r="D710" s="1116"/>
      <c r="E710" s="1116"/>
      <c r="F710" s="1116"/>
      <c r="G710" s="1236"/>
      <c r="H710" s="1116"/>
      <c r="I710" s="1116"/>
      <c r="J710" s="1116"/>
      <c r="K710" s="1148"/>
      <c r="L710" s="1128"/>
      <c r="M710" s="1116"/>
      <c r="N710" s="1116"/>
      <c r="O710" s="1116"/>
      <c r="P710" s="1116"/>
      <c r="Q710" s="1116"/>
      <c r="R710" s="1116"/>
      <c r="S710" s="1116"/>
      <c r="T710" s="1116"/>
    </row>
    <row r="711">
      <c r="A711" s="1116"/>
      <c r="B711" s="1116"/>
      <c r="C711" s="1116"/>
      <c r="D711" s="1116"/>
      <c r="E711" s="1116"/>
      <c r="F711" s="1116"/>
      <c r="G711" s="1236"/>
      <c r="H711" s="1116"/>
      <c r="I711" s="1116"/>
      <c r="J711" s="1116"/>
      <c r="K711" s="1148"/>
      <c r="L711" s="1128"/>
      <c r="M711" s="1116"/>
      <c r="N711" s="1116"/>
      <c r="O711" s="1116"/>
      <c r="P711" s="1116"/>
      <c r="Q711" s="1116"/>
      <c r="R711" s="1116"/>
      <c r="S711" s="1116"/>
      <c r="T711" s="1116"/>
    </row>
    <row r="712">
      <c r="A712" s="1116"/>
      <c r="B712" s="1116"/>
      <c r="C712" s="1116"/>
      <c r="D712" s="1116"/>
      <c r="E712" s="1116"/>
      <c r="F712" s="1116"/>
      <c r="G712" s="1236"/>
      <c r="H712" s="1116"/>
      <c r="I712" s="1116"/>
      <c r="J712" s="1116"/>
      <c r="K712" s="1148"/>
      <c r="L712" s="1128"/>
      <c r="M712" s="1116"/>
      <c r="N712" s="1116"/>
      <c r="O712" s="1116"/>
      <c r="P712" s="1116"/>
      <c r="Q712" s="1116"/>
      <c r="R712" s="1116"/>
      <c r="S712" s="1116"/>
      <c r="T712" s="1116"/>
    </row>
    <row r="713">
      <c r="A713" s="1116"/>
      <c r="B713" s="1116"/>
      <c r="C713" s="1116"/>
      <c r="D713" s="1116"/>
      <c r="E713" s="1116"/>
      <c r="F713" s="1116"/>
      <c r="G713" s="1236"/>
      <c r="H713" s="1116"/>
      <c r="I713" s="1116"/>
      <c r="J713" s="1116"/>
      <c r="K713" s="1148"/>
      <c r="L713" s="1128"/>
      <c r="M713" s="1116"/>
      <c r="N713" s="1116"/>
      <c r="O713" s="1116"/>
      <c r="P713" s="1116"/>
      <c r="Q713" s="1116"/>
      <c r="R713" s="1116"/>
      <c r="S713" s="1116"/>
      <c r="T713" s="1116"/>
    </row>
    <row r="714">
      <c r="A714" s="1116"/>
      <c r="B714" s="1116"/>
      <c r="C714" s="1116"/>
      <c r="D714" s="1116"/>
      <c r="E714" s="1116"/>
      <c r="F714" s="1116"/>
      <c r="G714" s="1236"/>
      <c r="H714" s="1116"/>
      <c r="I714" s="1116"/>
      <c r="J714" s="1116"/>
      <c r="K714" s="1148"/>
      <c r="L714" s="1128"/>
      <c r="M714" s="1116"/>
      <c r="N714" s="1116"/>
      <c r="O714" s="1116"/>
      <c r="P714" s="1116"/>
      <c r="Q714" s="1116"/>
      <c r="R714" s="1116"/>
      <c r="S714" s="1116"/>
      <c r="T714" s="1116"/>
    </row>
    <row r="715">
      <c r="A715" s="1116"/>
      <c r="B715" s="1116"/>
      <c r="C715" s="1116"/>
      <c r="D715" s="1116"/>
      <c r="E715" s="1116"/>
      <c r="F715" s="1116"/>
      <c r="G715" s="1236"/>
      <c r="H715" s="1116"/>
      <c r="I715" s="1116"/>
      <c r="J715" s="1116"/>
      <c r="K715" s="1148"/>
      <c r="L715" s="1128"/>
      <c r="M715" s="1116"/>
      <c r="N715" s="1116"/>
      <c r="O715" s="1116"/>
      <c r="P715" s="1116"/>
      <c r="Q715" s="1116"/>
      <c r="R715" s="1116"/>
      <c r="S715" s="1116"/>
      <c r="T715" s="1116"/>
    </row>
    <row r="716">
      <c r="A716" s="1116"/>
      <c r="B716" s="1116"/>
      <c r="C716" s="1116"/>
      <c r="D716" s="1116"/>
      <c r="E716" s="1116"/>
      <c r="F716" s="1116"/>
      <c r="G716" s="1236"/>
      <c r="H716" s="1116"/>
      <c r="I716" s="1116"/>
      <c r="J716" s="1116"/>
      <c r="K716" s="1148"/>
      <c r="L716" s="1128"/>
      <c r="M716" s="1116"/>
      <c r="N716" s="1116"/>
      <c r="O716" s="1116"/>
      <c r="P716" s="1116"/>
      <c r="Q716" s="1116"/>
      <c r="R716" s="1116"/>
      <c r="S716" s="1116"/>
      <c r="T716" s="1116"/>
    </row>
    <row r="717">
      <c r="A717" s="1116"/>
      <c r="B717" s="1116"/>
      <c r="C717" s="1116"/>
      <c r="D717" s="1116"/>
      <c r="E717" s="1116"/>
      <c r="F717" s="1116"/>
      <c r="G717" s="1236"/>
      <c r="H717" s="1116"/>
      <c r="I717" s="1116"/>
      <c r="J717" s="1116"/>
      <c r="K717" s="1148"/>
      <c r="L717" s="1128"/>
      <c r="M717" s="1116"/>
      <c r="N717" s="1116"/>
      <c r="O717" s="1116"/>
      <c r="P717" s="1116"/>
      <c r="Q717" s="1116"/>
      <c r="R717" s="1116"/>
      <c r="S717" s="1116"/>
      <c r="T717" s="1116"/>
    </row>
    <row r="718">
      <c r="A718" s="1116"/>
      <c r="B718" s="1116"/>
      <c r="C718" s="1116"/>
      <c r="D718" s="1116"/>
      <c r="E718" s="1116"/>
      <c r="F718" s="1116"/>
      <c r="G718" s="1236"/>
      <c r="H718" s="1116"/>
      <c r="I718" s="1116"/>
      <c r="J718" s="1116"/>
      <c r="K718" s="1148"/>
      <c r="L718" s="1128"/>
      <c r="M718" s="1116"/>
      <c r="N718" s="1116"/>
      <c r="O718" s="1116"/>
      <c r="P718" s="1116"/>
      <c r="Q718" s="1116"/>
      <c r="R718" s="1116"/>
      <c r="S718" s="1116"/>
      <c r="T718" s="1116"/>
    </row>
    <row r="719">
      <c r="A719" s="1116"/>
      <c r="B719" s="1116"/>
      <c r="C719" s="1116"/>
      <c r="D719" s="1116"/>
      <c r="E719" s="1116"/>
      <c r="F719" s="1116"/>
      <c r="G719" s="1236"/>
      <c r="H719" s="1116"/>
      <c r="I719" s="1116"/>
      <c r="J719" s="1116"/>
      <c r="K719" s="1148"/>
      <c r="L719" s="1128"/>
      <c r="M719" s="1116"/>
      <c r="N719" s="1116"/>
      <c r="O719" s="1116"/>
      <c r="P719" s="1116"/>
      <c r="Q719" s="1116"/>
      <c r="R719" s="1116"/>
      <c r="S719" s="1116"/>
      <c r="T719" s="1116"/>
    </row>
    <row r="720">
      <c r="A720" s="1116"/>
      <c r="B720" s="1116"/>
      <c r="C720" s="1116"/>
      <c r="D720" s="1116"/>
      <c r="E720" s="1116"/>
      <c r="F720" s="1116"/>
      <c r="G720" s="1236"/>
      <c r="H720" s="1116"/>
      <c r="I720" s="1116"/>
      <c r="J720" s="1116"/>
      <c r="K720" s="1148"/>
      <c r="L720" s="1128"/>
      <c r="M720" s="1116"/>
      <c r="N720" s="1116"/>
      <c r="O720" s="1116"/>
      <c r="P720" s="1116"/>
      <c r="Q720" s="1116"/>
      <c r="R720" s="1116"/>
      <c r="S720" s="1116"/>
      <c r="T720" s="1116"/>
    </row>
    <row r="721">
      <c r="A721" s="1116"/>
      <c r="B721" s="1116"/>
      <c r="C721" s="1116"/>
      <c r="D721" s="1116"/>
      <c r="E721" s="1116"/>
      <c r="F721" s="1116"/>
      <c r="G721" s="1236"/>
      <c r="H721" s="1116"/>
      <c r="I721" s="1116"/>
      <c r="J721" s="1116"/>
      <c r="K721" s="1148"/>
      <c r="L721" s="1128"/>
      <c r="M721" s="1116"/>
      <c r="N721" s="1116"/>
      <c r="O721" s="1116"/>
      <c r="P721" s="1116"/>
      <c r="Q721" s="1116"/>
      <c r="R721" s="1116"/>
      <c r="S721" s="1116"/>
      <c r="T721" s="1116"/>
    </row>
    <row r="722">
      <c r="A722" s="1116"/>
      <c r="B722" s="1116"/>
      <c r="C722" s="1116"/>
      <c r="D722" s="1116"/>
      <c r="E722" s="1116"/>
      <c r="F722" s="1116"/>
      <c r="G722" s="1236"/>
      <c r="H722" s="1116"/>
      <c r="I722" s="1116"/>
      <c r="J722" s="1116"/>
      <c r="K722" s="1148"/>
      <c r="L722" s="1128"/>
      <c r="M722" s="1116"/>
      <c r="N722" s="1116"/>
      <c r="O722" s="1116"/>
      <c r="P722" s="1116"/>
      <c r="Q722" s="1116"/>
      <c r="R722" s="1116"/>
      <c r="S722" s="1116"/>
      <c r="T722" s="1116"/>
    </row>
    <row r="723">
      <c r="A723" s="1116"/>
      <c r="B723" s="1116"/>
      <c r="C723" s="1116"/>
      <c r="D723" s="1116"/>
      <c r="E723" s="1116"/>
      <c r="F723" s="1116"/>
      <c r="G723" s="1236"/>
      <c r="H723" s="1116"/>
      <c r="I723" s="1116"/>
      <c r="J723" s="1116"/>
      <c r="K723" s="1148"/>
      <c r="L723" s="1128"/>
      <c r="M723" s="1116"/>
      <c r="N723" s="1116"/>
      <c r="O723" s="1116"/>
      <c r="P723" s="1116"/>
      <c r="Q723" s="1116"/>
      <c r="R723" s="1116"/>
      <c r="S723" s="1116"/>
      <c r="T723" s="1116"/>
    </row>
    <row r="724">
      <c r="A724" s="1116"/>
      <c r="B724" s="1116"/>
      <c r="C724" s="1116"/>
      <c r="D724" s="1116"/>
      <c r="E724" s="1116"/>
      <c r="F724" s="1116"/>
      <c r="G724" s="1236"/>
      <c r="H724" s="1116"/>
      <c r="I724" s="1116"/>
      <c r="J724" s="1116"/>
      <c r="K724" s="1148"/>
      <c r="L724" s="1128"/>
      <c r="M724" s="1116"/>
      <c r="N724" s="1116"/>
      <c r="O724" s="1116"/>
      <c r="P724" s="1116"/>
      <c r="Q724" s="1116"/>
      <c r="R724" s="1116"/>
      <c r="S724" s="1116"/>
      <c r="T724" s="1116"/>
    </row>
    <row r="725">
      <c r="A725" s="1116"/>
      <c r="B725" s="1116"/>
      <c r="C725" s="1116"/>
      <c r="D725" s="1116"/>
      <c r="E725" s="1116"/>
      <c r="F725" s="1116"/>
      <c r="G725" s="1236"/>
      <c r="H725" s="1116"/>
      <c r="I725" s="1116"/>
      <c r="J725" s="1116"/>
      <c r="K725" s="1148"/>
      <c r="L725" s="1128"/>
      <c r="M725" s="1116"/>
      <c r="N725" s="1116"/>
      <c r="O725" s="1116"/>
      <c r="P725" s="1116"/>
      <c r="Q725" s="1116"/>
      <c r="R725" s="1116"/>
      <c r="S725" s="1116"/>
      <c r="T725" s="1116"/>
    </row>
    <row r="726">
      <c r="A726" s="1116"/>
      <c r="B726" s="1116"/>
      <c r="C726" s="1116"/>
      <c r="D726" s="1116"/>
      <c r="E726" s="1116"/>
      <c r="F726" s="1116"/>
      <c r="G726" s="1236"/>
      <c r="H726" s="1116"/>
      <c r="I726" s="1116"/>
      <c r="J726" s="1116"/>
      <c r="K726" s="1148"/>
      <c r="L726" s="1128"/>
      <c r="M726" s="1116"/>
      <c r="N726" s="1116"/>
      <c r="O726" s="1116"/>
      <c r="P726" s="1116"/>
      <c r="Q726" s="1116"/>
      <c r="R726" s="1116"/>
      <c r="S726" s="1116"/>
      <c r="T726" s="1116"/>
    </row>
    <row r="727">
      <c r="A727" s="1116"/>
      <c r="B727" s="1116"/>
      <c r="C727" s="1116"/>
      <c r="D727" s="1116"/>
      <c r="E727" s="1116"/>
      <c r="F727" s="1116"/>
      <c r="G727" s="1236"/>
      <c r="H727" s="1116"/>
      <c r="I727" s="1116"/>
      <c r="J727" s="1116"/>
      <c r="K727" s="1148"/>
      <c r="L727" s="1128"/>
      <c r="M727" s="1116"/>
      <c r="N727" s="1116"/>
      <c r="O727" s="1116"/>
      <c r="P727" s="1116"/>
      <c r="Q727" s="1116"/>
      <c r="R727" s="1116"/>
      <c r="S727" s="1116"/>
      <c r="T727" s="1116"/>
    </row>
    <row r="728">
      <c r="A728" s="1116"/>
      <c r="B728" s="1116"/>
      <c r="C728" s="1116"/>
      <c r="D728" s="1116"/>
      <c r="E728" s="1116"/>
      <c r="F728" s="1116"/>
      <c r="G728" s="1236"/>
      <c r="H728" s="1116"/>
      <c r="I728" s="1116"/>
      <c r="J728" s="1116"/>
      <c r="K728" s="1148"/>
      <c r="L728" s="1128"/>
      <c r="M728" s="1116"/>
      <c r="N728" s="1116"/>
      <c r="O728" s="1116"/>
      <c r="P728" s="1116"/>
      <c r="Q728" s="1116"/>
      <c r="R728" s="1116"/>
      <c r="S728" s="1116"/>
      <c r="T728" s="1116"/>
    </row>
    <row r="729">
      <c r="A729" s="1116"/>
      <c r="B729" s="1116"/>
      <c r="C729" s="1116"/>
      <c r="D729" s="1116"/>
      <c r="E729" s="1116"/>
      <c r="F729" s="1116"/>
      <c r="G729" s="1236"/>
      <c r="H729" s="1116"/>
      <c r="I729" s="1116"/>
      <c r="J729" s="1116"/>
      <c r="K729" s="1148"/>
      <c r="L729" s="1128"/>
      <c r="M729" s="1116"/>
      <c r="N729" s="1116"/>
      <c r="O729" s="1116"/>
      <c r="P729" s="1116"/>
      <c r="Q729" s="1116"/>
      <c r="R729" s="1116"/>
      <c r="S729" s="1116"/>
      <c r="T729" s="1116"/>
    </row>
    <row r="730">
      <c r="A730" s="1116"/>
      <c r="B730" s="1116"/>
      <c r="C730" s="1116"/>
      <c r="D730" s="1116"/>
      <c r="E730" s="1116"/>
      <c r="F730" s="1116"/>
      <c r="G730" s="1236"/>
      <c r="H730" s="1116"/>
      <c r="I730" s="1116"/>
      <c r="J730" s="1116"/>
      <c r="K730" s="1148"/>
      <c r="L730" s="1128"/>
      <c r="M730" s="1116"/>
      <c r="N730" s="1116"/>
      <c r="O730" s="1116"/>
      <c r="P730" s="1116"/>
      <c r="Q730" s="1116"/>
      <c r="R730" s="1116"/>
      <c r="S730" s="1116"/>
      <c r="T730" s="1116"/>
    </row>
    <row r="731">
      <c r="A731" s="1116"/>
      <c r="B731" s="1116"/>
      <c r="C731" s="1116"/>
      <c r="D731" s="1116"/>
      <c r="E731" s="1116"/>
      <c r="F731" s="1116"/>
      <c r="G731" s="1236"/>
      <c r="H731" s="1116"/>
      <c r="I731" s="1116"/>
      <c r="J731" s="1116"/>
      <c r="K731" s="1148"/>
      <c r="L731" s="1128"/>
      <c r="M731" s="1116"/>
      <c r="N731" s="1116"/>
      <c r="O731" s="1116"/>
      <c r="P731" s="1116"/>
      <c r="Q731" s="1116"/>
      <c r="R731" s="1116"/>
      <c r="S731" s="1116"/>
      <c r="T731" s="1116"/>
    </row>
    <row r="732">
      <c r="A732" s="1116"/>
      <c r="B732" s="1116"/>
      <c r="C732" s="1116"/>
      <c r="D732" s="1116"/>
      <c r="E732" s="1116"/>
      <c r="F732" s="1116"/>
      <c r="G732" s="1236"/>
      <c r="H732" s="1116"/>
      <c r="I732" s="1116"/>
      <c r="J732" s="1116"/>
      <c r="K732" s="1148"/>
      <c r="L732" s="1128"/>
      <c r="M732" s="1116"/>
      <c r="N732" s="1116"/>
      <c r="O732" s="1116"/>
      <c r="P732" s="1116"/>
      <c r="Q732" s="1116"/>
      <c r="R732" s="1116"/>
      <c r="S732" s="1116"/>
      <c r="T732" s="1116"/>
    </row>
    <row r="733">
      <c r="A733" s="1116"/>
      <c r="B733" s="1116"/>
      <c r="C733" s="1116"/>
      <c r="D733" s="1116"/>
      <c r="E733" s="1116"/>
      <c r="F733" s="1116"/>
      <c r="G733" s="1236"/>
      <c r="H733" s="1116"/>
      <c r="I733" s="1116"/>
      <c r="J733" s="1116"/>
      <c r="K733" s="1148"/>
      <c r="L733" s="1128"/>
      <c r="M733" s="1116"/>
      <c r="N733" s="1116"/>
      <c r="O733" s="1116"/>
      <c r="P733" s="1116"/>
      <c r="Q733" s="1116"/>
      <c r="R733" s="1116"/>
      <c r="S733" s="1116"/>
      <c r="T733" s="1116"/>
    </row>
    <row r="734">
      <c r="A734" s="1116"/>
      <c r="B734" s="1116"/>
      <c r="C734" s="1116"/>
      <c r="D734" s="1116"/>
      <c r="E734" s="1116"/>
      <c r="F734" s="1116"/>
      <c r="G734" s="1236"/>
      <c r="H734" s="1116"/>
      <c r="I734" s="1116"/>
      <c r="J734" s="1116"/>
      <c r="K734" s="1148"/>
      <c r="L734" s="1128"/>
      <c r="M734" s="1116"/>
      <c r="N734" s="1116"/>
      <c r="O734" s="1116"/>
      <c r="P734" s="1116"/>
      <c r="Q734" s="1116"/>
      <c r="R734" s="1116"/>
      <c r="S734" s="1116"/>
      <c r="T734" s="1116"/>
    </row>
    <row r="735">
      <c r="A735" s="1116"/>
      <c r="B735" s="1116"/>
      <c r="C735" s="1116"/>
      <c r="D735" s="1116"/>
      <c r="E735" s="1116"/>
      <c r="F735" s="1116"/>
      <c r="G735" s="1236"/>
      <c r="H735" s="1116"/>
      <c r="I735" s="1116"/>
      <c r="J735" s="1116"/>
      <c r="K735" s="1148"/>
      <c r="L735" s="1128"/>
      <c r="M735" s="1116"/>
      <c r="N735" s="1116"/>
      <c r="O735" s="1116"/>
      <c r="P735" s="1116"/>
      <c r="Q735" s="1116"/>
      <c r="R735" s="1116"/>
      <c r="S735" s="1116"/>
      <c r="T735" s="1116"/>
    </row>
    <row r="736">
      <c r="A736" s="1116"/>
      <c r="B736" s="1116"/>
      <c r="C736" s="1116"/>
      <c r="D736" s="1116"/>
      <c r="E736" s="1116"/>
      <c r="F736" s="1116"/>
      <c r="G736" s="1236"/>
      <c r="H736" s="1116"/>
      <c r="I736" s="1116"/>
      <c r="J736" s="1116"/>
      <c r="K736" s="1148"/>
      <c r="L736" s="1128"/>
      <c r="M736" s="1116"/>
      <c r="N736" s="1116"/>
      <c r="O736" s="1116"/>
      <c r="P736" s="1116"/>
      <c r="Q736" s="1116"/>
      <c r="R736" s="1116"/>
      <c r="S736" s="1116"/>
      <c r="T736" s="1116"/>
    </row>
    <row r="737">
      <c r="A737" s="1116"/>
      <c r="B737" s="1116"/>
      <c r="C737" s="1116"/>
      <c r="D737" s="1116"/>
      <c r="E737" s="1116"/>
      <c r="F737" s="1116"/>
      <c r="G737" s="1236"/>
      <c r="H737" s="1116"/>
      <c r="I737" s="1116"/>
      <c r="J737" s="1116"/>
      <c r="K737" s="1148"/>
      <c r="L737" s="1128"/>
      <c r="M737" s="1116"/>
      <c r="N737" s="1116"/>
      <c r="O737" s="1116"/>
      <c r="P737" s="1116"/>
      <c r="Q737" s="1116"/>
      <c r="R737" s="1116"/>
      <c r="S737" s="1116"/>
      <c r="T737" s="1116"/>
    </row>
    <row r="738">
      <c r="A738" s="1116"/>
      <c r="B738" s="1116"/>
      <c r="C738" s="1116"/>
      <c r="D738" s="1116"/>
      <c r="E738" s="1116"/>
      <c r="F738" s="1116"/>
      <c r="G738" s="1236"/>
      <c r="H738" s="1116"/>
      <c r="I738" s="1116"/>
      <c r="J738" s="1116"/>
      <c r="K738" s="1148"/>
      <c r="L738" s="1128"/>
      <c r="M738" s="1116"/>
      <c r="N738" s="1116"/>
      <c r="O738" s="1116"/>
      <c r="P738" s="1116"/>
      <c r="Q738" s="1116"/>
      <c r="R738" s="1116"/>
      <c r="S738" s="1116"/>
      <c r="T738" s="1116"/>
    </row>
    <row r="739">
      <c r="A739" s="1116"/>
      <c r="B739" s="1116"/>
      <c r="C739" s="1116"/>
      <c r="D739" s="1116"/>
      <c r="E739" s="1116"/>
      <c r="F739" s="1116"/>
      <c r="G739" s="1236"/>
      <c r="H739" s="1116"/>
      <c r="I739" s="1116"/>
      <c r="J739" s="1116"/>
      <c r="K739" s="1148"/>
      <c r="L739" s="1128"/>
      <c r="M739" s="1116"/>
      <c r="N739" s="1116"/>
      <c r="O739" s="1116"/>
      <c r="P739" s="1116"/>
      <c r="Q739" s="1116"/>
      <c r="R739" s="1116"/>
      <c r="S739" s="1116"/>
      <c r="T739" s="1116"/>
    </row>
    <row r="740">
      <c r="A740" s="1116"/>
      <c r="B740" s="1116"/>
      <c r="C740" s="1116"/>
      <c r="D740" s="1116"/>
      <c r="E740" s="1116"/>
      <c r="F740" s="1116"/>
      <c r="G740" s="1236"/>
      <c r="H740" s="1116"/>
      <c r="I740" s="1116"/>
      <c r="J740" s="1116"/>
      <c r="K740" s="1148"/>
      <c r="L740" s="1128"/>
      <c r="M740" s="1116"/>
      <c r="N740" s="1116"/>
      <c r="O740" s="1116"/>
      <c r="P740" s="1116"/>
      <c r="Q740" s="1116"/>
      <c r="R740" s="1116"/>
      <c r="S740" s="1116"/>
      <c r="T740" s="1116"/>
    </row>
    <row r="741">
      <c r="A741" s="1116"/>
      <c r="B741" s="1116"/>
      <c r="C741" s="1116"/>
      <c r="D741" s="1116"/>
      <c r="E741" s="1116"/>
      <c r="F741" s="1116"/>
      <c r="G741" s="1236"/>
      <c r="H741" s="1116"/>
      <c r="I741" s="1116"/>
      <c r="J741" s="1116"/>
      <c r="K741" s="1148"/>
      <c r="L741" s="1128"/>
      <c r="M741" s="1116"/>
      <c r="N741" s="1116"/>
      <c r="O741" s="1116"/>
      <c r="P741" s="1116"/>
      <c r="Q741" s="1116"/>
      <c r="R741" s="1116"/>
      <c r="S741" s="1116"/>
      <c r="T741" s="1116"/>
    </row>
    <row r="742">
      <c r="A742" s="1116"/>
      <c r="B742" s="1116"/>
      <c r="C742" s="1116"/>
      <c r="D742" s="1116"/>
      <c r="E742" s="1116"/>
      <c r="F742" s="1116"/>
      <c r="G742" s="1236"/>
      <c r="H742" s="1116"/>
      <c r="I742" s="1116"/>
      <c r="J742" s="1116"/>
      <c r="K742" s="1148"/>
      <c r="L742" s="1128"/>
      <c r="M742" s="1116"/>
      <c r="N742" s="1116"/>
      <c r="O742" s="1116"/>
      <c r="P742" s="1116"/>
      <c r="Q742" s="1116"/>
      <c r="R742" s="1116"/>
      <c r="S742" s="1116"/>
      <c r="T742" s="1116"/>
    </row>
    <row r="743">
      <c r="A743" s="1116"/>
      <c r="B743" s="1116"/>
      <c r="C743" s="1116"/>
      <c r="D743" s="1116"/>
      <c r="E743" s="1116"/>
      <c r="F743" s="1116"/>
      <c r="G743" s="1236"/>
      <c r="H743" s="1116"/>
      <c r="I743" s="1116"/>
      <c r="J743" s="1116"/>
      <c r="K743" s="1148"/>
      <c r="L743" s="1128"/>
      <c r="M743" s="1116"/>
      <c r="N743" s="1116"/>
      <c r="O743" s="1116"/>
      <c r="P743" s="1116"/>
      <c r="Q743" s="1116"/>
      <c r="R743" s="1116"/>
      <c r="S743" s="1116"/>
      <c r="T743" s="1116"/>
    </row>
    <row r="744">
      <c r="A744" s="1116"/>
      <c r="B744" s="1116"/>
      <c r="C744" s="1116"/>
      <c r="D744" s="1116"/>
      <c r="E744" s="1116"/>
      <c r="F744" s="1116"/>
      <c r="G744" s="1236"/>
      <c r="H744" s="1116"/>
      <c r="I744" s="1116"/>
      <c r="J744" s="1116"/>
      <c r="K744" s="1148"/>
      <c r="L744" s="1128"/>
      <c r="M744" s="1116"/>
      <c r="N744" s="1116"/>
      <c r="O744" s="1116"/>
      <c r="P744" s="1116"/>
      <c r="Q744" s="1116"/>
      <c r="R744" s="1116"/>
      <c r="S744" s="1116"/>
      <c r="T744" s="1116"/>
    </row>
    <row r="745">
      <c r="A745" s="1116"/>
      <c r="B745" s="1116"/>
      <c r="C745" s="1116"/>
      <c r="D745" s="1116"/>
      <c r="E745" s="1116"/>
      <c r="F745" s="1116"/>
      <c r="G745" s="1236"/>
      <c r="H745" s="1116"/>
      <c r="I745" s="1116"/>
      <c r="J745" s="1116"/>
      <c r="K745" s="1148"/>
      <c r="L745" s="1128"/>
      <c r="M745" s="1116"/>
      <c r="N745" s="1116"/>
      <c r="O745" s="1116"/>
      <c r="P745" s="1116"/>
      <c r="Q745" s="1116"/>
      <c r="R745" s="1116"/>
      <c r="S745" s="1116"/>
      <c r="T745" s="1116"/>
    </row>
    <row r="746">
      <c r="A746" s="1116"/>
      <c r="B746" s="1116"/>
      <c r="C746" s="1116"/>
      <c r="D746" s="1116"/>
      <c r="E746" s="1116"/>
      <c r="F746" s="1116"/>
      <c r="G746" s="1236"/>
      <c r="H746" s="1116"/>
      <c r="I746" s="1116"/>
      <c r="J746" s="1116"/>
      <c r="K746" s="1148"/>
      <c r="L746" s="1128"/>
      <c r="M746" s="1116"/>
      <c r="N746" s="1116"/>
      <c r="O746" s="1116"/>
      <c r="P746" s="1116"/>
      <c r="Q746" s="1116"/>
      <c r="R746" s="1116"/>
      <c r="S746" s="1116"/>
      <c r="T746" s="1116"/>
    </row>
    <row r="747">
      <c r="A747" s="1116"/>
      <c r="B747" s="1116"/>
      <c r="C747" s="1116"/>
      <c r="D747" s="1116"/>
      <c r="E747" s="1116"/>
      <c r="F747" s="1116"/>
      <c r="G747" s="1236"/>
      <c r="H747" s="1116"/>
      <c r="I747" s="1116"/>
      <c r="J747" s="1116"/>
      <c r="K747" s="1148"/>
      <c r="L747" s="1128"/>
      <c r="M747" s="1116"/>
      <c r="N747" s="1116"/>
      <c r="O747" s="1116"/>
      <c r="P747" s="1116"/>
      <c r="Q747" s="1116"/>
      <c r="R747" s="1116"/>
      <c r="S747" s="1116"/>
      <c r="T747" s="1116"/>
    </row>
    <row r="748">
      <c r="A748" s="1116"/>
      <c r="B748" s="1116"/>
      <c r="C748" s="1116"/>
      <c r="D748" s="1116"/>
      <c r="E748" s="1116"/>
      <c r="F748" s="1116"/>
      <c r="G748" s="1236"/>
      <c r="H748" s="1116"/>
      <c r="I748" s="1116"/>
      <c r="J748" s="1116"/>
      <c r="K748" s="1148"/>
      <c r="L748" s="1128"/>
      <c r="M748" s="1116"/>
      <c r="N748" s="1116"/>
      <c r="O748" s="1116"/>
      <c r="P748" s="1116"/>
      <c r="Q748" s="1116"/>
      <c r="R748" s="1116"/>
      <c r="S748" s="1116"/>
      <c r="T748" s="1116"/>
    </row>
    <row r="749">
      <c r="A749" s="1116"/>
      <c r="B749" s="1116"/>
      <c r="C749" s="1116"/>
      <c r="D749" s="1116"/>
      <c r="E749" s="1116"/>
      <c r="F749" s="1116"/>
      <c r="G749" s="1236"/>
      <c r="H749" s="1116"/>
      <c r="I749" s="1116"/>
      <c r="J749" s="1116"/>
      <c r="K749" s="1148"/>
      <c r="L749" s="1128"/>
      <c r="M749" s="1116"/>
      <c r="N749" s="1116"/>
      <c r="O749" s="1116"/>
      <c r="P749" s="1116"/>
      <c r="Q749" s="1116"/>
      <c r="R749" s="1116"/>
      <c r="S749" s="1116"/>
      <c r="T749" s="1116"/>
    </row>
    <row r="750">
      <c r="A750" s="1116"/>
      <c r="B750" s="1116"/>
      <c r="C750" s="1116"/>
      <c r="D750" s="1116"/>
      <c r="E750" s="1116"/>
      <c r="F750" s="1116"/>
      <c r="G750" s="1236"/>
      <c r="H750" s="1116"/>
      <c r="I750" s="1116"/>
      <c r="J750" s="1116"/>
      <c r="K750" s="1148"/>
      <c r="L750" s="1128"/>
      <c r="M750" s="1116"/>
      <c r="N750" s="1116"/>
      <c r="O750" s="1116"/>
      <c r="P750" s="1116"/>
      <c r="Q750" s="1116"/>
      <c r="R750" s="1116"/>
      <c r="S750" s="1116"/>
      <c r="T750" s="1116"/>
    </row>
    <row r="751">
      <c r="A751" s="1116"/>
      <c r="B751" s="1116"/>
      <c r="C751" s="1116"/>
      <c r="D751" s="1116"/>
      <c r="E751" s="1116"/>
      <c r="F751" s="1116"/>
      <c r="G751" s="1236"/>
      <c r="H751" s="1116"/>
      <c r="I751" s="1116"/>
      <c r="J751" s="1116"/>
      <c r="K751" s="1148"/>
      <c r="L751" s="1128"/>
      <c r="M751" s="1116"/>
      <c r="N751" s="1116"/>
      <c r="O751" s="1116"/>
      <c r="P751" s="1116"/>
      <c r="Q751" s="1116"/>
      <c r="R751" s="1116"/>
      <c r="S751" s="1116"/>
      <c r="T751" s="1116"/>
    </row>
    <row r="752">
      <c r="A752" s="1116"/>
      <c r="B752" s="1116"/>
      <c r="C752" s="1116"/>
      <c r="D752" s="1116"/>
      <c r="E752" s="1116"/>
      <c r="F752" s="1116"/>
      <c r="G752" s="1236"/>
      <c r="H752" s="1116"/>
      <c r="I752" s="1116"/>
      <c r="J752" s="1116"/>
      <c r="K752" s="1148"/>
      <c r="L752" s="1128"/>
      <c r="M752" s="1116"/>
      <c r="N752" s="1116"/>
      <c r="O752" s="1116"/>
      <c r="P752" s="1116"/>
      <c r="Q752" s="1116"/>
      <c r="R752" s="1116"/>
      <c r="S752" s="1116"/>
      <c r="T752" s="1116"/>
    </row>
    <row r="753">
      <c r="A753" s="1116"/>
      <c r="B753" s="1116"/>
      <c r="C753" s="1116"/>
      <c r="D753" s="1116"/>
      <c r="E753" s="1116"/>
      <c r="F753" s="1116"/>
      <c r="G753" s="1236"/>
      <c r="H753" s="1116"/>
      <c r="I753" s="1116"/>
      <c r="J753" s="1116"/>
      <c r="K753" s="1148"/>
      <c r="L753" s="1128"/>
      <c r="M753" s="1116"/>
      <c r="N753" s="1116"/>
      <c r="O753" s="1116"/>
      <c r="P753" s="1116"/>
      <c r="Q753" s="1116"/>
      <c r="R753" s="1116"/>
      <c r="S753" s="1116"/>
      <c r="T753" s="1116"/>
    </row>
    <row r="754">
      <c r="A754" s="1116"/>
      <c r="B754" s="1116"/>
      <c r="C754" s="1116"/>
      <c r="D754" s="1116"/>
      <c r="E754" s="1116"/>
      <c r="F754" s="1116"/>
      <c r="G754" s="1236"/>
      <c r="H754" s="1116"/>
      <c r="I754" s="1116"/>
      <c r="J754" s="1116"/>
      <c r="K754" s="1148"/>
      <c r="L754" s="1128"/>
      <c r="M754" s="1116"/>
      <c r="N754" s="1116"/>
      <c r="O754" s="1116"/>
      <c r="P754" s="1116"/>
      <c r="Q754" s="1116"/>
      <c r="R754" s="1116"/>
      <c r="S754" s="1116"/>
      <c r="T754" s="1116"/>
    </row>
    <row r="755">
      <c r="A755" s="1116"/>
      <c r="B755" s="1116"/>
      <c r="C755" s="1116"/>
      <c r="D755" s="1116"/>
      <c r="E755" s="1116"/>
      <c r="F755" s="1116"/>
      <c r="G755" s="1236"/>
      <c r="H755" s="1116"/>
      <c r="I755" s="1116"/>
      <c r="J755" s="1116"/>
      <c r="K755" s="1148"/>
      <c r="L755" s="1128"/>
      <c r="M755" s="1116"/>
      <c r="N755" s="1116"/>
      <c r="O755" s="1116"/>
      <c r="P755" s="1116"/>
      <c r="Q755" s="1116"/>
      <c r="R755" s="1116"/>
      <c r="S755" s="1116"/>
      <c r="T755" s="1116"/>
    </row>
    <row r="756">
      <c r="A756" s="1116"/>
      <c r="B756" s="1116"/>
      <c r="C756" s="1116"/>
      <c r="D756" s="1116"/>
      <c r="E756" s="1116"/>
      <c r="F756" s="1116"/>
      <c r="G756" s="1236"/>
      <c r="H756" s="1116"/>
      <c r="I756" s="1116"/>
      <c r="J756" s="1116"/>
      <c r="K756" s="1148"/>
      <c r="L756" s="1128"/>
      <c r="M756" s="1116"/>
      <c r="N756" s="1116"/>
      <c r="O756" s="1116"/>
      <c r="P756" s="1116"/>
      <c r="Q756" s="1116"/>
      <c r="R756" s="1116"/>
      <c r="S756" s="1116"/>
      <c r="T756" s="1116"/>
    </row>
    <row r="757">
      <c r="A757" s="1116"/>
      <c r="B757" s="1116"/>
      <c r="C757" s="1116"/>
      <c r="D757" s="1116"/>
      <c r="E757" s="1116"/>
      <c r="F757" s="1116"/>
      <c r="G757" s="1236"/>
      <c r="H757" s="1116"/>
      <c r="I757" s="1116"/>
      <c r="J757" s="1116"/>
      <c r="K757" s="1148"/>
      <c r="L757" s="1128"/>
      <c r="M757" s="1116"/>
      <c r="N757" s="1116"/>
      <c r="O757" s="1116"/>
      <c r="P757" s="1116"/>
      <c r="Q757" s="1116"/>
      <c r="R757" s="1116"/>
      <c r="S757" s="1116"/>
      <c r="T757" s="1116"/>
    </row>
    <row r="758">
      <c r="A758" s="1116"/>
      <c r="B758" s="1116"/>
      <c r="C758" s="1116"/>
      <c r="D758" s="1116"/>
      <c r="E758" s="1116"/>
      <c r="F758" s="1116"/>
      <c r="G758" s="1236"/>
      <c r="H758" s="1116"/>
      <c r="I758" s="1116"/>
      <c r="J758" s="1116"/>
      <c r="K758" s="1148"/>
      <c r="L758" s="1128"/>
      <c r="M758" s="1116"/>
      <c r="N758" s="1116"/>
      <c r="O758" s="1116"/>
      <c r="P758" s="1116"/>
      <c r="Q758" s="1116"/>
      <c r="R758" s="1116"/>
      <c r="S758" s="1116"/>
      <c r="T758" s="1116"/>
    </row>
    <row r="759">
      <c r="A759" s="1116"/>
      <c r="B759" s="1116"/>
      <c r="C759" s="1116"/>
      <c r="D759" s="1116"/>
      <c r="E759" s="1116"/>
      <c r="F759" s="1116"/>
      <c r="G759" s="1236"/>
      <c r="H759" s="1116"/>
      <c r="I759" s="1116"/>
      <c r="J759" s="1116"/>
      <c r="K759" s="1148"/>
      <c r="L759" s="1128"/>
      <c r="M759" s="1116"/>
      <c r="N759" s="1116"/>
      <c r="O759" s="1116"/>
      <c r="P759" s="1116"/>
      <c r="Q759" s="1116"/>
      <c r="R759" s="1116"/>
      <c r="S759" s="1116"/>
      <c r="T759" s="1116"/>
    </row>
    <row r="760">
      <c r="A760" s="1116"/>
      <c r="B760" s="1116"/>
      <c r="C760" s="1116"/>
      <c r="D760" s="1116"/>
      <c r="E760" s="1116"/>
      <c r="F760" s="1116"/>
      <c r="G760" s="1236"/>
      <c r="H760" s="1116"/>
      <c r="I760" s="1116"/>
      <c r="J760" s="1116"/>
      <c r="K760" s="1148"/>
      <c r="L760" s="1128"/>
      <c r="M760" s="1116"/>
      <c r="N760" s="1116"/>
      <c r="O760" s="1116"/>
      <c r="P760" s="1116"/>
      <c r="Q760" s="1116"/>
      <c r="R760" s="1116"/>
      <c r="S760" s="1116"/>
      <c r="T760" s="1116"/>
    </row>
    <row r="761">
      <c r="A761" s="1116"/>
      <c r="B761" s="1116"/>
      <c r="C761" s="1116"/>
      <c r="D761" s="1116"/>
      <c r="E761" s="1116"/>
      <c r="F761" s="1116"/>
      <c r="G761" s="1236"/>
      <c r="H761" s="1116"/>
      <c r="I761" s="1116"/>
      <c r="J761" s="1116"/>
      <c r="K761" s="1148"/>
      <c r="L761" s="1128"/>
      <c r="M761" s="1116"/>
      <c r="N761" s="1116"/>
      <c r="O761" s="1116"/>
      <c r="P761" s="1116"/>
      <c r="Q761" s="1116"/>
      <c r="R761" s="1116"/>
      <c r="S761" s="1116"/>
      <c r="T761" s="1116"/>
    </row>
    <row r="762">
      <c r="A762" s="1116"/>
      <c r="B762" s="1116"/>
      <c r="C762" s="1116"/>
      <c r="D762" s="1116"/>
      <c r="E762" s="1116"/>
      <c r="F762" s="1116"/>
      <c r="G762" s="1236"/>
      <c r="H762" s="1116"/>
      <c r="I762" s="1116"/>
      <c r="J762" s="1116"/>
      <c r="K762" s="1148"/>
      <c r="L762" s="1128"/>
      <c r="M762" s="1116"/>
      <c r="N762" s="1116"/>
      <c r="O762" s="1116"/>
      <c r="P762" s="1116"/>
      <c r="Q762" s="1116"/>
      <c r="R762" s="1116"/>
      <c r="S762" s="1116"/>
      <c r="T762" s="1116"/>
    </row>
    <row r="763">
      <c r="A763" s="1116"/>
      <c r="B763" s="1116"/>
      <c r="C763" s="1116"/>
      <c r="D763" s="1116"/>
      <c r="E763" s="1116"/>
      <c r="F763" s="1116"/>
      <c r="G763" s="1236"/>
      <c r="H763" s="1116"/>
      <c r="I763" s="1116"/>
      <c r="J763" s="1116"/>
      <c r="K763" s="1148"/>
      <c r="L763" s="1128"/>
      <c r="M763" s="1116"/>
      <c r="N763" s="1116"/>
      <c r="O763" s="1116"/>
      <c r="P763" s="1116"/>
      <c r="Q763" s="1116"/>
      <c r="R763" s="1116"/>
      <c r="S763" s="1116"/>
      <c r="T763" s="1116"/>
    </row>
    <row r="764">
      <c r="A764" s="1116"/>
      <c r="B764" s="1116"/>
      <c r="C764" s="1116"/>
      <c r="D764" s="1116"/>
      <c r="E764" s="1116"/>
      <c r="F764" s="1116"/>
      <c r="G764" s="1236"/>
      <c r="H764" s="1116"/>
      <c r="I764" s="1116"/>
      <c r="J764" s="1116"/>
      <c r="K764" s="1148"/>
      <c r="L764" s="1128"/>
      <c r="M764" s="1116"/>
      <c r="N764" s="1116"/>
      <c r="O764" s="1116"/>
      <c r="P764" s="1116"/>
      <c r="Q764" s="1116"/>
      <c r="R764" s="1116"/>
      <c r="S764" s="1116"/>
      <c r="T764" s="1116"/>
    </row>
    <row r="765">
      <c r="A765" s="1116"/>
      <c r="B765" s="1116"/>
      <c r="C765" s="1116"/>
      <c r="D765" s="1116"/>
      <c r="E765" s="1116"/>
      <c r="F765" s="1116"/>
      <c r="G765" s="1236"/>
      <c r="H765" s="1116"/>
      <c r="I765" s="1116"/>
      <c r="J765" s="1116"/>
      <c r="K765" s="1148"/>
      <c r="L765" s="1128"/>
      <c r="M765" s="1116"/>
      <c r="N765" s="1116"/>
      <c r="O765" s="1116"/>
      <c r="P765" s="1116"/>
      <c r="Q765" s="1116"/>
      <c r="R765" s="1116"/>
      <c r="S765" s="1116"/>
      <c r="T765" s="1116"/>
    </row>
    <row r="766">
      <c r="A766" s="1116"/>
      <c r="B766" s="1116"/>
      <c r="C766" s="1116"/>
      <c r="D766" s="1116"/>
      <c r="E766" s="1116"/>
      <c r="F766" s="1116"/>
      <c r="G766" s="1236"/>
      <c r="H766" s="1116"/>
      <c r="I766" s="1116"/>
      <c r="J766" s="1116"/>
      <c r="K766" s="1148"/>
      <c r="L766" s="1128"/>
      <c r="M766" s="1116"/>
      <c r="N766" s="1116"/>
      <c r="O766" s="1116"/>
      <c r="P766" s="1116"/>
      <c r="Q766" s="1116"/>
      <c r="R766" s="1116"/>
      <c r="S766" s="1116"/>
      <c r="T766" s="1116"/>
    </row>
    <row r="767">
      <c r="A767" s="1116"/>
      <c r="B767" s="1116"/>
      <c r="C767" s="1116"/>
      <c r="D767" s="1116"/>
      <c r="E767" s="1116"/>
      <c r="F767" s="1116"/>
      <c r="G767" s="1236"/>
      <c r="H767" s="1116"/>
      <c r="I767" s="1116"/>
      <c r="J767" s="1116"/>
      <c r="K767" s="1148"/>
      <c r="L767" s="1128"/>
      <c r="M767" s="1116"/>
      <c r="N767" s="1116"/>
      <c r="O767" s="1116"/>
      <c r="P767" s="1116"/>
      <c r="Q767" s="1116"/>
      <c r="R767" s="1116"/>
      <c r="S767" s="1116"/>
      <c r="T767" s="1116"/>
    </row>
    <row r="768">
      <c r="A768" s="1116"/>
      <c r="B768" s="1116"/>
      <c r="C768" s="1116"/>
      <c r="D768" s="1116"/>
      <c r="E768" s="1116"/>
      <c r="F768" s="1116"/>
      <c r="G768" s="1236"/>
      <c r="H768" s="1116"/>
      <c r="I768" s="1116"/>
      <c r="J768" s="1116"/>
      <c r="K768" s="1148"/>
      <c r="L768" s="1128"/>
      <c r="M768" s="1116"/>
      <c r="N768" s="1116"/>
      <c r="O768" s="1116"/>
      <c r="P768" s="1116"/>
      <c r="Q768" s="1116"/>
      <c r="R768" s="1116"/>
      <c r="S768" s="1116"/>
      <c r="T768" s="1116"/>
    </row>
    <row r="769">
      <c r="A769" s="1116"/>
      <c r="B769" s="1116"/>
      <c r="C769" s="1116"/>
      <c r="D769" s="1116"/>
      <c r="E769" s="1116"/>
      <c r="F769" s="1116"/>
      <c r="G769" s="1236"/>
      <c r="H769" s="1116"/>
      <c r="I769" s="1116"/>
      <c r="J769" s="1116"/>
      <c r="K769" s="1148"/>
      <c r="L769" s="1128"/>
      <c r="M769" s="1116"/>
      <c r="N769" s="1116"/>
      <c r="O769" s="1116"/>
      <c r="P769" s="1116"/>
      <c r="Q769" s="1116"/>
      <c r="R769" s="1116"/>
      <c r="S769" s="1116"/>
      <c r="T769" s="1116"/>
    </row>
    <row r="770">
      <c r="A770" s="1116"/>
      <c r="B770" s="1116"/>
      <c r="C770" s="1116"/>
      <c r="D770" s="1116"/>
      <c r="E770" s="1116"/>
      <c r="F770" s="1116"/>
      <c r="G770" s="1236"/>
      <c r="H770" s="1116"/>
      <c r="I770" s="1116"/>
      <c r="J770" s="1116"/>
      <c r="K770" s="1148"/>
      <c r="L770" s="1128"/>
      <c r="M770" s="1116"/>
      <c r="N770" s="1116"/>
      <c r="O770" s="1116"/>
      <c r="P770" s="1116"/>
      <c r="Q770" s="1116"/>
      <c r="R770" s="1116"/>
      <c r="S770" s="1116"/>
      <c r="T770" s="1116"/>
    </row>
    <row r="771">
      <c r="A771" s="1116"/>
      <c r="B771" s="1116"/>
      <c r="C771" s="1116"/>
      <c r="D771" s="1116"/>
      <c r="E771" s="1116"/>
      <c r="F771" s="1116"/>
      <c r="G771" s="1236"/>
      <c r="H771" s="1116"/>
      <c r="I771" s="1116"/>
      <c r="J771" s="1116"/>
      <c r="K771" s="1148"/>
      <c r="L771" s="1128"/>
      <c r="M771" s="1116"/>
      <c r="N771" s="1116"/>
      <c r="O771" s="1116"/>
      <c r="P771" s="1116"/>
      <c r="Q771" s="1116"/>
      <c r="R771" s="1116"/>
      <c r="S771" s="1116"/>
      <c r="T771" s="1116"/>
    </row>
    <row r="772">
      <c r="A772" s="1116"/>
      <c r="B772" s="1116"/>
      <c r="C772" s="1116"/>
      <c r="D772" s="1116"/>
      <c r="E772" s="1116"/>
      <c r="F772" s="1116"/>
      <c r="G772" s="1236"/>
      <c r="H772" s="1116"/>
      <c r="I772" s="1116"/>
      <c r="J772" s="1116"/>
      <c r="K772" s="1148"/>
      <c r="L772" s="1128"/>
      <c r="M772" s="1116"/>
      <c r="N772" s="1116"/>
      <c r="O772" s="1116"/>
      <c r="P772" s="1116"/>
      <c r="Q772" s="1116"/>
      <c r="R772" s="1116"/>
      <c r="S772" s="1116"/>
      <c r="T772" s="1116"/>
    </row>
    <row r="773">
      <c r="A773" s="1116"/>
      <c r="B773" s="1116"/>
      <c r="C773" s="1116"/>
      <c r="D773" s="1116"/>
      <c r="E773" s="1116"/>
      <c r="F773" s="1116"/>
      <c r="G773" s="1236"/>
      <c r="H773" s="1116"/>
      <c r="I773" s="1116"/>
      <c r="J773" s="1116"/>
      <c r="K773" s="1148"/>
      <c r="L773" s="1128"/>
      <c r="M773" s="1116"/>
      <c r="N773" s="1116"/>
      <c r="O773" s="1116"/>
      <c r="P773" s="1116"/>
      <c r="Q773" s="1116"/>
      <c r="R773" s="1116"/>
      <c r="S773" s="1116"/>
      <c r="T773" s="1116"/>
    </row>
    <row r="774">
      <c r="A774" s="1116"/>
      <c r="B774" s="1116"/>
      <c r="C774" s="1116"/>
      <c r="D774" s="1116"/>
      <c r="E774" s="1116"/>
      <c r="F774" s="1116"/>
      <c r="G774" s="1236"/>
      <c r="H774" s="1116"/>
      <c r="I774" s="1116"/>
      <c r="J774" s="1116"/>
      <c r="K774" s="1148"/>
      <c r="L774" s="1128"/>
      <c r="M774" s="1116"/>
      <c r="N774" s="1116"/>
      <c r="O774" s="1116"/>
      <c r="P774" s="1116"/>
      <c r="Q774" s="1116"/>
      <c r="R774" s="1116"/>
      <c r="S774" s="1116"/>
      <c r="T774" s="1116"/>
    </row>
    <row r="775">
      <c r="A775" s="1116"/>
      <c r="B775" s="1116"/>
      <c r="C775" s="1116"/>
      <c r="D775" s="1116"/>
      <c r="E775" s="1116"/>
      <c r="F775" s="1116"/>
      <c r="G775" s="1236"/>
      <c r="H775" s="1116"/>
      <c r="I775" s="1116"/>
      <c r="J775" s="1116"/>
      <c r="K775" s="1148"/>
      <c r="L775" s="1128"/>
      <c r="M775" s="1116"/>
      <c r="N775" s="1116"/>
      <c r="O775" s="1116"/>
      <c r="P775" s="1116"/>
      <c r="Q775" s="1116"/>
      <c r="R775" s="1116"/>
      <c r="S775" s="1116"/>
      <c r="T775" s="1116"/>
    </row>
    <row r="776">
      <c r="A776" s="1116"/>
      <c r="B776" s="1116"/>
      <c r="C776" s="1116"/>
      <c r="D776" s="1116"/>
      <c r="E776" s="1116"/>
      <c r="F776" s="1116"/>
      <c r="G776" s="1236"/>
      <c r="H776" s="1116"/>
      <c r="I776" s="1116"/>
      <c r="J776" s="1116"/>
      <c r="K776" s="1148"/>
      <c r="L776" s="1128"/>
      <c r="M776" s="1116"/>
      <c r="N776" s="1116"/>
      <c r="O776" s="1116"/>
      <c r="P776" s="1116"/>
      <c r="Q776" s="1116"/>
      <c r="R776" s="1116"/>
      <c r="S776" s="1116"/>
      <c r="T776" s="1116"/>
    </row>
    <row r="777">
      <c r="A777" s="1116"/>
      <c r="B777" s="1116"/>
      <c r="C777" s="1116"/>
      <c r="D777" s="1116"/>
      <c r="E777" s="1116"/>
      <c r="F777" s="1116"/>
      <c r="G777" s="1236"/>
      <c r="H777" s="1116"/>
      <c r="I777" s="1116"/>
      <c r="J777" s="1116"/>
      <c r="K777" s="1148"/>
      <c r="L777" s="1128"/>
      <c r="M777" s="1116"/>
      <c r="N777" s="1116"/>
      <c r="O777" s="1116"/>
      <c r="P777" s="1116"/>
      <c r="Q777" s="1116"/>
      <c r="R777" s="1116"/>
      <c r="S777" s="1116"/>
      <c r="T777" s="1116"/>
    </row>
    <row r="778">
      <c r="A778" s="1116"/>
      <c r="B778" s="1116"/>
      <c r="C778" s="1116"/>
      <c r="D778" s="1116"/>
      <c r="E778" s="1116"/>
      <c r="F778" s="1116"/>
      <c r="G778" s="1236"/>
      <c r="H778" s="1116"/>
      <c r="I778" s="1116"/>
      <c r="J778" s="1116"/>
      <c r="K778" s="1148"/>
      <c r="L778" s="1128"/>
      <c r="M778" s="1116"/>
      <c r="N778" s="1116"/>
      <c r="O778" s="1116"/>
      <c r="P778" s="1116"/>
      <c r="Q778" s="1116"/>
      <c r="R778" s="1116"/>
      <c r="S778" s="1116"/>
      <c r="T778" s="1116"/>
    </row>
    <row r="779">
      <c r="A779" s="1116"/>
      <c r="B779" s="1116"/>
      <c r="C779" s="1116"/>
      <c r="D779" s="1116"/>
      <c r="E779" s="1116"/>
      <c r="F779" s="1116"/>
      <c r="G779" s="1236"/>
      <c r="H779" s="1116"/>
      <c r="I779" s="1116"/>
      <c r="J779" s="1116"/>
      <c r="K779" s="1148"/>
      <c r="L779" s="1128"/>
      <c r="M779" s="1116"/>
      <c r="N779" s="1116"/>
      <c r="O779" s="1116"/>
      <c r="P779" s="1116"/>
      <c r="Q779" s="1116"/>
      <c r="R779" s="1116"/>
      <c r="S779" s="1116"/>
      <c r="T779" s="1116"/>
    </row>
    <row r="780">
      <c r="A780" s="1116"/>
      <c r="B780" s="1116"/>
      <c r="C780" s="1116"/>
      <c r="D780" s="1116"/>
      <c r="E780" s="1116"/>
      <c r="F780" s="1116"/>
      <c r="G780" s="1236"/>
      <c r="H780" s="1116"/>
      <c r="I780" s="1116"/>
      <c r="J780" s="1116"/>
      <c r="K780" s="1148"/>
      <c r="L780" s="1128"/>
      <c r="M780" s="1116"/>
      <c r="N780" s="1116"/>
      <c r="O780" s="1116"/>
      <c r="P780" s="1116"/>
      <c r="Q780" s="1116"/>
      <c r="R780" s="1116"/>
      <c r="S780" s="1116"/>
      <c r="T780" s="1116"/>
    </row>
    <row r="781">
      <c r="A781" s="1116"/>
      <c r="B781" s="1116"/>
      <c r="C781" s="1116"/>
      <c r="D781" s="1116"/>
      <c r="E781" s="1116"/>
      <c r="F781" s="1116"/>
      <c r="G781" s="1236"/>
      <c r="H781" s="1116"/>
      <c r="I781" s="1116"/>
      <c r="J781" s="1116"/>
      <c r="K781" s="1148"/>
      <c r="L781" s="1128"/>
      <c r="M781" s="1116"/>
      <c r="N781" s="1116"/>
      <c r="O781" s="1116"/>
      <c r="P781" s="1116"/>
      <c r="Q781" s="1116"/>
      <c r="R781" s="1116"/>
      <c r="S781" s="1116"/>
      <c r="T781" s="1116"/>
    </row>
    <row r="782">
      <c r="A782" s="1116"/>
      <c r="B782" s="1116"/>
      <c r="C782" s="1116"/>
      <c r="D782" s="1116"/>
      <c r="E782" s="1116"/>
      <c r="F782" s="1116"/>
      <c r="G782" s="1236"/>
      <c r="H782" s="1116"/>
      <c r="I782" s="1116"/>
      <c r="J782" s="1116"/>
      <c r="K782" s="1148"/>
      <c r="L782" s="1128"/>
      <c r="M782" s="1116"/>
      <c r="N782" s="1116"/>
      <c r="O782" s="1116"/>
      <c r="P782" s="1116"/>
      <c r="Q782" s="1116"/>
      <c r="R782" s="1116"/>
      <c r="S782" s="1116"/>
      <c r="T782" s="1116"/>
    </row>
    <row r="783">
      <c r="A783" s="1116"/>
      <c r="B783" s="1116"/>
      <c r="C783" s="1116"/>
      <c r="D783" s="1116"/>
      <c r="E783" s="1116"/>
      <c r="F783" s="1116"/>
      <c r="G783" s="1236"/>
      <c r="H783" s="1116"/>
      <c r="I783" s="1116"/>
      <c r="J783" s="1116"/>
      <c r="K783" s="1148"/>
      <c r="L783" s="1128"/>
      <c r="M783" s="1116"/>
      <c r="N783" s="1116"/>
      <c r="O783" s="1116"/>
      <c r="P783" s="1116"/>
      <c r="Q783" s="1116"/>
      <c r="R783" s="1116"/>
      <c r="S783" s="1116"/>
      <c r="T783" s="1116"/>
    </row>
    <row r="784">
      <c r="A784" s="1116"/>
      <c r="B784" s="1116"/>
      <c r="C784" s="1116"/>
      <c r="D784" s="1116"/>
      <c r="E784" s="1116"/>
      <c r="F784" s="1116"/>
      <c r="G784" s="1236"/>
      <c r="H784" s="1116"/>
      <c r="I784" s="1116"/>
      <c r="J784" s="1116"/>
      <c r="K784" s="1148"/>
      <c r="L784" s="1128"/>
      <c r="M784" s="1116"/>
      <c r="N784" s="1116"/>
      <c r="O784" s="1116"/>
      <c r="P784" s="1116"/>
      <c r="Q784" s="1116"/>
      <c r="R784" s="1116"/>
      <c r="S784" s="1116"/>
      <c r="T784" s="1116"/>
    </row>
    <row r="785">
      <c r="A785" s="1116"/>
      <c r="B785" s="1116"/>
      <c r="C785" s="1116"/>
      <c r="D785" s="1116"/>
      <c r="E785" s="1116"/>
      <c r="F785" s="1116"/>
      <c r="G785" s="1236"/>
      <c r="H785" s="1116"/>
      <c r="I785" s="1116"/>
      <c r="J785" s="1116"/>
      <c r="K785" s="1148"/>
      <c r="L785" s="1128"/>
      <c r="M785" s="1116"/>
      <c r="N785" s="1116"/>
      <c r="O785" s="1116"/>
      <c r="P785" s="1116"/>
      <c r="Q785" s="1116"/>
      <c r="R785" s="1116"/>
      <c r="S785" s="1116"/>
      <c r="T785" s="1116"/>
    </row>
    <row r="786">
      <c r="A786" s="1116"/>
      <c r="B786" s="1116"/>
      <c r="C786" s="1116"/>
      <c r="D786" s="1116"/>
      <c r="E786" s="1116"/>
      <c r="F786" s="1116"/>
      <c r="G786" s="1236"/>
      <c r="H786" s="1116"/>
      <c r="I786" s="1116"/>
      <c r="J786" s="1116"/>
      <c r="K786" s="1148"/>
      <c r="L786" s="1128"/>
      <c r="M786" s="1116"/>
      <c r="N786" s="1116"/>
      <c r="O786" s="1116"/>
      <c r="P786" s="1116"/>
      <c r="Q786" s="1116"/>
      <c r="R786" s="1116"/>
      <c r="S786" s="1116"/>
      <c r="T786" s="1116"/>
    </row>
    <row r="787">
      <c r="A787" s="1116"/>
      <c r="B787" s="1116"/>
      <c r="C787" s="1116"/>
      <c r="D787" s="1116"/>
      <c r="E787" s="1116"/>
      <c r="F787" s="1116"/>
      <c r="G787" s="1236"/>
      <c r="H787" s="1116"/>
      <c r="I787" s="1116"/>
      <c r="J787" s="1116"/>
      <c r="K787" s="1148"/>
      <c r="L787" s="1128"/>
      <c r="M787" s="1116"/>
      <c r="N787" s="1116"/>
      <c r="O787" s="1116"/>
      <c r="P787" s="1116"/>
      <c r="Q787" s="1116"/>
      <c r="R787" s="1116"/>
      <c r="S787" s="1116"/>
      <c r="T787" s="1116"/>
    </row>
    <row r="788">
      <c r="A788" s="1116"/>
      <c r="B788" s="1116"/>
      <c r="C788" s="1116"/>
      <c r="D788" s="1116"/>
      <c r="E788" s="1116"/>
      <c r="F788" s="1116"/>
      <c r="G788" s="1236"/>
      <c r="H788" s="1116"/>
      <c r="I788" s="1116"/>
      <c r="J788" s="1116"/>
      <c r="K788" s="1148"/>
      <c r="L788" s="1128"/>
      <c r="M788" s="1116"/>
      <c r="N788" s="1116"/>
      <c r="O788" s="1116"/>
      <c r="P788" s="1116"/>
      <c r="Q788" s="1116"/>
      <c r="R788" s="1116"/>
      <c r="S788" s="1116"/>
      <c r="T788" s="1116"/>
    </row>
    <row r="789">
      <c r="A789" s="1116"/>
      <c r="B789" s="1116"/>
      <c r="C789" s="1116"/>
      <c r="D789" s="1116"/>
      <c r="E789" s="1116"/>
      <c r="F789" s="1116"/>
      <c r="G789" s="1236"/>
      <c r="H789" s="1116"/>
      <c r="I789" s="1116"/>
      <c r="J789" s="1116"/>
      <c r="K789" s="1148"/>
      <c r="L789" s="1128"/>
      <c r="M789" s="1116"/>
      <c r="N789" s="1116"/>
      <c r="O789" s="1116"/>
      <c r="P789" s="1116"/>
      <c r="Q789" s="1116"/>
      <c r="R789" s="1116"/>
      <c r="S789" s="1116"/>
      <c r="T789" s="1116"/>
    </row>
    <row r="790">
      <c r="A790" s="1116"/>
      <c r="B790" s="1116"/>
      <c r="C790" s="1116"/>
      <c r="D790" s="1116"/>
      <c r="E790" s="1116"/>
      <c r="F790" s="1116"/>
      <c r="G790" s="1236"/>
      <c r="H790" s="1116"/>
      <c r="I790" s="1116"/>
      <c r="J790" s="1116"/>
      <c r="K790" s="1148"/>
      <c r="L790" s="1128"/>
      <c r="M790" s="1116"/>
      <c r="N790" s="1116"/>
      <c r="O790" s="1116"/>
      <c r="P790" s="1116"/>
      <c r="Q790" s="1116"/>
      <c r="R790" s="1116"/>
      <c r="S790" s="1116"/>
      <c r="T790" s="1116"/>
    </row>
    <row r="791">
      <c r="A791" s="1116"/>
      <c r="B791" s="1116"/>
      <c r="C791" s="1116"/>
      <c r="D791" s="1116"/>
      <c r="E791" s="1116"/>
      <c r="F791" s="1116"/>
      <c r="G791" s="1236"/>
      <c r="H791" s="1116"/>
      <c r="I791" s="1116"/>
      <c r="J791" s="1116"/>
      <c r="K791" s="1148"/>
      <c r="L791" s="1128"/>
      <c r="M791" s="1116"/>
      <c r="N791" s="1116"/>
      <c r="O791" s="1116"/>
      <c r="P791" s="1116"/>
      <c r="Q791" s="1116"/>
      <c r="R791" s="1116"/>
      <c r="S791" s="1116"/>
      <c r="T791" s="1116"/>
    </row>
    <row r="792">
      <c r="A792" s="1116"/>
      <c r="B792" s="1116"/>
      <c r="C792" s="1116"/>
      <c r="D792" s="1116"/>
      <c r="E792" s="1116"/>
      <c r="F792" s="1116"/>
      <c r="G792" s="1236"/>
      <c r="H792" s="1116"/>
      <c r="I792" s="1116"/>
      <c r="J792" s="1116"/>
      <c r="K792" s="1148"/>
      <c r="L792" s="1128"/>
      <c r="M792" s="1116"/>
      <c r="N792" s="1116"/>
      <c r="O792" s="1116"/>
      <c r="P792" s="1116"/>
      <c r="Q792" s="1116"/>
      <c r="R792" s="1116"/>
      <c r="S792" s="1116"/>
      <c r="T792" s="1116"/>
    </row>
    <row r="793">
      <c r="A793" s="1116"/>
      <c r="B793" s="1116"/>
      <c r="C793" s="1116"/>
      <c r="D793" s="1116"/>
      <c r="E793" s="1116"/>
      <c r="F793" s="1116"/>
      <c r="G793" s="1236"/>
      <c r="H793" s="1116"/>
      <c r="I793" s="1116"/>
      <c r="J793" s="1116"/>
      <c r="K793" s="1148"/>
      <c r="L793" s="1128"/>
      <c r="M793" s="1116"/>
      <c r="N793" s="1116"/>
      <c r="O793" s="1116"/>
      <c r="P793" s="1116"/>
      <c r="Q793" s="1116"/>
      <c r="R793" s="1116"/>
      <c r="S793" s="1116"/>
      <c r="T793" s="1116"/>
    </row>
    <row r="794">
      <c r="A794" s="1116"/>
      <c r="B794" s="1116"/>
      <c r="C794" s="1116"/>
      <c r="D794" s="1116"/>
      <c r="E794" s="1116"/>
      <c r="F794" s="1116"/>
      <c r="G794" s="1236"/>
      <c r="H794" s="1116"/>
      <c r="I794" s="1116"/>
      <c r="J794" s="1116"/>
      <c r="K794" s="1148"/>
      <c r="L794" s="1128"/>
      <c r="M794" s="1116"/>
      <c r="N794" s="1116"/>
      <c r="O794" s="1116"/>
      <c r="P794" s="1116"/>
      <c r="Q794" s="1116"/>
      <c r="R794" s="1116"/>
      <c r="S794" s="1116"/>
      <c r="T794" s="1116"/>
    </row>
    <row r="795">
      <c r="A795" s="1116"/>
      <c r="B795" s="1116"/>
      <c r="C795" s="1116"/>
      <c r="D795" s="1116"/>
      <c r="E795" s="1116"/>
      <c r="F795" s="1116"/>
      <c r="G795" s="1236"/>
      <c r="H795" s="1116"/>
      <c r="I795" s="1116"/>
      <c r="J795" s="1116"/>
      <c r="K795" s="1148"/>
      <c r="L795" s="1128"/>
      <c r="M795" s="1116"/>
      <c r="N795" s="1116"/>
      <c r="O795" s="1116"/>
      <c r="P795" s="1116"/>
      <c r="Q795" s="1116"/>
      <c r="R795" s="1116"/>
      <c r="S795" s="1116"/>
      <c r="T795" s="1116"/>
    </row>
    <row r="796">
      <c r="A796" s="1116"/>
      <c r="B796" s="1116"/>
      <c r="C796" s="1116"/>
      <c r="D796" s="1116"/>
      <c r="E796" s="1116"/>
      <c r="F796" s="1116"/>
      <c r="G796" s="1236"/>
      <c r="H796" s="1116"/>
      <c r="I796" s="1116"/>
      <c r="J796" s="1116"/>
      <c r="K796" s="1148"/>
      <c r="L796" s="1128"/>
      <c r="M796" s="1116"/>
      <c r="N796" s="1116"/>
      <c r="O796" s="1116"/>
      <c r="P796" s="1116"/>
      <c r="Q796" s="1116"/>
      <c r="R796" s="1116"/>
      <c r="S796" s="1116"/>
      <c r="T796" s="1116"/>
    </row>
    <row r="797">
      <c r="A797" s="1116"/>
      <c r="B797" s="1116"/>
      <c r="C797" s="1116"/>
      <c r="D797" s="1116"/>
      <c r="E797" s="1116"/>
      <c r="F797" s="1116"/>
      <c r="G797" s="1236"/>
      <c r="H797" s="1116"/>
      <c r="I797" s="1116"/>
      <c r="J797" s="1116"/>
      <c r="K797" s="1148"/>
      <c r="L797" s="1128"/>
      <c r="M797" s="1116"/>
      <c r="N797" s="1116"/>
      <c r="O797" s="1116"/>
      <c r="P797" s="1116"/>
      <c r="Q797" s="1116"/>
      <c r="R797" s="1116"/>
      <c r="S797" s="1116"/>
      <c r="T797" s="1116"/>
    </row>
    <row r="798">
      <c r="A798" s="1116"/>
      <c r="B798" s="1116"/>
      <c r="C798" s="1116"/>
      <c r="D798" s="1116"/>
      <c r="E798" s="1116"/>
      <c r="F798" s="1116"/>
      <c r="G798" s="1236"/>
      <c r="H798" s="1116"/>
      <c r="I798" s="1116"/>
      <c r="J798" s="1116"/>
      <c r="K798" s="1148"/>
      <c r="L798" s="1128"/>
      <c r="M798" s="1116"/>
      <c r="N798" s="1116"/>
      <c r="O798" s="1116"/>
      <c r="P798" s="1116"/>
      <c r="Q798" s="1116"/>
      <c r="R798" s="1116"/>
      <c r="S798" s="1116"/>
      <c r="T798" s="1116"/>
    </row>
    <row r="799">
      <c r="A799" s="1116"/>
      <c r="B799" s="1116"/>
      <c r="C799" s="1116"/>
      <c r="D799" s="1116"/>
      <c r="E799" s="1116"/>
      <c r="F799" s="1116"/>
      <c r="G799" s="1236"/>
      <c r="H799" s="1116"/>
      <c r="I799" s="1116"/>
      <c r="J799" s="1116"/>
      <c r="K799" s="1148"/>
      <c r="L799" s="1128"/>
      <c r="M799" s="1116"/>
      <c r="N799" s="1116"/>
      <c r="O799" s="1116"/>
      <c r="P799" s="1116"/>
      <c r="Q799" s="1116"/>
      <c r="R799" s="1116"/>
      <c r="S799" s="1116"/>
      <c r="T799" s="1116"/>
    </row>
    <row r="800">
      <c r="A800" s="1116"/>
      <c r="B800" s="1116"/>
      <c r="C800" s="1116"/>
      <c r="D800" s="1116"/>
      <c r="E800" s="1116"/>
      <c r="F800" s="1116"/>
      <c r="G800" s="1236"/>
      <c r="H800" s="1116"/>
      <c r="I800" s="1116"/>
      <c r="J800" s="1116"/>
      <c r="K800" s="1148"/>
      <c r="L800" s="1128"/>
      <c r="M800" s="1116"/>
      <c r="N800" s="1116"/>
      <c r="O800" s="1116"/>
      <c r="P800" s="1116"/>
      <c r="Q800" s="1116"/>
      <c r="R800" s="1116"/>
      <c r="S800" s="1116"/>
      <c r="T800" s="1116"/>
    </row>
    <row r="801">
      <c r="A801" s="1116"/>
      <c r="B801" s="1116"/>
      <c r="C801" s="1116"/>
      <c r="D801" s="1116"/>
      <c r="E801" s="1116"/>
      <c r="F801" s="1116"/>
      <c r="G801" s="1236"/>
      <c r="H801" s="1116"/>
      <c r="I801" s="1116"/>
      <c r="J801" s="1116"/>
      <c r="K801" s="1148"/>
      <c r="L801" s="1128"/>
      <c r="M801" s="1116"/>
      <c r="N801" s="1116"/>
      <c r="O801" s="1116"/>
      <c r="P801" s="1116"/>
      <c r="Q801" s="1116"/>
      <c r="R801" s="1116"/>
      <c r="S801" s="1116"/>
      <c r="T801" s="1116"/>
    </row>
    <row r="802">
      <c r="A802" s="1116"/>
      <c r="B802" s="1116"/>
      <c r="C802" s="1116"/>
      <c r="D802" s="1116"/>
      <c r="E802" s="1116"/>
      <c r="F802" s="1116"/>
      <c r="G802" s="1236"/>
      <c r="H802" s="1116"/>
      <c r="I802" s="1116"/>
      <c r="J802" s="1116"/>
      <c r="K802" s="1148"/>
      <c r="L802" s="1128"/>
      <c r="M802" s="1116"/>
      <c r="N802" s="1116"/>
      <c r="O802" s="1116"/>
      <c r="P802" s="1116"/>
      <c r="Q802" s="1116"/>
      <c r="R802" s="1116"/>
      <c r="S802" s="1116"/>
      <c r="T802" s="1116"/>
    </row>
    <row r="803">
      <c r="A803" s="1116"/>
      <c r="B803" s="1116"/>
      <c r="C803" s="1116"/>
      <c r="D803" s="1116"/>
      <c r="E803" s="1116"/>
      <c r="F803" s="1116"/>
      <c r="G803" s="1236"/>
      <c r="H803" s="1116"/>
      <c r="I803" s="1116"/>
      <c r="J803" s="1116"/>
      <c r="K803" s="1148"/>
      <c r="L803" s="1128"/>
      <c r="M803" s="1116"/>
      <c r="N803" s="1116"/>
      <c r="O803" s="1116"/>
      <c r="P803" s="1116"/>
      <c r="Q803" s="1116"/>
      <c r="R803" s="1116"/>
      <c r="S803" s="1116"/>
      <c r="T803" s="1116"/>
    </row>
    <row r="804">
      <c r="A804" s="1116"/>
      <c r="B804" s="1116"/>
      <c r="C804" s="1116"/>
      <c r="D804" s="1116"/>
      <c r="E804" s="1116"/>
      <c r="F804" s="1116"/>
      <c r="G804" s="1236"/>
      <c r="H804" s="1116"/>
      <c r="I804" s="1116"/>
      <c r="J804" s="1116"/>
      <c r="K804" s="1148"/>
      <c r="L804" s="1128"/>
      <c r="M804" s="1116"/>
      <c r="N804" s="1116"/>
      <c r="O804" s="1116"/>
      <c r="P804" s="1116"/>
      <c r="Q804" s="1116"/>
      <c r="R804" s="1116"/>
      <c r="S804" s="1116"/>
      <c r="T804" s="1116"/>
    </row>
    <row r="805">
      <c r="A805" s="1116"/>
      <c r="B805" s="1116"/>
      <c r="C805" s="1116"/>
      <c r="D805" s="1116"/>
      <c r="E805" s="1116"/>
      <c r="F805" s="1116"/>
      <c r="G805" s="1236"/>
      <c r="H805" s="1116"/>
      <c r="I805" s="1116"/>
      <c r="J805" s="1116"/>
      <c r="K805" s="1148"/>
      <c r="L805" s="1128"/>
      <c r="M805" s="1116"/>
      <c r="N805" s="1116"/>
      <c r="O805" s="1116"/>
      <c r="P805" s="1116"/>
      <c r="Q805" s="1116"/>
      <c r="R805" s="1116"/>
      <c r="S805" s="1116"/>
      <c r="T805" s="1116"/>
    </row>
    <row r="806">
      <c r="A806" s="1116"/>
      <c r="B806" s="1116"/>
      <c r="C806" s="1116"/>
      <c r="D806" s="1116"/>
      <c r="E806" s="1116"/>
      <c r="F806" s="1116"/>
      <c r="G806" s="1236"/>
      <c r="H806" s="1116"/>
      <c r="I806" s="1116"/>
      <c r="J806" s="1116"/>
      <c r="K806" s="1148"/>
      <c r="L806" s="1128"/>
      <c r="M806" s="1116"/>
      <c r="N806" s="1116"/>
      <c r="O806" s="1116"/>
      <c r="P806" s="1116"/>
      <c r="Q806" s="1116"/>
      <c r="R806" s="1116"/>
      <c r="S806" s="1116"/>
      <c r="T806" s="1116"/>
    </row>
    <row r="807">
      <c r="A807" s="1116"/>
      <c r="B807" s="1116"/>
      <c r="C807" s="1116"/>
      <c r="D807" s="1116"/>
      <c r="E807" s="1116"/>
      <c r="F807" s="1116"/>
      <c r="G807" s="1236"/>
      <c r="H807" s="1116"/>
      <c r="I807" s="1116"/>
      <c r="J807" s="1116"/>
      <c r="K807" s="1148"/>
      <c r="L807" s="1128"/>
      <c r="M807" s="1116"/>
      <c r="N807" s="1116"/>
      <c r="O807" s="1116"/>
      <c r="P807" s="1116"/>
      <c r="Q807" s="1116"/>
      <c r="R807" s="1116"/>
      <c r="S807" s="1116"/>
      <c r="T807" s="1116"/>
    </row>
    <row r="808">
      <c r="A808" s="1116"/>
      <c r="B808" s="1116"/>
      <c r="C808" s="1116"/>
      <c r="D808" s="1116"/>
      <c r="E808" s="1116"/>
      <c r="F808" s="1116"/>
      <c r="G808" s="1236"/>
      <c r="H808" s="1116"/>
      <c r="I808" s="1116"/>
      <c r="J808" s="1116"/>
      <c r="K808" s="1148"/>
      <c r="L808" s="1128"/>
      <c r="M808" s="1116"/>
      <c r="N808" s="1116"/>
      <c r="O808" s="1116"/>
      <c r="P808" s="1116"/>
      <c r="Q808" s="1116"/>
      <c r="R808" s="1116"/>
      <c r="S808" s="1116"/>
      <c r="T808" s="1116"/>
    </row>
    <row r="809">
      <c r="A809" s="1116"/>
      <c r="B809" s="1116"/>
      <c r="C809" s="1116"/>
      <c r="D809" s="1116"/>
      <c r="E809" s="1116"/>
      <c r="F809" s="1116"/>
      <c r="G809" s="1236"/>
      <c r="H809" s="1116"/>
      <c r="I809" s="1116"/>
      <c r="J809" s="1116"/>
      <c r="K809" s="1148"/>
      <c r="L809" s="1128"/>
      <c r="M809" s="1116"/>
      <c r="N809" s="1116"/>
      <c r="O809" s="1116"/>
      <c r="P809" s="1116"/>
      <c r="Q809" s="1116"/>
      <c r="R809" s="1116"/>
      <c r="S809" s="1116"/>
      <c r="T809" s="1116"/>
    </row>
    <row r="810">
      <c r="A810" s="1116"/>
      <c r="B810" s="1116"/>
      <c r="C810" s="1116"/>
      <c r="D810" s="1116"/>
      <c r="E810" s="1116"/>
      <c r="F810" s="1116"/>
      <c r="G810" s="1236"/>
      <c r="H810" s="1116"/>
      <c r="I810" s="1116"/>
      <c r="J810" s="1116"/>
      <c r="K810" s="1148"/>
      <c r="L810" s="1128"/>
      <c r="M810" s="1116"/>
      <c r="N810" s="1116"/>
      <c r="O810" s="1116"/>
      <c r="P810" s="1116"/>
      <c r="Q810" s="1116"/>
      <c r="R810" s="1116"/>
      <c r="S810" s="1116"/>
      <c r="T810" s="1116"/>
    </row>
    <row r="811">
      <c r="A811" s="1116"/>
      <c r="B811" s="1116"/>
      <c r="C811" s="1116"/>
      <c r="D811" s="1116"/>
      <c r="E811" s="1116"/>
      <c r="F811" s="1116"/>
      <c r="G811" s="1236"/>
      <c r="H811" s="1116"/>
      <c r="I811" s="1116"/>
      <c r="J811" s="1116"/>
      <c r="K811" s="1148"/>
      <c r="L811" s="1128"/>
      <c r="M811" s="1116"/>
      <c r="N811" s="1116"/>
      <c r="O811" s="1116"/>
      <c r="P811" s="1116"/>
      <c r="Q811" s="1116"/>
      <c r="R811" s="1116"/>
      <c r="S811" s="1116"/>
      <c r="T811" s="1116"/>
    </row>
    <row r="812">
      <c r="A812" s="1116"/>
      <c r="B812" s="1116"/>
      <c r="C812" s="1116"/>
      <c r="D812" s="1116"/>
      <c r="E812" s="1116"/>
      <c r="F812" s="1116"/>
      <c r="G812" s="1236"/>
      <c r="H812" s="1116"/>
      <c r="I812" s="1116"/>
      <c r="J812" s="1116"/>
      <c r="K812" s="1148"/>
      <c r="L812" s="1128"/>
      <c r="M812" s="1116"/>
      <c r="N812" s="1116"/>
      <c r="O812" s="1116"/>
      <c r="P812" s="1116"/>
      <c r="Q812" s="1116"/>
      <c r="R812" s="1116"/>
      <c r="S812" s="1116"/>
      <c r="T812" s="1116"/>
    </row>
    <row r="813">
      <c r="A813" s="1116"/>
      <c r="B813" s="1116"/>
      <c r="C813" s="1116"/>
      <c r="D813" s="1116"/>
      <c r="E813" s="1116"/>
      <c r="F813" s="1116"/>
      <c r="G813" s="1236"/>
      <c r="H813" s="1116"/>
      <c r="I813" s="1116"/>
      <c r="J813" s="1116"/>
      <c r="K813" s="1148"/>
      <c r="L813" s="1128"/>
      <c r="M813" s="1116"/>
      <c r="N813" s="1116"/>
      <c r="O813" s="1116"/>
      <c r="P813" s="1116"/>
      <c r="Q813" s="1116"/>
      <c r="R813" s="1116"/>
      <c r="S813" s="1116"/>
      <c r="T813" s="1116"/>
    </row>
    <row r="814">
      <c r="A814" s="1116"/>
      <c r="B814" s="1116"/>
      <c r="C814" s="1116"/>
      <c r="D814" s="1116"/>
      <c r="E814" s="1116"/>
      <c r="F814" s="1116"/>
      <c r="G814" s="1236"/>
      <c r="H814" s="1116"/>
      <c r="I814" s="1116"/>
      <c r="J814" s="1116"/>
      <c r="K814" s="1148"/>
      <c r="L814" s="1128"/>
      <c r="M814" s="1116"/>
      <c r="N814" s="1116"/>
      <c r="O814" s="1116"/>
      <c r="P814" s="1116"/>
      <c r="Q814" s="1116"/>
      <c r="R814" s="1116"/>
      <c r="S814" s="1116"/>
      <c r="T814" s="1116"/>
    </row>
    <row r="815">
      <c r="A815" s="1116"/>
      <c r="B815" s="1116"/>
      <c r="C815" s="1116"/>
      <c r="D815" s="1116"/>
      <c r="E815" s="1116"/>
      <c r="F815" s="1116"/>
      <c r="G815" s="1236"/>
      <c r="H815" s="1116"/>
      <c r="I815" s="1116"/>
      <c r="J815" s="1116"/>
      <c r="K815" s="1148"/>
      <c r="L815" s="1128"/>
      <c r="M815" s="1116"/>
      <c r="N815" s="1116"/>
      <c r="O815" s="1116"/>
      <c r="P815" s="1116"/>
      <c r="Q815" s="1116"/>
      <c r="R815" s="1116"/>
      <c r="S815" s="1116"/>
      <c r="T815" s="1116"/>
    </row>
    <row r="816">
      <c r="A816" s="1116"/>
      <c r="B816" s="1116"/>
      <c r="C816" s="1116"/>
      <c r="D816" s="1116"/>
      <c r="E816" s="1116"/>
      <c r="F816" s="1116"/>
      <c r="G816" s="1236"/>
      <c r="H816" s="1116"/>
      <c r="I816" s="1116"/>
      <c r="J816" s="1116"/>
      <c r="K816" s="1148"/>
      <c r="L816" s="1128"/>
      <c r="M816" s="1116"/>
      <c r="N816" s="1116"/>
      <c r="O816" s="1116"/>
      <c r="P816" s="1116"/>
      <c r="Q816" s="1116"/>
      <c r="R816" s="1116"/>
      <c r="S816" s="1116"/>
      <c r="T816" s="1116"/>
    </row>
    <row r="817">
      <c r="A817" s="1116"/>
      <c r="B817" s="1116"/>
      <c r="C817" s="1116"/>
      <c r="D817" s="1116"/>
      <c r="E817" s="1116"/>
      <c r="F817" s="1116"/>
      <c r="G817" s="1236"/>
      <c r="H817" s="1116"/>
      <c r="I817" s="1116"/>
      <c r="J817" s="1116"/>
      <c r="K817" s="1148"/>
      <c r="L817" s="1128"/>
      <c r="M817" s="1116"/>
      <c r="N817" s="1116"/>
      <c r="O817" s="1116"/>
      <c r="P817" s="1116"/>
      <c r="Q817" s="1116"/>
      <c r="R817" s="1116"/>
      <c r="S817" s="1116"/>
      <c r="T817" s="1116"/>
    </row>
    <row r="818">
      <c r="A818" s="1116"/>
      <c r="B818" s="1116"/>
      <c r="C818" s="1116"/>
      <c r="D818" s="1116"/>
      <c r="E818" s="1116"/>
      <c r="F818" s="1116"/>
      <c r="G818" s="1236"/>
      <c r="H818" s="1116"/>
      <c r="I818" s="1116"/>
      <c r="J818" s="1116"/>
      <c r="K818" s="1148"/>
      <c r="L818" s="1128"/>
      <c r="M818" s="1116"/>
      <c r="N818" s="1116"/>
      <c r="O818" s="1116"/>
      <c r="P818" s="1116"/>
      <c r="Q818" s="1116"/>
      <c r="R818" s="1116"/>
      <c r="S818" s="1116"/>
      <c r="T818" s="1116"/>
    </row>
    <row r="819">
      <c r="A819" s="1116"/>
      <c r="B819" s="1116"/>
      <c r="C819" s="1116"/>
      <c r="D819" s="1116"/>
      <c r="E819" s="1116"/>
      <c r="F819" s="1116"/>
      <c r="G819" s="1236"/>
      <c r="H819" s="1116"/>
      <c r="I819" s="1116"/>
      <c r="J819" s="1116"/>
      <c r="K819" s="1148"/>
      <c r="L819" s="1128"/>
      <c r="M819" s="1116"/>
      <c r="N819" s="1116"/>
      <c r="O819" s="1116"/>
      <c r="P819" s="1116"/>
      <c r="Q819" s="1116"/>
      <c r="R819" s="1116"/>
      <c r="S819" s="1116"/>
      <c r="T819" s="1116"/>
    </row>
    <row r="820">
      <c r="A820" s="1116"/>
      <c r="B820" s="1116"/>
      <c r="C820" s="1116"/>
      <c r="D820" s="1116"/>
      <c r="E820" s="1116"/>
      <c r="F820" s="1116"/>
      <c r="G820" s="1236"/>
      <c r="H820" s="1116"/>
      <c r="I820" s="1116"/>
      <c r="J820" s="1116"/>
      <c r="K820" s="1148"/>
      <c r="L820" s="1128"/>
      <c r="M820" s="1116"/>
      <c r="N820" s="1116"/>
      <c r="O820" s="1116"/>
      <c r="P820" s="1116"/>
      <c r="Q820" s="1116"/>
      <c r="R820" s="1116"/>
      <c r="S820" s="1116"/>
      <c r="T820" s="1116"/>
    </row>
    <row r="821">
      <c r="A821" s="1116"/>
      <c r="B821" s="1116"/>
      <c r="C821" s="1116"/>
      <c r="D821" s="1116"/>
      <c r="E821" s="1116"/>
      <c r="F821" s="1116"/>
      <c r="G821" s="1236"/>
      <c r="H821" s="1116"/>
      <c r="I821" s="1116"/>
      <c r="J821" s="1116"/>
      <c r="K821" s="1148"/>
      <c r="L821" s="1128"/>
      <c r="M821" s="1116"/>
      <c r="N821" s="1116"/>
      <c r="O821" s="1116"/>
      <c r="P821" s="1116"/>
      <c r="Q821" s="1116"/>
      <c r="R821" s="1116"/>
      <c r="S821" s="1116"/>
      <c r="T821" s="1116"/>
    </row>
    <row r="822">
      <c r="A822" s="1116"/>
      <c r="B822" s="1116"/>
      <c r="C822" s="1116"/>
      <c r="D822" s="1116"/>
      <c r="E822" s="1116"/>
      <c r="F822" s="1116"/>
      <c r="G822" s="1236"/>
      <c r="H822" s="1116"/>
      <c r="I822" s="1116"/>
      <c r="J822" s="1116"/>
      <c r="K822" s="1148"/>
      <c r="L822" s="1128"/>
      <c r="M822" s="1116"/>
      <c r="N822" s="1116"/>
      <c r="O822" s="1116"/>
      <c r="P822" s="1116"/>
      <c r="Q822" s="1116"/>
      <c r="R822" s="1116"/>
      <c r="S822" s="1116"/>
      <c r="T822" s="1116"/>
    </row>
    <row r="823">
      <c r="A823" s="1116"/>
      <c r="B823" s="1116"/>
      <c r="C823" s="1116"/>
      <c r="D823" s="1116"/>
      <c r="E823" s="1116"/>
      <c r="F823" s="1116"/>
      <c r="G823" s="1236"/>
      <c r="H823" s="1116"/>
      <c r="I823" s="1116"/>
      <c r="J823" s="1116"/>
      <c r="K823" s="1148"/>
      <c r="L823" s="1128"/>
      <c r="M823" s="1116"/>
      <c r="N823" s="1116"/>
      <c r="O823" s="1116"/>
      <c r="P823" s="1116"/>
      <c r="Q823" s="1116"/>
      <c r="R823" s="1116"/>
      <c r="S823" s="1116"/>
      <c r="T823" s="1116"/>
    </row>
    <row r="824">
      <c r="A824" s="1116"/>
      <c r="B824" s="1116"/>
      <c r="C824" s="1116"/>
      <c r="D824" s="1116"/>
      <c r="E824" s="1116"/>
      <c r="F824" s="1116"/>
      <c r="G824" s="1236"/>
      <c r="H824" s="1116"/>
      <c r="I824" s="1116"/>
      <c r="J824" s="1116"/>
      <c r="K824" s="1148"/>
      <c r="L824" s="1128"/>
      <c r="M824" s="1116"/>
      <c r="N824" s="1116"/>
      <c r="O824" s="1116"/>
      <c r="P824" s="1116"/>
      <c r="Q824" s="1116"/>
      <c r="R824" s="1116"/>
      <c r="S824" s="1116"/>
      <c r="T824" s="1116"/>
    </row>
    <row r="825">
      <c r="A825" s="1116"/>
      <c r="B825" s="1116"/>
      <c r="C825" s="1116"/>
      <c r="D825" s="1116"/>
      <c r="E825" s="1116"/>
      <c r="F825" s="1116"/>
      <c r="G825" s="1236"/>
      <c r="H825" s="1116"/>
      <c r="I825" s="1116"/>
      <c r="J825" s="1116"/>
      <c r="K825" s="1148"/>
      <c r="L825" s="1128"/>
      <c r="M825" s="1116"/>
      <c r="N825" s="1116"/>
      <c r="O825" s="1116"/>
      <c r="P825" s="1116"/>
      <c r="Q825" s="1116"/>
      <c r="R825" s="1116"/>
      <c r="S825" s="1116"/>
      <c r="T825" s="1116"/>
    </row>
    <row r="826">
      <c r="A826" s="1116"/>
      <c r="B826" s="1116"/>
      <c r="C826" s="1116"/>
      <c r="D826" s="1116"/>
      <c r="E826" s="1116"/>
      <c r="F826" s="1116"/>
      <c r="G826" s="1236"/>
      <c r="H826" s="1116"/>
      <c r="I826" s="1116"/>
      <c r="J826" s="1116"/>
      <c r="K826" s="1148"/>
      <c r="L826" s="1128"/>
      <c r="M826" s="1116"/>
      <c r="N826" s="1116"/>
      <c r="O826" s="1116"/>
      <c r="P826" s="1116"/>
      <c r="Q826" s="1116"/>
      <c r="R826" s="1116"/>
      <c r="S826" s="1116"/>
      <c r="T826" s="1116"/>
    </row>
    <row r="827">
      <c r="A827" s="1116"/>
      <c r="B827" s="1116"/>
      <c r="C827" s="1116"/>
      <c r="D827" s="1116"/>
      <c r="E827" s="1116"/>
      <c r="F827" s="1116"/>
      <c r="G827" s="1236"/>
      <c r="H827" s="1116"/>
      <c r="I827" s="1116"/>
      <c r="J827" s="1116"/>
      <c r="K827" s="1148"/>
      <c r="L827" s="1128"/>
      <c r="M827" s="1116"/>
      <c r="N827" s="1116"/>
      <c r="O827" s="1116"/>
      <c r="P827" s="1116"/>
      <c r="Q827" s="1116"/>
      <c r="R827" s="1116"/>
      <c r="S827" s="1116"/>
      <c r="T827" s="1116"/>
    </row>
    <row r="828">
      <c r="A828" s="1116"/>
      <c r="B828" s="1116"/>
      <c r="C828" s="1116"/>
      <c r="D828" s="1116"/>
      <c r="E828" s="1116"/>
      <c r="F828" s="1116"/>
      <c r="G828" s="1236"/>
      <c r="H828" s="1116"/>
      <c r="I828" s="1116"/>
      <c r="J828" s="1116"/>
      <c r="K828" s="1148"/>
      <c r="L828" s="1128"/>
      <c r="M828" s="1116"/>
      <c r="N828" s="1116"/>
      <c r="O828" s="1116"/>
      <c r="P828" s="1116"/>
      <c r="Q828" s="1116"/>
      <c r="R828" s="1116"/>
      <c r="S828" s="1116"/>
      <c r="T828" s="1116"/>
    </row>
    <row r="829">
      <c r="A829" s="1116"/>
      <c r="B829" s="1116"/>
      <c r="C829" s="1116"/>
      <c r="D829" s="1116"/>
      <c r="E829" s="1116"/>
      <c r="F829" s="1116"/>
      <c r="G829" s="1236"/>
      <c r="H829" s="1116"/>
      <c r="I829" s="1116"/>
      <c r="J829" s="1116"/>
      <c r="K829" s="1148"/>
      <c r="L829" s="1128"/>
      <c r="M829" s="1116"/>
      <c r="N829" s="1116"/>
      <c r="O829" s="1116"/>
      <c r="P829" s="1116"/>
      <c r="Q829" s="1116"/>
      <c r="R829" s="1116"/>
      <c r="S829" s="1116"/>
      <c r="T829" s="1116"/>
    </row>
    <row r="830">
      <c r="A830" s="1116"/>
      <c r="B830" s="1116"/>
      <c r="C830" s="1116"/>
      <c r="D830" s="1116"/>
      <c r="E830" s="1116"/>
      <c r="F830" s="1116"/>
      <c r="G830" s="1236"/>
      <c r="H830" s="1116"/>
      <c r="I830" s="1116"/>
      <c r="J830" s="1116"/>
      <c r="K830" s="1148"/>
      <c r="L830" s="1128"/>
      <c r="M830" s="1116"/>
      <c r="N830" s="1116"/>
      <c r="O830" s="1116"/>
      <c r="P830" s="1116"/>
      <c r="Q830" s="1116"/>
      <c r="R830" s="1116"/>
      <c r="S830" s="1116"/>
      <c r="T830" s="1116"/>
    </row>
    <row r="831">
      <c r="A831" s="1116"/>
      <c r="B831" s="1116"/>
      <c r="C831" s="1116"/>
      <c r="D831" s="1116"/>
      <c r="E831" s="1116"/>
      <c r="F831" s="1116"/>
      <c r="G831" s="1236"/>
      <c r="H831" s="1116"/>
      <c r="I831" s="1116"/>
      <c r="J831" s="1116"/>
      <c r="K831" s="1148"/>
      <c r="L831" s="1128"/>
      <c r="M831" s="1116"/>
      <c r="N831" s="1116"/>
      <c r="O831" s="1116"/>
      <c r="P831" s="1116"/>
      <c r="Q831" s="1116"/>
      <c r="R831" s="1116"/>
      <c r="S831" s="1116"/>
      <c r="T831" s="1116"/>
    </row>
    <row r="832">
      <c r="A832" s="1116"/>
      <c r="B832" s="1116"/>
      <c r="C832" s="1116"/>
      <c r="D832" s="1116"/>
      <c r="E832" s="1116"/>
      <c r="F832" s="1116"/>
      <c r="G832" s="1236"/>
      <c r="H832" s="1116"/>
      <c r="I832" s="1116"/>
      <c r="J832" s="1116"/>
      <c r="K832" s="1148"/>
      <c r="L832" s="1128"/>
      <c r="M832" s="1116"/>
      <c r="N832" s="1116"/>
      <c r="O832" s="1116"/>
      <c r="P832" s="1116"/>
      <c r="Q832" s="1116"/>
      <c r="R832" s="1116"/>
      <c r="S832" s="1116"/>
      <c r="T832" s="1116"/>
    </row>
    <row r="833">
      <c r="A833" s="1116"/>
      <c r="B833" s="1116"/>
      <c r="C833" s="1116"/>
      <c r="D833" s="1116"/>
      <c r="E833" s="1116"/>
      <c r="F833" s="1116"/>
      <c r="G833" s="1236"/>
      <c r="H833" s="1116"/>
      <c r="I833" s="1116"/>
      <c r="J833" s="1116"/>
      <c r="K833" s="1148"/>
      <c r="L833" s="1128"/>
      <c r="M833" s="1116"/>
      <c r="N833" s="1116"/>
      <c r="O833" s="1116"/>
      <c r="P833" s="1116"/>
      <c r="Q833" s="1116"/>
      <c r="R833" s="1116"/>
      <c r="S833" s="1116"/>
      <c r="T833" s="1116"/>
    </row>
    <row r="834">
      <c r="A834" s="1116"/>
      <c r="B834" s="1116"/>
      <c r="C834" s="1116"/>
      <c r="D834" s="1116"/>
      <c r="E834" s="1116"/>
      <c r="F834" s="1116"/>
      <c r="G834" s="1236"/>
      <c r="H834" s="1116"/>
      <c r="I834" s="1116"/>
      <c r="J834" s="1116"/>
      <c r="K834" s="1148"/>
      <c r="L834" s="1128"/>
      <c r="M834" s="1116"/>
      <c r="N834" s="1116"/>
      <c r="O834" s="1116"/>
      <c r="P834" s="1116"/>
      <c r="Q834" s="1116"/>
      <c r="R834" s="1116"/>
      <c r="S834" s="1116"/>
      <c r="T834" s="1116"/>
    </row>
    <row r="835">
      <c r="A835" s="1116"/>
      <c r="B835" s="1116"/>
      <c r="C835" s="1116"/>
      <c r="D835" s="1116"/>
      <c r="E835" s="1116"/>
      <c r="F835" s="1116"/>
      <c r="G835" s="1236"/>
      <c r="H835" s="1116"/>
      <c r="I835" s="1116"/>
      <c r="J835" s="1116"/>
      <c r="K835" s="1148"/>
      <c r="L835" s="1128"/>
      <c r="M835" s="1116"/>
      <c r="N835" s="1116"/>
      <c r="O835" s="1116"/>
      <c r="P835" s="1116"/>
      <c r="Q835" s="1116"/>
      <c r="R835" s="1116"/>
      <c r="S835" s="1116"/>
      <c r="T835" s="1116"/>
    </row>
    <row r="836">
      <c r="A836" s="1116"/>
      <c r="B836" s="1116"/>
      <c r="C836" s="1116"/>
      <c r="D836" s="1116"/>
      <c r="E836" s="1116"/>
      <c r="F836" s="1116"/>
      <c r="G836" s="1236"/>
      <c r="H836" s="1116"/>
      <c r="I836" s="1116"/>
      <c r="J836" s="1116"/>
      <c r="K836" s="1148"/>
      <c r="L836" s="1128"/>
      <c r="M836" s="1116"/>
      <c r="N836" s="1116"/>
      <c r="O836" s="1116"/>
      <c r="P836" s="1116"/>
      <c r="Q836" s="1116"/>
      <c r="R836" s="1116"/>
      <c r="S836" s="1116"/>
      <c r="T836" s="1116"/>
    </row>
    <row r="837">
      <c r="A837" s="1116"/>
      <c r="B837" s="1116"/>
      <c r="C837" s="1116"/>
      <c r="D837" s="1116"/>
      <c r="E837" s="1116"/>
      <c r="F837" s="1116"/>
      <c r="G837" s="1236"/>
      <c r="H837" s="1116"/>
      <c r="I837" s="1116"/>
      <c r="J837" s="1116"/>
      <c r="K837" s="1148"/>
      <c r="L837" s="1128"/>
      <c r="M837" s="1116"/>
      <c r="N837" s="1116"/>
      <c r="O837" s="1116"/>
      <c r="P837" s="1116"/>
      <c r="Q837" s="1116"/>
      <c r="R837" s="1116"/>
      <c r="S837" s="1116"/>
      <c r="T837" s="1116"/>
    </row>
    <row r="838">
      <c r="A838" s="1116"/>
      <c r="B838" s="1116"/>
      <c r="C838" s="1116"/>
      <c r="D838" s="1116"/>
      <c r="E838" s="1116"/>
      <c r="F838" s="1116"/>
      <c r="G838" s="1236"/>
      <c r="H838" s="1116"/>
      <c r="I838" s="1116"/>
      <c r="J838" s="1116"/>
      <c r="K838" s="1148"/>
      <c r="L838" s="1128"/>
      <c r="M838" s="1116"/>
      <c r="N838" s="1116"/>
      <c r="O838" s="1116"/>
      <c r="P838" s="1116"/>
      <c r="Q838" s="1116"/>
      <c r="R838" s="1116"/>
      <c r="S838" s="1116"/>
      <c r="T838" s="1116"/>
    </row>
    <row r="839">
      <c r="A839" s="1116"/>
      <c r="B839" s="1116"/>
      <c r="C839" s="1116"/>
      <c r="D839" s="1116"/>
      <c r="E839" s="1116"/>
      <c r="F839" s="1116"/>
      <c r="G839" s="1236"/>
      <c r="H839" s="1116"/>
      <c r="I839" s="1116"/>
      <c r="J839" s="1116"/>
      <c r="K839" s="1148"/>
      <c r="L839" s="1128"/>
      <c r="M839" s="1116"/>
      <c r="N839" s="1116"/>
      <c r="O839" s="1116"/>
      <c r="P839" s="1116"/>
      <c r="Q839" s="1116"/>
      <c r="R839" s="1116"/>
      <c r="S839" s="1116"/>
      <c r="T839" s="1116"/>
    </row>
    <row r="840">
      <c r="A840" s="1116"/>
      <c r="B840" s="1116"/>
      <c r="C840" s="1116"/>
      <c r="D840" s="1116"/>
      <c r="E840" s="1116"/>
      <c r="F840" s="1116"/>
      <c r="G840" s="1236"/>
      <c r="H840" s="1116"/>
      <c r="I840" s="1116"/>
      <c r="J840" s="1116"/>
      <c r="K840" s="1148"/>
      <c r="L840" s="1128"/>
      <c r="M840" s="1116"/>
      <c r="N840" s="1116"/>
      <c r="O840" s="1116"/>
      <c r="P840" s="1116"/>
      <c r="Q840" s="1116"/>
      <c r="R840" s="1116"/>
      <c r="S840" s="1116"/>
      <c r="T840" s="1116"/>
    </row>
    <row r="841">
      <c r="A841" s="1116"/>
      <c r="B841" s="1116"/>
      <c r="C841" s="1116"/>
      <c r="D841" s="1116"/>
      <c r="E841" s="1116"/>
      <c r="F841" s="1116"/>
      <c r="G841" s="1236"/>
      <c r="H841" s="1116"/>
      <c r="I841" s="1116"/>
      <c r="J841" s="1116"/>
      <c r="K841" s="1148"/>
      <c r="L841" s="1128"/>
      <c r="M841" s="1116"/>
      <c r="N841" s="1116"/>
      <c r="O841" s="1116"/>
      <c r="P841" s="1116"/>
      <c r="Q841" s="1116"/>
      <c r="R841" s="1116"/>
      <c r="S841" s="1116"/>
      <c r="T841" s="1116"/>
    </row>
    <row r="842">
      <c r="A842" s="1116"/>
      <c r="B842" s="1116"/>
      <c r="C842" s="1116"/>
      <c r="D842" s="1116"/>
      <c r="E842" s="1116"/>
      <c r="F842" s="1116"/>
      <c r="G842" s="1236"/>
      <c r="H842" s="1116"/>
      <c r="I842" s="1116"/>
      <c r="J842" s="1116"/>
      <c r="K842" s="1148"/>
      <c r="L842" s="1128"/>
      <c r="M842" s="1116"/>
      <c r="N842" s="1116"/>
      <c r="O842" s="1116"/>
      <c r="P842" s="1116"/>
      <c r="Q842" s="1116"/>
      <c r="R842" s="1116"/>
      <c r="S842" s="1116"/>
      <c r="T842" s="1116"/>
    </row>
    <row r="843">
      <c r="A843" s="1116"/>
      <c r="B843" s="1116"/>
      <c r="C843" s="1116"/>
      <c r="D843" s="1116"/>
      <c r="E843" s="1116"/>
      <c r="F843" s="1116"/>
      <c r="G843" s="1236"/>
      <c r="H843" s="1116"/>
      <c r="I843" s="1116"/>
      <c r="J843" s="1116"/>
      <c r="K843" s="1148"/>
      <c r="L843" s="1128"/>
      <c r="M843" s="1116"/>
      <c r="N843" s="1116"/>
      <c r="O843" s="1116"/>
      <c r="P843" s="1116"/>
      <c r="Q843" s="1116"/>
      <c r="R843" s="1116"/>
      <c r="S843" s="1116"/>
      <c r="T843" s="1116"/>
    </row>
    <row r="844">
      <c r="A844" s="1116"/>
      <c r="B844" s="1116"/>
      <c r="C844" s="1116"/>
      <c r="D844" s="1116"/>
      <c r="E844" s="1116"/>
      <c r="F844" s="1116"/>
      <c r="G844" s="1236"/>
      <c r="H844" s="1116"/>
      <c r="I844" s="1116"/>
      <c r="J844" s="1116"/>
      <c r="K844" s="1148"/>
      <c r="L844" s="1128"/>
      <c r="M844" s="1116"/>
      <c r="N844" s="1116"/>
      <c r="O844" s="1116"/>
      <c r="P844" s="1116"/>
      <c r="Q844" s="1116"/>
      <c r="R844" s="1116"/>
      <c r="S844" s="1116"/>
      <c r="T844" s="1116"/>
    </row>
    <row r="845">
      <c r="A845" s="1116"/>
      <c r="B845" s="1116"/>
      <c r="C845" s="1116"/>
      <c r="D845" s="1116"/>
      <c r="E845" s="1116"/>
      <c r="F845" s="1116"/>
      <c r="G845" s="1236"/>
      <c r="H845" s="1116"/>
      <c r="I845" s="1116"/>
      <c r="J845" s="1116"/>
      <c r="K845" s="1148"/>
      <c r="L845" s="1128"/>
      <c r="M845" s="1116"/>
      <c r="N845" s="1116"/>
      <c r="O845" s="1116"/>
      <c r="P845" s="1116"/>
      <c r="Q845" s="1116"/>
      <c r="R845" s="1116"/>
      <c r="S845" s="1116"/>
      <c r="T845" s="1116"/>
    </row>
    <row r="846">
      <c r="A846" s="1116"/>
      <c r="B846" s="1116"/>
      <c r="C846" s="1116"/>
      <c r="D846" s="1116"/>
      <c r="E846" s="1116"/>
      <c r="F846" s="1116"/>
      <c r="G846" s="1236"/>
      <c r="H846" s="1116"/>
      <c r="I846" s="1116"/>
      <c r="J846" s="1116"/>
      <c r="K846" s="1148"/>
      <c r="L846" s="1128"/>
      <c r="M846" s="1116"/>
      <c r="N846" s="1116"/>
      <c r="O846" s="1116"/>
      <c r="P846" s="1116"/>
      <c r="Q846" s="1116"/>
      <c r="R846" s="1116"/>
      <c r="S846" s="1116"/>
      <c r="T846" s="1116"/>
    </row>
    <row r="847">
      <c r="A847" s="1116"/>
      <c r="B847" s="1116"/>
      <c r="C847" s="1116"/>
      <c r="D847" s="1116"/>
      <c r="E847" s="1116"/>
      <c r="F847" s="1116"/>
      <c r="G847" s="1236"/>
      <c r="H847" s="1116"/>
      <c r="I847" s="1116"/>
      <c r="J847" s="1116"/>
      <c r="K847" s="1148"/>
      <c r="L847" s="1128"/>
      <c r="M847" s="1116"/>
      <c r="N847" s="1116"/>
      <c r="O847" s="1116"/>
      <c r="P847" s="1116"/>
      <c r="Q847" s="1116"/>
      <c r="R847" s="1116"/>
      <c r="S847" s="1116"/>
      <c r="T847" s="1116"/>
    </row>
    <row r="848">
      <c r="A848" s="1116"/>
      <c r="B848" s="1116"/>
      <c r="C848" s="1116"/>
      <c r="D848" s="1116"/>
      <c r="E848" s="1116"/>
      <c r="F848" s="1116"/>
      <c r="G848" s="1236"/>
      <c r="H848" s="1116"/>
      <c r="I848" s="1116"/>
      <c r="J848" s="1116"/>
      <c r="K848" s="1148"/>
      <c r="L848" s="1128"/>
      <c r="M848" s="1116"/>
      <c r="N848" s="1116"/>
      <c r="O848" s="1116"/>
      <c r="P848" s="1116"/>
      <c r="Q848" s="1116"/>
      <c r="R848" s="1116"/>
      <c r="S848" s="1116"/>
      <c r="T848" s="1116"/>
    </row>
    <row r="849">
      <c r="A849" s="1116"/>
      <c r="B849" s="1116"/>
      <c r="C849" s="1116"/>
      <c r="D849" s="1116"/>
      <c r="E849" s="1116"/>
      <c r="F849" s="1116"/>
      <c r="G849" s="1236"/>
      <c r="H849" s="1116"/>
      <c r="I849" s="1116"/>
      <c r="J849" s="1116"/>
      <c r="K849" s="1148"/>
      <c r="L849" s="1128"/>
      <c r="M849" s="1116"/>
      <c r="N849" s="1116"/>
      <c r="O849" s="1116"/>
      <c r="P849" s="1116"/>
      <c r="Q849" s="1116"/>
      <c r="R849" s="1116"/>
      <c r="S849" s="1116"/>
      <c r="T849" s="1116"/>
    </row>
    <row r="850">
      <c r="A850" s="1116"/>
      <c r="B850" s="1116"/>
      <c r="C850" s="1116"/>
      <c r="D850" s="1116"/>
      <c r="E850" s="1116"/>
      <c r="F850" s="1116"/>
      <c r="G850" s="1236"/>
      <c r="H850" s="1116"/>
      <c r="I850" s="1116"/>
      <c r="J850" s="1116"/>
      <c r="K850" s="1148"/>
      <c r="L850" s="1128"/>
      <c r="M850" s="1116"/>
      <c r="N850" s="1116"/>
      <c r="O850" s="1116"/>
      <c r="P850" s="1116"/>
      <c r="Q850" s="1116"/>
      <c r="R850" s="1116"/>
      <c r="S850" s="1116"/>
      <c r="T850" s="1116"/>
    </row>
    <row r="851">
      <c r="A851" s="1116"/>
      <c r="B851" s="1116"/>
      <c r="C851" s="1116"/>
      <c r="D851" s="1116"/>
      <c r="E851" s="1116"/>
      <c r="F851" s="1116"/>
      <c r="G851" s="1236"/>
      <c r="H851" s="1116"/>
      <c r="I851" s="1116"/>
      <c r="J851" s="1116"/>
      <c r="K851" s="1148"/>
      <c r="L851" s="1128"/>
      <c r="M851" s="1116"/>
      <c r="N851" s="1116"/>
      <c r="O851" s="1116"/>
      <c r="P851" s="1116"/>
      <c r="Q851" s="1116"/>
      <c r="R851" s="1116"/>
      <c r="S851" s="1116"/>
      <c r="T851" s="1116"/>
    </row>
    <row r="852">
      <c r="A852" s="1116"/>
      <c r="B852" s="1116"/>
      <c r="C852" s="1116"/>
      <c r="D852" s="1116"/>
      <c r="E852" s="1116"/>
      <c r="F852" s="1116"/>
      <c r="G852" s="1236"/>
      <c r="H852" s="1116"/>
      <c r="I852" s="1116"/>
      <c r="J852" s="1116"/>
      <c r="K852" s="1148"/>
      <c r="L852" s="1128"/>
      <c r="M852" s="1116"/>
      <c r="N852" s="1116"/>
      <c r="O852" s="1116"/>
      <c r="P852" s="1116"/>
      <c r="Q852" s="1116"/>
      <c r="R852" s="1116"/>
      <c r="S852" s="1116"/>
      <c r="T852" s="1116"/>
    </row>
    <row r="853">
      <c r="A853" s="1116"/>
      <c r="B853" s="1116"/>
      <c r="C853" s="1116"/>
      <c r="D853" s="1116"/>
      <c r="E853" s="1116"/>
      <c r="F853" s="1116"/>
      <c r="G853" s="1236"/>
      <c r="H853" s="1116"/>
      <c r="I853" s="1116"/>
      <c r="J853" s="1116"/>
      <c r="K853" s="1148"/>
      <c r="L853" s="1128"/>
      <c r="M853" s="1116"/>
      <c r="N853" s="1116"/>
      <c r="O853" s="1116"/>
      <c r="P853" s="1116"/>
      <c r="Q853" s="1116"/>
      <c r="R853" s="1116"/>
      <c r="S853" s="1116"/>
      <c r="T853" s="1116"/>
    </row>
    <row r="854">
      <c r="A854" s="1116"/>
      <c r="B854" s="1116"/>
      <c r="C854" s="1116"/>
      <c r="D854" s="1116"/>
      <c r="E854" s="1116"/>
      <c r="F854" s="1116"/>
      <c r="G854" s="1236"/>
      <c r="H854" s="1116"/>
      <c r="I854" s="1116"/>
      <c r="J854" s="1116"/>
      <c r="K854" s="1148"/>
      <c r="L854" s="1128"/>
      <c r="M854" s="1116"/>
      <c r="N854" s="1116"/>
      <c r="O854" s="1116"/>
      <c r="P854" s="1116"/>
      <c r="Q854" s="1116"/>
      <c r="R854" s="1116"/>
      <c r="S854" s="1116"/>
      <c r="T854" s="1116"/>
    </row>
    <row r="855">
      <c r="A855" s="1116"/>
      <c r="B855" s="1116"/>
      <c r="C855" s="1116"/>
      <c r="D855" s="1116"/>
      <c r="E855" s="1116"/>
      <c r="F855" s="1116"/>
      <c r="G855" s="1236"/>
      <c r="H855" s="1116"/>
      <c r="I855" s="1116"/>
      <c r="J855" s="1116"/>
      <c r="K855" s="1148"/>
      <c r="L855" s="1128"/>
      <c r="M855" s="1116"/>
      <c r="N855" s="1116"/>
      <c r="O855" s="1116"/>
      <c r="P855" s="1116"/>
      <c r="Q855" s="1116"/>
      <c r="R855" s="1116"/>
      <c r="S855" s="1116"/>
      <c r="T855" s="1116"/>
    </row>
    <row r="856">
      <c r="A856" s="1116"/>
      <c r="B856" s="1116"/>
      <c r="C856" s="1116"/>
      <c r="D856" s="1116"/>
      <c r="E856" s="1116"/>
      <c r="F856" s="1116"/>
      <c r="G856" s="1236"/>
      <c r="H856" s="1116"/>
      <c r="I856" s="1116"/>
      <c r="J856" s="1116"/>
      <c r="K856" s="1148"/>
      <c r="L856" s="1128"/>
      <c r="M856" s="1116"/>
      <c r="N856" s="1116"/>
      <c r="O856" s="1116"/>
      <c r="P856" s="1116"/>
      <c r="Q856" s="1116"/>
      <c r="R856" s="1116"/>
      <c r="S856" s="1116"/>
      <c r="T856" s="1116"/>
    </row>
    <row r="857">
      <c r="A857" s="1116"/>
      <c r="B857" s="1116"/>
      <c r="C857" s="1116"/>
      <c r="D857" s="1116"/>
      <c r="E857" s="1116"/>
      <c r="F857" s="1116"/>
      <c r="G857" s="1236"/>
      <c r="H857" s="1116"/>
      <c r="I857" s="1116"/>
      <c r="J857" s="1116"/>
      <c r="K857" s="1148"/>
      <c r="L857" s="1128"/>
      <c r="M857" s="1116"/>
      <c r="N857" s="1116"/>
      <c r="O857" s="1116"/>
      <c r="P857" s="1116"/>
      <c r="Q857" s="1116"/>
      <c r="R857" s="1116"/>
      <c r="S857" s="1116"/>
      <c r="T857" s="1116"/>
    </row>
    <row r="858">
      <c r="A858" s="1116"/>
      <c r="B858" s="1116"/>
      <c r="C858" s="1116"/>
      <c r="D858" s="1116"/>
      <c r="E858" s="1116"/>
      <c r="F858" s="1116"/>
      <c r="G858" s="1236"/>
      <c r="H858" s="1116"/>
      <c r="I858" s="1116"/>
      <c r="J858" s="1116"/>
      <c r="K858" s="1148"/>
      <c r="L858" s="1128"/>
      <c r="M858" s="1116"/>
      <c r="N858" s="1116"/>
      <c r="O858" s="1116"/>
      <c r="P858" s="1116"/>
      <c r="Q858" s="1116"/>
      <c r="R858" s="1116"/>
      <c r="S858" s="1116"/>
      <c r="T858" s="1116"/>
    </row>
    <row r="859">
      <c r="A859" s="1116"/>
      <c r="B859" s="1116"/>
      <c r="C859" s="1116"/>
      <c r="D859" s="1116"/>
      <c r="E859" s="1116"/>
      <c r="F859" s="1116"/>
      <c r="G859" s="1236"/>
      <c r="H859" s="1116"/>
      <c r="I859" s="1116"/>
      <c r="J859" s="1116"/>
      <c r="K859" s="1148"/>
      <c r="L859" s="1128"/>
      <c r="M859" s="1116"/>
      <c r="N859" s="1116"/>
      <c r="O859" s="1116"/>
      <c r="P859" s="1116"/>
      <c r="Q859" s="1116"/>
      <c r="R859" s="1116"/>
      <c r="S859" s="1116"/>
      <c r="T859" s="1116"/>
    </row>
    <row r="860">
      <c r="A860" s="1116"/>
      <c r="B860" s="1116"/>
      <c r="C860" s="1116"/>
      <c r="D860" s="1116"/>
      <c r="E860" s="1116"/>
      <c r="F860" s="1116"/>
      <c r="G860" s="1236"/>
      <c r="H860" s="1116"/>
      <c r="I860" s="1116"/>
      <c r="J860" s="1116"/>
      <c r="K860" s="1148"/>
      <c r="L860" s="1128"/>
      <c r="M860" s="1116"/>
      <c r="N860" s="1116"/>
      <c r="O860" s="1116"/>
      <c r="P860" s="1116"/>
      <c r="Q860" s="1116"/>
      <c r="R860" s="1116"/>
      <c r="S860" s="1116"/>
      <c r="T860" s="1116"/>
    </row>
    <row r="861">
      <c r="A861" s="1116"/>
      <c r="B861" s="1116"/>
      <c r="C861" s="1116"/>
      <c r="D861" s="1116"/>
      <c r="E861" s="1116"/>
      <c r="F861" s="1116"/>
      <c r="G861" s="1236"/>
      <c r="H861" s="1116"/>
      <c r="I861" s="1116"/>
      <c r="J861" s="1116"/>
      <c r="K861" s="1148"/>
      <c r="L861" s="1128"/>
      <c r="M861" s="1116"/>
      <c r="N861" s="1116"/>
      <c r="O861" s="1116"/>
      <c r="P861" s="1116"/>
      <c r="Q861" s="1116"/>
      <c r="R861" s="1116"/>
      <c r="S861" s="1116"/>
      <c r="T861" s="1116"/>
    </row>
    <row r="862">
      <c r="A862" s="1116"/>
      <c r="B862" s="1116"/>
      <c r="C862" s="1116"/>
      <c r="D862" s="1116"/>
      <c r="E862" s="1116"/>
      <c r="F862" s="1116"/>
      <c r="G862" s="1236"/>
      <c r="H862" s="1116"/>
      <c r="I862" s="1116"/>
      <c r="J862" s="1116"/>
      <c r="K862" s="1148"/>
      <c r="L862" s="1128"/>
      <c r="M862" s="1116"/>
      <c r="N862" s="1116"/>
      <c r="O862" s="1116"/>
      <c r="P862" s="1116"/>
      <c r="Q862" s="1116"/>
      <c r="R862" s="1116"/>
      <c r="S862" s="1116"/>
      <c r="T862" s="1116"/>
    </row>
    <row r="863">
      <c r="A863" s="1116"/>
      <c r="B863" s="1116"/>
      <c r="C863" s="1116"/>
      <c r="D863" s="1116"/>
      <c r="E863" s="1116"/>
      <c r="F863" s="1116"/>
      <c r="G863" s="1236"/>
      <c r="H863" s="1116"/>
      <c r="I863" s="1116"/>
      <c r="J863" s="1116"/>
      <c r="K863" s="1148"/>
      <c r="L863" s="1128"/>
      <c r="M863" s="1116"/>
      <c r="N863" s="1116"/>
      <c r="O863" s="1116"/>
      <c r="P863" s="1116"/>
      <c r="Q863" s="1116"/>
      <c r="R863" s="1116"/>
      <c r="S863" s="1116"/>
      <c r="T863" s="1116"/>
    </row>
    <row r="864">
      <c r="A864" s="1116"/>
      <c r="B864" s="1116"/>
      <c r="C864" s="1116"/>
      <c r="D864" s="1116"/>
      <c r="E864" s="1116"/>
      <c r="F864" s="1116"/>
      <c r="G864" s="1236"/>
      <c r="H864" s="1116"/>
      <c r="I864" s="1116"/>
      <c r="J864" s="1116"/>
      <c r="K864" s="1148"/>
      <c r="L864" s="1128"/>
      <c r="M864" s="1116"/>
      <c r="N864" s="1116"/>
      <c r="O864" s="1116"/>
      <c r="P864" s="1116"/>
      <c r="Q864" s="1116"/>
      <c r="R864" s="1116"/>
      <c r="S864" s="1116"/>
      <c r="T864" s="1116"/>
    </row>
    <row r="865">
      <c r="A865" s="1116"/>
      <c r="B865" s="1116"/>
      <c r="C865" s="1116"/>
      <c r="D865" s="1116"/>
      <c r="E865" s="1116"/>
      <c r="F865" s="1116"/>
      <c r="G865" s="1236"/>
      <c r="H865" s="1116"/>
      <c r="I865" s="1116"/>
      <c r="J865" s="1116"/>
      <c r="K865" s="1148"/>
      <c r="L865" s="1128"/>
      <c r="M865" s="1116"/>
      <c r="N865" s="1116"/>
      <c r="O865" s="1116"/>
      <c r="P865" s="1116"/>
      <c r="Q865" s="1116"/>
      <c r="R865" s="1116"/>
      <c r="S865" s="1116"/>
      <c r="T865" s="1116"/>
    </row>
    <row r="866">
      <c r="A866" s="1116"/>
      <c r="B866" s="1116"/>
      <c r="C866" s="1116"/>
      <c r="D866" s="1116"/>
      <c r="E866" s="1116"/>
      <c r="F866" s="1116"/>
      <c r="G866" s="1236"/>
      <c r="H866" s="1116"/>
      <c r="I866" s="1116"/>
      <c r="J866" s="1116"/>
      <c r="K866" s="1148"/>
      <c r="L866" s="1128"/>
      <c r="M866" s="1116"/>
      <c r="N866" s="1116"/>
      <c r="O866" s="1116"/>
      <c r="P866" s="1116"/>
      <c r="Q866" s="1116"/>
      <c r="R866" s="1116"/>
      <c r="S866" s="1116"/>
      <c r="T866" s="1116"/>
    </row>
    <row r="867">
      <c r="A867" s="1116"/>
      <c r="B867" s="1116"/>
      <c r="C867" s="1116"/>
      <c r="D867" s="1116"/>
      <c r="E867" s="1116"/>
      <c r="F867" s="1116"/>
      <c r="G867" s="1236"/>
      <c r="H867" s="1116"/>
      <c r="I867" s="1116"/>
      <c r="J867" s="1116"/>
      <c r="K867" s="1148"/>
      <c r="L867" s="1128"/>
      <c r="M867" s="1116"/>
      <c r="N867" s="1116"/>
      <c r="O867" s="1116"/>
      <c r="P867" s="1116"/>
      <c r="Q867" s="1116"/>
      <c r="R867" s="1116"/>
      <c r="S867" s="1116"/>
      <c r="T867" s="1116"/>
    </row>
    <row r="868">
      <c r="A868" s="1116"/>
      <c r="B868" s="1116"/>
      <c r="C868" s="1116"/>
      <c r="D868" s="1116"/>
      <c r="E868" s="1116"/>
      <c r="F868" s="1116"/>
      <c r="G868" s="1236"/>
      <c r="H868" s="1116"/>
      <c r="I868" s="1116"/>
      <c r="J868" s="1116"/>
      <c r="K868" s="1148"/>
      <c r="L868" s="1128"/>
      <c r="M868" s="1116"/>
      <c r="N868" s="1116"/>
      <c r="O868" s="1116"/>
      <c r="P868" s="1116"/>
      <c r="Q868" s="1116"/>
      <c r="R868" s="1116"/>
      <c r="S868" s="1116"/>
      <c r="T868" s="1116"/>
    </row>
    <row r="869">
      <c r="A869" s="1116"/>
      <c r="B869" s="1116"/>
      <c r="C869" s="1116"/>
      <c r="D869" s="1116"/>
      <c r="E869" s="1116"/>
      <c r="F869" s="1116"/>
      <c r="G869" s="1236"/>
      <c r="H869" s="1116"/>
      <c r="I869" s="1116"/>
      <c r="J869" s="1116"/>
      <c r="K869" s="1148"/>
      <c r="L869" s="1128"/>
      <c r="M869" s="1116"/>
      <c r="N869" s="1116"/>
      <c r="O869" s="1116"/>
      <c r="P869" s="1116"/>
      <c r="Q869" s="1116"/>
      <c r="R869" s="1116"/>
      <c r="S869" s="1116"/>
      <c r="T869" s="1116"/>
    </row>
    <row r="870">
      <c r="A870" s="1116"/>
      <c r="B870" s="1116"/>
      <c r="C870" s="1116"/>
      <c r="D870" s="1116"/>
      <c r="E870" s="1116"/>
      <c r="F870" s="1116"/>
      <c r="G870" s="1236"/>
      <c r="H870" s="1116"/>
      <c r="I870" s="1116"/>
      <c r="J870" s="1116"/>
      <c r="K870" s="1148"/>
      <c r="L870" s="1128"/>
      <c r="M870" s="1116"/>
      <c r="N870" s="1116"/>
      <c r="O870" s="1116"/>
      <c r="P870" s="1116"/>
      <c r="Q870" s="1116"/>
      <c r="R870" s="1116"/>
      <c r="S870" s="1116"/>
      <c r="T870" s="1116"/>
    </row>
    <row r="871">
      <c r="A871" s="1116"/>
      <c r="B871" s="1116"/>
      <c r="C871" s="1116"/>
      <c r="D871" s="1116"/>
      <c r="E871" s="1116"/>
      <c r="F871" s="1116"/>
      <c r="G871" s="1236"/>
      <c r="H871" s="1116"/>
      <c r="I871" s="1116"/>
      <c r="J871" s="1116"/>
      <c r="K871" s="1148"/>
      <c r="L871" s="1128"/>
      <c r="M871" s="1116"/>
      <c r="N871" s="1116"/>
      <c r="O871" s="1116"/>
      <c r="P871" s="1116"/>
      <c r="Q871" s="1116"/>
      <c r="R871" s="1116"/>
      <c r="S871" s="1116"/>
      <c r="T871" s="1116"/>
    </row>
    <row r="872">
      <c r="A872" s="1116"/>
      <c r="B872" s="1116"/>
      <c r="C872" s="1116"/>
      <c r="D872" s="1116"/>
      <c r="E872" s="1116"/>
      <c r="F872" s="1116"/>
      <c r="G872" s="1236"/>
      <c r="H872" s="1116"/>
      <c r="I872" s="1116"/>
      <c r="J872" s="1116"/>
      <c r="K872" s="1148"/>
      <c r="L872" s="1128"/>
      <c r="M872" s="1116"/>
      <c r="N872" s="1116"/>
      <c r="O872" s="1116"/>
      <c r="P872" s="1116"/>
      <c r="Q872" s="1116"/>
      <c r="R872" s="1116"/>
      <c r="S872" s="1116"/>
      <c r="T872" s="1116"/>
    </row>
    <row r="873">
      <c r="A873" s="1116"/>
      <c r="B873" s="1116"/>
      <c r="C873" s="1116"/>
      <c r="D873" s="1116"/>
      <c r="E873" s="1116"/>
      <c r="F873" s="1116"/>
      <c r="G873" s="1236"/>
      <c r="H873" s="1116"/>
      <c r="I873" s="1116"/>
      <c r="J873" s="1116"/>
      <c r="K873" s="1148"/>
      <c r="L873" s="1128"/>
      <c r="M873" s="1116"/>
      <c r="N873" s="1116"/>
      <c r="O873" s="1116"/>
      <c r="P873" s="1116"/>
      <c r="Q873" s="1116"/>
      <c r="R873" s="1116"/>
      <c r="S873" s="1116"/>
      <c r="T873" s="1116"/>
    </row>
    <row r="874">
      <c r="A874" s="1116"/>
      <c r="B874" s="1116"/>
      <c r="C874" s="1116"/>
      <c r="D874" s="1116"/>
      <c r="E874" s="1116"/>
      <c r="F874" s="1116"/>
      <c r="G874" s="1236"/>
      <c r="H874" s="1116"/>
      <c r="I874" s="1116"/>
      <c r="J874" s="1116"/>
      <c r="K874" s="1148"/>
      <c r="L874" s="1128"/>
      <c r="M874" s="1116"/>
      <c r="N874" s="1116"/>
      <c r="O874" s="1116"/>
      <c r="P874" s="1116"/>
      <c r="Q874" s="1116"/>
      <c r="R874" s="1116"/>
      <c r="S874" s="1116"/>
      <c r="T874" s="1116"/>
    </row>
    <row r="875">
      <c r="A875" s="1116"/>
      <c r="B875" s="1116"/>
      <c r="C875" s="1116"/>
      <c r="D875" s="1116"/>
      <c r="E875" s="1116"/>
      <c r="F875" s="1116"/>
      <c r="G875" s="1236"/>
      <c r="H875" s="1116"/>
      <c r="I875" s="1116"/>
      <c r="J875" s="1116"/>
      <c r="K875" s="1148"/>
      <c r="L875" s="1128"/>
      <c r="M875" s="1116"/>
      <c r="N875" s="1116"/>
      <c r="O875" s="1116"/>
      <c r="P875" s="1116"/>
      <c r="Q875" s="1116"/>
      <c r="R875" s="1116"/>
      <c r="S875" s="1116"/>
      <c r="T875" s="1116"/>
    </row>
    <row r="876">
      <c r="A876" s="1116"/>
      <c r="B876" s="1116"/>
      <c r="C876" s="1116"/>
      <c r="D876" s="1116"/>
      <c r="E876" s="1116"/>
      <c r="F876" s="1116"/>
      <c r="G876" s="1236"/>
      <c r="H876" s="1116"/>
      <c r="I876" s="1116"/>
      <c r="J876" s="1116"/>
      <c r="K876" s="1148"/>
      <c r="L876" s="1128"/>
      <c r="M876" s="1116"/>
      <c r="N876" s="1116"/>
      <c r="O876" s="1116"/>
      <c r="P876" s="1116"/>
      <c r="Q876" s="1116"/>
      <c r="R876" s="1116"/>
      <c r="S876" s="1116"/>
      <c r="T876" s="1116"/>
    </row>
    <row r="877">
      <c r="A877" s="1116"/>
      <c r="B877" s="1116"/>
      <c r="C877" s="1116"/>
      <c r="D877" s="1116"/>
      <c r="E877" s="1116"/>
      <c r="F877" s="1116"/>
      <c r="G877" s="1236"/>
      <c r="H877" s="1116"/>
      <c r="I877" s="1116"/>
      <c r="J877" s="1116"/>
      <c r="K877" s="1148"/>
      <c r="L877" s="1128"/>
      <c r="M877" s="1116"/>
      <c r="N877" s="1116"/>
      <c r="O877" s="1116"/>
      <c r="P877" s="1116"/>
      <c r="Q877" s="1116"/>
      <c r="R877" s="1116"/>
      <c r="S877" s="1116"/>
      <c r="T877" s="1116"/>
    </row>
    <row r="878">
      <c r="A878" s="1116"/>
      <c r="B878" s="1116"/>
      <c r="C878" s="1116"/>
      <c r="D878" s="1116"/>
      <c r="E878" s="1116"/>
      <c r="F878" s="1116"/>
      <c r="G878" s="1236"/>
      <c r="H878" s="1116"/>
      <c r="I878" s="1116"/>
      <c r="J878" s="1116"/>
      <c r="K878" s="1148"/>
      <c r="L878" s="1128"/>
      <c r="M878" s="1116"/>
      <c r="N878" s="1116"/>
      <c r="O878" s="1116"/>
      <c r="P878" s="1116"/>
      <c r="Q878" s="1116"/>
      <c r="R878" s="1116"/>
      <c r="S878" s="1116"/>
      <c r="T878" s="1116"/>
    </row>
    <row r="879">
      <c r="A879" s="1116"/>
      <c r="B879" s="1116"/>
      <c r="C879" s="1116"/>
      <c r="D879" s="1116"/>
      <c r="E879" s="1116"/>
      <c r="F879" s="1116"/>
      <c r="G879" s="1236"/>
      <c r="H879" s="1116"/>
      <c r="I879" s="1116"/>
      <c r="J879" s="1116"/>
      <c r="K879" s="1148"/>
      <c r="L879" s="1128"/>
      <c r="M879" s="1116"/>
      <c r="N879" s="1116"/>
      <c r="O879" s="1116"/>
      <c r="P879" s="1116"/>
      <c r="Q879" s="1116"/>
      <c r="R879" s="1116"/>
      <c r="S879" s="1116"/>
      <c r="T879" s="1116"/>
    </row>
    <row r="880">
      <c r="A880" s="1116"/>
      <c r="B880" s="1116"/>
      <c r="C880" s="1116"/>
      <c r="D880" s="1116"/>
      <c r="E880" s="1116"/>
      <c r="F880" s="1116"/>
      <c r="G880" s="1236"/>
      <c r="H880" s="1116"/>
      <c r="I880" s="1116"/>
      <c r="J880" s="1116"/>
      <c r="K880" s="1148"/>
      <c r="L880" s="1128"/>
      <c r="M880" s="1116"/>
      <c r="N880" s="1116"/>
      <c r="O880" s="1116"/>
      <c r="P880" s="1116"/>
      <c r="Q880" s="1116"/>
      <c r="R880" s="1116"/>
      <c r="S880" s="1116"/>
      <c r="T880" s="1116"/>
    </row>
    <row r="881">
      <c r="A881" s="1116"/>
      <c r="B881" s="1116"/>
      <c r="C881" s="1116"/>
      <c r="D881" s="1116"/>
      <c r="E881" s="1116"/>
      <c r="F881" s="1116"/>
      <c r="G881" s="1236"/>
      <c r="H881" s="1116"/>
      <c r="I881" s="1116"/>
      <c r="J881" s="1116"/>
      <c r="K881" s="1148"/>
      <c r="L881" s="1128"/>
      <c r="M881" s="1116"/>
      <c r="N881" s="1116"/>
      <c r="O881" s="1116"/>
      <c r="P881" s="1116"/>
      <c r="Q881" s="1116"/>
      <c r="R881" s="1116"/>
      <c r="S881" s="1116"/>
      <c r="T881" s="1116"/>
    </row>
    <row r="882">
      <c r="A882" s="1116"/>
      <c r="B882" s="1116"/>
      <c r="C882" s="1116"/>
      <c r="D882" s="1116"/>
      <c r="E882" s="1116"/>
      <c r="F882" s="1116"/>
      <c r="G882" s="1236"/>
      <c r="H882" s="1116"/>
      <c r="I882" s="1116"/>
      <c r="J882" s="1116"/>
      <c r="K882" s="1148"/>
      <c r="L882" s="1128"/>
      <c r="M882" s="1116"/>
      <c r="N882" s="1116"/>
      <c r="O882" s="1116"/>
      <c r="P882" s="1116"/>
      <c r="Q882" s="1116"/>
      <c r="R882" s="1116"/>
      <c r="S882" s="1116"/>
      <c r="T882" s="1116"/>
    </row>
    <row r="883">
      <c r="A883" s="1116"/>
      <c r="B883" s="1116"/>
      <c r="C883" s="1116"/>
      <c r="D883" s="1116"/>
      <c r="E883" s="1116"/>
      <c r="F883" s="1116"/>
      <c r="G883" s="1236"/>
      <c r="H883" s="1116"/>
      <c r="I883" s="1116"/>
      <c r="J883" s="1116"/>
      <c r="K883" s="1148"/>
      <c r="L883" s="1128"/>
      <c r="M883" s="1116"/>
      <c r="N883" s="1116"/>
      <c r="O883" s="1116"/>
      <c r="P883" s="1116"/>
      <c r="Q883" s="1116"/>
      <c r="R883" s="1116"/>
      <c r="S883" s="1116"/>
      <c r="T883" s="1116"/>
    </row>
    <row r="884">
      <c r="A884" s="1116"/>
      <c r="B884" s="1116"/>
      <c r="C884" s="1116"/>
      <c r="D884" s="1116"/>
      <c r="E884" s="1116"/>
      <c r="F884" s="1116"/>
      <c r="G884" s="1236"/>
      <c r="H884" s="1116"/>
      <c r="I884" s="1116"/>
      <c r="J884" s="1116"/>
      <c r="K884" s="1148"/>
      <c r="L884" s="1128"/>
      <c r="M884" s="1116"/>
      <c r="N884" s="1116"/>
      <c r="O884" s="1116"/>
      <c r="P884" s="1116"/>
      <c r="Q884" s="1116"/>
      <c r="R884" s="1116"/>
      <c r="S884" s="1116"/>
      <c r="T884" s="1116"/>
    </row>
    <row r="885">
      <c r="A885" s="1116"/>
      <c r="B885" s="1116"/>
      <c r="C885" s="1116"/>
      <c r="D885" s="1116"/>
      <c r="E885" s="1116"/>
      <c r="F885" s="1116"/>
      <c r="G885" s="1236"/>
      <c r="H885" s="1116"/>
      <c r="I885" s="1116"/>
      <c r="J885" s="1116"/>
      <c r="K885" s="1148"/>
      <c r="L885" s="1128"/>
      <c r="M885" s="1116"/>
      <c r="N885" s="1116"/>
      <c r="O885" s="1116"/>
      <c r="P885" s="1116"/>
      <c r="Q885" s="1116"/>
      <c r="R885" s="1116"/>
      <c r="S885" s="1116"/>
      <c r="T885" s="1116"/>
    </row>
    <row r="886">
      <c r="A886" s="1116"/>
      <c r="B886" s="1116"/>
      <c r="C886" s="1116"/>
      <c r="D886" s="1116"/>
      <c r="E886" s="1116"/>
      <c r="F886" s="1116"/>
      <c r="G886" s="1236"/>
      <c r="H886" s="1116"/>
      <c r="I886" s="1116"/>
      <c r="J886" s="1116"/>
      <c r="K886" s="1148"/>
      <c r="L886" s="1128"/>
      <c r="M886" s="1116"/>
      <c r="N886" s="1116"/>
      <c r="O886" s="1116"/>
      <c r="P886" s="1116"/>
      <c r="Q886" s="1116"/>
      <c r="R886" s="1116"/>
      <c r="S886" s="1116"/>
      <c r="T886" s="1116"/>
    </row>
    <row r="887">
      <c r="A887" s="1116"/>
      <c r="B887" s="1116"/>
      <c r="C887" s="1116"/>
      <c r="D887" s="1116"/>
      <c r="E887" s="1116"/>
      <c r="F887" s="1116"/>
      <c r="G887" s="1236"/>
      <c r="H887" s="1116"/>
      <c r="I887" s="1116"/>
      <c r="J887" s="1116"/>
      <c r="K887" s="1148"/>
      <c r="L887" s="1128"/>
      <c r="M887" s="1116"/>
      <c r="N887" s="1116"/>
      <c r="O887" s="1116"/>
      <c r="P887" s="1116"/>
      <c r="Q887" s="1116"/>
      <c r="R887" s="1116"/>
      <c r="S887" s="1116"/>
      <c r="T887" s="1116"/>
    </row>
    <row r="888">
      <c r="A888" s="1116"/>
      <c r="B888" s="1116"/>
      <c r="C888" s="1116"/>
      <c r="D888" s="1116"/>
      <c r="E888" s="1116"/>
      <c r="F888" s="1116"/>
      <c r="G888" s="1236"/>
      <c r="H888" s="1116"/>
      <c r="I888" s="1116"/>
      <c r="J888" s="1116"/>
      <c r="K888" s="1148"/>
      <c r="L888" s="1128"/>
      <c r="M888" s="1116"/>
      <c r="N888" s="1116"/>
      <c r="O888" s="1116"/>
      <c r="P888" s="1116"/>
      <c r="Q888" s="1116"/>
      <c r="R888" s="1116"/>
      <c r="S888" s="1116"/>
      <c r="T888" s="1116"/>
    </row>
    <row r="889">
      <c r="A889" s="1116"/>
      <c r="B889" s="1116"/>
      <c r="C889" s="1116"/>
      <c r="D889" s="1116"/>
      <c r="E889" s="1116"/>
      <c r="F889" s="1116"/>
      <c r="G889" s="1236"/>
      <c r="H889" s="1116"/>
      <c r="I889" s="1116"/>
      <c r="J889" s="1116"/>
      <c r="K889" s="1148"/>
      <c r="L889" s="1128"/>
      <c r="M889" s="1116"/>
      <c r="N889" s="1116"/>
      <c r="O889" s="1116"/>
      <c r="P889" s="1116"/>
      <c r="Q889" s="1116"/>
      <c r="R889" s="1116"/>
      <c r="S889" s="1116"/>
      <c r="T889" s="1116"/>
    </row>
    <row r="890">
      <c r="A890" s="1116"/>
      <c r="B890" s="1116"/>
      <c r="C890" s="1116"/>
      <c r="D890" s="1116"/>
      <c r="E890" s="1116"/>
      <c r="F890" s="1116"/>
      <c r="G890" s="1236"/>
      <c r="H890" s="1116"/>
      <c r="I890" s="1116"/>
      <c r="J890" s="1116"/>
      <c r="K890" s="1148"/>
      <c r="L890" s="1128"/>
      <c r="M890" s="1116"/>
      <c r="N890" s="1116"/>
      <c r="O890" s="1116"/>
      <c r="P890" s="1116"/>
      <c r="Q890" s="1116"/>
      <c r="R890" s="1116"/>
      <c r="S890" s="1116"/>
      <c r="T890" s="1116"/>
    </row>
    <row r="891">
      <c r="A891" s="1116"/>
      <c r="B891" s="1116"/>
      <c r="C891" s="1116"/>
      <c r="D891" s="1116"/>
      <c r="E891" s="1116"/>
      <c r="F891" s="1116"/>
      <c r="G891" s="1236"/>
      <c r="H891" s="1116"/>
      <c r="I891" s="1116"/>
      <c r="J891" s="1116"/>
      <c r="K891" s="1148"/>
      <c r="L891" s="1128"/>
      <c r="M891" s="1116"/>
      <c r="N891" s="1116"/>
      <c r="O891" s="1116"/>
      <c r="P891" s="1116"/>
      <c r="Q891" s="1116"/>
      <c r="R891" s="1116"/>
      <c r="S891" s="1116"/>
      <c r="T891" s="1116"/>
    </row>
    <row r="892">
      <c r="A892" s="1116"/>
      <c r="B892" s="1116"/>
      <c r="C892" s="1116"/>
      <c r="D892" s="1116"/>
      <c r="E892" s="1116"/>
      <c r="F892" s="1116"/>
      <c r="G892" s="1236"/>
      <c r="H892" s="1116"/>
      <c r="I892" s="1116"/>
      <c r="J892" s="1116"/>
      <c r="K892" s="1148"/>
      <c r="L892" s="1128"/>
      <c r="M892" s="1116"/>
      <c r="N892" s="1116"/>
      <c r="O892" s="1116"/>
      <c r="P892" s="1116"/>
      <c r="Q892" s="1116"/>
      <c r="R892" s="1116"/>
      <c r="S892" s="1116"/>
      <c r="T892" s="1116"/>
    </row>
    <row r="893">
      <c r="A893" s="1116"/>
      <c r="B893" s="1116"/>
      <c r="C893" s="1116"/>
      <c r="D893" s="1116"/>
      <c r="E893" s="1116"/>
      <c r="F893" s="1116"/>
      <c r="G893" s="1236"/>
      <c r="H893" s="1116"/>
      <c r="I893" s="1116"/>
      <c r="J893" s="1116"/>
      <c r="K893" s="1148"/>
      <c r="L893" s="1128"/>
      <c r="M893" s="1116"/>
      <c r="N893" s="1116"/>
      <c r="O893" s="1116"/>
      <c r="P893" s="1116"/>
      <c r="Q893" s="1116"/>
      <c r="R893" s="1116"/>
      <c r="S893" s="1116"/>
      <c r="T893" s="1116"/>
    </row>
    <row r="894">
      <c r="A894" s="1116"/>
      <c r="B894" s="1116"/>
      <c r="C894" s="1116"/>
      <c r="D894" s="1116"/>
      <c r="E894" s="1116"/>
      <c r="F894" s="1116"/>
      <c r="G894" s="1236"/>
      <c r="H894" s="1116"/>
      <c r="I894" s="1116"/>
      <c r="J894" s="1116"/>
      <c r="K894" s="1148"/>
      <c r="L894" s="1128"/>
      <c r="M894" s="1116"/>
      <c r="N894" s="1116"/>
      <c r="O894" s="1116"/>
      <c r="P894" s="1116"/>
      <c r="Q894" s="1116"/>
      <c r="R894" s="1116"/>
      <c r="S894" s="1116"/>
      <c r="T894" s="1116"/>
    </row>
    <row r="895">
      <c r="A895" s="1116"/>
      <c r="B895" s="1116"/>
      <c r="C895" s="1116"/>
      <c r="D895" s="1116"/>
      <c r="E895" s="1116"/>
      <c r="F895" s="1116"/>
      <c r="G895" s="1236"/>
      <c r="H895" s="1116"/>
      <c r="I895" s="1116"/>
      <c r="J895" s="1116"/>
      <c r="K895" s="1148"/>
      <c r="L895" s="1128"/>
      <c r="M895" s="1116"/>
      <c r="N895" s="1116"/>
      <c r="O895" s="1116"/>
      <c r="P895" s="1116"/>
      <c r="Q895" s="1116"/>
      <c r="R895" s="1116"/>
      <c r="S895" s="1116"/>
      <c r="T895" s="1116"/>
    </row>
    <row r="896">
      <c r="A896" s="1116"/>
      <c r="B896" s="1116"/>
      <c r="C896" s="1116"/>
      <c r="D896" s="1116"/>
      <c r="E896" s="1116"/>
      <c r="F896" s="1116"/>
      <c r="G896" s="1236"/>
      <c r="H896" s="1116"/>
      <c r="I896" s="1116"/>
      <c r="J896" s="1116"/>
      <c r="K896" s="1148"/>
      <c r="L896" s="1128"/>
      <c r="M896" s="1116"/>
      <c r="N896" s="1116"/>
      <c r="O896" s="1116"/>
      <c r="P896" s="1116"/>
      <c r="Q896" s="1116"/>
      <c r="R896" s="1116"/>
      <c r="S896" s="1116"/>
      <c r="T896" s="1116"/>
    </row>
    <row r="897">
      <c r="A897" s="1116"/>
      <c r="B897" s="1116"/>
      <c r="C897" s="1116"/>
      <c r="D897" s="1116"/>
      <c r="E897" s="1116"/>
      <c r="F897" s="1116"/>
      <c r="G897" s="1236"/>
      <c r="H897" s="1116"/>
      <c r="I897" s="1116"/>
      <c r="J897" s="1116"/>
      <c r="K897" s="1148"/>
      <c r="L897" s="1128"/>
      <c r="M897" s="1116"/>
      <c r="N897" s="1116"/>
      <c r="O897" s="1116"/>
      <c r="P897" s="1116"/>
      <c r="Q897" s="1116"/>
      <c r="R897" s="1116"/>
      <c r="S897" s="1116"/>
      <c r="T897" s="1116"/>
    </row>
    <row r="898">
      <c r="A898" s="1116"/>
      <c r="B898" s="1116"/>
      <c r="C898" s="1116"/>
      <c r="D898" s="1116"/>
      <c r="E898" s="1116"/>
      <c r="F898" s="1116"/>
      <c r="G898" s="1236"/>
      <c r="H898" s="1116"/>
      <c r="I898" s="1116"/>
      <c r="J898" s="1116"/>
      <c r="K898" s="1148"/>
      <c r="L898" s="1128"/>
      <c r="M898" s="1116"/>
      <c r="N898" s="1116"/>
      <c r="O898" s="1116"/>
      <c r="P898" s="1116"/>
      <c r="Q898" s="1116"/>
      <c r="R898" s="1116"/>
      <c r="S898" s="1116"/>
      <c r="T898" s="1116"/>
    </row>
    <row r="899">
      <c r="A899" s="1116"/>
      <c r="B899" s="1116"/>
      <c r="C899" s="1116"/>
      <c r="D899" s="1116"/>
      <c r="E899" s="1116"/>
      <c r="F899" s="1116"/>
      <c r="G899" s="1236"/>
      <c r="H899" s="1116"/>
      <c r="I899" s="1116"/>
      <c r="J899" s="1116"/>
      <c r="K899" s="1148"/>
      <c r="L899" s="1128"/>
      <c r="M899" s="1116"/>
      <c r="N899" s="1116"/>
      <c r="O899" s="1116"/>
      <c r="P899" s="1116"/>
      <c r="Q899" s="1116"/>
      <c r="R899" s="1116"/>
      <c r="S899" s="1116"/>
      <c r="T899" s="1116"/>
    </row>
    <row r="900">
      <c r="A900" s="1116"/>
      <c r="B900" s="1116"/>
      <c r="C900" s="1116"/>
      <c r="D900" s="1116"/>
      <c r="E900" s="1116"/>
      <c r="F900" s="1116"/>
      <c r="G900" s="1236"/>
      <c r="H900" s="1116"/>
      <c r="I900" s="1116"/>
      <c r="J900" s="1116"/>
      <c r="K900" s="1148"/>
      <c r="L900" s="1128"/>
      <c r="M900" s="1116"/>
      <c r="N900" s="1116"/>
      <c r="O900" s="1116"/>
      <c r="P900" s="1116"/>
      <c r="Q900" s="1116"/>
      <c r="R900" s="1116"/>
      <c r="S900" s="1116"/>
      <c r="T900" s="1116"/>
    </row>
    <row r="901">
      <c r="A901" s="1116"/>
      <c r="B901" s="1116"/>
      <c r="C901" s="1116"/>
      <c r="D901" s="1116"/>
      <c r="E901" s="1116"/>
      <c r="F901" s="1116"/>
      <c r="G901" s="1236"/>
      <c r="H901" s="1116"/>
      <c r="I901" s="1116"/>
      <c r="J901" s="1116"/>
      <c r="K901" s="1148"/>
      <c r="L901" s="1128"/>
      <c r="M901" s="1116"/>
      <c r="N901" s="1116"/>
      <c r="O901" s="1116"/>
      <c r="P901" s="1116"/>
      <c r="Q901" s="1116"/>
      <c r="R901" s="1116"/>
      <c r="S901" s="1116"/>
      <c r="T901" s="1116"/>
    </row>
    <row r="902">
      <c r="A902" s="1116"/>
      <c r="B902" s="1116"/>
      <c r="C902" s="1116"/>
      <c r="D902" s="1116"/>
      <c r="E902" s="1116"/>
      <c r="F902" s="1116"/>
      <c r="G902" s="1236"/>
      <c r="H902" s="1116"/>
      <c r="I902" s="1116"/>
      <c r="J902" s="1116"/>
      <c r="K902" s="1148"/>
      <c r="L902" s="1128"/>
      <c r="M902" s="1116"/>
      <c r="N902" s="1116"/>
      <c r="O902" s="1116"/>
      <c r="P902" s="1116"/>
      <c r="Q902" s="1116"/>
      <c r="R902" s="1116"/>
      <c r="S902" s="1116"/>
      <c r="T902" s="1116"/>
    </row>
    <row r="903">
      <c r="A903" s="1116"/>
      <c r="B903" s="1116"/>
      <c r="C903" s="1116"/>
      <c r="D903" s="1116"/>
      <c r="E903" s="1116"/>
      <c r="F903" s="1116"/>
      <c r="G903" s="1236"/>
      <c r="H903" s="1116"/>
      <c r="I903" s="1116"/>
      <c r="J903" s="1116"/>
      <c r="K903" s="1148"/>
      <c r="L903" s="1128"/>
      <c r="M903" s="1116"/>
      <c r="N903" s="1116"/>
      <c r="O903" s="1116"/>
      <c r="P903" s="1116"/>
      <c r="Q903" s="1116"/>
      <c r="R903" s="1116"/>
      <c r="S903" s="1116"/>
      <c r="T903" s="1116"/>
    </row>
    <row r="904">
      <c r="A904" s="1116"/>
      <c r="B904" s="1116"/>
      <c r="C904" s="1116"/>
      <c r="D904" s="1116"/>
      <c r="E904" s="1116"/>
      <c r="F904" s="1116"/>
      <c r="G904" s="1236"/>
      <c r="H904" s="1116"/>
      <c r="I904" s="1116"/>
      <c r="J904" s="1116"/>
      <c r="K904" s="1148"/>
      <c r="L904" s="1128"/>
      <c r="M904" s="1116"/>
      <c r="N904" s="1116"/>
      <c r="O904" s="1116"/>
      <c r="P904" s="1116"/>
      <c r="Q904" s="1116"/>
      <c r="R904" s="1116"/>
      <c r="S904" s="1116"/>
      <c r="T904" s="1116"/>
    </row>
    <row r="905">
      <c r="A905" s="1116"/>
      <c r="B905" s="1116"/>
      <c r="C905" s="1116"/>
      <c r="D905" s="1116"/>
      <c r="E905" s="1116"/>
      <c r="F905" s="1116"/>
      <c r="G905" s="1236"/>
      <c r="H905" s="1116"/>
      <c r="I905" s="1116"/>
      <c r="J905" s="1116"/>
      <c r="K905" s="1148"/>
      <c r="L905" s="1128"/>
      <c r="M905" s="1116"/>
      <c r="N905" s="1116"/>
      <c r="O905" s="1116"/>
      <c r="P905" s="1116"/>
      <c r="Q905" s="1116"/>
      <c r="R905" s="1116"/>
      <c r="S905" s="1116"/>
      <c r="T905" s="1116"/>
    </row>
    <row r="906">
      <c r="A906" s="1116"/>
      <c r="B906" s="1116"/>
      <c r="C906" s="1116"/>
      <c r="D906" s="1116"/>
      <c r="E906" s="1116"/>
      <c r="F906" s="1116"/>
      <c r="G906" s="1236"/>
      <c r="H906" s="1116"/>
      <c r="I906" s="1116"/>
      <c r="J906" s="1116"/>
      <c r="K906" s="1148"/>
      <c r="L906" s="1128"/>
      <c r="M906" s="1116"/>
      <c r="N906" s="1116"/>
      <c r="O906" s="1116"/>
      <c r="P906" s="1116"/>
      <c r="Q906" s="1116"/>
      <c r="R906" s="1116"/>
      <c r="S906" s="1116"/>
      <c r="T906" s="1116"/>
    </row>
    <row r="907">
      <c r="A907" s="1116"/>
      <c r="B907" s="1116"/>
      <c r="C907" s="1116"/>
      <c r="D907" s="1116"/>
      <c r="E907" s="1116"/>
      <c r="F907" s="1116"/>
      <c r="G907" s="1236"/>
      <c r="H907" s="1116"/>
      <c r="I907" s="1116"/>
      <c r="J907" s="1116"/>
      <c r="K907" s="1148"/>
      <c r="L907" s="1128"/>
      <c r="M907" s="1116"/>
      <c r="N907" s="1116"/>
      <c r="O907" s="1116"/>
      <c r="P907" s="1116"/>
      <c r="Q907" s="1116"/>
      <c r="R907" s="1116"/>
      <c r="S907" s="1116"/>
      <c r="T907" s="1116"/>
    </row>
    <row r="908">
      <c r="A908" s="1116"/>
      <c r="B908" s="1116"/>
      <c r="C908" s="1116"/>
      <c r="D908" s="1116"/>
      <c r="E908" s="1116"/>
      <c r="F908" s="1116"/>
      <c r="G908" s="1236"/>
      <c r="H908" s="1116"/>
      <c r="I908" s="1116"/>
      <c r="J908" s="1116"/>
      <c r="K908" s="1148"/>
      <c r="L908" s="1128"/>
      <c r="M908" s="1116"/>
      <c r="N908" s="1116"/>
      <c r="O908" s="1116"/>
      <c r="P908" s="1116"/>
      <c r="Q908" s="1116"/>
      <c r="R908" s="1116"/>
      <c r="S908" s="1116"/>
      <c r="T908" s="1116"/>
    </row>
    <row r="909">
      <c r="A909" s="1116"/>
      <c r="B909" s="1116"/>
      <c r="C909" s="1116"/>
      <c r="D909" s="1116"/>
      <c r="E909" s="1116"/>
      <c r="F909" s="1116"/>
      <c r="G909" s="1236"/>
      <c r="H909" s="1116"/>
      <c r="I909" s="1116"/>
      <c r="J909" s="1116"/>
      <c r="K909" s="1148"/>
      <c r="L909" s="1128"/>
      <c r="M909" s="1116"/>
      <c r="N909" s="1116"/>
      <c r="O909" s="1116"/>
      <c r="P909" s="1116"/>
      <c r="Q909" s="1116"/>
      <c r="R909" s="1116"/>
      <c r="S909" s="1116"/>
      <c r="T909" s="1116"/>
    </row>
    <row r="910">
      <c r="A910" s="1116"/>
      <c r="B910" s="1116"/>
      <c r="C910" s="1116"/>
      <c r="D910" s="1116"/>
      <c r="E910" s="1116"/>
      <c r="F910" s="1116"/>
      <c r="G910" s="1236"/>
      <c r="H910" s="1116"/>
      <c r="I910" s="1116"/>
      <c r="J910" s="1116"/>
      <c r="K910" s="1148"/>
      <c r="L910" s="1128"/>
      <c r="M910" s="1116"/>
      <c r="N910" s="1116"/>
      <c r="O910" s="1116"/>
      <c r="P910" s="1116"/>
      <c r="Q910" s="1116"/>
      <c r="R910" s="1116"/>
      <c r="S910" s="1116"/>
      <c r="T910" s="1116"/>
    </row>
    <row r="911">
      <c r="A911" s="1116"/>
      <c r="B911" s="1116"/>
      <c r="C911" s="1116"/>
      <c r="D911" s="1116"/>
      <c r="E911" s="1116"/>
      <c r="F911" s="1116"/>
      <c r="G911" s="1236"/>
      <c r="H911" s="1116"/>
      <c r="I911" s="1116"/>
      <c r="J911" s="1116"/>
      <c r="K911" s="1148"/>
      <c r="L911" s="1128"/>
      <c r="M911" s="1116"/>
      <c r="N911" s="1116"/>
      <c r="O911" s="1116"/>
      <c r="P911" s="1116"/>
      <c r="Q911" s="1116"/>
      <c r="R911" s="1116"/>
      <c r="S911" s="1116"/>
      <c r="T911" s="1116"/>
    </row>
    <row r="912">
      <c r="A912" s="1116"/>
      <c r="B912" s="1116"/>
      <c r="C912" s="1116"/>
      <c r="D912" s="1116"/>
      <c r="E912" s="1116"/>
      <c r="F912" s="1116"/>
      <c r="G912" s="1236"/>
      <c r="H912" s="1116"/>
      <c r="I912" s="1116"/>
      <c r="J912" s="1116"/>
      <c r="K912" s="1148"/>
      <c r="L912" s="1128"/>
      <c r="M912" s="1116"/>
      <c r="N912" s="1116"/>
      <c r="O912" s="1116"/>
      <c r="P912" s="1116"/>
      <c r="Q912" s="1116"/>
      <c r="R912" s="1116"/>
      <c r="S912" s="1116"/>
      <c r="T912" s="1116"/>
    </row>
    <row r="913">
      <c r="A913" s="1116"/>
      <c r="B913" s="1116"/>
      <c r="C913" s="1116"/>
      <c r="D913" s="1116"/>
      <c r="E913" s="1116"/>
      <c r="F913" s="1116"/>
      <c r="G913" s="1236"/>
      <c r="H913" s="1116"/>
      <c r="I913" s="1116"/>
      <c r="J913" s="1116"/>
      <c r="K913" s="1148"/>
      <c r="L913" s="1128"/>
      <c r="M913" s="1116"/>
      <c r="N913" s="1116"/>
      <c r="O913" s="1116"/>
      <c r="P913" s="1116"/>
      <c r="Q913" s="1116"/>
      <c r="R913" s="1116"/>
      <c r="S913" s="1116"/>
      <c r="T913" s="1116"/>
    </row>
    <row r="914">
      <c r="A914" s="1116"/>
      <c r="B914" s="1116"/>
      <c r="C914" s="1116"/>
      <c r="D914" s="1116"/>
      <c r="E914" s="1116"/>
      <c r="F914" s="1116"/>
      <c r="G914" s="1236"/>
      <c r="H914" s="1116"/>
      <c r="I914" s="1116"/>
      <c r="J914" s="1116"/>
      <c r="K914" s="1148"/>
      <c r="L914" s="1128"/>
      <c r="M914" s="1116"/>
      <c r="N914" s="1116"/>
      <c r="O914" s="1116"/>
      <c r="P914" s="1116"/>
      <c r="Q914" s="1116"/>
      <c r="R914" s="1116"/>
      <c r="S914" s="1116"/>
      <c r="T914" s="1116"/>
    </row>
    <row r="915">
      <c r="A915" s="1116"/>
      <c r="B915" s="1116"/>
      <c r="C915" s="1116"/>
      <c r="D915" s="1116"/>
      <c r="E915" s="1116"/>
      <c r="F915" s="1116"/>
      <c r="G915" s="1236"/>
      <c r="H915" s="1116"/>
      <c r="I915" s="1116"/>
      <c r="J915" s="1116"/>
      <c r="K915" s="1148"/>
      <c r="L915" s="1128"/>
      <c r="M915" s="1116"/>
      <c r="N915" s="1116"/>
      <c r="O915" s="1116"/>
      <c r="P915" s="1116"/>
      <c r="Q915" s="1116"/>
      <c r="R915" s="1116"/>
      <c r="S915" s="1116"/>
      <c r="T915" s="1116"/>
    </row>
    <row r="916">
      <c r="A916" s="1116"/>
      <c r="B916" s="1116"/>
      <c r="C916" s="1116"/>
      <c r="D916" s="1116"/>
      <c r="E916" s="1116"/>
      <c r="F916" s="1116"/>
      <c r="G916" s="1236"/>
      <c r="H916" s="1116"/>
      <c r="I916" s="1116"/>
      <c r="J916" s="1116"/>
      <c r="K916" s="1148"/>
      <c r="L916" s="1128"/>
      <c r="M916" s="1116"/>
      <c r="N916" s="1116"/>
      <c r="O916" s="1116"/>
      <c r="P916" s="1116"/>
      <c r="Q916" s="1116"/>
      <c r="R916" s="1116"/>
      <c r="S916" s="1116"/>
      <c r="T916" s="1116"/>
    </row>
    <row r="917">
      <c r="A917" s="1116"/>
      <c r="B917" s="1116"/>
      <c r="C917" s="1116"/>
      <c r="D917" s="1116"/>
      <c r="E917" s="1116"/>
      <c r="F917" s="1116"/>
      <c r="G917" s="1236"/>
      <c r="H917" s="1116"/>
      <c r="I917" s="1116"/>
      <c r="J917" s="1116"/>
      <c r="K917" s="1148"/>
      <c r="L917" s="1128"/>
      <c r="M917" s="1116"/>
      <c r="N917" s="1116"/>
      <c r="O917" s="1116"/>
      <c r="P917" s="1116"/>
      <c r="Q917" s="1116"/>
      <c r="R917" s="1116"/>
      <c r="S917" s="1116"/>
      <c r="T917" s="1116"/>
    </row>
    <row r="918">
      <c r="A918" s="1116"/>
      <c r="B918" s="1116"/>
      <c r="C918" s="1116"/>
      <c r="D918" s="1116"/>
      <c r="E918" s="1116"/>
      <c r="F918" s="1116"/>
      <c r="G918" s="1236"/>
      <c r="H918" s="1116"/>
      <c r="I918" s="1116"/>
      <c r="J918" s="1116"/>
      <c r="K918" s="1148"/>
      <c r="L918" s="1128"/>
      <c r="M918" s="1116"/>
      <c r="N918" s="1116"/>
      <c r="O918" s="1116"/>
      <c r="P918" s="1116"/>
      <c r="Q918" s="1116"/>
      <c r="R918" s="1116"/>
      <c r="S918" s="1116"/>
      <c r="T918" s="1116"/>
    </row>
    <row r="919">
      <c r="A919" s="1116"/>
      <c r="B919" s="1116"/>
      <c r="C919" s="1116"/>
      <c r="D919" s="1116"/>
      <c r="E919" s="1116"/>
      <c r="F919" s="1116"/>
      <c r="G919" s="1236"/>
      <c r="H919" s="1116"/>
      <c r="I919" s="1116"/>
      <c r="J919" s="1116"/>
      <c r="K919" s="1148"/>
      <c r="L919" s="1128"/>
      <c r="M919" s="1116"/>
      <c r="N919" s="1116"/>
      <c r="O919" s="1116"/>
      <c r="P919" s="1116"/>
      <c r="Q919" s="1116"/>
      <c r="R919" s="1116"/>
      <c r="S919" s="1116"/>
      <c r="T919" s="1116"/>
    </row>
    <row r="920">
      <c r="A920" s="1116"/>
      <c r="B920" s="1116"/>
      <c r="C920" s="1116"/>
      <c r="D920" s="1116"/>
      <c r="E920" s="1116"/>
      <c r="F920" s="1116"/>
      <c r="G920" s="1236"/>
      <c r="H920" s="1116"/>
      <c r="I920" s="1116"/>
      <c r="J920" s="1116"/>
      <c r="K920" s="1148"/>
      <c r="L920" s="1128"/>
      <c r="M920" s="1116"/>
      <c r="N920" s="1116"/>
      <c r="O920" s="1116"/>
      <c r="P920" s="1116"/>
      <c r="Q920" s="1116"/>
      <c r="R920" s="1116"/>
      <c r="S920" s="1116"/>
      <c r="T920" s="1116"/>
    </row>
    <row r="921">
      <c r="A921" s="1116"/>
      <c r="B921" s="1116"/>
      <c r="C921" s="1116"/>
      <c r="D921" s="1116"/>
      <c r="E921" s="1116"/>
      <c r="F921" s="1116"/>
      <c r="G921" s="1236"/>
      <c r="H921" s="1116"/>
      <c r="I921" s="1116"/>
      <c r="J921" s="1116"/>
      <c r="K921" s="1148"/>
      <c r="L921" s="1128"/>
      <c r="M921" s="1116"/>
      <c r="N921" s="1116"/>
      <c r="O921" s="1116"/>
      <c r="P921" s="1116"/>
      <c r="Q921" s="1116"/>
      <c r="R921" s="1116"/>
      <c r="S921" s="1116"/>
      <c r="T921" s="1116"/>
    </row>
    <row r="922">
      <c r="A922" s="1116"/>
      <c r="B922" s="1116"/>
      <c r="C922" s="1116"/>
      <c r="D922" s="1116"/>
      <c r="E922" s="1116"/>
      <c r="F922" s="1116"/>
      <c r="G922" s="1236"/>
      <c r="H922" s="1116"/>
      <c r="I922" s="1116"/>
      <c r="J922" s="1116"/>
      <c r="K922" s="1148"/>
      <c r="L922" s="1128"/>
      <c r="M922" s="1116"/>
      <c r="N922" s="1116"/>
      <c r="O922" s="1116"/>
      <c r="P922" s="1116"/>
      <c r="Q922" s="1116"/>
      <c r="R922" s="1116"/>
      <c r="S922" s="1116"/>
      <c r="T922" s="1116"/>
    </row>
    <row r="923">
      <c r="A923" s="1116"/>
      <c r="B923" s="1116"/>
      <c r="C923" s="1116"/>
      <c r="D923" s="1116"/>
      <c r="E923" s="1116"/>
      <c r="F923" s="1116"/>
      <c r="G923" s="1236"/>
      <c r="H923" s="1116"/>
      <c r="I923" s="1116"/>
      <c r="J923" s="1116"/>
      <c r="K923" s="1148"/>
      <c r="L923" s="1128"/>
      <c r="M923" s="1116"/>
      <c r="N923" s="1116"/>
      <c r="O923" s="1116"/>
      <c r="P923" s="1116"/>
      <c r="Q923" s="1116"/>
      <c r="R923" s="1116"/>
      <c r="S923" s="1116"/>
      <c r="T923" s="1116"/>
    </row>
    <row r="924">
      <c r="A924" s="1116"/>
      <c r="B924" s="1116"/>
      <c r="C924" s="1116"/>
      <c r="D924" s="1116"/>
      <c r="E924" s="1116"/>
      <c r="F924" s="1116"/>
      <c r="G924" s="1236"/>
      <c r="H924" s="1116"/>
      <c r="I924" s="1116"/>
      <c r="J924" s="1116"/>
      <c r="K924" s="1148"/>
      <c r="L924" s="1128"/>
      <c r="M924" s="1116"/>
      <c r="N924" s="1116"/>
      <c r="O924" s="1116"/>
      <c r="P924" s="1116"/>
      <c r="Q924" s="1116"/>
      <c r="R924" s="1116"/>
      <c r="S924" s="1116"/>
      <c r="T924" s="1116"/>
    </row>
    <row r="925">
      <c r="A925" s="1116"/>
      <c r="B925" s="1116"/>
      <c r="C925" s="1116"/>
      <c r="D925" s="1116"/>
      <c r="E925" s="1116"/>
      <c r="F925" s="1116"/>
      <c r="G925" s="1236"/>
      <c r="H925" s="1116"/>
      <c r="I925" s="1116"/>
      <c r="J925" s="1116"/>
      <c r="K925" s="1148"/>
      <c r="L925" s="1128"/>
      <c r="M925" s="1116"/>
      <c r="N925" s="1116"/>
      <c r="O925" s="1116"/>
      <c r="P925" s="1116"/>
      <c r="Q925" s="1116"/>
      <c r="R925" s="1116"/>
      <c r="S925" s="1116"/>
      <c r="T925" s="1116"/>
    </row>
    <row r="926">
      <c r="A926" s="1116"/>
      <c r="B926" s="1116"/>
      <c r="C926" s="1116"/>
      <c r="D926" s="1116"/>
      <c r="E926" s="1116"/>
      <c r="F926" s="1116"/>
      <c r="G926" s="1236"/>
      <c r="H926" s="1116"/>
      <c r="I926" s="1116"/>
      <c r="J926" s="1116"/>
      <c r="K926" s="1148"/>
      <c r="L926" s="1128"/>
      <c r="M926" s="1116"/>
      <c r="N926" s="1116"/>
      <c r="O926" s="1116"/>
      <c r="P926" s="1116"/>
      <c r="Q926" s="1116"/>
      <c r="R926" s="1116"/>
      <c r="S926" s="1116"/>
      <c r="T926" s="1116"/>
    </row>
    <row r="927">
      <c r="A927" s="1116"/>
      <c r="B927" s="1116"/>
      <c r="C927" s="1116"/>
      <c r="D927" s="1116"/>
      <c r="E927" s="1116"/>
      <c r="F927" s="1116"/>
      <c r="G927" s="1236"/>
      <c r="H927" s="1116"/>
      <c r="I927" s="1116"/>
      <c r="J927" s="1116"/>
      <c r="K927" s="1148"/>
      <c r="L927" s="1128"/>
      <c r="M927" s="1116"/>
      <c r="N927" s="1116"/>
      <c r="O927" s="1116"/>
      <c r="P927" s="1116"/>
      <c r="Q927" s="1116"/>
      <c r="R927" s="1116"/>
      <c r="S927" s="1116"/>
      <c r="T927" s="1116"/>
    </row>
    <row r="928">
      <c r="A928" s="1116"/>
      <c r="B928" s="1116"/>
      <c r="C928" s="1116"/>
      <c r="D928" s="1116"/>
      <c r="E928" s="1116"/>
      <c r="F928" s="1116"/>
      <c r="G928" s="1236"/>
      <c r="H928" s="1116"/>
      <c r="I928" s="1116"/>
      <c r="J928" s="1116"/>
      <c r="K928" s="1148"/>
      <c r="L928" s="1128"/>
      <c r="M928" s="1116"/>
      <c r="N928" s="1116"/>
      <c r="O928" s="1116"/>
      <c r="P928" s="1116"/>
      <c r="Q928" s="1116"/>
      <c r="R928" s="1116"/>
      <c r="S928" s="1116"/>
      <c r="T928" s="1116"/>
    </row>
    <row r="929">
      <c r="A929" s="1116"/>
      <c r="B929" s="1116"/>
      <c r="C929" s="1116"/>
      <c r="D929" s="1116"/>
      <c r="E929" s="1116"/>
      <c r="F929" s="1116"/>
      <c r="G929" s="1236"/>
      <c r="H929" s="1116"/>
      <c r="I929" s="1116"/>
      <c r="J929" s="1116"/>
      <c r="K929" s="1148"/>
      <c r="L929" s="1128"/>
      <c r="M929" s="1116"/>
      <c r="N929" s="1116"/>
      <c r="O929" s="1116"/>
      <c r="P929" s="1116"/>
      <c r="Q929" s="1116"/>
      <c r="R929" s="1116"/>
      <c r="S929" s="1116"/>
      <c r="T929" s="1116"/>
    </row>
    <row r="930">
      <c r="A930" s="1116"/>
      <c r="B930" s="1116"/>
      <c r="C930" s="1116"/>
      <c r="D930" s="1116"/>
      <c r="E930" s="1116"/>
      <c r="F930" s="1116"/>
      <c r="G930" s="1236"/>
      <c r="H930" s="1116"/>
      <c r="I930" s="1116"/>
      <c r="J930" s="1116"/>
      <c r="K930" s="1148"/>
      <c r="L930" s="1128"/>
      <c r="M930" s="1116"/>
      <c r="N930" s="1116"/>
      <c r="O930" s="1116"/>
      <c r="P930" s="1116"/>
      <c r="Q930" s="1116"/>
      <c r="R930" s="1116"/>
      <c r="S930" s="1116"/>
      <c r="T930" s="1116"/>
    </row>
    <row r="931">
      <c r="A931" s="1116"/>
      <c r="B931" s="1116"/>
      <c r="C931" s="1116"/>
      <c r="D931" s="1116"/>
      <c r="E931" s="1116"/>
      <c r="F931" s="1116"/>
      <c r="G931" s="1236"/>
      <c r="H931" s="1116"/>
      <c r="I931" s="1116"/>
      <c r="J931" s="1116"/>
      <c r="K931" s="1148"/>
      <c r="L931" s="1128"/>
      <c r="M931" s="1116"/>
      <c r="N931" s="1116"/>
      <c r="O931" s="1116"/>
      <c r="P931" s="1116"/>
      <c r="Q931" s="1116"/>
      <c r="R931" s="1116"/>
      <c r="S931" s="1116"/>
      <c r="T931" s="1116"/>
    </row>
    <row r="932">
      <c r="A932" s="1116"/>
      <c r="B932" s="1116"/>
      <c r="C932" s="1116"/>
      <c r="D932" s="1116"/>
      <c r="E932" s="1116"/>
      <c r="F932" s="1116"/>
      <c r="G932" s="1236"/>
      <c r="H932" s="1116"/>
      <c r="I932" s="1116"/>
      <c r="J932" s="1116"/>
      <c r="K932" s="1148"/>
      <c r="L932" s="1128"/>
      <c r="M932" s="1116"/>
      <c r="N932" s="1116"/>
      <c r="O932" s="1116"/>
      <c r="P932" s="1116"/>
      <c r="Q932" s="1116"/>
      <c r="R932" s="1116"/>
      <c r="S932" s="1116"/>
      <c r="T932" s="1116"/>
    </row>
    <row r="933">
      <c r="A933" s="1116"/>
      <c r="B933" s="1116"/>
      <c r="C933" s="1116"/>
      <c r="D933" s="1116"/>
      <c r="E933" s="1116"/>
      <c r="F933" s="1116"/>
      <c r="G933" s="1236"/>
      <c r="H933" s="1116"/>
      <c r="I933" s="1116"/>
      <c r="J933" s="1116"/>
      <c r="K933" s="1148"/>
      <c r="L933" s="1128"/>
      <c r="M933" s="1116"/>
      <c r="N933" s="1116"/>
      <c r="O933" s="1116"/>
      <c r="P933" s="1116"/>
      <c r="Q933" s="1116"/>
      <c r="R933" s="1116"/>
      <c r="S933" s="1116"/>
      <c r="T933" s="1116"/>
    </row>
    <row r="934">
      <c r="A934" s="1116"/>
      <c r="B934" s="1116"/>
      <c r="C934" s="1116"/>
      <c r="D934" s="1116"/>
      <c r="E934" s="1116"/>
      <c r="F934" s="1116"/>
      <c r="G934" s="1236"/>
      <c r="H934" s="1116"/>
      <c r="I934" s="1116"/>
      <c r="J934" s="1116"/>
      <c r="K934" s="1148"/>
      <c r="L934" s="1128"/>
      <c r="M934" s="1116"/>
      <c r="N934" s="1116"/>
      <c r="O934" s="1116"/>
      <c r="P934" s="1116"/>
      <c r="Q934" s="1116"/>
      <c r="R934" s="1116"/>
      <c r="S934" s="1116"/>
      <c r="T934" s="1116"/>
    </row>
    <row r="935">
      <c r="A935" s="1116"/>
      <c r="B935" s="1116"/>
      <c r="C935" s="1116"/>
      <c r="D935" s="1116"/>
      <c r="E935" s="1116"/>
      <c r="F935" s="1116"/>
      <c r="G935" s="1236"/>
      <c r="H935" s="1116"/>
      <c r="I935" s="1116"/>
      <c r="J935" s="1116"/>
      <c r="K935" s="1148"/>
      <c r="L935" s="1128"/>
      <c r="M935" s="1116"/>
      <c r="N935" s="1116"/>
      <c r="O935" s="1116"/>
      <c r="P935" s="1116"/>
      <c r="Q935" s="1116"/>
      <c r="R935" s="1116"/>
      <c r="S935" s="1116"/>
      <c r="T935" s="1116"/>
    </row>
    <row r="936">
      <c r="A936" s="1116"/>
      <c r="B936" s="1116"/>
      <c r="C936" s="1116"/>
      <c r="D936" s="1116"/>
      <c r="E936" s="1116"/>
      <c r="F936" s="1116"/>
      <c r="G936" s="1236"/>
      <c r="H936" s="1116"/>
      <c r="I936" s="1116"/>
      <c r="J936" s="1116"/>
      <c r="K936" s="1148"/>
      <c r="L936" s="1128"/>
      <c r="M936" s="1116"/>
      <c r="N936" s="1116"/>
      <c r="O936" s="1116"/>
      <c r="P936" s="1116"/>
      <c r="Q936" s="1116"/>
      <c r="R936" s="1116"/>
      <c r="S936" s="1116"/>
      <c r="T936" s="1116"/>
    </row>
    <row r="937">
      <c r="A937" s="1116"/>
      <c r="B937" s="1116"/>
      <c r="C937" s="1116"/>
      <c r="D937" s="1116"/>
      <c r="E937" s="1116"/>
      <c r="F937" s="1116"/>
      <c r="G937" s="1236"/>
      <c r="H937" s="1116"/>
      <c r="I937" s="1116"/>
      <c r="J937" s="1116"/>
      <c r="K937" s="1148"/>
      <c r="L937" s="1128"/>
      <c r="M937" s="1116"/>
      <c r="N937" s="1116"/>
      <c r="O937" s="1116"/>
      <c r="P937" s="1116"/>
      <c r="Q937" s="1116"/>
      <c r="R937" s="1116"/>
      <c r="S937" s="1116"/>
      <c r="T937" s="1116"/>
    </row>
    <row r="938">
      <c r="A938" s="1116"/>
      <c r="B938" s="1116"/>
      <c r="C938" s="1116"/>
      <c r="D938" s="1116"/>
      <c r="E938" s="1116"/>
      <c r="F938" s="1116"/>
      <c r="G938" s="1236"/>
      <c r="H938" s="1116"/>
      <c r="I938" s="1116"/>
      <c r="J938" s="1116"/>
      <c r="K938" s="1148"/>
      <c r="L938" s="1128"/>
      <c r="M938" s="1116"/>
      <c r="N938" s="1116"/>
      <c r="O938" s="1116"/>
      <c r="P938" s="1116"/>
      <c r="Q938" s="1116"/>
      <c r="R938" s="1116"/>
      <c r="S938" s="1116"/>
      <c r="T938" s="1116"/>
    </row>
    <row r="939">
      <c r="A939" s="1116"/>
      <c r="B939" s="1116"/>
      <c r="C939" s="1116"/>
      <c r="D939" s="1116"/>
      <c r="E939" s="1116"/>
      <c r="F939" s="1116"/>
      <c r="G939" s="1236"/>
      <c r="H939" s="1116"/>
      <c r="I939" s="1116"/>
      <c r="J939" s="1116"/>
      <c r="K939" s="1148"/>
      <c r="L939" s="1128"/>
      <c r="M939" s="1116"/>
      <c r="N939" s="1116"/>
      <c r="O939" s="1116"/>
      <c r="P939" s="1116"/>
      <c r="Q939" s="1116"/>
      <c r="R939" s="1116"/>
      <c r="S939" s="1116"/>
      <c r="T939" s="1116"/>
    </row>
    <row r="940">
      <c r="A940" s="1116"/>
      <c r="B940" s="1116"/>
      <c r="C940" s="1116"/>
      <c r="D940" s="1116"/>
      <c r="E940" s="1116"/>
      <c r="F940" s="1116"/>
      <c r="G940" s="1236"/>
      <c r="H940" s="1116"/>
      <c r="I940" s="1116"/>
      <c r="J940" s="1116"/>
      <c r="K940" s="1148"/>
      <c r="L940" s="1128"/>
      <c r="M940" s="1116"/>
      <c r="N940" s="1116"/>
      <c r="O940" s="1116"/>
      <c r="P940" s="1116"/>
      <c r="Q940" s="1116"/>
      <c r="R940" s="1116"/>
      <c r="S940" s="1116"/>
      <c r="T940" s="1116"/>
    </row>
    <row r="941">
      <c r="A941" s="1116"/>
      <c r="B941" s="1116"/>
      <c r="C941" s="1116"/>
      <c r="D941" s="1116"/>
      <c r="E941" s="1116"/>
      <c r="F941" s="1116"/>
      <c r="G941" s="1236"/>
      <c r="H941" s="1116"/>
      <c r="I941" s="1116"/>
      <c r="J941" s="1116"/>
      <c r="K941" s="1148"/>
      <c r="L941" s="1128"/>
      <c r="M941" s="1116"/>
      <c r="N941" s="1116"/>
      <c r="O941" s="1116"/>
      <c r="P941" s="1116"/>
      <c r="Q941" s="1116"/>
      <c r="R941" s="1116"/>
      <c r="S941" s="1116"/>
      <c r="T941" s="1116"/>
    </row>
    <row r="942">
      <c r="A942" s="1116"/>
      <c r="B942" s="1116"/>
      <c r="C942" s="1116"/>
      <c r="D942" s="1116"/>
      <c r="E942" s="1116"/>
      <c r="F942" s="1116"/>
      <c r="G942" s="1236"/>
      <c r="H942" s="1116"/>
      <c r="I942" s="1116"/>
      <c r="J942" s="1116"/>
      <c r="K942" s="1148"/>
      <c r="L942" s="1128"/>
      <c r="M942" s="1116"/>
      <c r="N942" s="1116"/>
      <c r="O942" s="1116"/>
      <c r="P942" s="1116"/>
      <c r="Q942" s="1116"/>
      <c r="R942" s="1116"/>
      <c r="S942" s="1116"/>
      <c r="T942" s="1116"/>
    </row>
    <row r="943">
      <c r="A943" s="1116"/>
      <c r="B943" s="1116"/>
      <c r="C943" s="1116"/>
      <c r="D943" s="1116"/>
      <c r="E943" s="1116"/>
      <c r="F943" s="1116"/>
      <c r="G943" s="1236"/>
      <c r="H943" s="1116"/>
      <c r="I943" s="1116"/>
      <c r="J943" s="1116"/>
      <c r="K943" s="1148"/>
      <c r="L943" s="1128"/>
      <c r="M943" s="1116"/>
      <c r="N943" s="1116"/>
      <c r="O943" s="1116"/>
      <c r="P943" s="1116"/>
      <c r="Q943" s="1116"/>
      <c r="R943" s="1116"/>
      <c r="S943" s="1116"/>
      <c r="T943" s="1116"/>
    </row>
    <row r="944">
      <c r="A944" s="1116"/>
      <c r="B944" s="1116"/>
      <c r="C944" s="1116"/>
      <c r="D944" s="1116"/>
      <c r="E944" s="1116"/>
      <c r="F944" s="1116"/>
      <c r="G944" s="1236"/>
      <c r="H944" s="1116"/>
      <c r="I944" s="1116"/>
      <c r="J944" s="1116"/>
      <c r="K944" s="1148"/>
      <c r="L944" s="1128"/>
      <c r="M944" s="1116"/>
      <c r="N944" s="1116"/>
      <c r="O944" s="1116"/>
      <c r="P944" s="1116"/>
      <c r="Q944" s="1116"/>
      <c r="R944" s="1116"/>
      <c r="S944" s="1116"/>
      <c r="T944" s="1116"/>
    </row>
    <row r="945">
      <c r="A945" s="1116"/>
      <c r="B945" s="1116"/>
      <c r="C945" s="1116"/>
      <c r="D945" s="1116"/>
      <c r="E945" s="1116"/>
      <c r="F945" s="1116"/>
      <c r="G945" s="1236"/>
      <c r="H945" s="1116"/>
      <c r="I945" s="1116"/>
      <c r="J945" s="1116"/>
      <c r="K945" s="1148"/>
      <c r="L945" s="1128"/>
      <c r="M945" s="1116"/>
      <c r="N945" s="1116"/>
      <c r="O945" s="1116"/>
      <c r="P945" s="1116"/>
      <c r="Q945" s="1116"/>
      <c r="R945" s="1116"/>
      <c r="S945" s="1116"/>
      <c r="T945" s="1116"/>
    </row>
    <row r="946">
      <c r="A946" s="1116"/>
      <c r="B946" s="1116"/>
      <c r="C946" s="1116"/>
      <c r="D946" s="1116"/>
      <c r="E946" s="1116"/>
      <c r="F946" s="1116"/>
      <c r="G946" s="1236"/>
      <c r="H946" s="1116"/>
      <c r="I946" s="1116"/>
      <c r="J946" s="1116"/>
      <c r="K946" s="1148"/>
      <c r="L946" s="1128"/>
      <c r="M946" s="1116"/>
      <c r="N946" s="1116"/>
      <c r="O946" s="1116"/>
      <c r="P946" s="1116"/>
      <c r="Q946" s="1116"/>
      <c r="R946" s="1116"/>
      <c r="S946" s="1116"/>
      <c r="T946" s="1116"/>
    </row>
    <row r="947">
      <c r="A947" s="1116"/>
      <c r="B947" s="1116"/>
      <c r="C947" s="1116"/>
      <c r="D947" s="1116"/>
      <c r="E947" s="1116"/>
      <c r="F947" s="1116"/>
      <c r="G947" s="1236"/>
      <c r="H947" s="1116"/>
      <c r="I947" s="1116"/>
      <c r="J947" s="1116"/>
      <c r="K947" s="1148"/>
      <c r="L947" s="1128"/>
      <c r="M947" s="1116"/>
      <c r="N947" s="1116"/>
      <c r="O947" s="1116"/>
      <c r="P947" s="1116"/>
      <c r="Q947" s="1116"/>
      <c r="R947" s="1116"/>
      <c r="S947" s="1116"/>
      <c r="T947" s="1116"/>
    </row>
    <row r="948">
      <c r="A948" s="1116"/>
      <c r="B948" s="1116"/>
      <c r="C948" s="1116"/>
      <c r="D948" s="1116"/>
      <c r="E948" s="1116"/>
      <c r="F948" s="1116"/>
      <c r="G948" s="1236"/>
      <c r="H948" s="1116"/>
      <c r="I948" s="1116"/>
      <c r="J948" s="1116"/>
      <c r="K948" s="1148"/>
      <c r="L948" s="1128"/>
      <c r="M948" s="1116"/>
      <c r="N948" s="1116"/>
      <c r="O948" s="1116"/>
      <c r="P948" s="1116"/>
      <c r="Q948" s="1116"/>
      <c r="R948" s="1116"/>
      <c r="S948" s="1116"/>
      <c r="T948" s="1116"/>
    </row>
    <row r="949">
      <c r="A949" s="1116"/>
      <c r="B949" s="1116"/>
      <c r="C949" s="1116"/>
      <c r="D949" s="1116"/>
      <c r="E949" s="1116"/>
      <c r="F949" s="1116"/>
      <c r="G949" s="1236"/>
      <c r="H949" s="1116"/>
      <c r="I949" s="1116"/>
      <c r="J949" s="1116"/>
      <c r="K949" s="1148"/>
      <c r="L949" s="1128"/>
      <c r="M949" s="1116"/>
      <c r="N949" s="1116"/>
      <c r="O949" s="1116"/>
      <c r="P949" s="1116"/>
      <c r="Q949" s="1116"/>
      <c r="R949" s="1116"/>
      <c r="S949" s="1116"/>
      <c r="T949" s="1116"/>
    </row>
    <row r="950">
      <c r="A950" s="1116"/>
      <c r="B950" s="1116"/>
      <c r="C950" s="1116"/>
      <c r="D950" s="1116"/>
      <c r="E950" s="1116"/>
      <c r="F950" s="1116"/>
      <c r="G950" s="1236"/>
      <c r="H950" s="1116"/>
      <c r="I950" s="1116"/>
      <c r="J950" s="1116"/>
      <c r="K950" s="1148"/>
      <c r="L950" s="1128"/>
      <c r="M950" s="1116"/>
      <c r="N950" s="1116"/>
      <c r="O950" s="1116"/>
      <c r="P950" s="1116"/>
      <c r="Q950" s="1116"/>
      <c r="R950" s="1116"/>
      <c r="S950" s="1116"/>
      <c r="T950" s="1116"/>
    </row>
    <row r="951">
      <c r="A951" s="1116"/>
      <c r="B951" s="1116"/>
      <c r="C951" s="1116"/>
      <c r="D951" s="1116"/>
      <c r="E951" s="1116"/>
      <c r="F951" s="1116"/>
      <c r="G951" s="1236"/>
      <c r="H951" s="1116"/>
      <c r="I951" s="1116"/>
      <c r="J951" s="1116"/>
      <c r="K951" s="1148"/>
      <c r="L951" s="1128"/>
      <c r="M951" s="1116"/>
      <c r="N951" s="1116"/>
      <c r="O951" s="1116"/>
      <c r="P951" s="1116"/>
      <c r="Q951" s="1116"/>
      <c r="R951" s="1116"/>
      <c r="S951" s="1116"/>
      <c r="T951" s="1116"/>
    </row>
    <row r="952">
      <c r="A952" s="1116"/>
      <c r="B952" s="1116"/>
      <c r="C952" s="1116"/>
      <c r="D952" s="1116"/>
      <c r="E952" s="1116"/>
      <c r="F952" s="1116"/>
      <c r="G952" s="1236"/>
      <c r="H952" s="1116"/>
      <c r="I952" s="1116"/>
      <c r="J952" s="1116"/>
      <c r="K952" s="1148"/>
      <c r="L952" s="1128"/>
      <c r="M952" s="1116"/>
      <c r="N952" s="1116"/>
      <c r="O952" s="1116"/>
      <c r="P952" s="1116"/>
      <c r="Q952" s="1116"/>
      <c r="R952" s="1116"/>
      <c r="S952" s="1116"/>
      <c r="T952" s="1116"/>
    </row>
    <row r="953">
      <c r="A953" s="1116"/>
      <c r="B953" s="1116"/>
      <c r="C953" s="1116"/>
      <c r="D953" s="1116"/>
      <c r="E953" s="1116"/>
      <c r="F953" s="1116"/>
      <c r="G953" s="1236"/>
      <c r="H953" s="1116"/>
      <c r="I953" s="1116"/>
      <c r="J953" s="1116"/>
      <c r="K953" s="1148"/>
      <c r="L953" s="1128"/>
      <c r="M953" s="1116"/>
      <c r="N953" s="1116"/>
      <c r="O953" s="1116"/>
      <c r="P953" s="1116"/>
      <c r="Q953" s="1116"/>
      <c r="R953" s="1116"/>
      <c r="S953" s="1116"/>
      <c r="T953" s="1116"/>
    </row>
    <row r="954">
      <c r="A954" s="1116"/>
      <c r="B954" s="1116"/>
      <c r="C954" s="1116"/>
      <c r="D954" s="1116"/>
      <c r="E954" s="1116"/>
      <c r="F954" s="1116"/>
      <c r="G954" s="1236"/>
      <c r="H954" s="1116"/>
      <c r="I954" s="1116"/>
      <c r="J954" s="1116"/>
      <c r="K954" s="1148"/>
      <c r="L954" s="1128"/>
      <c r="M954" s="1116"/>
      <c r="N954" s="1116"/>
      <c r="O954" s="1116"/>
      <c r="P954" s="1116"/>
      <c r="Q954" s="1116"/>
      <c r="R954" s="1116"/>
      <c r="S954" s="1116"/>
      <c r="T954" s="1116"/>
    </row>
    <row r="955">
      <c r="A955" s="1116"/>
      <c r="B955" s="1116"/>
      <c r="C955" s="1116"/>
      <c r="D955" s="1116"/>
      <c r="E955" s="1116"/>
      <c r="F955" s="1116"/>
      <c r="G955" s="1236"/>
      <c r="H955" s="1116"/>
      <c r="I955" s="1116"/>
      <c r="J955" s="1116"/>
      <c r="K955" s="1148"/>
      <c r="L955" s="1128"/>
      <c r="M955" s="1116"/>
      <c r="N955" s="1116"/>
      <c r="O955" s="1116"/>
      <c r="P955" s="1116"/>
      <c r="Q955" s="1116"/>
      <c r="R955" s="1116"/>
      <c r="S955" s="1116"/>
      <c r="T955" s="1116"/>
    </row>
    <row r="956">
      <c r="A956" s="1116"/>
      <c r="B956" s="1116"/>
      <c r="C956" s="1116"/>
      <c r="D956" s="1116"/>
      <c r="E956" s="1116"/>
      <c r="F956" s="1116"/>
      <c r="G956" s="1236"/>
      <c r="H956" s="1116"/>
      <c r="I956" s="1116"/>
      <c r="J956" s="1116"/>
      <c r="K956" s="1148"/>
      <c r="L956" s="1128"/>
      <c r="M956" s="1116"/>
      <c r="N956" s="1116"/>
      <c r="O956" s="1116"/>
      <c r="P956" s="1116"/>
      <c r="Q956" s="1116"/>
      <c r="R956" s="1116"/>
      <c r="S956" s="1116"/>
      <c r="T956" s="1116"/>
    </row>
    <row r="957">
      <c r="A957" s="1116"/>
      <c r="B957" s="1116"/>
      <c r="C957" s="1116"/>
      <c r="D957" s="1116"/>
      <c r="E957" s="1116"/>
      <c r="F957" s="1116"/>
      <c r="G957" s="1236"/>
      <c r="H957" s="1116"/>
      <c r="I957" s="1116"/>
      <c r="J957" s="1116"/>
      <c r="K957" s="1148"/>
      <c r="L957" s="1128"/>
      <c r="M957" s="1116"/>
      <c r="N957" s="1116"/>
      <c r="O957" s="1116"/>
      <c r="P957" s="1116"/>
      <c r="Q957" s="1116"/>
      <c r="R957" s="1116"/>
      <c r="S957" s="1116"/>
      <c r="T957" s="1116"/>
    </row>
    <row r="958">
      <c r="A958" s="1116"/>
      <c r="B958" s="1116"/>
      <c r="C958" s="1116"/>
      <c r="D958" s="1116"/>
      <c r="E958" s="1116"/>
      <c r="F958" s="1116"/>
      <c r="G958" s="1236"/>
      <c r="H958" s="1116"/>
      <c r="I958" s="1116"/>
      <c r="J958" s="1116"/>
      <c r="K958" s="1148"/>
      <c r="L958" s="1128"/>
      <c r="M958" s="1116"/>
      <c r="N958" s="1116"/>
      <c r="O958" s="1116"/>
      <c r="P958" s="1116"/>
      <c r="Q958" s="1116"/>
      <c r="R958" s="1116"/>
      <c r="S958" s="1116"/>
      <c r="T958" s="1116"/>
    </row>
    <row r="959">
      <c r="A959" s="1116"/>
      <c r="B959" s="1116"/>
      <c r="C959" s="1116"/>
      <c r="D959" s="1116"/>
      <c r="E959" s="1116"/>
      <c r="F959" s="1116"/>
      <c r="G959" s="1236"/>
      <c r="H959" s="1116"/>
      <c r="I959" s="1116"/>
      <c r="J959" s="1116"/>
      <c r="K959" s="1148"/>
      <c r="L959" s="1128"/>
      <c r="M959" s="1116"/>
      <c r="N959" s="1116"/>
      <c r="O959" s="1116"/>
      <c r="P959" s="1116"/>
      <c r="Q959" s="1116"/>
      <c r="R959" s="1116"/>
      <c r="S959" s="1116"/>
      <c r="T959" s="1116"/>
    </row>
    <row r="960">
      <c r="A960" s="1116"/>
      <c r="B960" s="1116"/>
      <c r="C960" s="1116"/>
      <c r="D960" s="1116"/>
      <c r="E960" s="1116"/>
      <c r="F960" s="1116"/>
      <c r="G960" s="1236"/>
      <c r="H960" s="1116"/>
      <c r="I960" s="1116"/>
      <c r="J960" s="1116"/>
      <c r="K960" s="1148"/>
      <c r="L960" s="1128"/>
      <c r="M960" s="1116"/>
      <c r="N960" s="1116"/>
      <c r="O960" s="1116"/>
      <c r="P960" s="1116"/>
      <c r="Q960" s="1116"/>
      <c r="R960" s="1116"/>
      <c r="S960" s="1116"/>
      <c r="T960" s="1116"/>
    </row>
    <row r="961">
      <c r="A961" s="1116"/>
      <c r="B961" s="1116"/>
      <c r="C961" s="1116"/>
      <c r="D961" s="1116"/>
      <c r="E961" s="1116"/>
      <c r="F961" s="1116"/>
      <c r="G961" s="1236"/>
      <c r="H961" s="1116"/>
      <c r="I961" s="1116"/>
      <c r="J961" s="1116"/>
      <c r="K961" s="1148"/>
      <c r="L961" s="1128"/>
      <c r="M961" s="1116"/>
      <c r="N961" s="1116"/>
      <c r="O961" s="1116"/>
      <c r="P961" s="1116"/>
      <c r="Q961" s="1116"/>
      <c r="R961" s="1116"/>
      <c r="S961" s="1116"/>
      <c r="T961" s="1116"/>
    </row>
    <row r="962">
      <c r="A962" s="1116"/>
      <c r="B962" s="1116"/>
      <c r="C962" s="1116"/>
      <c r="D962" s="1116"/>
      <c r="E962" s="1116"/>
      <c r="F962" s="1116"/>
      <c r="G962" s="1236"/>
      <c r="H962" s="1116"/>
      <c r="I962" s="1116"/>
      <c r="J962" s="1116"/>
      <c r="K962" s="1148"/>
      <c r="L962" s="1128"/>
      <c r="M962" s="1116"/>
      <c r="N962" s="1116"/>
      <c r="O962" s="1116"/>
      <c r="P962" s="1116"/>
      <c r="Q962" s="1116"/>
      <c r="R962" s="1116"/>
      <c r="S962" s="1116"/>
      <c r="T962" s="1116"/>
    </row>
    <row r="963">
      <c r="A963" s="1116"/>
      <c r="B963" s="1116"/>
      <c r="C963" s="1116"/>
      <c r="D963" s="1116"/>
      <c r="E963" s="1116"/>
      <c r="F963" s="1116"/>
      <c r="G963" s="1236"/>
      <c r="H963" s="1116"/>
      <c r="I963" s="1116"/>
      <c r="J963" s="1116"/>
      <c r="K963" s="1148"/>
      <c r="L963" s="1128"/>
      <c r="M963" s="1116"/>
      <c r="N963" s="1116"/>
      <c r="O963" s="1116"/>
      <c r="P963" s="1116"/>
      <c r="Q963" s="1116"/>
      <c r="R963" s="1116"/>
      <c r="S963" s="1116"/>
      <c r="T963" s="1116"/>
    </row>
    <row r="964">
      <c r="A964" s="1116"/>
      <c r="B964" s="1116"/>
      <c r="C964" s="1116"/>
      <c r="D964" s="1116"/>
      <c r="E964" s="1116"/>
      <c r="F964" s="1116"/>
      <c r="G964" s="1236"/>
      <c r="H964" s="1116"/>
      <c r="I964" s="1116"/>
      <c r="J964" s="1116"/>
      <c r="K964" s="1148"/>
      <c r="L964" s="1128"/>
      <c r="M964" s="1116"/>
      <c r="N964" s="1116"/>
      <c r="O964" s="1116"/>
      <c r="P964" s="1116"/>
      <c r="Q964" s="1116"/>
      <c r="R964" s="1116"/>
      <c r="S964" s="1116"/>
      <c r="T964" s="1116"/>
    </row>
    <row r="965">
      <c r="A965" s="1116"/>
      <c r="B965" s="1116"/>
      <c r="C965" s="1116"/>
      <c r="D965" s="1116"/>
      <c r="E965" s="1116"/>
      <c r="F965" s="1116"/>
      <c r="G965" s="1236"/>
      <c r="H965" s="1116"/>
      <c r="I965" s="1116"/>
      <c r="J965" s="1116"/>
      <c r="K965" s="1148"/>
      <c r="L965" s="1128"/>
      <c r="M965" s="1116"/>
      <c r="N965" s="1116"/>
      <c r="O965" s="1116"/>
      <c r="P965" s="1116"/>
      <c r="Q965" s="1116"/>
      <c r="R965" s="1116"/>
      <c r="S965" s="1116"/>
      <c r="T965" s="1116"/>
    </row>
    <row r="966">
      <c r="A966" s="1116"/>
      <c r="B966" s="1116"/>
      <c r="C966" s="1116"/>
      <c r="D966" s="1116"/>
      <c r="E966" s="1116"/>
      <c r="F966" s="1116"/>
      <c r="G966" s="1236"/>
      <c r="H966" s="1116"/>
      <c r="I966" s="1116"/>
      <c r="J966" s="1116"/>
      <c r="K966" s="1148"/>
      <c r="L966" s="1128"/>
      <c r="M966" s="1116"/>
      <c r="N966" s="1116"/>
      <c r="O966" s="1116"/>
      <c r="P966" s="1116"/>
      <c r="Q966" s="1116"/>
      <c r="R966" s="1116"/>
      <c r="S966" s="1116"/>
      <c r="T966" s="1116"/>
    </row>
    <row r="967">
      <c r="A967" s="1116"/>
      <c r="B967" s="1116"/>
      <c r="C967" s="1116"/>
      <c r="D967" s="1116"/>
      <c r="E967" s="1116"/>
      <c r="F967" s="1116"/>
      <c r="G967" s="1236"/>
      <c r="H967" s="1116"/>
      <c r="I967" s="1116"/>
      <c r="J967" s="1116"/>
      <c r="K967" s="1148"/>
      <c r="L967" s="1128"/>
      <c r="M967" s="1116"/>
      <c r="N967" s="1116"/>
      <c r="O967" s="1116"/>
      <c r="P967" s="1116"/>
      <c r="Q967" s="1116"/>
      <c r="R967" s="1116"/>
      <c r="S967" s="1116"/>
      <c r="T967" s="1116"/>
    </row>
    <row r="968">
      <c r="A968" s="1116"/>
      <c r="B968" s="1116"/>
      <c r="C968" s="1116"/>
      <c r="D968" s="1116"/>
      <c r="E968" s="1116"/>
      <c r="F968" s="1116"/>
      <c r="G968" s="1236"/>
      <c r="H968" s="1116"/>
      <c r="I968" s="1116"/>
      <c r="J968" s="1116"/>
      <c r="K968" s="1148"/>
      <c r="L968" s="1128"/>
      <c r="M968" s="1116"/>
      <c r="N968" s="1116"/>
      <c r="O968" s="1116"/>
      <c r="P968" s="1116"/>
      <c r="Q968" s="1116"/>
      <c r="R968" s="1116"/>
      <c r="S968" s="1116"/>
      <c r="T968" s="1116"/>
    </row>
    <row r="969">
      <c r="A969" s="1116"/>
      <c r="B969" s="1116"/>
      <c r="C969" s="1116"/>
      <c r="D969" s="1116"/>
      <c r="E969" s="1116"/>
      <c r="F969" s="1116"/>
      <c r="G969" s="1236"/>
      <c r="H969" s="1116"/>
      <c r="I969" s="1116"/>
      <c r="J969" s="1116"/>
      <c r="K969" s="1148"/>
      <c r="L969" s="1128"/>
      <c r="M969" s="1116"/>
      <c r="N969" s="1116"/>
      <c r="O969" s="1116"/>
      <c r="P969" s="1116"/>
      <c r="Q969" s="1116"/>
      <c r="R969" s="1116"/>
      <c r="S969" s="1116"/>
      <c r="T969" s="1116"/>
    </row>
    <row r="970">
      <c r="A970" s="1116"/>
      <c r="B970" s="1116"/>
      <c r="C970" s="1116"/>
      <c r="D970" s="1116"/>
      <c r="E970" s="1116"/>
      <c r="F970" s="1116"/>
      <c r="G970" s="1236"/>
      <c r="H970" s="1116"/>
      <c r="I970" s="1116"/>
      <c r="J970" s="1116"/>
      <c r="K970" s="1148"/>
      <c r="L970" s="1128"/>
      <c r="M970" s="1116"/>
      <c r="N970" s="1116"/>
      <c r="O970" s="1116"/>
      <c r="P970" s="1116"/>
      <c r="Q970" s="1116"/>
      <c r="R970" s="1116"/>
      <c r="S970" s="1116"/>
      <c r="T970" s="1116"/>
    </row>
    <row r="971">
      <c r="A971" s="1116"/>
      <c r="B971" s="1116"/>
      <c r="C971" s="1116"/>
      <c r="D971" s="1116"/>
      <c r="E971" s="1116"/>
      <c r="F971" s="1116"/>
      <c r="G971" s="1236"/>
      <c r="H971" s="1116"/>
      <c r="I971" s="1116"/>
      <c r="J971" s="1116"/>
      <c r="K971" s="1148"/>
      <c r="L971" s="1128"/>
      <c r="M971" s="1116"/>
      <c r="N971" s="1116"/>
      <c r="O971" s="1116"/>
      <c r="P971" s="1116"/>
      <c r="Q971" s="1116"/>
      <c r="R971" s="1116"/>
      <c r="S971" s="1116"/>
      <c r="T971" s="1116"/>
    </row>
    <row r="972">
      <c r="A972" s="1116"/>
      <c r="B972" s="1116"/>
      <c r="C972" s="1116"/>
      <c r="D972" s="1116"/>
      <c r="E972" s="1116"/>
      <c r="F972" s="1116"/>
      <c r="G972" s="1236"/>
      <c r="H972" s="1116"/>
      <c r="I972" s="1116"/>
      <c r="J972" s="1116"/>
      <c r="K972" s="1148"/>
      <c r="L972" s="1128"/>
      <c r="M972" s="1116"/>
      <c r="N972" s="1116"/>
      <c r="O972" s="1116"/>
      <c r="P972" s="1116"/>
      <c r="Q972" s="1116"/>
      <c r="R972" s="1116"/>
      <c r="S972" s="1116"/>
      <c r="T972" s="1116"/>
    </row>
    <row r="973">
      <c r="A973" s="1116"/>
      <c r="B973" s="1116"/>
      <c r="C973" s="1116"/>
      <c r="D973" s="1116"/>
      <c r="E973" s="1116"/>
      <c r="F973" s="1116"/>
      <c r="G973" s="1236"/>
      <c r="H973" s="1116"/>
      <c r="I973" s="1116"/>
      <c r="J973" s="1116"/>
      <c r="K973" s="1148"/>
      <c r="L973" s="1128"/>
      <c r="M973" s="1116"/>
      <c r="N973" s="1116"/>
      <c r="O973" s="1116"/>
      <c r="P973" s="1116"/>
      <c r="Q973" s="1116"/>
      <c r="R973" s="1116"/>
      <c r="S973" s="1116"/>
      <c r="T973" s="1116"/>
    </row>
    <row r="974">
      <c r="A974" s="1116"/>
      <c r="B974" s="1116"/>
      <c r="C974" s="1116"/>
      <c r="D974" s="1116"/>
      <c r="E974" s="1116"/>
      <c r="F974" s="1116"/>
      <c r="G974" s="1236"/>
      <c r="H974" s="1116"/>
      <c r="I974" s="1116"/>
      <c r="J974" s="1116"/>
      <c r="K974" s="1148"/>
      <c r="L974" s="1128"/>
      <c r="M974" s="1116"/>
      <c r="N974" s="1116"/>
      <c r="O974" s="1116"/>
      <c r="P974" s="1116"/>
      <c r="Q974" s="1116"/>
      <c r="R974" s="1116"/>
      <c r="S974" s="1116"/>
      <c r="T974" s="1116"/>
    </row>
    <row r="975">
      <c r="A975" s="1116"/>
      <c r="B975" s="1116"/>
      <c r="C975" s="1116"/>
      <c r="D975" s="1116"/>
      <c r="E975" s="1116"/>
      <c r="F975" s="1116"/>
      <c r="G975" s="1236"/>
      <c r="H975" s="1116"/>
      <c r="I975" s="1116"/>
      <c r="J975" s="1116"/>
      <c r="K975" s="1148"/>
      <c r="L975" s="1128"/>
      <c r="M975" s="1116"/>
      <c r="N975" s="1116"/>
      <c r="O975" s="1116"/>
      <c r="P975" s="1116"/>
      <c r="Q975" s="1116"/>
      <c r="R975" s="1116"/>
      <c r="S975" s="1116"/>
      <c r="T975" s="1116"/>
    </row>
    <row r="976">
      <c r="A976" s="1116"/>
      <c r="B976" s="1116"/>
      <c r="C976" s="1116"/>
      <c r="D976" s="1116"/>
      <c r="E976" s="1116"/>
      <c r="F976" s="1116"/>
      <c r="G976" s="1236"/>
      <c r="H976" s="1116"/>
      <c r="I976" s="1116"/>
      <c r="J976" s="1116"/>
      <c r="K976" s="1148"/>
      <c r="L976" s="1128"/>
      <c r="M976" s="1116"/>
      <c r="N976" s="1116"/>
      <c r="O976" s="1116"/>
      <c r="P976" s="1116"/>
      <c r="Q976" s="1116"/>
      <c r="R976" s="1116"/>
      <c r="S976" s="1116"/>
      <c r="T976" s="1116"/>
    </row>
    <row r="977">
      <c r="A977" s="1116"/>
      <c r="B977" s="1116"/>
      <c r="C977" s="1116"/>
      <c r="D977" s="1116"/>
      <c r="E977" s="1116"/>
      <c r="F977" s="1116"/>
      <c r="G977" s="1236"/>
      <c r="H977" s="1116"/>
      <c r="I977" s="1116"/>
      <c r="J977" s="1116"/>
      <c r="K977" s="1148"/>
      <c r="L977" s="1128"/>
      <c r="M977" s="1116"/>
      <c r="N977" s="1116"/>
      <c r="O977" s="1116"/>
      <c r="P977" s="1116"/>
      <c r="Q977" s="1116"/>
      <c r="R977" s="1116"/>
      <c r="S977" s="1116"/>
      <c r="T977" s="1116"/>
    </row>
    <row r="978">
      <c r="A978" s="1116"/>
      <c r="B978" s="1116"/>
      <c r="C978" s="1116"/>
      <c r="D978" s="1116"/>
      <c r="E978" s="1116"/>
      <c r="F978" s="1116"/>
      <c r="G978" s="1236"/>
      <c r="H978" s="1116"/>
      <c r="I978" s="1116"/>
      <c r="J978" s="1116"/>
      <c r="K978" s="1148"/>
      <c r="L978" s="1128"/>
      <c r="M978" s="1116"/>
      <c r="N978" s="1116"/>
      <c r="O978" s="1116"/>
      <c r="P978" s="1116"/>
      <c r="Q978" s="1116"/>
      <c r="R978" s="1116"/>
      <c r="S978" s="1116"/>
      <c r="T978" s="1116"/>
    </row>
    <row r="979">
      <c r="A979" s="1116"/>
      <c r="B979" s="1116"/>
      <c r="C979" s="1116"/>
      <c r="D979" s="1116"/>
      <c r="E979" s="1116"/>
      <c r="F979" s="1116"/>
      <c r="G979" s="1236"/>
      <c r="H979" s="1116"/>
      <c r="I979" s="1116"/>
      <c r="J979" s="1116"/>
      <c r="K979" s="1148"/>
      <c r="L979" s="1128"/>
      <c r="M979" s="1116"/>
      <c r="N979" s="1116"/>
      <c r="O979" s="1116"/>
      <c r="P979" s="1116"/>
      <c r="Q979" s="1116"/>
      <c r="R979" s="1116"/>
      <c r="S979" s="1116"/>
      <c r="T979" s="1116"/>
    </row>
    <row r="980">
      <c r="A980" s="1116"/>
      <c r="B980" s="1116"/>
      <c r="C980" s="1116"/>
      <c r="D980" s="1116"/>
      <c r="E980" s="1116"/>
      <c r="F980" s="1116"/>
      <c r="G980" s="1236"/>
      <c r="H980" s="1116"/>
      <c r="I980" s="1116"/>
      <c r="J980" s="1116"/>
      <c r="K980" s="1148"/>
      <c r="L980" s="1128"/>
      <c r="M980" s="1116"/>
      <c r="N980" s="1116"/>
      <c r="O980" s="1116"/>
      <c r="P980" s="1116"/>
      <c r="Q980" s="1116"/>
      <c r="R980" s="1116"/>
      <c r="S980" s="1116"/>
      <c r="T980" s="1116"/>
    </row>
    <row r="981">
      <c r="A981" s="1116"/>
      <c r="B981" s="1116"/>
      <c r="C981" s="1116"/>
      <c r="D981" s="1116"/>
      <c r="E981" s="1116"/>
      <c r="F981" s="1116"/>
      <c r="G981" s="1236"/>
      <c r="H981" s="1116"/>
      <c r="I981" s="1116"/>
      <c r="J981" s="1116"/>
      <c r="K981" s="1148"/>
      <c r="L981" s="1128"/>
      <c r="M981" s="1116"/>
      <c r="N981" s="1116"/>
      <c r="O981" s="1116"/>
      <c r="P981" s="1116"/>
      <c r="Q981" s="1116"/>
      <c r="R981" s="1116"/>
      <c r="S981" s="1116"/>
      <c r="T981" s="1116"/>
    </row>
    <row r="982">
      <c r="A982" s="1116"/>
      <c r="B982" s="1116"/>
      <c r="C982" s="1116"/>
      <c r="D982" s="1116"/>
      <c r="E982" s="1116"/>
      <c r="F982" s="1116"/>
      <c r="G982" s="1236"/>
      <c r="H982" s="1116"/>
      <c r="I982" s="1116"/>
      <c r="J982" s="1116"/>
      <c r="K982" s="1148"/>
      <c r="L982" s="1128"/>
      <c r="M982" s="1116"/>
      <c r="N982" s="1116"/>
      <c r="O982" s="1116"/>
      <c r="P982" s="1116"/>
      <c r="Q982" s="1116"/>
      <c r="R982" s="1116"/>
      <c r="S982" s="1116"/>
      <c r="T982" s="1116"/>
    </row>
    <row r="983">
      <c r="A983" s="1116"/>
      <c r="B983" s="1116"/>
      <c r="C983" s="1116"/>
      <c r="D983" s="1116"/>
      <c r="E983" s="1116"/>
      <c r="F983" s="1116"/>
      <c r="G983" s="1236"/>
      <c r="H983" s="1116"/>
      <c r="I983" s="1116"/>
      <c r="J983" s="1116"/>
      <c r="K983" s="1148"/>
      <c r="L983" s="1128"/>
      <c r="M983" s="1116"/>
      <c r="N983" s="1116"/>
      <c r="O983" s="1116"/>
      <c r="P983" s="1116"/>
      <c r="Q983" s="1116"/>
      <c r="R983" s="1116"/>
      <c r="S983" s="1116"/>
      <c r="T983" s="1116"/>
    </row>
    <row r="984">
      <c r="A984" s="1116"/>
      <c r="B984" s="1116"/>
      <c r="C984" s="1116"/>
      <c r="D984" s="1116"/>
      <c r="E984" s="1116"/>
      <c r="F984" s="1116"/>
      <c r="G984" s="1236"/>
      <c r="H984" s="1116"/>
      <c r="I984" s="1116"/>
      <c r="J984" s="1116"/>
      <c r="K984" s="1148"/>
      <c r="L984" s="1128"/>
      <c r="M984" s="1116"/>
      <c r="N984" s="1116"/>
      <c r="O984" s="1116"/>
      <c r="P984" s="1116"/>
      <c r="Q984" s="1116"/>
      <c r="R984" s="1116"/>
      <c r="S984" s="1116"/>
      <c r="T984" s="1116"/>
    </row>
    <row r="985">
      <c r="A985" s="1116"/>
      <c r="B985" s="1116"/>
      <c r="C985" s="1116"/>
      <c r="D985" s="1116"/>
      <c r="E985" s="1116"/>
      <c r="F985" s="1116"/>
      <c r="G985" s="1236"/>
      <c r="H985" s="1116"/>
      <c r="I985" s="1116"/>
      <c r="J985" s="1116"/>
      <c r="K985" s="1148"/>
      <c r="L985" s="1128"/>
      <c r="M985" s="1116"/>
      <c r="N985" s="1116"/>
      <c r="O985" s="1116"/>
      <c r="P985" s="1116"/>
      <c r="Q985" s="1116"/>
      <c r="R985" s="1116"/>
      <c r="S985" s="1116"/>
      <c r="T985" s="1116"/>
    </row>
    <row r="986">
      <c r="A986" s="1116"/>
      <c r="B986" s="1116"/>
      <c r="C986" s="1116"/>
      <c r="D986" s="1116"/>
      <c r="E986" s="1116"/>
      <c r="F986" s="1116"/>
      <c r="G986" s="1236"/>
      <c r="H986" s="1116"/>
      <c r="I986" s="1116"/>
      <c r="J986" s="1116"/>
      <c r="K986" s="1148"/>
      <c r="L986" s="1128"/>
      <c r="M986" s="1116"/>
      <c r="N986" s="1116"/>
      <c r="O986" s="1116"/>
      <c r="P986" s="1116"/>
      <c r="Q986" s="1116"/>
      <c r="R986" s="1116"/>
      <c r="S986" s="1116"/>
      <c r="T986" s="1116"/>
    </row>
    <row r="987">
      <c r="A987" s="1116"/>
      <c r="B987" s="1116"/>
      <c r="C987" s="1116"/>
      <c r="D987" s="1116"/>
      <c r="E987" s="1116"/>
      <c r="F987" s="1116"/>
      <c r="G987" s="1236"/>
      <c r="H987" s="1116"/>
      <c r="I987" s="1116"/>
      <c r="J987" s="1116"/>
      <c r="K987" s="1148"/>
      <c r="L987" s="1128"/>
      <c r="M987" s="1116"/>
      <c r="N987" s="1116"/>
      <c r="O987" s="1116"/>
      <c r="P987" s="1116"/>
      <c r="Q987" s="1116"/>
      <c r="R987" s="1116"/>
      <c r="S987" s="1116"/>
      <c r="T987" s="1116"/>
    </row>
    <row r="988">
      <c r="A988" s="1116"/>
      <c r="B988" s="1116"/>
      <c r="C988" s="1116"/>
      <c r="D988" s="1116"/>
      <c r="E988" s="1116"/>
      <c r="F988" s="1116"/>
      <c r="G988" s="1236"/>
      <c r="H988" s="1116"/>
      <c r="I988" s="1116"/>
      <c r="J988" s="1116"/>
      <c r="K988" s="1148"/>
      <c r="L988" s="1128"/>
      <c r="M988" s="1116"/>
      <c r="N988" s="1116"/>
      <c r="O988" s="1116"/>
      <c r="P988" s="1116"/>
      <c r="Q988" s="1116"/>
      <c r="R988" s="1116"/>
      <c r="S988" s="1116"/>
      <c r="T988" s="1116"/>
    </row>
    <row r="989">
      <c r="A989" s="1116"/>
      <c r="B989" s="1116"/>
      <c r="C989" s="1116"/>
      <c r="D989" s="1116"/>
      <c r="E989" s="1116"/>
      <c r="F989" s="1116"/>
      <c r="G989" s="1236"/>
      <c r="H989" s="1116"/>
      <c r="I989" s="1116"/>
      <c r="J989" s="1116"/>
      <c r="K989" s="1148"/>
      <c r="L989" s="1128"/>
      <c r="M989" s="1116"/>
      <c r="N989" s="1116"/>
      <c r="O989" s="1116"/>
      <c r="P989" s="1116"/>
      <c r="Q989" s="1116"/>
      <c r="R989" s="1116"/>
      <c r="S989" s="1116"/>
      <c r="T989" s="1116"/>
    </row>
    <row r="990">
      <c r="A990" s="1116"/>
      <c r="B990" s="1116"/>
      <c r="C990" s="1116"/>
      <c r="D990" s="1116"/>
      <c r="E990" s="1116"/>
      <c r="F990" s="1116"/>
      <c r="G990" s="1236"/>
      <c r="H990" s="1116"/>
      <c r="I990" s="1116"/>
      <c r="J990" s="1116"/>
      <c r="K990" s="1148"/>
      <c r="L990" s="1128"/>
      <c r="M990" s="1116"/>
      <c r="N990" s="1116"/>
      <c r="O990" s="1116"/>
      <c r="P990" s="1116"/>
      <c r="Q990" s="1116"/>
      <c r="R990" s="1116"/>
      <c r="S990" s="1116"/>
      <c r="T990" s="1116"/>
    </row>
    <row r="991">
      <c r="A991" s="1116"/>
      <c r="B991" s="1116"/>
      <c r="C991" s="1116"/>
      <c r="D991" s="1116"/>
      <c r="E991" s="1116"/>
      <c r="F991" s="1116"/>
      <c r="G991" s="1236"/>
      <c r="H991" s="1116"/>
      <c r="I991" s="1116"/>
      <c r="J991" s="1116"/>
      <c r="K991" s="1148"/>
      <c r="L991" s="1128"/>
      <c r="M991" s="1116"/>
      <c r="N991" s="1116"/>
      <c r="O991" s="1116"/>
      <c r="P991" s="1116"/>
      <c r="Q991" s="1116"/>
      <c r="R991" s="1116"/>
      <c r="S991" s="1116"/>
      <c r="T991" s="1116"/>
    </row>
    <row r="992">
      <c r="A992" s="1116"/>
      <c r="B992" s="1116"/>
      <c r="C992" s="1116"/>
      <c r="D992" s="1116"/>
      <c r="E992" s="1116"/>
      <c r="F992" s="1116"/>
      <c r="G992" s="1236"/>
      <c r="H992" s="1116"/>
      <c r="I992" s="1116"/>
      <c r="J992" s="1116"/>
      <c r="K992" s="1148"/>
      <c r="L992" s="1128"/>
      <c r="M992" s="1116"/>
      <c r="N992" s="1116"/>
      <c r="O992" s="1116"/>
      <c r="P992" s="1116"/>
      <c r="Q992" s="1116"/>
      <c r="R992" s="1116"/>
      <c r="S992" s="1116"/>
      <c r="T992" s="1116"/>
    </row>
    <row r="993">
      <c r="A993" s="1116"/>
      <c r="B993" s="1116"/>
      <c r="C993" s="1116"/>
      <c r="D993" s="1116"/>
      <c r="E993" s="1116"/>
      <c r="F993" s="1116"/>
      <c r="G993" s="1236"/>
      <c r="H993" s="1116"/>
      <c r="I993" s="1116"/>
      <c r="J993" s="1116"/>
      <c r="K993" s="1148"/>
      <c r="L993" s="1128"/>
      <c r="M993" s="1116"/>
      <c r="N993" s="1116"/>
      <c r="O993" s="1116"/>
      <c r="P993" s="1116"/>
      <c r="Q993" s="1116"/>
      <c r="R993" s="1116"/>
      <c r="S993" s="1116"/>
      <c r="T993" s="1116"/>
    </row>
    <row r="994">
      <c r="A994" s="1116"/>
      <c r="B994" s="1116"/>
      <c r="C994" s="1116"/>
      <c r="D994" s="1116"/>
      <c r="E994" s="1116"/>
      <c r="F994" s="1116"/>
      <c r="G994" s="1236"/>
      <c r="H994" s="1116"/>
      <c r="I994" s="1116"/>
      <c r="J994" s="1116"/>
      <c r="K994" s="1148"/>
      <c r="L994" s="1128"/>
      <c r="M994" s="1116"/>
      <c r="N994" s="1116"/>
      <c r="O994" s="1116"/>
      <c r="P994" s="1116"/>
      <c r="Q994" s="1116"/>
      <c r="R994" s="1116"/>
      <c r="S994" s="1116"/>
      <c r="T994" s="1116"/>
    </row>
    <row r="995">
      <c r="A995" s="1116"/>
      <c r="B995" s="1116"/>
      <c r="C995" s="1116"/>
      <c r="D995" s="1116"/>
      <c r="E995" s="1116"/>
      <c r="F995" s="1116"/>
      <c r="G995" s="1236"/>
      <c r="H995" s="1116"/>
      <c r="I995" s="1116"/>
      <c r="J995" s="1116"/>
      <c r="K995" s="1148"/>
      <c r="L995" s="1128"/>
      <c r="M995" s="1116"/>
      <c r="N995" s="1116"/>
      <c r="O995" s="1116"/>
      <c r="P995" s="1116"/>
      <c r="Q995" s="1116"/>
      <c r="R995" s="1116"/>
      <c r="S995" s="1116"/>
      <c r="T995" s="1116"/>
    </row>
    <row r="996">
      <c r="A996" s="1116"/>
      <c r="B996" s="1116"/>
      <c r="C996" s="1116"/>
      <c r="D996" s="1116"/>
      <c r="E996" s="1116"/>
      <c r="F996" s="1116"/>
      <c r="G996" s="1236"/>
      <c r="H996" s="1116"/>
      <c r="I996" s="1116"/>
      <c r="J996" s="1116"/>
      <c r="K996" s="1148"/>
      <c r="L996" s="1128"/>
      <c r="M996" s="1116"/>
      <c r="N996" s="1116"/>
      <c r="O996" s="1116"/>
      <c r="P996" s="1116"/>
      <c r="Q996" s="1116"/>
      <c r="R996" s="1116"/>
      <c r="S996" s="1116"/>
      <c r="T996" s="1116"/>
    </row>
    <row r="997">
      <c r="A997" s="1116"/>
      <c r="B997" s="1116"/>
      <c r="C997" s="1116"/>
      <c r="D997" s="1116"/>
      <c r="E997" s="1116"/>
      <c r="F997" s="1116"/>
      <c r="G997" s="1236"/>
      <c r="H997" s="1116"/>
      <c r="I997" s="1116"/>
      <c r="J997" s="1116"/>
      <c r="K997" s="1148"/>
      <c r="L997" s="1128"/>
      <c r="M997" s="1116"/>
      <c r="N997" s="1116"/>
      <c r="O997" s="1116"/>
      <c r="P997" s="1116"/>
      <c r="Q997" s="1116"/>
      <c r="R997" s="1116"/>
      <c r="S997" s="1116"/>
      <c r="T997" s="1116"/>
    </row>
    <row r="998">
      <c r="A998" s="1116"/>
      <c r="B998" s="1116"/>
      <c r="C998" s="1116"/>
      <c r="D998" s="1116"/>
      <c r="E998" s="1116"/>
      <c r="F998" s="1116"/>
      <c r="G998" s="1236"/>
      <c r="H998" s="1116"/>
      <c r="I998" s="1116"/>
      <c r="J998" s="1116"/>
      <c r="K998" s="1148"/>
      <c r="L998" s="1128"/>
      <c r="M998" s="1116"/>
      <c r="N998" s="1116"/>
      <c r="O998" s="1116"/>
      <c r="P998" s="1116"/>
      <c r="Q998" s="1116"/>
      <c r="R998" s="1116"/>
      <c r="S998" s="1116"/>
      <c r="T998" s="1116"/>
    </row>
    <row r="999">
      <c r="A999" s="1116"/>
      <c r="B999" s="1116"/>
      <c r="C999" s="1116"/>
      <c r="D999" s="1116"/>
      <c r="E999" s="1116"/>
      <c r="F999" s="1116"/>
      <c r="G999" s="1236"/>
      <c r="H999" s="1116"/>
      <c r="I999" s="1116"/>
      <c r="J999" s="1116"/>
      <c r="K999" s="1148"/>
      <c r="L999" s="1128"/>
      <c r="M999" s="1116"/>
      <c r="N999" s="1116"/>
      <c r="O999" s="1116"/>
      <c r="P999" s="1116"/>
      <c r="Q999" s="1116"/>
      <c r="R999" s="1116"/>
      <c r="S999" s="1116"/>
      <c r="T999" s="1116"/>
    </row>
    <row r="1000">
      <c r="A1000" s="1116"/>
      <c r="B1000" s="1116"/>
      <c r="C1000" s="1116"/>
      <c r="D1000" s="1116"/>
      <c r="E1000" s="1116"/>
      <c r="F1000" s="1116"/>
      <c r="G1000" s="1236"/>
      <c r="H1000" s="1116"/>
      <c r="I1000" s="1116"/>
      <c r="J1000" s="1116"/>
      <c r="K1000" s="1148"/>
      <c r="L1000" s="1128"/>
      <c r="M1000" s="1116"/>
      <c r="N1000" s="1116"/>
      <c r="O1000" s="1116"/>
      <c r="P1000" s="1116"/>
      <c r="Q1000" s="1116"/>
      <c r="R1000" s="1116"/>
      <c r="S1000" s="1116"/>
      <c r="T1000" s="1116"/>
    </row>
    <row r="1001">
      <c r="A1001" s="1116"/>
      <c r="B1001" s="1116"/>
      <c r="C1001" s="1116"/>
      <c r="D1001" s="1116"/>
      <c r="E1001" s="1116"/>
      <c r="F1001" s="1116"/>
      <c r="G1001" s="1236"/>
      <c r="H1001" s="1116"/>
      <c r="I1001" s="1116"/>
      <c r="J1001" s="1116"/>
      <c r="K1001" s="1148"/>
      <c r="L1001" s="1128"/>
      <c r="M1001" s="1116"/>
      <c r="N1001" s="1116"/>
      <c r="O1001" s="1116"/>
      <c r="P1001" s="1116"/>
      <c r="Q1001" s="1116"/>
      <c r="R1001" s="1116"/>
      <c r="S1001" s="1116"/>
      <c r="T1001" s="1116"/>
    </row>
    <row r="1002">
      <c r="A1002" s="1116"/>
      <c r="B1002" s="1116"/>
      <c r="C1002" s="1116"/>
      <c r="D1002" s="1116"/>
      <c r="E1002" s="1116"/>
      <c r="F1002" s="1116"/>
      <c r="G1002" s="1236"/>
      <c r="H1002" s="1116"/>
      <c r="I1002" s="1116"/>
      <c r="J1002" s="1116"/>
      <c r="K1002" s="1148"/>
      <c r="L1002" s="1128"/>
      <c r="M1002" s="1116"/>
      <c r="N1002" s="1116"/>
      <c r="O1002" s="1116"/>
      <c r="P1002" s="1116"/>
      <c r="Q1002" s="1116"/>
      <c r="R1002" s="1116"/>
      <c r="S1002" s="1116"/>
      <c r="T1002" s="1116"/>
    </row>
    <row r="1003">
      <c r="A1003" s="1116"/>
      <c r="B1003" s="1116"/>
      <c r="C1003" s="1116"/>
      <c r="D1003" s="1116"/>
      <c r="E1003" s="1116"/>
      <c r="F1003" s="1116"/>
      <c r="G1003" s="1236"/>
      <c r="H1003" s="1116"/>
      <c r="I1003" s="1116"/>
      <c r="J1003" s="1116"/>
      <c r="K1003" s="1148"/>
      <c r="L1003" s="1128"/>
      <c r="M1003" s="1116"/>
      <c r="N1003" s="1116"/>
      <c r="O1003" s="1116"/>
      <c r="P1003" s="1116"/>
      <c r="Q1003" s="1116"/>
      <c r="R1003" s="1116"/>
      <c r="S1003" s="1116"/>
      <c r="T1003" s="1116"/>
    </row>
    <row r="1004">
      <c r="A1004" s="1116"/>
      <c r="B1004" s="1116"/>
      <c r="C1004" s="1116"/>
      <c r="D1004" s="1116"/>
      <c r="E1004" s="1116"/>
      <c r="F1004" s="1116"/>
      <c r="G1004" s="1236"/>
      <c r="H1004" s="1116"/>
      <c r="I1004" s="1116"/>
      <c r="J1004" s="1116"/>
      <c r="K1004" s="1148"/>
      <c r="L1004" s="1128"/>
      <c r="M1004" s="1116"/>
      <c r="N1004" s="1116"/>
      <c r="O1004" s="1116"/>
      <c r="P1004" s="1116"/>
      <c r="Q1004" s="1116"/>
      <c r="R1004" s="1116"/>
      <c r="S1004" s="1116"/>
      <c r="T1004" s="1116"/>
    </row>
    <row r="1005">
      <c r="A1005" s="1116"/>
      <c r="B1005" s="1116"/>
      <c r="C1005" s="1116"/>
      <c r="D1005" s="1116"/>
      <c r="E1005" s="1116"/>
      <c r="F1005" s="1116"/>
      <c r="G1005" s="1236"/>
      <c r="H1005" s="1116"/>
      <c r="I1005" s="1116"/>
      <c r="J1005" s="1116"/>
      <c r="K1005" s="1148"/>
      <c r="L1005" s="1128"/>
      <c r="M1005" s="1116"/>
      <c r="N1005" s="1116"/>
      <c r="O1005" s="1116"/>
      <c r="P1005" s="1116"/>
      <c r="Q1005" s="1116"/>
      <c r="R1005" s="1116"/>
      <c r="S1005" s="1116"/>
      <c r="T1005" s="1116"/>
    </row>
    <row r="1006">
      <c r="A1006" s="1116"/>
      <c r="B1006" s="1116"/>
      <c r="C1006" s="1116"/>
      <c r="D1006" s="1116"/>
      <c r="E1006" s="1116"/>
      <c r="F1006" s="1116"/>
      <c r="G1006" s="1236"/>
      <c r="H1006" s="1116"/>
      <c r="I1006" s="1116"/>
      <c r="J1006" s="1116"/>
      <c r="K1006" s="1148"/>
      <c r="L1006" s="1128"/>
      <c r="M1006" s="1116"/>
      <c r="N1006" s="1116"/>
      <c r="O1006" s="1116"/>
      <c r="P1006" s="1116"/>
      <c r="Q1006" s="1116"/>
      <c r="R1006" s="1116"/>
      <c r="S1006" s="1116"/>
      <c r="T1006" s="1116"/>
    </row>
    <row r="1007">
      <c r="A1007" s="1116"/>
      <c r="B1007" s="1116"/>
      <c r="C1007" s="1116"/>
      <c r="D1007" s="1116"/>
      <c r="E1007" s="1116"/>
      <c r="F1007" s="1116"/>
      <c r="G1007" s="1236"/>
      <c r="H1007" s="1116"/>
      <c r="I1007" s="1116"/>
      <c r="J1007" s="1116"/>
      <c r="K1007" s="1148"/>
      <c r="L1007" s="1128"/>
      <c r="M1007" s="1116"/>
      <c r="N1007" s="1116"/>
      <c r="O1007" s="1116"/>
      <c r="P1007" s="1116"/>
      <c r="Q1007" s="1116"/>
      <c r="R1007" s="1116"/>
      <c r="S1007" s="1116"/>
      <c r="T1007" s="1116"/>
    </row>
    <row r="1008">
      <c r="A1008" s="1116"/>
      <c r="B1008" s="1116"/>
      <c r="C1008" s="1116"/>
      <c r="D1008" s="1116"/>
      <c r="E1008" s="1116"/>
      <c r="F1008" s="1116"/>
      <c r="G1008" s="1236"/>
      <c r="H1008" s="1116"/>
      <c r="I1008" s="1116"/>
      <c r="J1008" s="1116"/>
      <c r="K1008" s="1148"/>
      <c r="L1008" s="1128"/>
      <c r="M1008" s="1116"/>
      <c r="N1008" s="1116"/>
      <c r="O1008" s="1116"/>
      <c r="P1008" s="1116"/>
      <c r="Q1008" s="1116"/>
      <c r="R1008" s="1116"/>
      <c r="S1008" s="1116"/>
      <c r="T1008" s="1116"/>
    </row>
    <row r="1009">
      <c r="A1009" s="1116"/>
      <c r="B1009" s="1116"/>
      <c r="C1009" s="1116"/>
      <c r="D1009" s="1116"/>
      <c r="E1009" s="1116"/>
      <c r="F1009" s="1116"/>
      <c r="G1009" s="1236"/>
      <c r="H1009" s="1116"/>
      <c r="I1009" s="1116"/>
      <c r="J1009" s="1116"/>
      <c r="K1009" s="1148"/>
      <c r="L1009" s="1128"/>
      <c r="M1009" s="1116"/>
      <c r="N1009" s="1116"/>
      <c r="O1009" s="1116"/>
      <c r="P1009" s="1116"/>
      <c r="Q1009" s="1116"/>
      <c r="R1009" s="1116"/>
      <c r="S1009" s="1116"/>
      <c r="T1009" s="1116"/>
    </row>
    <row r="1010">
      <c r="A1010" s="1116"/>
      <c r="B1010" s="1116"/>
      <c r="C1010" s="1116"/>
      <c r="D1010" s="1116"/>
      <c r="E1010" s="1116"/>
      <c r="F1010" s="1116"/>
      <c r="G1010" s="1236"/>
      <c r="H1010" s="1116"/>
      <c r="I1010" s="1116"/>
      <c r="J1010" s="1116"/>
      <c r="K1010" s="1148"/>
      <c r="L1010" s="1128"/>
      <c r="M1010" s="1116"/>
      <c r="N1010" s="1116"/>
      <c r="O1010" s="1116"/>
      <c r="P1010" s="1116"/>
      <c r="Q1010" s="1116"/>
      <c r="R1010" s="1116"/>
      <c r="S1010" s="1116"/>
      <c r="T1010" s="1116"/>
    </row>
  </sheetData>
  <hyperlinks>
    <hyperlink r:id="rId1" ref="C18"/>
    <hyperlink r:id="rId2" ref="I18"/>
    <hyperlink r:id="rId3" ref="C19"/>
    <hyperlink r:id="rId4" ref="I19"/>
    <hyperlink r:id="rId5" ref="C20"/>
    <hyperlink r:id="rId6" ref="I20"/>
    <hyperlink r:id="rId7" ref="C21"/>
    <hyperlink r:id="rId8" ref="I21"/>
    <hyperlink r:id="rId9" ref="C22"/>
    <hyperlink r:id="rId10" ref="I22"/>
    <hyperlink r:id="rId11" ref="L22"/>
    <hyperlink r:id="rId12" ref="I23"/>
    <hyperlink r:id="rId13" ref="C24"/>
    <hyperlink r:id="rId14" ref="I24"/>
    <hyperlink r:id="rId15" ref="C25"/>
    <hyperlink r:id="rId16" ref="C26"/>
    <hyperlink r:id="rId17" ref="C27"/>
    <hyperlink r:id="rId18" ref="C28"/>
    <hyperlink r:id="rId19" ref="C29"/>
    <hyperlink r:id="rId20" location=":~:text=Meta%20engineers%20trained%20Llama%203,NVIDIA%20Quantum%2D2%20InfiniBand%20networks." ref="C30"/>
    <hyperlink r:id="rId21" ref="C31"/>
    <hyperlink r:id="rId22" ref="C33"/>
    <hyperlink r:id="rId23" ref="C35"/>
  </hyperlinks>
  <drawing r:id="rId24"/>
  <tableParts count="1">
    <tablePart r:id="rId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8.0"/>
    <col customWidth="1" min="2" max="2" width="20.25"/>
    <col customWidth="1" min="3" max="3" width="10.63"/>
    <col customWidth="1" min="4" max="4" width="8.5"/>
    <col customWidth="1" min="5" max="5" width="12.25"/>
    <col customWidth="1" min="6" max="6" width="12.13"/>
    <col customWidth="1" min="7" max="7" width="13.13"/>
    <col customWidth="1" min="8" max="8" width="12.13"/>
    <col customWidth="1" min="9" max="9" width="18.63"/>
    <col customWidth="1" min="10" max="10" width="14.63"/>
    <col customWidth="1" min="11" max="12" width="8.38"/>
    <col customWidth="1" min="13" max="13" width="9.63"/>
    <col customWidth="1" min="14" max="14" width="11.5"/>
    <col customWidth="1" min="15" max="15" width="26.5"/>
  </cols>
  <sheetData>
    <row r="1" ht="20.25" customHeight="1">
      <c r="A1" s="1237" t="s">
        <v>3172</v>
      </c>
      <c r="B1" s="1238"/>
      <c r="C1" s="1237"/>
      <c r="D1" s="1237"/>
      <c r="E1" s="1237"/>
      <c r="F1" s="1237"/>
      <c r="G1" s="1237"/>
      <c r="H1" s="1237"/>
      <c r="I1" s="1237"/>
      <c r="J1" s="1237"/>
      <c r="K1" s="1239"/>
      <c r="L1" s="1239"/>
      <c r="M1" s="1237"/>
      <c r="N1" s="1240"/>
      <c r="O1" s="1237"/>
    </row>
    <row r="2" ht="20.25" customHeight="1">
      <c r="A2" s="1241" t="s">
        <v>6</v>
      </c>
      <c r="B2" s="1242" t="s">
        <v>3173</v>
      </c>
      <c r="C2" s="1241" t="s">
        <v>3174</v>
      </c>
      <c r="D2" s="1241" t="s">
        <v>3175</v>
      </c>
      <c r="E2" s="1241" t="s">
        <v>3176</v>
      </c>
      <c r="F2" s="1241" t="s">
        <v>3177</v>
      </c>
      <c r="G2" s="1241" t="s">
        <v>3178</v>
      </c>
      <c r="H2" s="1241" t="s">
        <v>3179</v>
      </c>
      <c r="I2" s="1241" t="s">
        <v>3180</v>
      </c>
      <c r="J2" s="1241" t="s">
        <v>3181</v>
      </c>
      <c r="K2" s="1243" t="s">
        <v>3117</v>
      </c>
      <c r="L2" s="1243" t="s">
        <v>3182</v>
      </c>
      <c r="M2" s="1241" t="s">
        <v>3183</v>
      </c>
      <c r="N2" s="1244" t="s">
        <v>3184</v>
      </c>
      <c r="O2" s="1241" t="s">
        <v>22</v>
      </c>
    </row>
    <row r="3" ht="20.25" customHeight="1">
      <c r="A3" s="1245" t="s">
        <v>3185</v>
      </c>
      <c r="B3" s="1246"/>
      <c r="C3" s="1247"/>
      <c r="D3" s="1247"/>
      <c r="E3" s="1247"/>
      <c r="F3" s="1247"/>
      <c r="G3" s="1247"/>
      <c r="H3" s="1247"/>
      <c r="I3" s="1247"/>
      <c r="J3" s="1248"/>
      <c r="K3" s="1249"/>
      <c r="L3" s="1249"/>
      <c r="M3" s="1247"/>
      <c r="N3" s="1247"/>
      <c r="O3" s="1247"/>
    </row>
    <row r="4" ht="20.25" customHeight="1">
      <c r="A4" s="1247" t="s">
        <v>3186</v>
      </c>
      <c r="B4" s="1246" t="s">
        <v>3187</v>
      </c>
      <c r="C4" s="1247" t="s">
        <v>3188</v>
      </c>
      <c r="D4" s="1247">
        <v>2023.0</v>
      </c>
      <c r="E4" s="1247">
        <v>160.0</v>
      </c>
      <c r="F4" s="1247">
        <v>30.0</v>
      </c>
      <c r="G4" s="1247">
        <v>4.0</v>
      </c>
      <c r="H4" s="1247">
        <v>12.0</v>
      </c>
      <c r="I4" s="1247">
        <v>20.0</v>
      </c>
      <c r="J4" s="1248">
        <v>44961.0</v>
      </c>
      <c r="K4" s="1250" t="s">
        <v>3189</v>
      </c>
      <c r="L4" s="1250" t="s">
        <v>3190</v>
      </c>
      <c r="M4" s="1247" t="s">
        <v>2901</v>
      </c>
      <c r="N4" s="1247"/>
      <c r="O4" s="1247" t="s">
        <v>3191</v>
      </c>
    </row>
    <row r="5" ht="20.25" customHeight="1">
      <c r="A5" s="1251" t="s">
        <v>639</v>
      </c>
      <c r="B5" s="1252" t="s">
        <v>3192</v>
      </c>
      <c r="C5" s="1251" t="s">
        <v>3193</v>
      </c>
      <c r="D5" s="1251">
        <v>2023.0</v>
      </c>
      <c r="E5" s="1251">
        <v>167.0</v>
      </c>
      <c r="F5" s="1251">
        <v>60.0</v>
      </c>
      <c r="G5" s="1251">
        <v>4.3</v>
      </c>
      <c r="H5" s="1251">
        <v>4.3</v>
      </c>
      <c r="I5" s="1251">
        <v>20.0</v>
      </c>
      <c r="J5" s="1251">
        <v>5.0</v>
      </c>
      <c r="K5" s="1253" t="s">
        <v>3194</v>
      </c>
      <c r="L5" s="1254" t="s">
        <v>3195</v>
      </c>
      <c r="M5" s="1251" t="s">
        <v>2901</v>
      </c>
      <c r="N5" s="1255"/>
      <c r="O5" s="1255"/>
    </row>
    <row r="6" ht="20.25" customHeight="1">
      <c r="A6" s="1247" t="s">
        <v>639</v>
      </c>
      <c r="B6" s="1246" t="s">
        <v>3196</v>
      </c>
      <c r="C6" s="1247" t="s">
        <v>3193</v>
      </c>
      <c r="D6" s="1247">
        <v>2024.0</v>
      </c>
      <c r="E6" s="1247">
        <v>167.0</v>
      </c>
      <c r="F6" s="1247">
        <v>70.0</v>
      </c>
      <c r="G6" s="1247"/>
      <c r="H6" s="1247"/>
      <c r="I6" s="1247">
        <v>20.0</v>
      </c>
      <c r="J6" s="1247">
        <v>5.0</v>
      </c>
      <c r="K6" s="1256" t="s">
        <v>3194</v>
      </c>
      <c r="L6" s="1256" t="s">
        <v>3197</v>
      </c>
      <c r="M6" s="1247" t="s">
        <v>2901</v>
      </c>
      <c r="N6" s="1257"/>
      <c r="O6" s="1247" t="s">
        <v>3198</v>
      </c>
    </row>
    <row r="7" ht="20.25" customHeight="1">
      <c r="A7" s="1251" t="s">
        <v>3199</v>
      </c>
      <c r="B7" s="1252" t="s">
        <v>3200</v>
      </c>
      <c r="C7" s="1251" t="s">
        <v>1982</v>
      </c>
      <c r="D7" s="1251">
        <v>2023.0</v>
      </c>
      <c r="E7" s="1251">
        <v>165.0</v>
      </c>
      <c r="F7" s="1251">
        <v>55.0</v>
      </c>
      <c r="G7" s="1251">
        <v>5.0</v>
      </c>
      <c r="H7" s="1251">
        <v>5.0</v>
      </c>
      <c r="I7" s="1251">
        <v>50.0</v>
      </c>
      <c r="J7" s="1255"/>
      <c r="K7" s="1254" t="s">
        <v>3201</v>
      </c>
      <c r="L7" s="1258" t="s">
        <v>3202</v>
      </c>
      <c r="M7" s="1251" t="s">
        <v>2953</v>
      </c>
      <c r="N7" s="1251"/>
      <c r="O7" s="1251" t="s">
        <v>3203</v>
      </c>
    </row>
    <row r="8" ht="20.25" customHeight="1">
      <c r="A8" s="1251" t="s">
        <v>3204</v>
      </c>
      <c r="B8" s="1252" t="s">
        <v>3205</v>
      </c>
      <c r="C8" s="1251" t="s">
        <v>3193</v>
      </c>
      <c r="D8" s="1251">
        <v>2023.0</v>
      </c>
      <c r="E8" s="1251">
        <v>173.0</v>
      </c>
      <c r="F8" s="1251">
        <v>57.0</v>
      </c>
      <c r="G8" s="1251">
        <v>8.0</v>
      </c>
      <c r="H8" s="1251">
        <v>8.0</v>
      </c>
      <c r="I8" s="1251">
        <v>20.4</v>
      </c>
      <c r="J8" s="1255"/>
      <c r="K8" s="1254" t="s">
        <v>3206</v>
      </c>
      <c r="L8" s="1254" t="s">
        <v>3207</v>
      </c>
      <c r="M8" s="1251" t="s">
        <v>2953</v>
      </c>
      <c r="N8" s="1251"/>
      <c r="O8" s="1251" t="s">
        <v>3208</v>
      </c>
    </row>
    <row r="9" ht="20.25" customHeight="1">
      <c r="A9" s="1259" t="s">
        <v>3204</v>
      </c>
      <c r="B9" s="1260" t="s">
        <v>3209</v>
      </c>
      <c r="C9" s="1259" t="s">
        <v>3193</v>
      </c>
      <c r="D9" s="1259">
        <v>2023.0</v>
      </c>
      <c r="E9" s="1259">
        <v>173.0</v>
      </c>
      <c r="F9" s="1259">
        <v>47.0</v>
      </c>
      <c r="G9" s="1259">
        <v>8.0</v>
      </c>
      <c r="H9" s="1259">
        <v>8.0</v>
      </c>
      <c r="I9" s="1259">
        <v>20.4</v>
      </c>
      <c r="J9" s="1261"/>
      <c r="K9" s="1262" t="s">
        <v>3210</v>
      </c>
      <c r="L9" s="1262" t="s">
        <v>3211</v>
      </c>
      <c r="M9" s="1259" t="s">
        <v>2901</v>
      </c>
      <c r="N9" s="1259">
        <v>20.0</v>
      </c>
      <c r="O9" s="1259"/>
    </row>
    <row r="10" ht="20.25" customHeight="1">
      <c r="A10" s="1251" t="s">
        <v>3212</v>
      </c>
      <c r="B10" s="1252" t="s">
        <v>354</v>
      </c>
      <c r="C10" s="1251" t="s">
        <v>3193</v>
      </c>
      <c r="D10" s="1251">
        <v>2022.0</v>
      </c>
      <c r="E10" s="1251">
        <v>150.0</v>
      </c>
      <c r="F10" s="1251">
        <v>89.0</v>
      </c>
      <c r="G10" s="1251">
        <v>9.0</v>
      </c>
      <c r="H10" s="1251">
        <v>9.0</v>
      </c>
      <c r="I10" s="1251">
        <v>11.0</v>
      </c>
      <c r="J10" s="1255"/>
      <c r="K10" s="1254" t="s">
        <v>3213</v>
      </c>
      <c r="L10" s="1254" t="s">
        <v>3214</v>
      </c>
      <c r="M10" s="1251" t="s">
        <v>2953</v>
      </c>
      <c r="N10" s="1255"/>
      <c r="O10" s="1255"/>
    </row>
    <row r="11" ht="20.25" customHeight="1">
      <c r="A11" s="1251" t="s">
        <v>3215</v>
      </c>
      <c r="B11" s="1252" t="s">
        <v>3216</v>
      </c>
      <c r="C11" s="1251" t="s">
        <v>3217</v>
      </c>
      <c r="D11" s="1251">
        <v>2023.0</v>
      </c>
      <c r="E11" s="1251">
        <v>170.0</v>
      </c>
      <c r="F11" s="1251">
        <v>70.0</v>
      </c>
      <c r="G11" s="1251">
        <v>5.0</v>
      </c>
      <c r="H11" s="1251">
        <v>5.0</v>
      </c>
      <c r="I11" s="1251">
        <v>25.0</v>
      </c>
      <c r="J11" s="1255"/>
      <c r="K11" s="1254" t="s">
        <v>3218</v>
      </c>
      <c r="L11" s="1254" t="s">
        <v>3219</v>
      </c>
      <c r="M11" s="1251" t="s">
        <v>2953</v>
      </c>
      <c r="N11" s="1255"/>
      <c r="O11" s="1255"/>
    </row>
    <row r="12" ht="20.25" customHeight="1">
      <c r="A12" s="1251" t="s">
        <v>3220</v>
      </c>
      <c r="B12" s="1252" t="s">
        <v>3221</v>
      </c>
      <c r="C12" s="1251" t="s">
        <v>3193</v>
      </c>
      <c r="D12" s="1251">
        <v>2023.0</v>
      </c>
      <c r="E12" s="1251">
        <v>175.0</v>
      </c>
      <c r="F12" s="1251">
        <v>64.0</v>
      </c>
      <c r="G12" s="1251">
        <v>5.4</v>
      </c>
      <c r="H12" s="1251">
        <v>5.4</v>
      </c>
      <c r="I12" s="1251">
        <v>16.0</v>
      </c>
      <c r="J12" s="1251">
        <v>3.0</v>
      </c>
      <c r="K12" s="1254" t="s">
        <v>3222</v>
      </c>
      <c r="L12" s="1254" t="s">
        <v>3223</v>
      </c>
      <c r="M12" s="1251" t="s">
        <v>2953</v>
      </c>
      <c r="N12" s="1251">
        <v>250.0</v>
      </c>
      <c r="O12" s="1255"/>
    </row>
    <row r="13" ht="20.25" customHeight="1">
      <c r="A13" s="1251" t="s">
        <v>3224</v>
      </c>
      <c r="B13" s="1252" t="s">
        <v>3225</v>
      </c>
      <c r="C13" s="1251" t="s">
        <v>3226</v>
      </c>
      <c r="D13" s="1251">
        <v>2023.0</v>
      </c>
      <c r="E13" s="1251">
        <v>180.0</v>
      </c>
      <c r="F13" s="1251">
        <v>47.0</v>
      </c>
      <c r="G13" s="1251">
        <v>5.4</v>
      </c>
      <c r="H13" s="1251">
        <v>18.0</v>
      </c>
      <c r="I13" s="1255"/>
      <c r="J13" s="1255"/>
      <c r="K13" s="1254" t="s">
        <v>3227</v>
      </c>
      <c r="L13" s="1254" t="s">
        <v>3228</v>
      </c>
      <c r="M13" s="1251" t="s">
        <v>2901</v>
      </c>
      <c r="N13" s="1251">
        <v>90.0</v>
      </c>
      <c r="O13" s="1255"/>
    </row>
    <row r="14" ht="20.25" customHeight="1">
      <c r="A14" s="1251" t="s">
        <v>3229</v>
      </c>
      <c r="B14" s="1252" t="s">
        <v>1550</v>
      </c>
      <c r="C14" s="1251" t="s">
        <v>3193</v>
      </c>
      <c r="D14" s="1251">
        <v>2023.0</v>
      </c>
      <c r="E14" s="1251">
        <v>172.0</v>
      </c>
      <c r="F14" s="1251">
        <v>72.0</v>
      </c>
      <c r="G14" s="1255"/>
      <c r="H14" s="1255"/>
      <c r="I14" s="1251">
        <v>25.0</v>
      </c>
      <c r="J14" s="1251">
        <v>4.0</v>
      </c>
      <c r="K14" s="1254" t="s">
        <v>3230</v>
      </c>
      <c r="L14" s="1258" t="s">
        <v>3231</v>
      </c>
      <c r="M14" s="1251" t="s">
        <v>2953</v>
      </c>
      <c r="N14" s="1255"/>
      <c r="O14" s="1251" t="s">
        <v>3232</v>
      </c>
    </row>
    <row r="15" ht="20.25" customHeight="1">
      <c r="A15" s="1251" t="s">
        <v>3233</v>
      </c>
      <c r="B15" s="1252" t="s">
        <v>3234</v>
      </c>
      <c r="C15" s="1251" t="s">
        <v>3226</v>
      </c>
      <c r="D15" s="1251">
        <v>2024.0</v>
      </c>
      <c r="E15" s="1251">
        <v>178.0</v>
      </c>
      <c r="F15" s="1251">
        <v>85.0</v>
      </c>
      <c r="G15" s="1255"/>
      <c r="H15" s="1255"/>
      <c r="I15" s="1255"/>
      <c r="J15" s="1255"/>
      <c r="K15" s="1258" t="s">
        <v>3235</v>
      </c>
      <c r="L15" s="1254" t="s">
        <v>3236</v>
      </c>
      <c r="M15" s="1251" t="s">
        <v>2953</v>
      </c>
      <c r="N15" s="1251">
        <v>30.0</v>
      </c>
      <c r="O15" s="1255"/>
    </row>
    <row r="16" ht="20.25" customHeight="1">
      <c r="A16" s="1251" t="s">
        <v>3237</v>
      </c>
      <c r="B16" s="1252" t="s">
        <v>3238</v>
      </c>
      <c r="C16" s="1251" t="s">
        <v>3226</v>
      </c>
      <c r="D16" s="1251">
        <v>2024.0</v>
      </c>
      <c r="E16" s="1255"/>
      <c r="F16" s="1255"/>
      <c r="G16" s="1255"/>
      <c r="H16" s="1255"/>
      <c r="I16" s="1255"/>
      <c r="J16" s="1255"/>
      <c r="K16" s="1258" t="s">
        <v>3239</v>
      </c>
      <c r="L16" s="1254" t="s">
        <v>3240</v>
      </c>
      <c r="M16" s="1251" t="s">
        <v>2953</v>
      </c>
      <c r="N16" s="1255"/>
      <c r="O16" s="1255"/>
    </row>
    <row r="17" ht="20.25" customHeight="1">
      <c r="A17" s="1251" t="s">
        <v>3241</v>
      </c>
      <c r="B17" s="1252" t="s">
        <v>3242</v>
      </c>
      <c r="C17" s="1251" t="s">
        <v>3243</v>
      </c>
      <c r="D17" s="1251">
        <v>2024.0</v>
      </c>
      <c r="E17" s="1251">
        <v>175.0</v>
      </c>
      <c r="F17" s="1251">
        <v>70.0</v>
      </c>
      <c r="G17" s="1251">
        <v>5.4</v>
      </c>
      <c r="H17" s="1255"/>
      <c r="I17" s="1251">
        <v>25.0</v>
      </c>
      <c r="J17" s="1255"/>
      <c r="K17" s="1254" t="s">
        <v>3244</v>
      </c>
      <c r="L17" s="1254" t="s">
        <v>3245</v>
      </c>
      <c r="M17" s="1251" t="s">
        <v>2953</v>
      </c>
      <c r="N17" s="1255"/>
      <c r="O17" s="1255"/>
    </row>
    <row r="18" ht="20.25" customHeight="1">
      <c r="A18" s="1251" t="s">
        <v>3246</v>
      </c>
      <c r="B18" s="1252" t="s">
        <v>3247</v>
      </c>
      <c r="C18" s="1251" t="s">
        <v>3226</v>
      </c>
      <c r="D18" s="1251">
        <v>2024.0</v>
      </c>
      <c r="E18" s="1251">
        <v>185.0</v>
      </c>
      <c r="F18" s="1251">
        <v>80.0</v>
      </c>
      <c r="G18" s="1255"/>
      <c r="H18" s="1255"/>
      <c r="I18" s="1255"/>
      <c r="J18" s="1255"/>
      <c r="K18" s="1254" t="s">
        <v>3248</v>
      </c>
      <c r="L18" s="1254" t="s">
        <v>3249</v>
      </c>
      <c r="M18" s="1251" t="s">
        <v>2953</v>
      </c>
      <c r="N18" s="1255"/>
      <c r="O18" s="1255"/>
    </row>
    <row r="19" ht="20.25" customHeight="1">
      <c r="A19" s="1251" t="s">
        <v>3250</v>
      </c>
      <c r="B19" s="1252" t="s">
        <v>3251</v>
      </c>
      <c r="C19" s="1251" t="s">
        <v>3226</v>
      </c>
      <c r="D19" s="1251">
        <v>2024.0</v>
      </c>
      <c r="E19" s="1255"/>
      <c r="F19" s="1263"/>
      <c r="G19" s="1255"/>
      <c r="H19" s="1251">
        <v>36.0</v>
      </c>
      <c r="I19" s="1251">
        <v>10.0</v>
      </c>
      <c r="J19" s="1255"/>
      <c r="K19" s="1258" t="s">
        <v>3252</v>
      </c>
      <c r="L19" s="1258" t="s">
        <v>3253</v>
      </c>
      <c r="M19" s="1251" t="s">
        <v>2953</v>
      </c>
      <c r="N19" s="1255"/>
      <c r="O19" s="1255"/>
    </row>
    <row r="20" ht="20.25" customHeight="1">
      <c r="A20" s="1247" t="s">
        <v>3254</v>
      </c>
      <c r="B20" s="1246" t="s">
        <v>3255</v>
      </c>
      <c r="C20" s="1247" t="s">
        <v>3226</v>
      </c>
      <c r="D20" s="1247">
        <v>2024.0</v>
      </c>
      <c r="E20" s="1247">
        <v>165.0</v>
      </c>
      <c r="F20" s="1264">
        <v>45.0</v>
      </c>
      <c r="G20" s="1247">
        <v>7.2</v>
      </c>
      <c r="H20" s="1247">
        <v>7.2</v>
      </c>
      <c r="I20" s="1247">
        <v>10.0</v>
      </c>
      <c r="J20" s="1247">
        <v>8.0</v>
      </c>
      <c r="K20" s="1250" t="s">
        <v>3256</v>
      </c>
      <c r="L20" s="1250" t="s">
        <v>3257</v>
      </c>
      <c r="M20" s="1247" t="s">
        <v>2953</v>
      </c>
      <c r="N20" s="1257"/>
      <c r="O20" s="1265" t="s">
        <v>3258</v>
      </c>
    </row>
    <row r="21" ht="20.25" customHeight="1">
      <c r="B21" s="1266"/>
      <c r="C21" s="1255"/>
      <c r="D21" s="1251"/>
      <c r="E21" s="1255"/>
      <c r="F21" s="1263"/>
      <c r="G21" s="1255"/>
      <c r="H21" s="1255"/>
      <c r="I21" s="1255"/>
      <c r="J21" s="1255"/>
      <c r="K21" s="1267"/>
      <c r="L21" s="1267"/>
      <c r="M21" s="1255"/>
      <c r="N21" s="1255"/>
      <c r="O21" s="1255"/>
    </row>
    <row r="22" ht="20.25" customHeight="1">
      <c r="A22" s="1268"/>
      <c r="B22" s="1268"/>
      <c r="C22" s="1269" t="s">
        <v>3259</v>
      </c>
      <c r="D22" s="1270"/>
      <c r="E22" s="1270"/>
      <c r="F22" s="1270"/>
      <c r="G22" s="1270"/>
      <c r="H22" s="1270"/>
      <c r="I22" s="1270"/>
      <c r="J22" s="1270"/>
      <c r="K22" s="1257"/>
      <c r="L22" s="1271"/>
      <c r="M22" s="1257"/>
      <c r="N22" s="1257"/>
      <c r="O22" s="1257"/>
    </row>
    <row r="23" ht="20.25" customHeight="1">
      <c r="A23" s="1272"/>
      <c r="B23" s="1273"/>
      <c r="C23" s="1274" t="s">
        <v>3260</v>
      </c>
      <c r="D23" s="1272"/>
      <c r="E23" s="1274" t="s">
        <v>3261</v>
      </c>
      <c r="F23" s="1275"/>
      <c r="G23" s="1275"/>
      <c r="H23" s="1276" t="s">
        <v>3262</v>
      </c>
      <c r="J23" s="1272"/>
      <c r="K23" s="1277"/>
      <c r="L23" s="1277"/>
      <c r="M23" s="1272"/>
      <c r="N23" s="1272"/>
      <c r="O23" s="1272"/>
    </row>
    <row r="24" ht="20.25" customHeight="1">
      <c r="A24" s="1272"/>
      <c r="B24" s="1273"/>
      <c r="C24" s="1272"/>
      <c r="D24" s="1272"/>
      <c r="E24" s="1274" t="s">
        <v>3263</v>
      </c>
      <c r="F24" s="1275"/>
      <c r="G24" s="1272"/>
      <c r="H24" s="1276" t="s">
        <v>3264</v>
      </c>
      <c r="J24" s="1272"/>
      <c r="K24" s="1277"/>
      <c r="L24" s="1277"/>
      <c r="M24" s="1272"/>
      <c r="N24" s="1272"/>
      <c r="O24" s="1272"/>
    </row>
    <row r="25" ht="20.25" customHeight="1">
      <c r="A25" s="1272"/>
      <c r="B25" s="1273"/>
      <c r="C25" s="1272"/>
      <c r="D25" s="1272"/>
      <c r="E25" s="1274" t="s">
        <v>3265</v>
      </c>
      <c r="F25" s="1275"/>
      <c r="G25" s="1272"/>
      <c r="H25" s="1276" t="s">
        <v>3266</v>
      </c>
      <c r="J25" s="1272"/>
      <c r="K25" s="1277"/>
      <c r="L25" s="1277"/>
      <c r="M25" s="1272"/>
      <c r="N25" s="1272"/>
      <c r="O25" s="1272"/>
    </row>
    <row r="26" ht="20.25" customHeight="1">
      <c r="A26" s="1255"/>
      <c r="B26" s="1266"/>
      <c r="C26" s="1255"/>
      <c r="D26" s="1255"/>
      <c r="I26" s="1255"/>
      <c r="J26" s="1255"/>
      <c r="K26" s="1267"/>
      <c r="L26" s="1267"/>
      <c r="M26" s="1255"/>
      <c r="N26" s="1255"/>
      <c r="O26" s="1255"/>
    </row>
    <row r="27" ht="20.25" customHeight="1">
      <c r="A27" s="1255"/>
      <c r="B27" s="1266"/>
      <c r="C27" s="1255"/>
      <c r="D27" s="1255"/>
      <c r="E27" s="1255"/>
      <c r="F27" s="1255"/>
      <c r="G27" s="1255"/>
      <c r="H27" s="1255"/>
      <c r="I27" s="1255"/>
      <c r="J27" s="1255"/>
      <c r="K27" s="1267"/>
      <c r="L27" s="1267"/>
      <c r="M27" s="1255"/>
      <c r="N27" s="1255"/>
      <c r="O27" s="1255"/>
    </row>
    <row r="28" ht="20.25" customHeight="1">
      <c r="A28" s="1255"/>
      <c r="B28" s="1266"/>
      <c r="C28" s="1255"/>
      <c r="D28" s="1255"/>
      <c r="E28" s="1255"/>
      <c r="F28" s="1255"/>
      <c r="G28" s="1255"/>
      <c r="H28" s="1255"/>
      <c r="I28" s="1255"/>
      <c r="J28" s="1255"/>
      <c r="K28" s="1267"/>
      <c r="L28" s="1267"/>
      <c r="M28" s="1255"/>
      <c r="N28" s="1255"/>
      <c r="O28" s="1255"/>
    </row>
    <row r="29" ht="20.25" customHeight="1">
      <c r="A29" s="1255"/>
      <c r="B29" s="1266"/>
      <c r="C29" s="1255"/>
      <c r="D29" s="1255"/>
      <c r="E29" s="1255"/>
      <c r="F29" s="1255"/>
      <c r="G29" s="1255"/>
      <c r="H29" s="1255"/>
      <c r="I29" s="1255"/>
      <c r="J29" s="1255"/>
      <c r="K29" s="1267"/>
      <c r="L29" s="1267"/>
      <c r="M29" s="1255"/>
      <c r="N29" s="1255"/>
      <c r="O29" s="1255"/>
    </row>
    <row r="30" ht="20.25" customHeight="1">
      <c r="A30" s="1255"/>
      <c r="B30" s="1266"/>
      <c r="C30" s="1255"/>
      <c r="D30" s="1255"/>
      <c r="E30" s="1255"/>
      <c r="F30" s="1255"/>
      <c r="G30" s="1255"/>
      <c r="H30" s="1255"/>
      <c r="I30" s="1255"/>
      <c r="J30" s="1255"/>
      <c r="K30" s="1267"/>
      <c r="L30" s="1267"/>
      <c r="M30" s="1255"/>
      <c r="N30" s="1255"/>
      <c r="O30" s="1255"/>
    </row>
    <row r="31" ht="20.25" customHeight="1">
      <c r="A31" s="1255"/>
      <c r="B31" s="1266"/>
      <c r="C31" s="1255"/>
      <c r="D31" s="1255"/>
      <c r="E31" s="1255"/>
      <c r="F31" s="1255"/>
      <c r="G31" s="1255"/>
      <c r="H31" s="1255"/>
      <c r="I31" s="1255"/>
      <c r="J31" s="1255"/>
      <c r="K31" s="1267"/>
      <c r="L31" s="1267"/>
      <c r="M31" s="1255"/>
      <c r="N31" s="1255"/>
      <c r="O31" s="1255"/>
    </row>
    <row r="32" ht="20.25" customHeight="1">
      <c r="A32" s="1278" t="s">
        <v>3267</v>
      </c>
      <c r="B32" s="1266"/>
      <c r="C32" s="1251" t="s">
        <v>3268</v>
      </c>
      <c r="D32" s="1255"/>
      <c r="E32" s="1255"/>
      <c r="F32" s="1255"/>
      <c r="G32" s="1255"/>
      <c r="H32" s="1255"/>
      <c r="I32" s="1255"/>
      <c r="J32" s="1255"/>
      <c r="K32" s="1267"/>
      <c r="L32" s="1267"/>
      <c r="M32" s="1255"/>
      <c r="N32" s="1255"/>
      <c r="O32" s="1255"/>
    </row>
    <row r="33" ht="20.25" customHeight="1">
      <c r="A33" s="1255"/>
      <c r="B33" s="1266"/>
      <c r="C33" s="1255"/>
      <c r="D33" s="1255"/>
      <c r="E33" s="1255"/>
      <c r="F33" s="1255"/>
      <c r="G33" s="1255"/>
      <c r="H33" s="1255"/>
      <c r="I33" s="1255"/>
      <c r="J33" s="1255"/>
      <c r="K33" s="1267"/>
      <c r="L33" s="1267"/>
      <c r="M33" s="1255"/>
      <c r="N33" s="1255"/>
      <c r="O33" s="1255"/>
    </row>
  </sheetData>
  <hyperlinks>
    <hyperlink r:id="rId1" ref="A3"/>
    <hyperlink r:id="rId2" ref="K4"/>
    <hyperlink r:id="rId3" ref="L4"/>
    <hyperlink r:id="rId4" ref="K5"/>
    <hyperlink r:id="rId5" ref="L5"/>
    <hyperlink r:id="rId6" ref="K6"/>
    <hyperlink r:id="rId7" ref="L6"/>
    <hyperlink r:id="rId8" ref="K7"/>
    <hyperlink r:id="rId9" ref="L7"/>
    <hyperlink r:id="rId10" ref="K8"/>
    <hyperlink r:id="rId11" ref="L8"/>
    <hyperlink r:id="rId12" ref="K9"/>
    <hyperlink r:id="rId13" ref="L9"/>
    <hyperlink r:id="rId14" ref="K10"/>
    <hyperlink r:id="rId15" ref="L10"/>
    <hyperlink r:id="rId16" ref="K11"/>
    <hyperlink r:id="rId17" ref="L11"/>
    <hyperlink r:id="rId18" ref="K12"/>
    <hyperlink r:id="rId19" ref="L12"/>
    <hyperlink r:id="rId20" ref="K13"/>
    <hyperlink r:id="rId21" ref="L13"/>
    <hyperlink r:id="rId22" ref="K14"/>
    <hyperlink r:id="rId23" ref="L14"/>
    <hyperlink r:id="rId24" ref="K15"/>
    <hyperlink r:id="rId25" ref="L15"/>
    <hyperlink r:id="rId26" ref="K16"/>
    <hyperlink r:id="rId27" ref="L16"/>
    <hyperlink r:id="rId28" ref="K17"/>
    <hyperlink r:id="rId29" ref="L17"/>
    <hyperlink r:id="rId30" ref="K18"/>
    <hyperlink r:id="rId31" ref="L18"/>
    <hyperlink r:id="rId32" ref="K19"/>
    <hyperlink r:id="rId33" ref="L19"/>
    <hyperlink r:id="rId34" ref="K20"/>
    <hyperlink r:id="rId35" ref="L20"/>
    <hyperlink r:id="rId36" ref="H23"/>
    <hyperlink r:id="rId37" ref="H24"/>
    <hyperlink r:id="rId38" ref="H25"/>
    <hyperlink r:id="rId39" ref="A32"/>
  </hyperlinks>
  <drawing r:id="rId40"/>
  <tableParts count="1">
    <tablePart r:id="rId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52.75"/>
    <col customWidth="1" min="2" max="2" width="98.63"/>
  </cols>
  <sheetData>
    <row r="1" ht="23.25" customHeight="1">
      <c r="A1" s="1279" t="s">
        <v>3269</v>
      </c>
      <c r="B1" s="1279" t="s">
        <v>3117</v>
      </c>
      <c r="C1" s="1280"/>
      <c r="D1" s="1280"/>
      <c r="E1" s="1280"/>
      <c r="F1" s="1280"/>
      <c r="G1" s="1280"/>
      <c r="H1" s="1280"/>
      <c r="I1" s="1280"/>
      <c r="J1" s="1280"/>
      <c r="K1" s="1280"/>
      <c r="L1" s="1280"/>
      <c r="M1" s="1280"/>
      <c r="N1" s="1280"/>
      <c r="O1" s="1280"/>
      <c r="P1" s="1280"/>
      <c r="Q1" s="1280"/>
      <c r="R1" s="1280"/>
      <c r="S1" s="1280"/>
      <c r="T1" s="1280"/>
      <c r="U1" s="1280"/>
      <c r="V1" s="1280"/>
      <c r="W1" s="1280"/>
      <c r="X1" s="1280"/>
      <c r="Y1" s="1280"/>
      <c r="Z1" s="1280"/>
    </row>
    <row r="2" ht="23.25" customHeight="1">
      <c r="A2" s="1281" t="s">
        <v>3270</v>
      </c>
      <c r="B2" s="1282" t="s">
        <v>3271</v>
      </c>
      <c r="C2" s="1283"/>
      <c r="D2" s="1283"/>
      <c r="E2" s="1283"/>
      <c r="F2" s="1283"/>
      <c r="G2" s="1283"/>
      <c r="H2" s="1283"/>
      <c r="I2" s="1283"/>
      <c r="J2" s="1283"/>
      <c r="K2" s="1283"/>
      <c r="L2" s="1283"/>
      <c r="M2" s="1283"/>
      <c r="N2" s="1283"/>
      <c r="O2" s="1283"/>
      <c r="P2" s="1283"/>
      <c r="Q2" s="1283"/>
      <c r="R2" s="1283"/>
      <c r="S2" s="1283"/>
      <c r="T2" s="1283"/>
      <c r="U2" s="1283"/>
      <c r="V2" s="1283"/>
      <c r="W2" s="1283"/>
      <c r="X2" s="1283"/>
      <c r="Y2" s="1283"/>
      <c r="Z2" s="1283"/>
    </row>
    <row r="3" ht="23.25" customHeight="1">
      <c r="A3" s="1281" t="s">
        <v>3272</v>
      </c>
      <c r="B3" s="1282" t="s">
        <v>3273</v>
      </c>
      <c r="C3" s="1283"/>
      <c r="D3" s="1283"/>
      <c r="E3" s="1283"/>
      <c r="F3" s="1283"/>
      <c r="G3" s="1283"/>
      <c r="H3" s="1283"/>
      <c r="I3" s="1283"/>
      <c r="J3" s="1283"/>
      <c r="K3" s="1283"/>
      <c r="L3" s="1283"/>
      <c r="M3" s="1283"/>
      <c r="N3" s="1283"/>
      <c r="O3" s="1283"/>
      <c r="P3" s="1283"/>
      <c r="Q3" s="1283"/>
      <c r="R3" s="1283"/>
      <c r="S3" s="1283"/>
      <c r="T3" s="1283"/>
      <c r="U3" s="1283"/>
      <c r="V3" s="1283"/>
      <c r="W3" s="1283"/>
      <c r="X3" s="1283"/>
      <c r="Y3" s="1283"/>
      <c r="Z3" s="1283"/>
    </row>
    <row r="4" ht="23.25" customHeight="1">
      <c r="A4" s="1281" t="s">
        <v>3274</v>
      </c>
      <c r="B4" s="1282" t="s">
        <v>3275</v>
      </c>
      <c r="C4" s="1283"/>
      <c r="D4" s="1283"/>
      <c r="E4" s="1283"/>
      <c r="F4" s="1283"/>
      <c r="G4" s="1283"/>
      <c r="H4" s="1283"/>
      <c r="I4" s="1283"/>
      <c r="J4" s="1283"/>
      <c r="K4" s="1283"/>
      <c r="L4" s="1283"/>
      <c r="M4" s="1283"/>
      <c r="N4" s="1283"/>
      <c r="O4" s="1283"/>
      <c r="P4" s="1283"/>
      <c r="Q4" s="1283"/>
      <c r="R4" s="1283"/>
      <c r="S4" s="1283"/>
      <c r="T4" s="1283"/>
      <c r="U4" s="1283"/>
      <c r="V4" s="1283"/>
      <c r="W4" s="1283"/>
      <c r="X4" s="1283"/>
      <c r="Y4" s="1283"/>
      <c r="Z4" s="1283"/>
    </row>
    <row r="5" ht="23.25" customHeight="1">
      <c r="A5" s="1281" t="s">
        <v>3276</v>
      </c>
      <c r="B5" s="1284" t="s">
        <v>3277</v>
      </c>
      <c r="C5" s="1283"/>
      <c r="D5" s="1283"/>
      <c r="E5" s="1283"/>
      <c r="F5" s="1283"/>
      <c r="G5" s="1283"/>
      <c r="H5" s="1283"/>
      <c r="I5" s="1283"/>
      <c r="J5" s="1283"/>
      <c r="K5" s="1283"/>
      <c r="L5" s="1283"/>
      <c r="M5" s="1283"/>
      <c r="N5" s="1283"/>
      <c r="O5" s="1283"/>
      <c r="P5" s="1283"/>
      <c r="Q5" s="1283"/>
      <c r="R5" s="1283"/>
      <c r="S5" s="1283"/>
      <c r="T5" s="1283"/>
      <c r="U5" s="1283"/>
      <c r="V5" s="1283"/>
      <c r="W5" s="1283"/>
      <c r="X5" s="1283"/>
      <c r="Y5" s="1283"/>
      <c r="Z5" s="1283"/>
    </row>
    <row r="6" ht="23.25" customHeight="1">
      <c r="A6" s="1281" t="s">
        <v>3278</v>
      </c>
      <c r="B6" s="1282" t="s">
        <v>3279</v>
      </c>
      <c r="C6" s="1283"/>
      <c r="D6" s="1283"/>
      <c r="E6" s="1283"/>
      <c r="F6" s="1283"/>
      <c r="G6" s="1283"/>
      <c r="H6" s="1283"/>
      <c r="I6" s="1283"/>
      <c r="J6" s="1283"/>
      <c r="K6" s="1283"/>
      <c r="L6" s="1283"/>
      <c r="M6" s="1283"/>
      <c r="N6" s="1283"/>
      <c r="O6" s="1283"/>
      <c r="P6" s="1283"/>
      <c r="Q6" s="1283"/>
      <c r="R6" s="1283"/>
      <c r="S6" s="1283"/>
      <c r="T6" s="1283"/>
      <c r="U6" s="1283"/>
      <c r="V6" s="1283"/>
      <c r="W6" s="1283"/>
      <c r="X6" s="1283"/>
      <c r="Y6" s="1283"/>
      <c r="Z6" s="1283"/>
    </row>
    <row r="7" ht="23.25" customHeight="1">
      <c r="A7" s="1281" t="s">
        <v>3280</v>
      </c>
      <c r="B7" s="1282" t="s">
        <v>3281</v>
      </c>
      <c r="C7" s="1283"/>
      <c r="D7" s="1283"/>
      <c r="E7" s="1283"/>
      <c r="F7" s="1283"/>
      <c r="G7" s="1283"/>
      <c r="H7" s="1283"/>
      <c r="I7" s="1283"/>
      <c r="J7" s="1283"/>
      <c r="K7" s="1283"/>
      <c r="L7" s="1283"/>
      <c r="M7" s="1283"/>
      <c r="N7" s="1283"/>
      <c r="O7" s="1283"/>
      <c r="P7" s="1283"/>
      <c r="Q7" s="1283"/>
      <c r="R7" s="1283"/>
      <c r="S7" s="1283"/>
      <c r="T7" s="1283"/>
      <c r="U7" s="1283"/>
      <c r="V7" s="1283"/>
      <c r="W7" s="1283"/>
      <c r="X7" s="1283"/>
      <c r="Y7" s="1283"/>
      <c r="Z7" s="1283"/>
    </row>
    <row r="8" ht="23.25" customHeight="1">
      <c r="A8" s="1281" t="s">
        <v>3282</v>
      </c>
      <c r="B8" s="1282" t="s">
        <v>3283</v>
      </c>
      <c r="C8" s="1283"/>
      <c r="D8" s="1283"/>
      <c r="E8" s="1283"/>
      <c r="F8" s="1283"/>
      <c r="G8" s="1283"/>
      <c r="H8" s="1283"/>
      <c r="I8" s="1283"/>
      <c r="J8" s="1283"/>
      <c r="K8" s="1283"/>
      <c r="L8" s="1283"/>
      <c r="M8" s="1283"/>
      <c r="N8" s="1283"/>
      <c r="O8" s="1283"/>
      <c r="P8" s="1283"/>
      <c r="Q8" s="1283"/>
      <c r="R8" s="1283"/>
      <c r="S8" s="1283"/>
      <c r="T8" s="1283"/>
      <c r="U8" s="1283"/>
      <c r="V8" s="1283"/>
      <c r="W8" s="1283"/>
      <c r="X8" s="1283"/>
      <c r="Y8" s="1283"/>
      <c r="Z8" s="1283"/>
    </row>
    <row r="9" ht="23.25" customHeight="1">
      <c r="A9" s="1281" t="s">
        <v>3284</v>
      </c>
      <c r="B9" s="1282" t="s">
        <v>3285</v>
      </c>
      <c r="C9" s="1283"/>
      <c r="D9" s="1283"/>
      <c r="E9" s="1283"/>
      <c r="F9" s="1283"/>
      <c r="G9" s="1283"/>
      <c r="H9" s="1283"/>
      <c r="I9" s="1283"/>
      <c r="J9" s="1283"/>
      <c r="K9" s="1283"/>
      <c r="L9" s="1283"/>
      <c r="M9" s="1283"/>
      <c r="N9" s="1283"/>
      <c r="O9" s="1283"/>
      <c r="P9" s="1283"/>
      <c r="Q9" s="1283"/>
      <c r="R9" s="1283"/>
      <c r="S9" s="1283"/>
      <c r="T9" s="1283"/>
      <c r="U9" s="1283"/>
      <c r="V9" s="1283"/>
      <c r="W9" s="1283"/>
      <c r="X9" s="1283"/>
      <c r="Y9" s="1283"/>
      <c r="Z9" s="1283"/>
    </row>
    <row r="10" ht="23.25" customHeight="1">
      <c r="A10" s="1281" t="s">
        <v>3286</v>
      </c>
      <c r="B10" s="1284" t="s">
        <v>3287</v>
      </c>
      <c r="C10" s="1283"/>
      <c r="D10" s="1283"/>
      <c r="E10" s="1283"/>
      <c r="F10" s="1283"/>
      <c r="G10" s="1283"/>
      <c r="H10" s="1283"/>
      <c r="I10" s="1283"/>
      <c r="J10" s="1283"/>
      <c r="K10" s="1283"/>
      <c r="L10" s="1283"/>
      <c r="M10" s="1283"/>
      <c r="N10" s="1283"/>
      <c r="O10" s="1283"/>
      <c r="P10" s="1283"/>
      <c r="Q10" s="1283"/>
      <c r="R10" s="1283"/>
      <c r="S10" s="1283"/>
      <c r="T10" s="1283"/>
      <c r="U10" s="1283"/>
      <c r="V10" s="1283"/>
      <c r="W10" s="1283"/>
      <c r="X10" s="1283"/>
      <c r="Y10" s="1283"/>
      <c r="Z10" s="1283"/>
    </row>
    <row r="11" ht="23.25" customHeight="1">
      <c r="A11" s="1281" t="s">
        <v>3288</v>
      </c>
      <c r="B11" s="1282" t="s">
        <v>3289</v>
      </c>
      <c r="C11" s="1283"/>
      <c r="D11" s="1283"/>
      <c r="E11" s="1283"/>
      <c r="F11" s="1283"/>
      <c r="G11" s="1283"/>
      <c r="H11" s="1283"/>
      <c r="I11" s="1283"/>
      <c r="J11" s="1283"/>
      <c r="K11" s="1283"/>
      <c r="L11" s="1283"/>
      <c r="M11" s="1283"/>
      <c r="N11" s="1283"/>
      <c r="O11" s="1283"/>
      <c r="P11" s="1283"/>
      <c r="Q11" s="1283"/>
      <c r="R11" s="1283"/>
      <c r="S11" s="1283"/>
      <c r="T11" s="1283"/>
      <c r="U11" s="1283"/>
      <c r="V11" s="1283"/>
      <c r="W11" s="1283"/>
      <c r="X11" s="1283"/>
      <c r="Y11" s="1283"/>
      <c r="Z11" s="1283"/>
    </row>
    <row r="12" ht="23.25" customHeight="1">
      <c r="A12" s="1281" t="s">
        <v>3290</v>
      </c>
      <c r="B12" s="1282" t="s">
        <v>3291</v>
      </c>
      <c r="C12" s="1283"/>
      <c r="D12" s="1283"/>
      <c r="E12" s="1283"/>
      <c r="F12" s="1283"/>
      <c r="G12" s="1283"/>
      <c r="H12" s="1283"/>
      <c r="I12" s="1283"/>
      <c r="J12" s="1283"/>
      <c r="K12" s="1283"/>
      <c r="L12" s="1283"/>
      <c r="M12" s="1283"/>
      <c r="N12" s="1283"/>
      <c r="O12" s="1283"/>
      <c r="P12" s="1283"/>
      <c r="Q12" s="1283"/>
      <c r="R12" s="1283"/>
      <c r="S12" s="1283"/>
      <c r="T12" s="1283"/>
      <c r="U12" s="1283"/>
      <c r="V12" s="1283"/>
      <c r="W12" s="1283"/>
      <c r="X12" s="1283"/>
      <c r="Y12" s="1283"/>
      <c r="Z12" s="1283"/>
    </row>
    <row r="13" ht="23.25" customHeight="1">
      <c r="A13" s="1281" t="s">
        <v>3292</v>
      </c>
      <c r="B13" s="1282" t="s">
        <v>3293</v>
      </c>
      <c r="C13" s="1283"/>
      <c r="D13" s="1283"/>
      <c r="E13" s="1283"/>
      <c r="F13" s="1283"/>
      <c r="G13" s="1283"/>
      <c r="H13" s="1283"/>
      <c r="I13" s="1283"/>
      <c r="J13" s="1283"/>
      <c r="K13" s="1283"/>
      <c r="L13" s="1283"/>
      <c r="M13" s="1283"/>
      <c r="N13" s="1283"/>
      <c r="O13" s="1283"/>
      <c r="P13" s="1283"/>
      <c r="Q13" s="1283"/>
      <c r="R13" s="1283"/>
      <c r="S13" s="1283"/>
      <c r="T13" s="1283"/>
      <c r="U13" s="1283"/>
      <c r="V13" s="1283"/>
      <c r="W13" s="1283"/>
      <c r="X13" s="1283"/>
      <c r="Y13" s="1283"/>
      <c r="Z13" s="1283"/>
    </row>
    <row r="14" ht="23.25" customHeight="1">
      <c r="A14" s="1281" t="s">
        <v>3294</v>
      </c>
      <c r="B14" s="1282" t="s">
        <v>3295</v>
      </c>
      <c r="C14" s="1283"/>
      <c r="D14" s="1283"/>
      <c r="E14" s="1283"/>
      <c r="F14" s="1283"/>
      <c r="G14" s="1283"/>
      <c r="H14" s="1283"/>
      <c r="I14" s="1283"/>
      <c r="J14" s="1283"/>
      <c r="K14" s="1283"/>
      <c r="L14" s="1283"/>
      <c r="M14" s="1283"/>
      <c r="N14" s="1283"/>
      <c r="O14" s="1283"/>
      <c r="P14" s="1283"/>
      <c r="Q14" s="1283"/>
      <c r="R14" s="1283"/>
      <c r="S14" s="1283"/>
      <c r="T14" s="1283"/>
      <c r="U14" s="1283"/>
      <c r="V14" s="1283"/>
      <c r="W14" s="1283"/>
      <c r="X14" s="1283"/>
      <c r="Y14" s="1283"/>
      <c r="Z14" s="1283"/>
    </row>
    <row r="15" ht="23.25" customHeight="1">
      <c r="A15" s="1281" t="s">
        <v>3296</v>
      </c>
      <c r="B15" s="1282" t="s">
        <v>3297</v>
      </c>
      <c r="C15" s="1283"/>
      <c r="D15" s="1283"/>
      <c r="E15" s="1283"/>
      <c r="F15" s="1283"/>
      <c r="G15" s="1283"/>
      <c r="H15" s="1283"/>
      <c r="I15" s="1283"/>
      <c r="J15" s="1283"/>
      <c r="K15" s="1283"/>
      <c r="L15" s="1283"/>
      <c r="M15" s="1283"/>
      <c r="N15" s="1283"/>
      <c r="O15" s="1283"/>
      <c r="P15" s="1283"/>
      <c r="Q15" s="1283"/>
      <c r="R15" s="1283"/>
      <c r="S15" s="1283"/>
      <c r="T15" s="1283"/>
      <c r="U15" s="1283"/>
      <c r="V15" s="1283"/>
      <c r="W15" s="1283"/>
      <c r="X15" s="1283"/>
      <c r="Y15" s="1283"/>
      <c r="Z15" s="1283"/>
    </row>
    <row r="16" ht="23.25" customHeight="1">
      <c r="A16" s="1281" t="s">
        <v>3298</v>
      </c>
      <c r="B16" s="1282" t="s">
        <v>3299</v>
      </c>
      <c r="C16" s="1283"/>
      <c r="D16" s="1283"/>
      <c r="E16" s="1283"/>
      <c r="F16" s="1283"/>
      <c r="G16" s="1283"/>
      <c r="H16" s="1283"/>
      <c r="I16" s="1283"/>
      <c r="J16" s="1283"/>
      <c r="K16" s="1283"/>
      <c r="L16" s="1283"/>
      <c r="M16" s="1283"/>
      <c r="N16" s="1283"/>
      <c r="O16" s="1283"/>
      <c r="P16" s="1283"/>
      <c r="Q16" s="1283"/>
      <c r="R16" s="1283"/>
      <c r="S16" s="1283"/>
      <c r="T16" s="1283"/>
      <c r="U16" s="1283"/>
      <c r="V16" s="1283"/>
      <c r="W16" s="1283"/>
      <c r="X16" s="1283"/>
      <c r="Y16" s="1283"/>
      <c r="Z16" s="1283"/>
    </row>
    <row r="17" ht="23.25" customHeight="1">
      <c r="A17" s="1281" t="s">
        <v>3300</v>
      </c>
      <c r="B17" s="1282" t="s">
        <v>3301</v>
      </c>
      <c r="C17" s="1283"/>
      <c r="D17" s="1283"/>
      <c r="E17" s="1283"/>
      <c r="F17" s="1283"/>
      <c r="G17" s="1283"/>
      <c r="H17" s="1283"/>
      <c r="I17" s="1283"/>
      <c r="J17" s="1283"/>
      <c r="K17" s="1283"/>
      <c r="L17" s="1283"/>
      <c r="M17" s="1283"/>
      <c r="N17" s="1283"/>
      <c r="O17" s="1283"/>
      <c r="P17" s="1283"/>
      <c r="Q17" s="1283"/>
      <c r="R17" s="1283"/>
      <c r="S17" s="1283"/>
      <c r="T17" s="1283"/>
      <c r="U17" s="1283"/>
      <c r="V17" s="1283"/>
      <c r="W17" s="1283"/>
      <c r="X17" s="1283"/>
      <c r="Y17" s="1283"/>
      <c r="Z17" s="1283"/>
    </row>
    <row r="18" ht="23.25" customHeight="1">
      <c r="A18" s="1281" t="s">
        <v>3302</v>
      </c>
      <c r="B18" s="1282" t="s">
        <v>3303</v>
      </c>
      <c r="C18" s="1283"/>
      <c r="D18" s="1283"/>
      <c r="E18" s="1283"/>
      <c r="F18" s="1283"/>
      <c r="G18" s="1283"/>
      <c r="H18" s="1283"/>
      <c r="I18" s="1283"/>
      <c r="J18" s="1283"/>
      <c r="K18" s="1283"/>
      <c r="L18" s="1283"/>
      <c r="M18" s="1283"/>
      <c r="N18" s="1283"/>
      <c r="O18" s="1283"/>
      <c r="P18" s="1283"/>
      <c r="Q18" s="1283"/>
      <c r="R18" s="1283"/>
      <c r="S18" s="1283"/>
      <c r="T18" s="1283"/>
      <c r="U18" s="1283"/>
      <c r="V18" s="1283"/>
      <c r="W18" s="1283"/>
      <c r="X18" s="1283"/>
      <c r="Y18" s="1283"/>
      <c r="Z18" s="1283"/>
    </row>
    <row r="19" ht="23.25" customHeight="1">
      <c r="A19" s="1281" t="s">
        <v>3304</v>
      </c>
      <c r="B19" s="1284" t="s">
        <v>3305</v>
      </c>
      <c r="C19" s="1283"/>
      <c r="D19" s="1283"/>
      <c r="E19" s="1283"/>
      <c r="F19" s="1283"/>
      <c r="G19" s="1283"/>
      <c r="H19" s="1283"/>
      <c r="I19" s="1283"/>
      <c r="J19" s="1283"/>
      <c r="K19" s="1283"/>
      <c r="L19" s="1283"/>
      <c r="M19" s="1283"/>
      <c r="N19" s="1283"/>
      <c r="O19" s="1283"/>
      <c r="P19" s="1283"/>
      <c r="Q19" s="1283"/>
      <c r="R19" s="1283"/>
      <c r="S19" s="1283"/>
      <c r="T19" s="1283"/>
      <c r="U19" s="1283"/>
      <c r="V19" s="1283"/>
      <c r="W19" s="1283"/>
      <c r="X19" s="1283"/>
      <c r="Y19" s="1283"/>
      <c r="Z19" s="1283"/>
    </row>
    <row r="20" ht="23.25" customHeight="1">
      <c r="A20" s="1281" t="s">
        <v>3306</v>
      </c>
      <c r="B20" s="1282" t="s">
        <v>3307</v>
      </c>
      <c r="C20" s="1283"/>
      <c r="D20" s="1283"/>
      <c r="E20" s="1283"/>
      <c r="F20" s="1283"/>
      <c r="G20" s="1283"/>
      <c r="H20" s="1283"/>
      <c r="I20" s="1283"/>
      <c r="J20" s="1283"/>
      <c r="K20" s="1283"/>
      <c r="L20" s="1283"/>
      <c r="M20" s="1283"/>
      <c r="N20" s="1283"/>
      <c r="O20" s="1283"/>
      <c r="P20" s="1283"/>
      <c r="Q20" s="1283"/>
      <c r="R20" s="1283"/>
      <c r="S20" s="1283"/>
      <c r="T20" s="1283"/>
      <c r="U20" s="1283"/>
      <c r="V20" s="1283"/>
      <c r="W20" s="1283"/>
      <c r="X20" s="1283"/>
      <c r="Y20" s="1283"/>
      <c r="Z20" s="1283"/>
    </row>
    <row r="21" ht="23.25" customHeight="1">
      <c r="A21" s="1281" t="s">
        <v>3308</v>
      </c>
      <c r="B21" s="1282" t="s">
        <v>3309</v>
      </c>
      <c r="C21" s="1283"/>
      <c r="D21" s="1283"/>
      <c r="E21" s="1283"/>
      <c r="F21" s="1283"/>
      <c r="G21" s="1283"/>
      <c r="H21" s="1283"/>
      <c r="I21" s="1283"/>
      <c r="J21" s="1283"/>
      <c r="K21" s="1283"/>
      <c r="L21" s="1283"/>
      <c r="M21" s="1283"/>
      <c r="N21" s="1283"/>
      <c r="O21" s="1283"/>
      <c r="P21" s="1283"/>
      <c r="Q21" s="1283"/>
      <c r="R21" s="1283"/>
      <c r="S21" s="1283"/>
      <c r="T21" s="1283"/>
      <c r="U21" s="1283"/>
      <c r="V21" s="1283"/>
      <c r="W21" s="1283"/>
      <c r="X21" s="1283"/>
      <c r="Y21" s="1283"/>
      <c r="Z21" s="1283"/>
    </row>
    <row r="22" ht="23.25" customHeight="1">
      <c r="A22" s="1281" t="s">
        <v>3310</v>
      </c>
      <c r="B22" s="1284" t="s">
        <v>3311</v>
      </c>
      <c r="C22" s="1283"/>
      <c r="D22" s="1283"/>
      <c r="E22" s="1283"/>
      <c r="F22" s="1283"/>
      <c r="G22" s="1283"/>
      <c r="H22" s="1283"/>
      <c r="I22" s="1283"/>
      <c r="J22" s="1283"/>
      <c r="K22" s="1283"/>
      <c r="L22" s="1283"/>
      <c r="M22" s="1283"/>
      <c r="N22" s="1283"/>
      <c r="O22" s="1283"/>
      <c r="P22" s="1283"/>
      <c r="Q22" s="1283"/>
      <c r="R22" s="1283"/>
      <c r="S22" s="1283"/>
      <c r="T22" s="1283"/>
      <c r="U22" s="1283"/>
      <c r="V22" s="1283"/>
      <c r="W22" s="1283"/>
      <c r="X22" s="1283"/>
      <c r="Y22" s="1283"/>
      <c r="Z22" s="1283"/>
    </row>
    <row r="23" ht="23.25" customHeight="1">
      <c r="A23" s="1283"/>
      <c r="B23" s="1283"/>
      <c r="C23" s="1283"/>
      <c r="D23" s="1283"/>
      <c r="E23" s="1283"/>
      <c r="F23" s="1283"/>
      <c r="G23" s="1283"/>
      <c r="H23" s="1283"/>
      <c r="I23" s="1283"/>
      <c r="J23" s="1283"/>
      <c r="K23" s="1283"/>
      <c r="L23" s="1283"/>
      <c r="M23" s="1283"/>
      <c r="N23" s="1283"/>
      <c r="O23" s="1283"/>
      <c r="P23" s="1283"/>
      <c r="Q23" s="1283"/>
      <c r="R23" s="1283"/>
      <c r="S23" s="1283"/>
      <c r="T23" s="1283"/>
      <c r="U23" s="1283"/>
      <c r="V23" s="1283"/>
      <c r="W23" s="1283"/>
      <c r="X23" s="1283"/>
      <c r="Y23" s="1283"/>
      <c r="Z23" s="1283"/>
    </row>
    <row r="24" ht="23.25" customHeight="1">
      <c r="A24" s="1283"/>
      <c r="B24" s="1283"/>
      <c r="C24" s="1283"/>
      <c r="D24" s="1283"/>
      <c r="E24" s="1283"/>
      <c r="F24" s="1283"/>
      <c r="G24" s="1283"/>
      <c r="H24" s="1283"/>
      <c r="I24" s="1283"/>
      <c r="J24" s="1283"/>
      <c r="K24" s="1283"/>
      <c r="L24" s="1283"/>
      <c r="M24" s="1283"/>
      <c r="N24" s="1283"/>
      <c r="O24" s="1283"/>
      <c r="P24" s="1283"/>
      <c r="Q24" s="1283"/>
      <c r="R24" s="1283"/>
      <c r="S24" s="1283"/>
      <c r="T24" s="1283"/>
      <c r="U24" s="1283"/>
      <c r="V24" s="1283"/>
      <c r="W24" s="1283"/>
      <c r="X24" s="1283"/>
      <c r="Y24" s="1283"/>
      <c r="Z24" s="1283"/>
    </row>
    <row r="25" ht="23.25" customHeight="1">
      <c r="A25" s="1283"/>
      <c r="B25" s="1283"/>
      <c r="C25" s="1283"/>
      <c r="D25" s="1283"/>
      <c r="E25" s="1283"/>
      <c r="F25" s="1283"/>
      <c r="G25" s="1283"/>
      <c r="H25" s="1283"/>
      <c r="I25" s="1283"/>
      <c r="J25" s="1283"/>
      <c r="K25" s="1283"/>
      <c r="L25" s="1283"/>
      <c r="M25" s="1283"/>
      <c r="N25" s="1283"/>
      <c r="O25" s="1283"/>
      <c r="P25" s="1283"/>
      <c r="Q25" s="1283"/>
      <c r="R25" s="1283"/>
      <c r="S25" s="1283"/>
      <c r="T25" s="1283"/>
      <c r="U25" s="1283"/>
      <c r="V25" s="1283"/>
      <c r="W25" s="1283"/>
      <c r="X25" s="1283"/>
      <c r="Y25" s="1283"/>
      <c r="Z25" s="1283"/>
    </row>
    <row r="26" ht="23.25" customHeight="1">
      <c r="A26" s="1283"/>
      <c r="B26" s="1283"/>
      <c r="C26" s="1283"/>
      <c r="D26" s="1283"/>
      <c r="E26" s="1283"/>
      <c r="F26" s="1283"/>
      <c r="G26" s="1283"/>
      <c r="H26" s="1283"/>
      <c r="I26" s="1283"/>
      <c r="J26" s="1283"/>
      <c r="K26" s="1283"/>
      <c r="L26" s="1283"/>
      <c r="M26" s="1283"/>
      <c r="N26" s="1283"/>
      <c r="O26" s="1283"/>
      <c r="P26" s="1283"/>
      <c r="Q26" s="1283"/>
      <c r="R26" s="1283"/>
      <c r="S26" s="1283"/>
      <c r="T26" s="1283"/>
      <c r="U26" s="1283"/>
      <c r="V26" s="1283"/>
      <c r="W26" s="1283"/>
      <c r="X26" s="1283"/>
      <c r="Y26" s="1283"/>
      <c r="Z26" s="1283"/>
    </row>
    <row r="27" ht="23.25" customHeight="1">
      <c r="A27" s="1283"/>
      <c r="B27" s="1283"/>
      <c r="C27" s="1283"/>
      <c r="D27" s="1283"/>
      <c r="E27" s="1283"/>
      <c r="F27" s="1283"/>
      <c r="G27" s="1283"/>
      <c r="H27" s="1283"/>
      <c r="I27" s="1283"/>
      <c r="J27" s="1283"/>
      <c r="K27" s="1283"/>
      <c r="L27" s="1283"/>
      <c r="M27" s="1283"/>
      <c r="N27" s="1283"/>
      <c r="O27" s="1283"/>
      <c r="P27" s="1283"/>
      <c r="Q27" s="1283"/>
      <c r="R27" s="1283"/>
      <c r="S27" s="1283"/>
      <c r="T27" s="1283"/>
      <c r="U27" s="1283"/>
      <c r="V27" s="1283"/>
      <c r="W27" s="1283"/>
      <c r="X27" s="1283"/>
      <c r="Y27" s="1283"/>
      <c r="Z27" s="1283"/>
    </row>
    <row r="28" ht="23.25" customHeight="1">
      <c r="A28" s="1283"/>
      <c r="B28" s="1283"/>
      <c r="C28" s="1283"/>
      <c r="D28" s="1283"/>
      <c r="E28" s="1283"/>
      <c r="F28" s="1283"/>
      <c r="G28" s="1283"/>
      <c r="H28" s="1283"/>
      <c r="I28" s="1283"/>
      <c r="J28" s="1283"/>
      <c r="K28" s="1283"/>
      <c r="L28" s="1283"/>
      <c r="M28" s="1283"/>
      <c r="N28" s="1283"/>
      <c r="O28" s="1283"/>
      <c r="P28" s="1283"/>
      <c r="Q28" s="1283"/>
      <c r="R28" s="1283"/>
      <c r="S28" s="1283"/>
      <c r="T28" s="1283"/>
      <c r="U28" s="1283"/>
      <c r="V28" s="1283"/>
      <c r="W28" s="1283"/>
      <c r="X28" s="1283"/>
      <c r="Y28" s="1283"/>
      <c r="Z28" s="1283"/>
    </row>
    <row r="29" ht="23.25" customHeight="1">
      <c r="A29" s="1283"/>
      <c r="B29" s="1283"/>
      <c r="C29" s="1283"/>
      <c r="D29" s="1283"/>
      <c r="E29" s="1283"/>
      <c r="F29" s="1283"/>
      <c r="G29" s="1283"/>
      <c r="H29" s="1283"/>
      <c r="I29" s="1283"/>
      <c r="J29" s="1283"/>
      <c r="K29" s="1283"/>
      <c r="L29" s="1283"/>
      <c r="M29" s="1283"/>
      <c r="N29" s="1283"/>
      <c r="O29" s="1283"/>
      <c r="P29" s="1283"/>
      <c r="Q29" s="1283"/>
      <c r="R29" s="1283"/>
      <c r="S29" s="1283"/>
      <c r="T29" s="1283"/>
      <c r="U29" s="1283"/>
      <c r="V29" s="1283"/>
      <c r="W29" s="1283"/>
      <c r="X29" s="1283"/>
      <c r="Y29" s="1283"/>
      <c r="Z29" s="1283"/>
    </row>
    <row r="30" ht="23.25" customHeight="1">
      <c r="A30" s="1283"/>
      <c r="B30" s="1283"/>
      <c r="C30" s="1283"/>
      <c r="D30" s="1283"/>
      <c r="E30" s="1283"/>
      <c r="F30" s="1283"/>
      <c r="G30" s="1283"/>
      <c r="H30" s="1283"/>
      <c r="I30" s="1283"/>
      <c r="J30" s="1283"/>
      <c r="K30" s="1283"/>
      <c r="L30" s="1283"/>
      <c r="M30" s="1283"/>
      <c r="N30" s="1283"/>
      <c r="O30" s="1283"/>
      <c r="P30" s="1283"/>
      <c r="Q30" s="1283"/>
      <c r="R30" s="1283"/>
      <c r="S30" s="1283"/>
      <c r="T30" s="1283"/>
      <c r="U30" s="1283"/>
      <c r="V30" s="1283"/>
      <c r="W30" s="1283"/>
      <c r="X30" s="1283"/>
      <c r="Y30" s="1283"/>
      <c r="Z30" s="1283"/>
    </row>
    <row r="31" ht="23.25" customHeight="1">
      <c r="A31" s="1283"/>
      <c r="B31" s="1283"/>
      <c r="C31" s="1283"/>
      <c r="D31" s="1283"/>
      <c r="E31" s="1283"/>
      <c r="F31" s="1283"/>
      <c r="G31" s="1283"/>
      <c r="H31" s="1283"/>
      <c r="I31" s="1283"/>
      <c r="J31" s="1283"/>
      <c r="K31" s="1283"/>
      <c r="L31" s="1283"/>
      <c r="M31" s="1283"/>
      <c r="N31" s="1283"/>
      <c r="O31" s="1283"/>
      <c r="P31" s="1283"/>
      <c r="Q31" s="1283"/>
      <c r="R31" s="1283"/>
      <c r="S31" s="1283"/>
      <c r="T31" s="1283"/>
      <c r="U31" s="1283"/>
      <c r="V31" s="1283"/>
      <c r="W31" s="1283"/>
      <c r="X31" s="1283"/>
      <c r="Y31" s="1283"/>
      <c r="Z31" s="1283"/>
    </row>
    <row r="32" ht="23.25" customHeight="1">
      <c r="A32" s="1283"/>
      <c r="B32" s="1283"/>
      <c r="C32" s="1283"/>
      <c r="D32" s="1283"/>
      <c r="E32" s="1283"/>
      <c r="F32" s="1283"/>
      <c r="G32" s="1283"/>
      <c r="H32" s="1283"/>
      <c r="I32" s="1283"/>
      <c r="J32" s="1283"/>
      <c r="K32" s="1283"/>
      <c r="L32" s="1283"/>
      <c r="M32" s="1283"/>
      <c r="N32" s="1283"/>
      <c r="O32" s="1283"/>
      <c r="P32" s="1283"/>
      <c r="Q32" s="1283"/>
      <c r="R32" s="1283"/>
      <c r="S32" s="1283"/>
      <c r="T32" s="1283"/>
      <c r="U32" s="1283"/>
      <c r="V32" s="1283"/>
      <c r="W32" s="1283"/>
      <c r="X32" s="1283"/>
      <c r="Y32" s="1283"/>
      <c r="Z32" s="1283"/>
    </row>
    <row r="33" ht="23.25" customHeight="1">
      <c r="A33" s="1283"/>
      <c r="B33" s="1283"/>
      <c r="C33" s="1283"/>
      <c r="D33" s="1283"/>
      <c r="E33" s="1283"/>
      <c r="F33" s="1283"/>
      <c r="G33" s="1283"/>
      <c r="H33" s="1283"/>
      <c r="I33" s="1283"/>
      <c r="J33" s="1283"/>
      <c r="K33" s="1283"/>
      <c r="L33" s="1283"/>
      <c r="M33" s="1283"/>
      <c r="N33" s="1283"/>
      <c r="O33" s="1283"/>
      <c r="P33" s="1283"/>
      <c r="Q33" s="1283"/>
      <c r="R33" s="1283"/>
      <c r="S33" s="1283"/>
      <c r="T33" s="1283"/>
      <c r="U33" s="1283"/>
      <c r="V33" s="1283"/>
      <c r="W33" s="1283"/>
      <c r="X33" s="1283"/>
      <c r="Y33" s="1283"/>
      <c r="Z33" s="1283"/>
    </row>
    <row r="34" ht="23.25" customHeight="1">
      <c r="A34" s="1283"/>
      <c r="B34" s="1283"/>
      <c r="C34" s="1283"/>
      <c r="D34" s="1283"/>
      <c r="E34" s="1283"/>
      <c r="F34" s="1283"/>
      <c r="G34" s="1283"/>
      <c r="H34" s="1283"/>
      <c r="I34" s="1283"/>
      <c r="J34" s="1283"/>
      <c r="K34" s="1283"/>
      <c r="L34" s="1283"/>
      <c r="M34" s="1283"/>
      <c r="N34" s="1283"/>
      <c r="O34" s="1283"/>
      <c r="P34" s="1283"/>
      <c r="Q34" s="1283"/>
      <c r="R34" s="1283"/>
      <c r="S34" s="1283"/>
      <c r="T34" s="1283"/>
      <c r="U34" s="1283"/>
      <c r="V34" s="1283"/>
      <c r="W34" s="1283"/>
      <c r="X34" s="1283"/>
      <c r="Y34" s="1283"/>
      <c r="Z34" s="1283"/>
    </row>
    <row r="35" ht="23.25" customHeight="1">
      <c r="A35" s="1283"/>
      <c r="B35" s="1283"/>
      <c r="C35" s="1283"/>
      <c r="D35" s="1283"/>
      <c r="E35" s="1283"/>
      <c r="F35" s="1283"/>
      <c r="G35" s="1283"/>
      <c r="H35" s="1283"/>
      <c r="I35" s="1283"/>
      <c r="J35" s="1283"/>
      <c r="K35" s="1283"/>
      <c r="L35" s="1283"/>
      <c r="M35" s="1283"/>
      <c r="N35" s="1283"/>
      <c r="O35" s="1283"/>
      <c r="P35" s="1283"/>
      <c r="Q35" s="1283"/>
      <c r="R35" s="1283"/>
      <c r="S35" s="1283"/>
      <c r="T35" s="1283"/>
      <c r="U35" s="1283"/>
      <c r="V35" s="1283"/>
      <c r="W35" s="1283"/>
      <c r="X35" s="1283"/>
      <c r="Y35" s="1283"/>
      <c r="Z35" s="1283"/>
    </row>
    <row r="36" ht="23.25" customHeight="1">
      <c r="A36" s="1283"/>
      <c r="B36" s="1283"/>
      <c r="C36" s="1283"/>
      <c r="D36" s="1283"/>
      <c r="E36" s="1283"/>
      <c r="F36" s="1283"/>
      <c r="G36" s="1283"/>
      <c r="H36" s="1283"/>
      <c r="I36" s="1283"/>
      <c r="J36" s="1283"/>
      <c r="K36" s="1283"/>
      <c r="L36" s="1283"/>
      <c r="M36" s="1283"/>
      <c r="N36" s="1283"/>
      <c r="O36" s="1283"/>
      <c r="P36" s="1283"/>
      <c r="Q36" s="1283"/>
      <c r="R36" s="1283"/>
      <c r="S36" s="1283"/>
      <c r="T36" s="1283"/>
      <c r="U36" s="1283"/>
      <c r="V36" s="1283"/>
      <c r="W36" s="1283"/>
      <c r="X36" s="1283"/>
      <c r="Y36" s="1283"/>
      <c r="Z36" s="1283"/>
    </row>
    <row r="37" ht="23.25" customHeight="1">
      <c r="A37" s="1283"/>
      <c r="B37" s="1283"/>
      <c r="C37" s="1283"/>
      <c r="D37" s="1283"/>
      <c r="E37" s="1283"/>
      <c r="F37" s="1283"/>
      <c r="G37" s="1283"/>
      <c r="H37" s="1283"/>
      <c r="I37" s="1283"/>
      <c r="J37" s="1283"/>
      <c r="K37" s="1283"/>
      <c r="L37" s="1283"/>
      <c r="M37" s="1283"/>
      <c r="N37" s="1283"/>
      <c r="O37" s="1283"/>
      <c r="P37" s="1283"/>
      <c r="Q37" s="1283"/>
      <c r="R37" s="1283"/>
      <c r="S37" s="1283"/>
      <c r="T37" s="1283"/>
      <c r="U37" s="1283"/>
      <c r="V37" s="1283"/>
      <c r="W37" s="1283"/>
      <c r="X37" s="1283"/>
      <c r="Y37" s="1283"/>
      <c r="Z37" s="1283"/>
    </row>
    <row r="38" ht="23.25" customHeight="1">
      <c r="A38" s="1283"/>
      <c r="B38" s="1283"/>
      <c r="C38" s="1283"/>
      <c r="D38" s="1283"/>
      <c r="E38" s="1283"/>
      <c r="F38" s="1283"/>
      <c r="G38" s="1283"/>
      <c r="H38" s="1283"/>
      <c r="I38" s="1283"/>
      <c r="J38" s="1283"/>
      <c r="K38" s="1283"/>
      <c r="L38" s="1283"/>
      <c r="M38" s="1283"/>
      <c r="N38" s="1283"/>
      <c r="O38" s="1283"/>
      <c r="P38" s="1283"/>
      <c r="Q38" s="1283"/>
      <c r="R38" s="1283"/>
      <c r="S38" s="1283"/>
      <c r="T38" s="1283"/>
      <c r="U38" s="1283"/>
      <c r="V38" s="1283"/>
      <c r="W38" s="1283"/>
      <c r="X38" s="1283"/>
      <c r="Y38" s="1283"/>
      <c r="Z38" s="1283"/>
    </row>
    <row r="39" ht="23.25" customHeight="1">
      <c r="A39" s="1283"/>
      <c r="B39" s="1283"/>
      <c r="C39" s="1283"/>
      <c r="D39" s="1283"/>
      <c r="E39" s="1283"/>
      <c r="F39" s="1283"/>
      <c r="G39" s="1283"/>
      <c r="H39" s="1283"/>
      <c r="I39" s="1283"/>
      <c r="J39" s="1283"/>
      <c r="K39" s="1283"/>
      <c r="L39" s="1283"/>
      <c r="M39" s="1283"/>
      <c r="N39" s="1283"/>
      <c r="O39" s="1283"/>
      <c r="P39" s="1283"/>
      <c r="Q39" s="1283"/>
      <c r="R39" s="1283"/>
      <c r="S39" s="1283"/>
      <c r="T39" s="1283"/>
      <c r="U39" s="1283"/>
      <c r="V39" s="1283"/>
      <c r="W39" s="1283"/>
      <c r="X39" s="1283"/>
      <c r="Y39" s="1283"/>
      <c r="Z39" s="1283"/>
    </row>
    <row r="40" ht="23.25" customHeight="1">
      <c r="A40" s="1283"/>
      <c r="B40" s="1283"/>
      <c r="C40" s="1283"/>
      <c r="D40" s="1283"/>
      <c r="E40" s="1283"/>
      <c r="F40" s="1283"/>
      <c r="G40" s="1283"/>
      <c r="H40" s="1283"/>
      <c r="I40" s="1283"/>
      <c r="J40" s="1283"/>
      <c r="K40" s="1283"/>
      <c r="L40" s="1283"/>
      <c r="M40" s="1283"/>
      <c r="N40" s="1283"/>
      <c r="O40" s="1283"/>
      <c r="P40" s="1283"/>
      <c r="Q40" s="1283"/>
      <c r="R40" s="1283"/>
      <c r="S40" s="1283"/>
      <c r="T40" s="1283"/>
      <c r="U40" s="1283"/>
      <c r="V40" s="1283"/>
      <c r="W40" s="1283"/>
      <c r="X40" s="1283"/>
      <c r="Y40" s="1283"/>
      <c r="Z40" s="1283"/>
    </row>
    <row r="41" ht="23.25" customHeight="1">
      <c r="A41" s="1283"/>
      <c r="B41" s="1283"/>
      <c r="C41" s="1283"/>
      <c r="D41" s="1283"/>
      <c r="E41" s="1283"/>
      <c r="F41" s="1283"/>
      <c r="G41" s="1283"/>
      <c r="H41" s="1283"/>
      <c r="I41" s="1283"/>
      <c r="J41" s="1283"/>
      <c r="K41" s="1283"/>
      <c r="L41" s="1283"/>
      <c r="M41" s="1283"/>
      <c r="N41" s="1283"/>
      <c r="O41" s="1283"/>
      <c r="P41" s="1283"/>
      <c r="Q41" s="1283"/>
      <c r="R41" s="1283"/>
      <c r="S41" s="1283"/>
      <c r="T41" s="1283"/>
      <c r="U41" s="1283"/>
      <c r="V41" s="1283"/>
      <c r="W41" s="1283"/>
      <c r="X41" s="1283"/>
      <c r="Y41" s="1283"/>
      <c r="Z41" s="1283"/>
    </row>
    <row r="42" ht="23.25" customHeight="1">
      <c r="A42" s="1283"/>
      <c r="B42" s="1283"/>
      <c r="C42" s="1283"/>
      <c r="D42" s="1283"/>
      <c r="E42" s="1283"/>
      <c r="F42" s="1283"/>
      <c r="G42" s="1283"/>
      <c r="H42" s="1283"/>
      <c r="I42" s="1283"/>
      <c r="J42" s="1283"/>
      <c r="K42" s="1283"/>
      <c r="L42" s="1283"/>
      <c r="M42" s="1283"/>
      <c r="N42" s="1283"/>
      <c r="O42" s="1283"/>
      <c r="P42" s="1283"/>
      <c r="Q42" s="1283"/>
      <c r="R42" s="1283"/>
      <c r="S42" s="1283"/>
      <c r="T42" s="1283"/>
      <c r="U42" s="1283"/>
      <c r="V42" s="1283"/>
      <c r="W42" s="1283"/>
      <c r="X42" s="1283"/>
      <c r="Y42" s="1283"/>
      <c r="Z42" s="1283"/>
    </row>
    <row r="43" ht="23.25" customHeight="1">
      <c r="A43" s="1283"/>
      <c r="B43" s="1283"/>
      <c r="C43" s="1283"/>
      <c r="D43" s="1283"/>
      <c r="E43" s="1283"/>
      <c r="F43" s="1283"/>
      <c r="G43" s="1283"/>
      <c r="H43" s="1283"/>
      <c r="I43" s="1283"/>
      <c r="J43" s="1283"/>
      <c r="K43" s="1283"/>
      <c r="L43" s="1283"/>
      <c r="M43" s="1283"/>
      <c r="N43" s="1283"/>
      <c r="O43" s="1283"/>
      <c r="P43" s="1283"/>
      <c r="Q43" s="1283"/>
      <c r="R43" s="1283"/>
      <c r="S43" s="1283"/>
      <c r="T43" s="1283"/>
      <c r="U43" s="1283"/>
      <c r="V43" s="1283"/>
      <c r="W43" s="1283"/>
      <c r="X43" s="1283"/>
      <c r="Y43" s="1283"/>
      <c r="Z43" s="1283"/>
    </row>
    <row r="44" ht="23.25" customHeight="1">
      <c r="A44" s="1283"/>
      <c r="B44" s="1283"/>
      <c r="C44" s="1283"/>
      <c r="D44" s="1283"/>
      <c r="E44" s="1283"/>
      <c r="F44" s="1283"/>
      <c r="G44" s="1283"/>
      <c r="H44" s="1283"/>
      <c r="I44" s="1283"/>
      <c r="J44" s="1283"/>
      <c r="K44" s="1283"/>
      <c r="L44" s="1283"/>
      <c r="M44" s="1283"/>
      <c r="N44" s="1283"/>
      <c r="O44" s="1283"/>
      <c r="P44" s="1283"/>
      <c r="Q44" s="1283"/>
      <c r="R44" s="1283"/>
      <c r="S44" s="1283"/>
      <c r="T44" s="1283"/>
      <c r="U44" s="1283"/>
      <c r="V44" s="1283"/>
      <c r="W44" s="1283"/>
      <c r="X44" s="1283"/>
      <c r="Y44" s="1283"/>
      <c r="Z44" s="1283"/>
    </row>
    <row r="45" ht="23.25" customHeight="1">
      <c r="A45" s="1283"/>
      <c r="B45" s="1283"/>
      <c r="C45" s="1283"/>
      <c r="D45" s="1283"/>
      <c r="E45" s="1283"/>
      <c r="F45" s="1283"/>
      <c r="G45" s="1283"/>
      <c r="H45" s="1283"/>
      <c r="I45" s="1283"/>
      <c r="J45" s="1283"/>
      <c r="K45" s="1283"/>
      <c r="L45" s="1283"/>
      <c r="M45" s="1283"/>
      <c r="N45" s="1283"/>
      <c r="O45" s="1283"/>
      <c r="P45" s="1283"/>
      <c r="Q45" s="1283"/>
      <c r="R45" s="1283"/>
      <c r="S45" s="1283"/>
      <c r="T45" s="1283"/>
      <c r="U45" s="1283"/>
      <c r="V45" s="1283"/>
      <c r="W45" s="1283"/>
      <c r="X45" s="1283"/>
      <c r="Y45" s="1283"/>
      <c r="Z45" s="1283"/>
    </row>
    <row r="46" ht="23.25" customHeight="1">
      <c r="A46" s="1283"/>
      <c r="B46" s="1283"/>
      <c r="C46" s="1283"/>
      <c r="D46" s="1283"/>
      <c r="E46" s="1283"/>
      <c r="F46" s="1283"/>
      <c r="G46" s="1283"/>
      <c r="H46" s="1283"/>
      <c r="I46" s="1283"/>
      <c r="J46" s="1283"/>
      <c r="K46" s="1283"/>
      <c r="L46" s="1283"/>
      <c r="M46" s="1283"/>
      <c r="N46" s="1283"/>
      <c r="O46" s="1283"/>
      <c r="P46" s="1283"/>
      <c r="Q46" s="1283"/>
      <c r="R46" s="1283"/>
      <c r="S46" s="1283"/>
      <c r="T46" s="1283"/>
      <c r="U46" s="1283"/>
      <c r="V46" s="1283"/>
      <c r="W46" s="1283"/>
      <c r="X46" s="1283"/>
      <c r="Y46" s="1283"/>
      <c r="Z46" s="1283"/>
    </row>
    <row r="47" ht="23.25" customHeight="1">
      <c r="A47" s="1283"/>
      <c r="B47" s="1283"/>
      <c r="C47" s="1283"/>
      <c r="D47" s="1283"/>
      <c r="E47" s="1283"/>
      <c r="F47" s="1283"/>
      <c r="G47" s="1283"/>
      <c r="H47" s="1283"/>
      <c r="I47" s="1283"/>
      <c r="J47" s="1283"/>
      <c r="K47" s="1283"/>
      <c r="L47" s="1283"/>
      <c r="M47" s="1283"/>
      <c r="N47" s="1283"/>
      <c r="O47" s="1283"/>
      <c r="P47" s="1283"/>
      <c r="Q47" s="1283"/>
      <c r="R47" s="1283"/>
      <c r="S47" s="1283"/>
      <c r="T47" s="1283"/>
      <c r="U47" s="1283"/>
      <c r="V47" s="1283"/>
      <c r="W47" s="1283"/>
      <c r="X47" s="1283"/>
      <c r="Y47" s="1283"/>
      <c r="Z47" s="1283"/>
    </row>
    <row r="48" ht="23.25" customHeight="1">
      <c r="A48" s="1283"/>
      <c r="B48" s="1283"/>
      <c r="C48" s="1283"/>
      <c r="D48" s="1283"/>
      <c r="E48" s="1283"/>
      <c r="F48" s="1283"/>
      <c r="G48" s="1283"/>
      <c r="H48" s="1283"/>
      <c r="I48" s="1283"/>
      <c r="J48" s="1283"/>
      <c r="K48" s="1283"/>
      <c r="L48" s="1283"/>
      <c r="M48" s="1283"/>
      <c r="N48" s="1283"/>
      <c r="O48" s="1283"/>
      <c r="P48" s="1283"/>
      <c r="Q48" s="1283"/>
      <c r="R48" s="1283"/>
      <c r="S48" s="1283"/>
      <c r="T48" s="1283"/>
      <c r="U48" s="1283"/>
      <c r="V48" s="1283"/>
      <c r="W48" s="1283"/>
      <c r="X48" s="1283"/>
      <c r="Y48" s="1283"/>
      <c r="Z48" s="1283"/>
    </row>
    <row r="49" ht="23.25" customHeight="1">
      <c r="A49" s="1283"/>
      <c r="B49" s="1283"/>
      <c r="C49" s="1283"/>
      <c r="D49" s="1283"/>
      <c r="E49" s="1283"/>
      <c r="F49" s="1283"/>
      <c r="G49" s="1283"/>
      <c r="H49" s="1283"/>
      <c r="I49" s="1283"/>
      <c r="J49" s="1283"/>
      <c r="K49" s="1283"/>
      <c r="L49" s="1283"/>
      <c r="M49" s="1283"/>
      <c r="N49" s="1283"/>
      <c r="O49" s="1283"/>
      <c r="P49" s="1283"/>
      <c r="Q49" s="1283"/>
      <c r="R49" s="1283"/>
      <c r="S49" s="1283"/>
      <c r="T49" s="1283"/>
      <c r="U49" s="1283"/>
      <c r="V49" s="1283"/>
      <c r="W49" s="1283"/>
      <c r="X49" s="1283"/>
      <c r="Y49" s="1283"/>
      <c r="Z49" s="1283"/>
    </row>
    <row r="50" ht="23.25" customHeight="1">
      <c r="A50" s="1283"/>
      <c r="B50" s="1283"/>
      <c r="C50" s="1283"/>
      <c r="D50" s="1283"/>
      <c r="E50" s="1283"/>
      <c r="F50" s="1283"/>
      <c r="G50" s="1283"/>
      <c r="H50" s="1283"/>
      <c r="I50" s="1283"/>
      <c r="J50" s="1283"/>
      <c r="K50" s="1283"/>
      <c r="L50" s="1283"/>
      <c r="M50" s="1283"/>
      <c r="N50" s="1283"/>
      <c r="O50" s="1283"/>
      <c r="P50" s="1283"/>
      <c r="Q50" s="1283"/>
      <c r="R50" s="1283"/>
      <c r="S50" s="1283"/>
      <c r="T50" s="1283"/>
      <c r="U50" s="1283"/>
      <c r="V50" s="1283"/>
      <c r="W50" s="1283"/>
      <c r="X50" s="1283"/>
      <c r="Y50" s="1283"/>
      <c r="Z50" s="1283"/>
    </row>
    <row r="51" ht="23.25" customHeight="1">
      <c r="A51" s="1283"/>
      <c r="B51" s="1283"/>
      <c r="C51" s="1283"/>
      <c r="D51" s="1283"/>
      <c r="E51" s="1283"/>
      <c r="F51" s="1283"/>
      <c r="G51" s="1283"/>
      <c r="H51" s="1283"/>
      <c r="I51" s="1283"/>
      <c r="J51" s="1283"/>
      <c r="K51" s="1283"/>
      <c r="L51" s="1283"/>
      <c r="M51" s="1283"/>
      <c r="N51" s="1283"/>
      <c r="O51" s="1283"/>
      <c r="P51" s="1283"/>
      <c r="Q51" s="1283"/>
      <c r="R51" s="1283"/>
      <c r="S51" s="1283"/>
      <c r="T51" s="1283"/>
      <c r="U51" s="1283"/>
      <c r="V51" s="1283"/>
      <c r="W51" s="1283"/>
      <c r="X51" s="1283"/>
      <c r="Y51" s="1283"/>
      <c r="Z51" s="1283"/>
    </row>
    <row r="52" ht="23.25" customHeight="1">
      <c r="A52" s="1283"/>
      <c r="B52" s="1283"/>
      <c r="C52" s="1283"/>
      <c r="D52" s="1283"/>
      <c r="E52" s="1283"/>
      <c r="F52" s="1283"/>
      <c r="G52" s="1283"/>
      <c r="H52" s="1283"/>
      <c r="I52" s="1283"/>
      <c r="J52" s="1283"/>
      <c r="K52" s="1283"/>
      <c r="L52" s="1283"/>
      <c r="M52" s="1283"/>
      <c r="N52" s="1283"/>
      <c r="O52" s="1283"/>
      <c r="P52" s="1283"/>
      <c r="Q52" s="1283"/>
      <c r="R52" s="1283"/>
      <c r="S52" s="1283"/>
      <c r="T52" s="1283"/>
      <c r="U52" s="1283"/>
      <c r="V52" s="1283"/>
      <c r="W52" s="1283"/>
      <c r="X52" s="1283"/>
      <c r="Y52" s="1283"/>
      <c r="Z52" s="1283"/>
    </row>
    <row r="53" ht="23.25" customHeight="1">
      <c r="A53" s="1283"/>
      <c r="B53" s="1283"/>
      <c r="C53" s="1283"/>
      <c r="D53" s="1283"/>
      <c r="E53" s="1283"/>
      <c r="F53" s="1283"/>
      <c r="G53" s="1283"/>
      <c r="H53" s="1283"/>
      <c r="I53" s="1283"/>
      <c r="J53" s="1283"/>
      <c r="K53" s="1283"/>
      <c r="L53" s="1283"/>
      <c r="M53" s="1283"/>
      <c r="N53" s="1283"/>
      <c r="O53" s="1283"/>
      <c r="P53" s="1283"/>
      <c r="Q53" s="1283"/>
      <c r="R53" s="1283"/>
      <c r="S53" s="1283"/>
      <c r="T53" s="1283"/>
      <c r="U53" s="1283"/>
      <c r="V53" s="1283"/>
      <c r="W53" s="1283"/>
      <c r="X53" s="1283"/>
      <c r="Y53" s="1283"/>
      <c r="Z53" s="1283"/>
    </row>
    <row r="54" ht="23.25" customHeight="1">
      <c r="A54" s="1283"/>
      <c r="B54" s="1283"/>
      <c r="C54" s="1283"/>
      <c r="D54" s="1283"/>
      <c r="E54" s="1283"/>
      <c r="F54" s="1283"/>
      <c r="G54" s="1283"/>
      <c r="H54" s="1283"/>
      <c r="I54" s="1283"/>
      <c r="J54" s="1283"/>
      <c r="K54" s="1283"/>
      <c r="L54" s="1283"/>
      <c r="M54" s="1283"/>
      <c r="N54" s="1283"/>
      <c r="O54" s="1283"/>
      <c r="P54" s="1283"/>
      <c r="Q54" s="1283"/>
      <c r="R54" s="1283"/>
      <c r="S54" s="1283"/>
      <c r="T54" s="1283"/>
      <c r="U54" s="1283"/>
      <c r="V54" s="1283"/>
      <c r="W54" s="1283"/>
      <c r="X54" s="1283"/>
      <c r="Y54" s="1283"/>
      <c r="Z54" s="1283"/>
    </row>
    <row r="55" ht="23.25" customHeight="1">
      <c r="A55" s="1283"/>
      <c r="B55" s="1283"/>
      <c r="C55" s="1283"/>
      <c r="D55" s="1283"/>
      <c r="E55" s="1283"/>
      <c r="F55" s="1283"/>
      <c r="G55" s="1283"/>
      <c r="H55" s="1283"/>
      <c r="I55" s="1283"/>
      <c r="J55" s="1283"/>
      <c r="K55" s="1283"/>
      <c r="L55" s="1283"/>
      <c r="M55" s="1283"/>
      <c r="N55" s="1283"/>
      <c r="O55" s="1283"/>
      <c r="P55" s="1283"/>
      <c r="Q55" s="1283"/>
      <c r="R55" s="1283"/>
      <c r="S55" s="1283"/>
      <c r="T55" s="1283"/>
      <c r="U55" s="1283"/>
      <c r="V55" s="1283"/>
      <c r="W55" s="1283"/>
      <c r="X55" s="1283"/>
      <c r="Y55" s="1283"/>
      <c r="Z55" s="1283"/>
    </row>
    <row r="56" ht="23.25" customHeight="1">
      <c r="A56" s="1283"/>
      <c r="B56" s="1283"/>
      <c r="C56" s="1283"/>
      <c r="D56" s="1283"/>
      <c r="E56" s="1283"/>
      <c r="F56" s="1283"/>
      <c r="G56" s="1283"/>
      <c r="H56" s="1283"/>
      <c r="I56" s="1283"/>
      <c r="J56" s="1283"/>
      <c r="K56" s="1283"/>
      <c r="L56" s="1283"/>
      <c r="M56" s="1283"/>
      <c r="N56" s="1283"/>
      <c r="O56" s="1283"/>
      <c r="P56" s="1283"/>
      <c r="Q56" s="1283"/>
      <c r="R56" s="1283"/>
      <c r="S56" s="1283"/>
      <c r="T56" s="1283"/>
      <c r="U56" s="1283"/>
      <c r="V56" s="1283"/>
      <c r="W56" s="1283"/>
      <c r="X56" s="1283"/>
      <c r="Y56" s="1283"/>
      <c r="Z56" s="1283"/>
    </row>
    <row r="57" ht="23.25" customHeight="1">
      <c r="A57" s="1283"/>
      <c r="B57" s="1283"/>
      <c r="C57" s="1283"/>
      <c r="D57" s="1283"/>
      <c r="E57" s="1283"/>
      <c r="F57" s="1283"/>
      <c r="G57" s="1283"/>
      <c r="H57" s="1283"/>
      <c r="I57" s="1283"/>
      <c r="J57" s="1283"/>
      <c r="K57" s="1283"/>
      <c r="L57" s="1283"/>
      <c r="M57" s="1283"/>
      <c r="N57" s="1283"/>
      <c r="O57" s="1283"/>
      <c r="P57" s="1283"/>
      <c r="Q57" s="1283"/>
      <c r="R57" s="1283"/>
      <c r="S57" s="1283"/>
      <c r="T57" s="1283"/>
      <c r="U57" s="1283"/>
      <c r="V57" s="1283"/>
      <c r="W57" s="1283"/>
      <c r="X57" s="1283"/>
      <c r="Y57" s="1283"/>
      <c r="Z57" s="1283"/>
    </row>
    <row r="58" ht="23.25" customHeight="1">
      <c r="A58" s="1283"/>
      <c r="B58" s="1283"/>
      <c r="C58" s="1283"/>
      <c r="D58" s="1283"/>
      <c r="E58" s="1283"/>
      <c r="F58" s="1283"/>
      <c r="G58" s="1283"/>
      <c r="H58" s="1283"/>
      <c r="I58" s="1283"/>
      <c r="J58" s="1283"/>
      <c r="K58" s="1283"/>
      <c r="L58" s="1283"/>
      <c r="M58" s="1283"/>
      <c r="N58" s="1283"/>
      <c r="O58" s="1283"/>
      <c r="P58" s="1283"/>
      <c r="Q58" s="1283"/>
      <c r="R58" s="1283"/>
      <c r="S58" s="1283"/>
      <c r="T58" s="1283"/>
      <c r="U58" s="1283"/>
      <c r="V58" s="1283"/>
      <c r="W58" s="1283"/>
      <c r="X58" s="1283"/>
      <c r="Y58" s="1283"/>
      <c r="Z58" s="1283"/>
    </row>
    <row r="59" ht="23.25" customHeight="1">
      <c r="A59" s="1283"/>
      <c r="B59" s="1283"/>
      <c r="C59" s="1283"/>
      <c r="D59" s="1283"/>
      <c r="E59" s="1283"/>
      <c r="F59" s="1283"/>
      <c r="G59" s="1283"/>
      <c r="H59" s="1283"/>
      <c r="I59" s="1283"/>
      <c r="J59" s="1283"/>
      <c r="K59" s="1283"/>
      <c r="L59" s="1283"/>
      <c r="M59" s="1283"/>
      <c r="N59" s="1283"/>
      <c r="O59" s="1283"/>
      <c r="P59" s="1283"/>
      <c r="Q59" s="1283"/>
      <c r="R59" s="1283"/>
      <c r="S59" s="1283"/>
      <c r="T59" s="1283"/>
      <c r="U59" s="1283"/>
      <c r="V59" s="1283"/>
      <c r="W59" s="1283"/>
      <c r="X59" s="1283"/>
      <c r="Y59" s="1283"/>
      <c r="Z59" s="1283"/>
    </row>
    <row r="60" ht="23.25" customHeight="1">
      <c r="A60" s="1283"/>
      <c r="B60" s="1283"/>
      <c r="C60" s="1283"/>
      <c r="D60" s="1283"/>
      <c r="E60" s="1283"/>
      <c r="F60" s="1283"/>
      <c r="G60" s="1283"/>
      <c r="H60" s="1283"/>
      <c r="I60" s="1283"/>
      <c r="J60" s="1283"/>
      <c r="K60" s="1283"/>
      <c r="L60" s="1283"/>
      <c r="M60" s="1283"/>
      <c r="N60" s="1283"/>
      <c r="O60" s="1283"/>
      <c r="P60" s="1283"/>
      <c r="Q60" s="1283"/>
      <c r="R60" s="1283"/>
      <c r="S60" s="1283"/>
      <c r="T60" s="1283"/>
      <c r="U60" s="1283"/>
      <c r="V60" s="1283"/>
      <c r="W60" s="1283"/>
      <c r="X60" s="1283"/>
      <c r="Y60" s="1283"/>
      <c r="Z60" s="1283"/>
    </row>
    <row r="61" ht="23.25" customHeight="1">
      <c r="A61" s="1283"/>
      <c r="B61" s="1283"/>
      <c r="C61" s="1283"/>
      <c r="D61" s="1283"/>
      <c r="E61" s="1283"/>
      <c r="F61" s="1283"/>
      <c r="G61" s="1283"/>
      <c r="H61" s="1283"/>
      <c r="I61" s="1283"/>
      <c r="J61" s="1283"/>
      <c r="K61" s="1283"/>
      <c r="L61" s="1283"/>
      <c r="M61" s="1283"/>
      <c r="N61" s="1283"/>
      <c r="O61" s="1283"/>
      <c r="P61" s="1283"/>
      <c r="Q61" s="1283"/>
      <c r="R61" s="1283"/>
      <c r="S61" s="1283"/>
      <c r="T61" s="1283"/>
      <c r="U61" s="1283"/>
      <c r="V61" s="1283"/>
      <c r="W61" s="1283"/>
      <c r="X61" s="1283"/>
      <c r="Y61" s="1283"/>
      <c r="Z61" s="1283"/>
    </row>
    <row r="62" ht="23.25" customHeight="1">
      <c r="A62" s="1283"/>
      <c r="B62" s="1283"/>
      <c r="C62" s="1283"/>
      <c r="D62" s="1283"/>
      <c r="E62" s="1283"/>
      <c r="F62" s="1283"/>
      <c r="G62" s="1283"/>
      <c r="H62" s="1283"/>
      <c r="I62" s="1283"/>
      <c r="J62" s="1283"/>
      <c r="K62" s="1283"/>
      <c r="L62" s="1283"/>
      <c r="M62" s="1283"/>
      <c r="N62" s="1283"/>
      <c r="O62" s="1283"/>
      <c r="P62" s="1283"/>
      <c r="Q62" s="1283"/>
      <c r="R62" s="1283"/>
      <c r="S62" s="1283"/>
      <c r="T62" s="1283"/>
      <c r="U62" s="1283"/>
      <c r="V62" s="1283"/>
      <c r="W62" s="1283"/>
      <c r="X62" s="1283"/>
      <c r="Y62" s="1283"/>
      <c r="Z62" s="1283"/>
    </row>
    <row r="63" ht="23.25" customHeight="1">
      <c r="A63" s="1283"/>
      <c r="B63" s="1283"/>
      <c r="C63" s="1283"/>
      <c r="D63" s="1283"/>
      <c r="E63" s="1283"/>
      <c r="F63" s="1283"/>
      <c r="G63" s="1283"/>
      <c r="H63" s="1283"/>
      <c r="I63" s="1283"/>
      <c r="J63" s="1283"/>
      <c r="K63" s="1283"/>
      <c r="L63" s="1283"/>
      <c r="M63" s="1283"/>
      <c r="N63" s="1283"/>
      <c r="O63" s="1283"/>
      <c r="P63" s="1283"/>
      <c r="Q63" s="1283"/>
      <c r="R63" s="1283"/>
      <c r="S63" s="1283"/>
      <c r="T63" s="1283"/>
      <c r="U63" s="1283"/>
      <c r="V63" s="1283"/>
      <c r="W63" s="1283"/>
      <c r="X63" s="1283"/>
      <c r="Y63" s="1283"/>
      <c r="Z63" s="1283"/>
    </row>
    <row r="64" ht="23.25" customHeight="1">
      <c r="A64" s="1283"/>
      <c r="B64" s="1283"/>
      <c r="C64" s="1283"/>
      <c r="D64" s="1283"/>
      <c r="E64" s="1283"/>
      <c r="F64" s="1283"/>
      <c r="G64" s="1283"/>
      <c r="H64" s="1283"/>
      <c r="I64" s="1283"/>
      <c r="J64" s="1283"/>
      <c r="K64" s="1283"/>
      <c r="L64" s="1283"/>
      <c r="M64" s="1283"/>
      <c r="N64" s="1283"/>
      <c r="O64" s="1283"/>
      <c r="P64" s="1283"/>
      <c r="Q64" s="1283"/>
      <c r="R64" s="1283"/>
      <c r="S64" s="1283"/>
      <c r="T64" s="1283"/>
      <c r="U64" s="1283"/>
      <c r="V64" s="1283"/>
      <c r="W64" s="1283"/>
      <c r="X64" s="1283"/>
      <c r="Y64" s="1283"/>
      <c r="Z64" s="1283"/>
    </row>
    <row r="65" ht="23.25" customHeight="1">
      <c r="A65" s="1283"/>
      <c r="B65" s="1283"/>
      <c r="C65" s="1283"/>
      <c r="D65" s="1283"/>
      <c r="E65" s="1283"/>
      <c r="F65" s="1283"/>
      <c r="G65" s="1283"/>
      <c r="H65" s="1283"/>
      <c r="I65" s="1283"/>
      <c r="J65" s="1283"/>
      <c r="K65" s="1283"/>
      <c r="L65" s="1283"/>
      <c r="M65" s="1283"/>
      <c r="N65" s="1283"/>
      <c r="O65" s="1283"/>
      <c r="P65" s="1283"/>
      <c r="Q65" s="1283"/>
      <c r="R65" s="1283"/>
      <c r="S65" s="1283"/>
      <c r="T65" s="1283"/>
      <c r="U65" s="1283"/>
      <c r="V65" s="1283"/>
      <c r="W65" s="1283"/>
      <c r="X65" s="1283"/>
      <c r="Y65" s="1283"/>
      <c r="Z65" s="1283"/>
    </row>
    <row r="66" ht="23.25" customHeight="1">
      <c r="A66" s="1283"/>
      <c r="B66" s="1283"/>
      <c r="C66" s="1283"/>
      <c r="D66" s="1283"/>
      <c r="E66" s="1283"/>
      <c r="F66" s="1283"/>
      <c r="G66" s="1283"/>
      <c r="H66" s="1283"/>
      <c r="I66" s="1283"/>
      <c r="J66" s="1283"/>
      <c r="K66" s="1283"/>
      <c r="L66" s="1283"/>
      <c r="M66" s="1283"/>
      <c r="N66" s="1283"/>
      <c r="O66" s="1283"/>
      <c r="P66" s="1283"/>
      <c r="Q66" s="1283"/>
      <c r="R66" s="1283"/>
      <c r="S66" s="1283"/>
      <c r="T66" s="1283"/>
      <c r="U66" s="1283"/>
      <c r="V66" s="1283"/>
      <c r="W66" s="1283"/>
      <c r="X66" s="1283"/>
      <c r="Y66" s="1283"/>
      <c r="Z66" s="1283"/>
    </row>
    <row r="67" ht="23.25" customHeight="1">
      <c r="A67" s="1283"/>
      <c r="B67" s="1283"/>
      <c r="C67" s="1283"/>
      <c r="D67" s="1283"/>
      <c r="E67" s="1283"/>
      <c r="F67" s="1283"/>
      <c r="G67" s="1283"/>
      <c r="H67" s="1283"/>
      <c r="I67" s="1283"/>
      <c r="J67" s="1283"/>
      <c r="K67" s="1283"/>
      <c r="L67" s="1283"/>
      <c r="M67" s="1283"/>
      <c r="N67" s="1283"/>
      <c r="O67" s="1283"/>
      <c r="P67" s="1283"/>
      <c r="Q67" s="1283"/>
      <c r="R67" s="1283"/>
      <c r="S67" s="1283"/>
      <c r="T67" s="1283"/>
      <c r="U67" s="1283"/>
      <c r="V67" s="1283"/>
      <c r="W67" s="1283"/>
      <c r="X67" s="1283"/>
      <c r="Y67" s="1283"/>
      <c r="Z67" s="1283"/>
    </row>
    <row r="68" ht="23.25" customHeight="1">
      <c r="A68" s="1283"/>
      <c r="B68" s="1283"/>
      <c r="C68" s="1283"/>
      <c r="D68" s="1283"/>
      <c r="E68" s="1283"/>
      <c r="F68" s="1283"/>
      <c r="G68" s="1283"/>
      <c r="H68" s="1283"/>
      <c r="I68" s="1283"/>
      <c r="J68" s="1283"/>
      <c r="K68" s="1283"/>
      <c r="L68" s="1283"/>
      <c r="M68" s="1283"/>
      <c r="N68" s="1283"/>
      <c r="O68" s="1283"/>
      <c r="P68" s="1283"/>
      <c r="Q68" s="1283"/>
      <c r="R68" s="1283"/>
      <c r="S68" s="1283"/>
      <c r="T68" s="1283"/>
      <c r="U68" s="1283"/>
      <c r="V68" s="1283"/>
      <c r="W68" s="1283"/>
      <c r="X68" s="1283"/>
      <c r="Y68" s="1283"/>
      <c r="Z68" s="1283"/>
    </row>
    <row r="69" ht="23.25" customHeight="1">
      <c r="A69" s="1283"/>
      <c r="B69" s="1283"/>
      <c r="C69" s="1283"/>
      <c r="D69" s="1283"/>
      <c r="E69" s="1283"/>
      <c r="F69" s="1283"/>
      <c r="G69" s="1283"/>
      <c r="H69" s="1283"/>
      <c r="I69" s="1283"/>
      <c r="J69" s="1283"/>
      <c r="K69" s="1283"/>
      <c r="L69" s="1283"/>
      <c r="M69" s="1283"/>
      <c r="N69" s="1283"/>
      <c r="O69" s="1283"/>
      <c r="P69" s="1283"/>
      <c r="Q69" s="1283"/>
      <c r="R69" s="1283"/>
      <c r="S69" s="1283"/>
      <c r="T69" s="1283"/>
      <c r="U69" s="1283"/>
      <c r="V69" s="1283"/>
      <c r="W69" s="1283"/>
      <c r="X69" s="1283"/>
      <c r="Y69" s="1283"/>
      <c r="Z69" s="1283"/>
    </row>
    <row r="70" ht="23.25" customHeight="1">
      <c r="A70" s="1283"/>
      <c r="B70" s="1283"/>
      <c r="C70" s="1283"/>
      <c r="D70" s="1283"/>
      <c r="E70" s="1283"/>
      <c r="F70" s="1283"/>
      <c r="G70" s="1283"/>
      <c r="H70" s="1283"/>
      <c r="I70" s="1283"/>
      <c r="J70" s="1283"/>
      <c r="K70" s="1283"/>
      <c r="L70" s="1283"/>
      <c r="M70" s="1283"/>
      <c r="N70" s="1283"/>
      <c r="O70" s="1283"/>
      <c r="P70" s="1283"/>
      <c r="Q70" s="1283"/>
      <c r="R70" s="1283"/>
      <c r="S70" s="1283"/>
      <c r="T70" s="1283"/>
      <c r="U70" s="1283"/>
      <c r="V70" s="1283"/>
      <c r="W70" s="1283"/>
      <c r="X70" s="1283"/>
      <c r="Y70" s="1283"/>
      <c r="Z70" s="1283"/>
    </row>
    <row r="71" ht="23.25" customHeight="1">
      <c r="A71" s="1283"/>
      <c r="B71" s="1283"/>
      <c r="C71" s="1283"/>
      <c r="D71" s="1283"/>
      <c r="E71" s="1283"/>
      <c r="F71" s="1283"/>
      <c r="G71" s="1283"/>
      <c r="H71" s="1283"/>
      <c r="I71" s="1283"/>
      <c r="J71" s="1283"/>
      <c r="K71" s="1283"/>
      <c r="L71" s="1283"/>
      <c r="M71" s="1283"/>
      <c r="N71" s="1283"/>
      <c r="O71" s="1283"/>
      <c r="P71" s="1283"/>
      <c r="Q71" s="1283"/>
      <c r="R71" s="1283"/>
      <c r="S71" s="1283"/>
      <c r="T71" s="1283"/>
      <c r="U71" s="1283"/>
      <c r="V71" s="1283"/>
      <c r="W71" s="1283"/>
      <c r="X71" s="1283"/>
      <c r="Y71" s="1283"/>
      <c r="Z71" s="1283"/>
    </row>
    <row r="72" ht="23.25" customHeight="1">
      <c r="A72" s="1283"/>
      <c r="B72" s="1283"/>
      <c r="C72" s="1283"/>
      <c r="D72" s="1283"/>
      <c r="E72" s="1283"/>
      <c r="F72" s="1283"/>
      <c r="G72" s="1283"/>
      <c r="H72" s="1283"/>
      <c r="I72" s="1283"/>
      <c r="J72" s="1283"/>
      <c r="K72" s="1283"/>
      <c r="L72" s="1283"/>
      <c r="M72" s="1283"/>
      <c r="N72" s="1283"/>
      <c r="O72" s="1283"/>
      <c r="P72" s="1283"/>
      <c r="Q72" s="1283"/>
      <c r="R72" s="1283"/>
      <c r="S72" s="1283"/>
      <c r="T72" s="1283"/>
      <c r="U72" s="1283"/>
      <c r="V72" s="1283"/>
      <c r="W72" s="1283"/>
      <c r="X72" s="1283"/>
      <c r="Y72" s="1283"/>
      <c r="Z72" s="1283"/>
    </row>
    <row r="73" ht="23.25" customHeight="1">
      <c r="A73" s="1283"/>
      <c r="B73" s="1283"/>
      <c r="C73" s="1283"/>
      <c r="D73" s="1283"/>
      <c r="E73" s="1283"/>
      <c r="F73" s="1283"/>
      <c r="G73" s="1283"/>
      <c r="H73" s="1283"/>
      <c r="I73" s="1283"/>
      <c r="J73" s="1283"/>
      <c r="K73" s="1283"/>
      <c r="L73" s="1283"/>
      <c r="M73" s="1283"/>
      <c r="N73" s="1283"/>
      <c r="O73" s="1283"/>
      <c r="P73" s="1283"/>
      <c r="Q73" s="1283"/>
      <c r="R73" s="1283"/>
      <c r="S73" s="1283"/>
      <c r="T73" s="1283"/>
      <c r="U73" s="1283"/>
      <c r="V73" s="1283"/>
      <c r="W73" s="1283"/>
      <c r="X73" s="1283"/>
      <c r="Y73" s="1283"/>
      <c r="Z73" s="1283"/>
    </row>
    <row r="74" ht="23.25" customHeight="1">
      <c r="A74" s="1283"/>
      <c r="B74" s="1283"/>
      <c r="C74" s="1283"/>
      <c r="D74" s="1283"/>
      <c r="E74" s="1283"/>
      <c r="F74" s="1283"/>
      <c r="G74" s="1283"/>
      <c r="H74" s="1283"/>
      <c r="I74" s="1283"/>
      <c r="J74" s="1283"/>
      <c r="K74" s="1283"/>
      <c r="L74" s="1283"/>
      <c r="M74" s="1283"/>
      <c r="N74" s="1283"/>
      <c r="O74" s="1283"/>
      <c r="P74" s="1283"/>
      <c r="Q74" s="1283"/>
      <c r="R74" s="1283"/>
      <c r="S74" s="1283"/>
      <c r="T74" s="1283"/>
      <c r="U74" s="1283"/>
      <c r="V74" s="1283"/>
      <c r="W74" s="1283"/>
      <c r="X74" s="1283"/>
      <c r="Y74" s="1283"/>
      <c r="Z74" s="1283"/>
    </row>
    <row r="75" ht="23.25" customHeight="1">
      <c r="A75" s="1283"/>
      <c r="B75" s="1283"/>
      <c r="C75" s="1283"/>
      <c r="D75" s="1283"/>
      <c r="E75" s="1283"/>
      <c r="F75" s="1283"/>
      <c r="G75" s="1283"/>
      <c r="H75" s="1283"/>
      <c r="I75" s="1283"/>
      <c r="J75" s="1283"/>
      <c r="K75" s="1283"/>
      <c r="L75" s="1283"/>
      <c r="M75" s="1283"/>
      <c r="N75" s="1283"/>
      <c r="O75" s="1283"/>
      <c r="P75" s="1283"/>
      <c r="Q75" s="1283"/>
      <c r="R75" s="1283"/>
      <c r="S75" s="1283"/>
      <c r="T75" s="1283"/>
      <c r="U75" s="1283"/>
      <c r="V75" s="1283"/>
      <c r="W75" s="1283"/>
      <c r="X75" s="1283"/>
      <c r="Y75" s="1283"/>
      <c r="Z75" s="1283"/>
    </row>
    <row r="76" ht="23.25" customHeight="1">
      <c r="A76" s="1283"/>
      <c r="B76" s="1283"/>
      <c r="C76" s="1283"/>
      <c r="D76" s="1283"/>
      <c r="E76" s="1283"/>
      <c r="F76" s="1283"/>
      <c r="G76" s="1283"/>
      <c r="H76" s="1283"/>
      <c r="I76" s="1283"/>
      <c r="J76" s="1283"/>
      <c r="K76" s="1283"/>
      <c r="L76" s="1283"/>
      <c r="M76" s="1283"/>
      <c r="N76" s="1283"/>
      <c r="O76" s="1283"/>
      <c r="P76" s="1283"/>
      <c r="Q76" s="1283"/>
      <c r="R76" s="1283"/>
      <c r="S76" s="1283"/>
      <c r="T76" s="1283"/>
      <c r="U76" s="1283"/>
      <c r="V76" s="1283"/>
      <c r="W76" s="1283"/>
      <c r="X76" s="1283"/>
      <c r="Y76" s="1283"/>
      <c r="Z76" s="1283"/>
    </row>
    <row r="77" ht="23.25" customHeight="1">
      <c r="A77" s="1283"/>
      <c r="B77" s="1283"/>
      <c r="C77" s="1283"/>
      <c r="D77" s="1283"/>
      <c r="E77" s="1283"/>
      <c r="F77" s="1283"/>
      <c r="G77" s="1283"/>
      <c r="H77" s="1283"/>
      <c r="I77" s="1283"/>
      <c r="J77" s="1283"/>
      <c r="K77" s="1283"/>
      <c r="L77" s="1283"/>
      <c r="M77" s="1283"/>
      <c r="N77" s="1283"/>
      <c r="O77" s="1283"/>
      <c r="P77" s="1283"/>
      <c r="Q77" s="1283"/>
      <c r="R77" s="1283"/>
      <c r="S77" s="1283"/>
      <c r="T77" s="1283"/>
      <c r="U77" s="1283"/>
      <c r="V77" s="1283"/>
      <c r="W77" s="1283"/>
      <c r="X77" s="1283"/>
      <c r="Y77" s="1283"/>
      <c r="Z77" s="1283"/>
    </row>
    <row r="78" ht="23.25" customHeight="1">
      <c r="A78" s="1283"/>
      <c r="B78" s="1283"/>
      <c r="C78" s="1283"/>
      <c r="D78" s="1283"/>
      <c r="E78" s="1283"/>
      <c r="F78" s="1283"/>
      <c r="G78" s="1283"/>
      <c r="H78" s="1283"/>
      <c r="I78" s="1283"/>
      <c r="J78" s="1283"/>
      <c r="K78" s="1283"/>
      <c r="L78" s="1283"/>
      <c r="M78" s="1283"/>
      <c r="N78" s="1283"/>
      <c r="O78" s="1283"/>
      <c r="P78" s="1283"/>
      <c r="Q78" s="1283"/>
      <c r="R78" s="1283"/>
      <c r="S78" s="1283"/>
      <c r="T78" s="1283"/>
      <c r="U78" s="1283"/>
      <c r="V78" s="1283"/>
      <c r="W78" s="1283"/>
      <c r="X78" s="1283"/>
      <c r="Y78" s="1283"/>
      <c r="Z78" s="1283"/>
    </row>
    <row r="79" ht="23.25" customHeight="1">
      <c r="A79" s="1283"/>
      <c r="B79" s="1283"/>
      <c r="C79" s="1283"/>
      <c r="D79" s="1283"/>
      <c r="E79" s="1283"/>
      <c r="F79" s="1283"/>
      <c r="G79" s="1283"/>
      <c r="H79" s="1283"/>
      <c r="I79" s="1283"/>
      <c r="J79" s="1283"/>
      <c r="K79" s="1283"/>
      <c r="L79" s="1283"/>
      <c r="M79" s="1283"/>
      <c r="N79" s="1283"/>
      <c r="O79" s="1283"/>
      <c r="P79" s="1283"/>
      <c r="Q79" s="1283"/>
      <c r="R79" s="1283"/>
      <c r="S79" s="1283"/>
      <c r="T79" s="1283"/>
      <c r="U79" s="1283"/>
      <c r="V79" s="1283"/>
      <c r="W79" s="1283"/>
      <c r="X79" s="1283"/>
      <c r="Y79" s="1283"/>
      <c r="Z79" s="1283"/>
    </row>
    <row r="80" ht="23.25" customHeight="1">
      <c r="A80" s="1283"/>
      <c r="B80" s="1283"/>
      <c r="C80" s="1283"/>
      <c r="D80" s="1283"/>
      <c r="E80" s="1283"/>
      <c r="F80" s="1283"/>
      <c r="G80" s="1283"/>
      <c r="H80" s="1283"/>
      <c r="I80" s="1283"/>
      <c r="J80" s="1283"/>
      <c r="K80" s="1283"/>
      <c r="L80" s="1283"/>
      <c r="M80" s="1283"/>
      <c r="N80" s="1283"/>
      <c r="O80" s="1283"/>
      <c r="P80" s="1283"/>
      <c r="Q80" s="1283"/>
      <c r="R80" s="1283"/>
      <c r="S80" s="1283"/>
      <c r="T80" s="1283"/>
      <c r="U80" s="1283"/>
      <c r="V80" s="1283"/>
      <c r="W80" s="1283"/>
      <c r="X80" s="1283"/>
      <c r="Y80" s="1283"/>
      <c r="Z80" s="1283"/>
    </row>
    <row r="81" ht="23.25" customHeight="1">
      <c r="A81" s="1283"/>
      <c r="B81" s="1283"/>
      <c r="C81" s="1283"/>
      <c r="D81" s="1283"/>
      <c r="E81" s="1283"/>
      <c r="F81" s="1283"/>
      <c r="G81" s="1283"/>
      <c r="H81" s="1283"/>
      <c r="I81" s="1283"/>
      <c r="J81" s="1283"/>
      <c r="K81" s="1283"/>
      <c r="L81" s="1283"/>
      <c r="M81" s="1283"/>
      <c r="N81" s="1283"/>
      <c r="O81" s="1283"/>
      <c r="P81" s="1283"/>
      <c r="Q81" s="1283"/>
      <c r="R81" s="1283"/>
      <c r="S81" s="1283"/>
      <c r="T81" s="1283"/>
      <c r="U81" s="1283"/>
      <c r="V81" s="1283"/>
      <c r="W81" s="1283"/>
      <c r="X81" s="1283"/>
      <c r="Y81" s="1283"/>
      <c r="Z81" s="1283"/>
    </row>
    <row r="82" ht="23.25" customHeight="1">
      <c r="A82" s="1283"/>
      <c r="B82" s="1283"/>
      <c r="C82" s="1283"/>
      <c r="D82" s="1283"/>
      <c r="E82" s="1283"/>
      <c r="F82" s="1283"/>
      <c r="G82" s="1283"/>
      <c r="H82" s="1283"/>
      <c r="I82" s="1283"/>
      <c r="J82" s="1283"/>
      <c r="K82" s="1283"/>
      <c r="L82" s="1283"/>
      <c r="M82" s="1283"/>
      <c r="N82" s="1283"/>
      <c r="O82" s="1283"/>
      <c r="P82" s="1283"/>
      <c r="Q82" s="1283"/>
      <c r="R82" s="1283"/>
      <c r="S82" s="1283"/>
      <c r="T82" s="1283"/>
      <c r="U82" s="1283"/>
      <c r="V82" s="1283"/>
      <c r="W82" s="1283"/>
      <c r="X82" s="1283"/>
      <c r="Y82" s="1283"/>
      <c r="Z82" s="1283"/>
    </row>
    <row r="83" ht="23.25" customHeight="1">
      <c r="A83" s="1283"/>
      <c r="B83" s="1283"/>
      <c r="C83" s="1283"/>
      <c r="D83" s="1283"/>
      <c r="E83" s="1283"/>
      <c r="F83" s="1283"/>
      <c r="G83" s="1283"/>
      <c r="H83" s="1283"/>
      <c r="I83" s="1283"/>
      <c r="J83" s="1283"/>
      <c r="K83" s="1283"/>
      <c r="L83" s="1283"/>
      <c r="M83" s="1283"/>
      <c r="N83" s="1283"/>
      <c r="O83" s="1283"/>
      <c r="P83" s="1283"/>
      <c r="Q83" s="1283"/>
      <c r="R83" s="1283"/>
      <c r="S83" s="1283"/>
      <c r="T83" s="1283"/>
      <c r="U83" s="1283"/>
      <c r="V83" s="1283"/>
      <c r="W83" s="1283"/>
      <c r="X83" s="1283"/>
      <c r="Y83" s="1283"/>
      <c r="Z83" s="1283"/>
    </row>
    <row r="84" ht="23.25" customHeight="1">
      <c r="A84" s="1283"/>
      <c r="B84" s="1283"/>
      <c r="C84" s="1283"/>
      <c r="D84" s="1283"/>
      <c r="E84" s="1283"/>
      <c r="F84" s="1283"/>
      <c r="G84" s="1283"/>
      <c r="H84" s="1283"/>
      <c r="I84" s="1283"/>
      <c r="J84" s="1283"/>
      <c r="K84" s="1283"/>
      <c r="L84" s="1283"/>
      <c r="M84" s="1283"/>
      <c r="N84" s="1283"/>
      <c r="O84" s="1283"/>
      <c r="P84" s="1283"/>
      <c r="Q84" s="1283"/>
      <c r="R84" s="1283"/>
      <c r="S84" s="1283"/>
      <c r="T84" s="1283"/>
      <c r="U84" s="1283"/>
      <c r="V84" s="1283"/>
      <c r="W84" s="1283"/>
      <c r="X84" s="1283"/>
      <c r="Y84" s="1283"/>
      <c r="Z84" s="1283"/>
    </row>
    <row r="85" ht="23.25" customHeight="1">
      <c r="A85" s="1283"/>
      <c r="B85" s="1283"/>
      <c r="C85" s="1283"/>
      <c r="D85" s="1283"/>
      <c r="E85" s="1283"/>
      <c r="F85" s="1283"/>
      <c r="G85" s="1283"/>
      <c r="H85" s="1283"/>
      <c r="I85" s="1283"/>
      <c r="J85" s="1283"/>
      <c r="K85" s="1283"/>
      <c r="L85" s="1283"/>
      <c r="M85" s="1283"/>
      <c r="N85" s="1283"/>
      <c r="O85" s="1283"/>
      <c r="P85" s="1283"/>
      <c r="Q85" s="1283"/>
      <c r="R85" s="1283"/>
      <c r="S85" s="1283"/>
      <c r="T85" s="1283"/>
      <c r="U85" s="1283"/>
      <c r="V85" s="1283"/>
      <c r="W85" s="1283"/>
      <c r="X85" s="1283"/>
      <c r="Y85" s="1283"/>
      <c r="Z85" s="1283"/>
    </row>
    <row r="86" ht="23.25" customHeight="1">
      <c r="A86" s="1283"/>
      <c r="B86" s="1283"/>
      <c r="C86" s="1283"/>
      <c r="D86" s="1283"/>
      <c r="E86" s="1283"/>
      <c r="F86" s="1283"/>
      <c r="G86" s="1283"/>
      <c r="H86" s="1283"/>
      <c r="I86" s="1283"/>
      <c r="J86" s="1283"/>
      <c r="K86" s="1283"/>
      <c r="L86" s="1283"/>
      <c r="M86" s="1283"/>
      <c r="N86" s="1283"/>
      <c r="O86" s="1283"/>
      <c r="P86" s="1283"/>
      <c r="Q86" s="1283"/>
      <c r="R86" s="1283"/>
      <c r="S86" s="1283"/>
      <c r="T86" s="1283"/>
      <c r="U86" s="1283"/>
      <c r="V86" s="1283"/>
      <c r="W86" s="1283"/>
      <c r="X86" s="1283"/>
      <c r="Y86" s="1283"/>
      <c r="Z86" s="1283"/>
    </row>
    <row r="87" ht="23.25" customHeight="1">
      <c r="A87" s="1283"/>
      <c r="B87" s="1283"/>
      <c r="C87" s="1283"/>
      <c r="D87" s="1283"/>
      <c r="E87" s="1283"/>
      <c r="F87" s="1283"/>
      <c r="G87" s="1283"/>
      <c r="H87" s="1283"/>
      <c r="I87" s="1283"/>
      <c r="J87" s="1283"/>
      <c r="K87" s="1283"/>
      <c r="L87" s="1283"/>
      <c r="M87" s="1283"/>
      <c r="N87" s="1283"/>
      <c r="O87" s="1283"/>
      <c r="P87" s="1283"/>
      <c r="Q87" s="1283"/>
      <c r="R87" s="1283"/>
      <c r="S87" s="1283"/>
      <c r="T87" s="1283"/>
      <c r="U87" s="1283"/>
      <c r="V87" s="1283"/>
      <c r="W87" s="1283"/>
      <c r="X87" s="1283"/>
      <c r="Y87" s="1283"/>
      <c r="Z87" s="1283"/>
    </row>
    <row r="88" ht="23.25" customHeight="1">
      <c r="A88" s="1283"/>
      <c r="B88" s="1283"/>
      <c r="C88" s="1283"/>
      <c r="D88" s="1283"/>
      <c r="E88" s="1283"/>
      <c r="F88" s="1283"/>
      <c r="G88" s="1283"/>
      <c r="H88" s="1283"/>
      <c r="I88" s="1283"/>
      <c r="J88" s="1283"/>
      <c r="K88" s="1283"/>
      <c r="L88" s="1283"/>
      <c r="M88" s="1283"/>
      <c r="N88" s="1283"/>
      <c r="O88" s="1283"/>
      <c r="P88" s="1283"/>
      <c r="Q88" s="1283"/>
      <c r="R88" s="1283"/>
      <c r="S88" s="1283"/>
      <c r="T88" s="1283"/>
      <c r="U88" s="1283"/>
      <c r="V88" s="1283"/>
      <c r="W88" s="1283"/>
      <c r="X88" s="1283"/>
      <c r="Y88" s="1283"/>
      <c r="Z88" s="1283"/>
    </row>
    <row r="89" ht="23.25" customHeight="1">
      <c r="A89" s="1283"/>
      <c r="B89" s="1283"/>
      <c r="C89" s="1283"/>
      <c r="D89" s="1283"/>
      <c r="E89" s="1283"/>
      <c r="F89" s="1283"/>
      <c r="G89" s="1283"/>
      <c r="H89" s="1283"/>
      <c r="I89" s="1283"/>
      <c r="J89" s="1283"/>
      <c r="K89" s="1283"/>
      <c r="L89" s="1283"/>
      <c r="M89" s="1283"/>
      <c r="N89" s="1283"/>
      <c r="O89" s="1283"/>
      <c r="P89" s="1283"/>
      <c r="Q89" s="1283"/>
      <c r="R89" s="1283"/>
      <c r="S89" s="1283"/>
      <c r="T89" s="1283"/>
      <c r="U89" s="1283"/>
      <c r="V89" s="1283"/>
      <c r="W89" s="1283"/>
      <c r="X89" s="1283"/>
      <c r="Y89" s="1283"/>
      <c r="Z89" s="1283"/>
    </row>
    <row r="90" ht="23.25" customHeight="1">
      <c r="A90" s="1283"/>
      <c r="B90" s="1283"/>
      <c r="C90" s="1283"/>
      <c r="D90" s="1283"/>
      <c r="E90" s="1283"/>
      <c r="F90" s="1283"/>
      <c r="G90" s="1283"/>
      <c r="H90" s="1283"/>
      <c r="I90" s="1283"/>
      <c r="J90" s="1283"/>
      <c r="K90" s="1283"/>
      <c r="L90" s="1283"/>
      <c r="M90" s="1283"/>
      <c r="N90" s="1283"/>
      <c r="O90" s="1283"/>
      <c r="P90" s="1283"/>
      <c r="Q90" s="1283"/>
      <c r="R90" s="1283"/>
      <c r="S90" s="1283"/>
      <c r="T90" s="1283"/>
      <c r="U90" s="1283"/>
      <c r="V90" s="1283"/>
      <c r="W90" s="1283"/>
      <c r="X90" s="1283"/>
      <c r="Y90" s="1283"/>
      <c r="Z90" s="1283"/>
    </row>
    <row r="91" ht="23.25" customHeight="1">
      <c r="A91" s="1283"/>
      <c r="B91" s="1283"/>
      <c r="C91" s="1283"/>
      <c r="D91" s="1283"/>
      <c r="E91" s="1283"/>
      <c r="F91" s="1283"/>
      <c r="G91" s="1283"/>
      <c r="H91" s="1283"/>
      <c r="I91" s="1283"/>
      <c r="J91" s="1283"/>
      <c r="K91" s="1283"/>
      <c r="L91" s="1283"/>
      <c r="M91" s="1283"/>
      <c r="N91" s="1283"/>
      <c r="O91" s="1283"/>
      <c r="P91" s="1283"/>
      <c r="Q91" s="1283"/>
      <c r="R91" s="1283"/>
      <c r="S91" s="1283"/>
      <c r="T91" s="1283"/>
      <c r="U91" s="1283"/>
      <c r="V91" s="1283"/>
      <c r="W91" s="1283"/>
      <c r="X91" s="1283"/>
      <c r="Y91" s="1283"/>
      <c r="Z91" s="1283"/>
    </row>
    <row r="92" ht="23.25" customHeight="1">
      <c r="A92" s="1283"/>
      <c r="B92" s="1283"/>
      <c r="C92" s="1283"/>
      <c r="D92" s="1283"/>
      <c r="E92" s="1283"/>
      <c r="F92" s="1283"/>
      <c r="G92" s="1283"/>
      <c r="H92" s="1283"/>
      <c r="I92" s="1283"/>
      <c r="J92" s="1283"/>
      <c r="K92" s="1283"/>
      <c r="L92" s="1283"/>
      <c r="M92" s="1283"/>
      <c r="N92" s="1283"/>
      <c r="O92" s="1283"/>
      <c r="P92" s="1283"/>
      <c r="Q92" s="1283"/>
      <c r="R92" s="1283"/>
      <c r="S92" s="1283"/>
      <c r="T92" s="1283"/>
      <c r="U92" s="1283"/>
      <c r="V92" s="1283"/>
      <c r="W92" s="1283"/>
      <c r="X92" s="1283"/>
      <c r="Y92" s="1283"/>
      <c r="Z92" s="1283"/>
    </row>
    <row r="93" ht="23.25" customHeight="1">
      <c r="A93" s="1283"/>
      <c r="B93" s="1283"/>
      <c r="C93" s="1283"/>
      <c r="D93" s="1283"/>
      <c r="E93" s="1283"/>
      <c r="F93" s="1283"/>
      <c r="G93" s="1283"/>
      <c r="H93" s="1283"/>
      <c r="I93" s="1283"/>
      <c r="J93" s="1283"/>
      <c r="K93" s="1283"/>
      <c r="L93" s="1283"/>
      <c r="M93" s="1283"/>
      <c r="N93" s="1283"/>
      <c r="O93" s="1283"/>
      <c r="P93" s="1283"/>
      <c r="Q93" s="1283"/>
      <c r="R93" s="1283"/>
      <c r="S93" s="1283"/>
      <c r="T93" s="1283"/>
      <c r="U93" s="1283"/>
      <c r="V93" s="1283"/>
      <c r="W93" s="1283"/>
      <c r="X93" s="1283"/>
      <c r="Y93" s="1283"/>
      <c r="Z93" s="1283"/>
    </row>
    <row r="94" ht="23.25" customHeight="1">
      <c r="A94" s="1283"/>
      <c r="B94" s="1283"/>
      <c r="C94" s="1283"/>
      <c r="D94" s="1283"/>
      <c r="E94" s="1283"/>
      <c r="F94" s="1283"/>
      <c r="G94" s="1283"/>
      <c r="H94" s="1283"/>
      <c r="I94" s="1283"/>
      <c r="J94" s="1283"/>
      <c r="K94" s="1283"/>
      <c r="L94" s="1283"/>
      <c r="M94" s="1283"/>
      <c r="N94" s="1283"/>
      <c r="O94" s="1283"/>
      <c r="P94" s="1283"/>
      <c r="Q94" s="1283"/>
      <c r="R94" s="1283"/>
      <c r="S94" s="1283"/>
      <c r="T94" s="1283"/>
      <c r="U94" s="1283"/>
      <c r="V94" s="1283"/>
      <c r="W94" s="1283"/>
      <c r="X94" s="1283"/>
      <c r="Y94" s="1283"/>
      <c r="Z94" s="1283"/>
    </row>
    <row r="95" ht="23.25" customHeight="1">
      <c r="A95" s="1283"/>
      <c r="B95" s="1283"/>
      <c r="C95" s="1283"/>
      <c r="D95" s="1283"/>
      <c r="E95" s="1283"/>
      <c r="F95" s="1283"/>
      <c r="G95" s="1283"/>
      <c r="H95" s="1283"/>
      <c r="I95" s="1283"/>
      <c r="J95" s="1283"/>
      <c r="K95" s="1283"/>
      <c r="L95" s="1283"/>
      <c r="M95" s="1283"/>
      <c r="N95" s="1283"/>
      <c r="O95" s="1283"/>
      <c r="P95" s="1283"/>
      <c r="Q95" s="1283"/>
      <c r="R95" s="1283"/>
      <c r="S95" s="1283"/>
      <c r="T95" s="1283"/>
      <c r="U95" s="1283"/>
      <c r="V95" s="1283"/>
      <c r="W95" s="1283"/>
      <c r="X95" s="1283"/>
      <c r="Y95" s="1283"/>
      <c r="Z95" s="1283"/>
    </row>
    <row r="96" ht="23.25" customHeight="1">
      <c r="A96" s="1283"/>
      <c r="B96" s="1283"/>
      <c r="C96" s="1283"/>
      <c r="D96" s="1283"/>
      <c r="E96" s="1283"/>
      <c r="F96" s="1283"/>
      <c r="G96" s="1283"/>
      <c r="H96" s="1283"/>
      <c r="I96" s="1283"/>
      <c r="J96" s="1283"/>
      <c r="K96" s="1283"/>
      <c r="L96" s="1283"/>
      <c r="M96" s="1283"/>
      <c r="N96" s="1283"/>
      <c r="O96" s="1283"/>
      <c r="P96" s="1283"/>
      <c r="Q96" s="1283"/>
      <c r="R96" s="1283"/>
      <c r="S96" s="1283"/>
      <c r="T96" s="1283"/>
      <c r="U96" s="1283"/>
      <c r="V96" s="1283"/>
      <c r="W96" s="1283"/>
      <c r="X96" s="1283"/>
      <c r="Y96" s="1283"/>
      <c r="Z96" s="1283"/>
    </row>
    <row r="97" ht="23.25" customHeight="1">
      <c r="A97" s="1283"/>
      <c r="B97" s="1283"/>
      <c r="C97" s="1283"/>
      <c r="D97" s="1283"/>
      <c r="E97" s="1283"/>
      <c r="F97" s="1283"/>
      <c r="G97" s="1283"/>
      <c r="H97" s="1283"/>
      <c r="I97" s="1283"/>
      <c r="J97" s="1283"/>
      <c r="K97" s="1283"/>
      <c r="L97" s="1283"/>
      <c r="M97" s="1283"/>
      <c r="N97" s="1283"/>
      <c r="O97" s="1283"/>
      <c r="P97" s="1283"/>
      <c r="Q97" s="1283"/>
      <c r="R97" s="1283"/>
      <c r="S97" s="1283"/>
      <c r="T97" s="1283"/>
      <c r="U97" s="1283"/>
      <c r="V97" s="1283"/>
      <c r="W97" s="1283"/>
      <c r="X97" s="1283"/>
      <c r="Y97" s="1283"/>
      <c r="Z97" s="1283"/>
    </row>
    <row r="98" ht="23.25" customHeight="1">
      <c r="A98" s="1283"/>
      <c r="B98" s="1283"/>
      <c r="C98" s="1283"/>
      <c r="D98" s="1283"/>
      <c r="E98" s="1283"/>
      <c r="F98" s="1283"/>
      <c r="G98" s="1283"/>
      <c r="H98" s="1283"/>
      <c r="I98" s="1283"/>
      <c r="J98" s="1283"/>
      <c r="K98" s="1283"/>
      <c r="L98" s="1283"/>
      <c r="M98" s="1283"/>
      <c r="N98" s="1283"/>
      <c r="O98" s="1283"/>
      <c r="P98" s="1283"/>
      <c r="Q98" s="1283"/>
      <c r="R98" s="1283"/>
      <c r="S98" s="1283"/>
      <c r="T98" s="1283"/>
      <c r="U98" s="1283"/>
      <c r="V98" s="1283"/>
      <c r="W98" s="1283"/>
      <c r="X98" s="1283"/>
      <c r="Y98" s="1283"/>
      <c r="Z98" s="1283"/>
    </row>
    <row r="99" ht="23.25" customHeight="1">
      <c r="A99" s="1283"/>
      <c r="B99" s="1283"/>
      <c r="C99" s="1283"/>
      <c r="D99" s="1283"/>
      <c r="E99" s="1283"/>
      <c r="F99" s="1283"/>
      <c r="G99" s="1283"/>
      <c r="H99" s="1283"/>
      <c r="I99" s="1283"/>
      <c r="J99" s="1283"/>
      <c r="K99" s="1283"/>
      <c r="L99" s="1283"/>
      <c r="M99" s="1283"/>
      <c r="N99" s="1283"/>
      <c r="O99" s="1283"/>
      <c r="P99" s="1283"/>
      <c r="Q99" s="1283"/>
      <c r="R99" s="1283"/>
      <c r="S99" s="1283"/>
      <c r="T99" s="1283"/>
      <c r="U99" s="1283"/>
      <c r="V99" s="1283"/>
      <c r="W99" s="1283"/>
      <c r="X99" s="1283"/>
      <c r="Y99" s="1283"/>
      <c r="Z99" s="1283"/>
    </row>
    <row r="100" ht="23.25" customHeight="1">
      <c r="A100" s="1283"/>
      <c r="B100" s="1283"/>
      <c r="C100" s="1283"/>
      <c r="D100" s="1283"/>
      <c r="E100" s="1283"/>
      <c r="F100" s="1283"/>
      <c r="G100" s="1283"/>
      <c r="H100" s="1283"/>
      <c r="I100" s="1283"/>
      <c r="J100" s="1283"/>
      <c r="K100" s="1283"/>
      <c r="L100" s="1283"/>
      <c r="M100" s="1283"/>
      <c r="N100" s="1283"/>
      <c r="O100" s="1283"/>
      <c r="P100" s="1283"/>
      <c r="Q100" s="1283"/>
      <c r="R100" s="1283"/>
      <c r="S100" s="1283"/>
      <c r="T100" s="1283"/>
      <c r="U100" s="1283"/>
      <c r="V100" s="1283"/>
      <c r="W100" s="1283"/>
      <c r="X100" s="1283"/>
      <c r="Y100" s="1283"/>
      <c r="Z100" s="1283"/>
    </row>
    <row r="101" ht="23.25" customHeight="1">
      <c r="A101" s="1283"/>
      <c r="B101" s="1283"/>
      <c r="C101" s="1283"/>
      <c r="D101" s="1283"/>
      <c r="E101" s="1283"/>
      <c r="F101" s="1283"/>
      <c r="G101" s="1283"/>
      <c r="H101" s="1283"/>
      <c r="I101" s="1283"/>
      <c r="J101" s="1283"/>
      <c r="K101" s="1283"/>
      <c r="L101" s="1283"/>
      <c r="M101" s="1283"/>
      <c r="N101" s="1283"/>
      <c r="O101" s="1283"/>
      <c r="P101" s="1283"/>
      <c r="Q101" s="1283"/>
      <c r="R101" s="1283"/>
      <c r="S101" s="1283"/>
      <c r="T101" s="1283"/>
      <c r="U101" s="1283"/>
      <c r="V101" s="1283"/>
      <c r="W101" s="1283"/>
      <c r="X101" s="1283"/>
      <c r="Y101" s="1283"/>
      <c r="Z101" s="1283"/>
    </row>
    <row r="102" ht="23.25" customHeight="1">
      <c r="A102" s="1283"/>
      <c r="B102" s="1283"/>
      <c r="C102" s="1283"/>
      <c r="D102" s="1283"/>
      <c r="E102" s="1283"/>
      <c r="F102" s="1283"/>
      <c r="G102" s="1283"/>
      <c r="H102" s="1283"/>
      <c r="I102" s="1283"/>
      <c r="J102" s="1283"/>
      <c r="K102" s="1283"/>
      <c r="L102" s="1283"/>
      <c r="M102" s="1283"/>
      <c r="N102" s="1283"/>
      <c r="O102" s="1283"/>
      <c r="P102" s="1283"/>
      <c r="Q102" s="1283"/>
      <c r="R102" s="1283"/>
      <c r="S102" s="1283"/>
      <c r="T102" s="1283"/>
      <c r="U102" s="1283"/>
      <c r="V102" s="1283"/>
      <c r="W102" s="1283"/>
      <c r="X102" s="1283"/>
      <c r="Y102" s="1283"/>
      <c r="Z102" s="1283"/>
    </row>
    <row r="103" ht="23.25" customHeight="1">
      <c r="A103" s="1283"/>
      <c r="B103" s="1283"/>
      <c r="C103" s="1283"/>
      <c r="D103" s="1283"/>
      <c r="E103" s="1283"/>
      <c r="F103" s="1283"/>
      <c r="G103" s="1283"/>
      <c r="H103" s="1283"/>
      <c r="I103" s="1283"/>
      <c r="J103" s="1283"/>
      <c r="K103" s="1283"/>
      <c r="L103" s="1283"/>
      <c r="M103" s="1283"/>
      <c r="N103" s="1283"/>
      <c r="O103" s="1283"/>
      <c r="P103" s="1283"/>
      <c r="Q103" s="1283"/>
      <c r="R103" s="1283"/>
      <c r="S103" s="1283"/>
      <c r="T103" s="1283"/>
      <c r="U103" s="1283"/>
      <c r="V103" s="1283"/>
      <c r="W103" s="1283"/>
      <c r="X103" s="1283"/>
      <c r="Y103" s="1283"/>
      <c r="Z103" s="1283"/>
    </row>
    <row r="104" ht="23.25" customHeight="1">
      <c r="A104" s="1283"/>
      <c r="B104" s="1283"/>
      <c r="C104" s="1283"/>
      <c r="D104" s="1283"/>
      <c r="E104" s="1283"/>
      <c r="F104" s="1283"/>
      <c r="G104" s="1283"/>
      <c r="H104" s="1283"/>
      <c r="I104" s="1283"/>
      <c r="J104" s="1283"/>
      <c r="K104" s="1283"/>
      <c r="L104" s="1283"/>
      <c r="M104" s="1283"/>
      <c r="N104" s="1283"/>
      <c r="O104" s="1283"/>
      <c r="P104" s="1283"/>
      <c r="Q104" s="1283"/>
      <c r="R104" s="1283"/>
      <c r="S104" s="1283"/>
      <c r="T104" s="1283"/>
      <c r="U104" s="1283"/>
      <c r="V104" s="1283"/>
      <c r="W104" s="1283"/>
      <c r="X104" s="1283"/>
      <c r="Y104" s="1283"/>
      <c r="Z104" s="1283"/>
    </row>
    <row r="105" ht="23.25" customHeight="1">
      <c r="A105" s="1283"/>
      <c r="B105" s="1283"/>
      <c r="C105" s="1283"/>
      <c r="D105" s="1283"/>
      <c r="E105" s="1283"/>
      <c r="F105" s="1283"/>
      <c r="G105" s="1283"/>
      <c r="H105" s="1283"/>
      <c r="I105" s="1283"/>
      <c r="J105" s="1283"/>
      <c r="K105" s="1283"/>
      <c r="L105" s="1283"/>
      <c r="M105" s="1283"/>
      <c r="N105" s="1283"/>
      <c r="O105" s="1283"/>
      <c r="P105" s="1283"/>
      <c r="Q105" s="1283"/>
      <c r="R105" s="1283"/>
      <c r="S105" s="1283"/>
      <c r="T105" s="1283"/>
      <c r="U105" s="1283"/>
      <c r="V105" s="1283"/>
      <c r="W105" s="1283"/>
      <c r="X105" s="1283"/>
      <c r="Y105" s="1283"/>
      <c r="Z105" s="1283"/>
    </row>
    <row r="106" ht="23.25" customHeight="1">
      <c r="A106" s="1283"/>
      <c r="B106" s="1283"/>
      <c r="C106" s="1283"/>
      <c r="D106" s="1283"/>
      <c r="E106" s="1283"/>
      <c r="F106" s="1283"/>
      <c r="G106" s="1283"/>
      <c r="H106" s="1283"/>
      <c r="I106" s="1283"/>
      <c r="J106" s="1283"/>
      <c r="K106" s="1283"/>
      <c r="L106" s="1283"/>
      <c r="M106" s="1283"/>
      <c r="N106" s="1283"/>
      <c r="O106" s="1283"/>
      <c r="P106" s="1283"/>
      <c r="Q106" s="1283"/>
      <c r="R106" s="1283"/>
      <c r="S106" s="1283"/>
      <c r="T106" s="1283"/>
      <c r="U106" s="1283"/>
      <c r="V106" s="1283"/>
      <c r="W106" s="1283"/>
      <c r="X106" s="1283"/>
      <c r="Y106" s="1283"/>
      <c r="Z106" s="1283"/>
    </row>
    <row r="107" ht="23.25" customHeight="1">
      <c r="A107" s="1283"/>
      <c r="B107" s="1283"/>
      <c r="C107" s="1283"/>
      <c r="D107" s="1283"/>
      <c r="E107" s="1283"/>
      <c r="F107" s="1283"/>
      <c r="G107" s="1283"/>
      <c r="H107" s="1283"/>
      <c r="I107" s="1283"/>
      <c r="J107" s="1283"/>
      <c r="K107" s="1283"/>
      <c r="L107" s="1283"/>
      <c r="M107" s="1283"/>
      <c r="N107" s="1283"/>
      <c r="O107" s="1283"/>
      <c r="P107" s="1283"/>
      <c r="Q107" s="1283"/>
      <c r="R107" s="1283"/>
      <c r="S107" s="1283"/>
      <c r="T107" s="1283"/>
      <c r="U107" s="1283"/>
      <c r="V107" s="1283"/>
      <c r="W107" s="1283"/>
      <c r="X107" s="1283"/>
      <c r="Y107" s="1283"/>
      <c r="Z107" s="1283"/>
    </row>
    <row r="108" ht="23.25" customHeight="1">
      <c r="A108" s="1283"/>
      <c r="B108" s="1283"/>
      <c r="C108" s="1283"/>
      <c r="D108" s="1283"/>
      <c r="E108" s="1283"/>
      <c r="F108" s="1283"/>
      <c r="G108" s="1283"/>
      <c r="H108" s="1283"/>
      <c r="I108" s="1283"/>
      <c r="J108" s="1283"/>
      <c r="K108" s="1283"/>
      <c r="L108" s="1283"/>
      <c r="M108" s="1283"/>
      <c r="N108" s="1283"/>
      <c r="O108" s="1283"/>
      <c r="P108" s="1283"/>
      <c r="Q108" s="1283"/>
      <c r="R108" s="1283"/>
      <c r="S108" s="1283"/>
      <c r="T108" s="1283"/>
      <c r="U108" s="1283"/>
      <c r="V108" s="1283"/>
      <c r="W108" s="1283"/>
      <c r="X108" s="1283"/>
      <c r="Y108" s="1283"/>
      <c r="Z108" s="1283"/>
    </row>
    <row r="109" ht="23.25" customHeight="1">
      <c r="A109" s="1283"/>
      <c r="B109" s="1283"/>
      <c r="C109" s="1283"/>
      <c r="D109" s="1283"/>
      <c r="E109" s="1283"/>
      <c r="F109" s="1283"/>
      <c r="G109" s="1283"/>
      <c r="H109" s="1283"/>
      <c r="I109" s="1283"/>
      <c r="J109" s="1283"/>
      <c r="K109" s="1283"/>
      <c r="L109" s="1283"/>
      <c r="M109" s="1283"/>
      <c r="N109" s="1283"/>
      <c r="O109" s="1283"/>
      <c r="P109" s="1283"/>
      <c r="Q109" s="1283"/>
      <c r="R109" s="1283"/>
      <c r="S109" s="1283"/>
      <c r="T109" s="1283"/>
      <c r="U109" s="1283"/>
      <c r="V109" s="1283"/>
      <c r="W109" s="1283"/>
      <c r="X109" s="1283"/>
      <c r="Y109" s="1283"/>
      <c r="Z109" s="1283"/>
    </row>
    <row r="110" ht="23.25" customHeight="1">
      <c r="A110" s="1283"/>
      <c r="B110" s="1283"/>
      <c r="C110" s="1283"/>
      <c r="D110" s="1283"/>
      <c r="E110" s="1283"/>
      <c r="F110" s="1283"/>
      <c r="G110" s="1283"/>
      <c r="H110" s="1283"/>
      <c r="I110" s="1283"/>
      <c r="J110" s="1283"/>
      <c r="K110" s="1283"/>
      <c r="L110" s="1283"/>
      <c r="M110" s="1283"/>
      <c r="N110" s="1283"/>
      <c r="O110" s="1283"/>
      <c r="P110" s="1283"/>
      <c r="Q110" s="1283"/>
      <c r="R110" s="1283"/>
      <c r="S110" s="1283"/>
      <c r="T110" s="1283"/>
      <c r="U110" s="1283"/>
      <c r="V110" s="1283"/>
      <c r="W110" s="1283"/>
      <c r="X110" s="1283"/>
      <c r="Y110" s="1283"/>
      <c r="Z110" s="1283"/>
    </row>
    <row r="111" ht="23.25" customHeight="1">
      <c r="A111" s="1283"/>
      <c r="B111" s="1283"/>
      <c r="C111" s="1283"/>
      <c r="D111" s="1283"/>
      <c r="E111" s="1283"/>
      <c r="F111" s="1283"/>
      <c r="G111" s="1283"/>
      <c r="H111" s="1283"/>
      <c r="I111" s="1283"/>
      <c r="J111" s="1283"/>
      <c r="K111" s="1283"/>
      <c r="L111" s="1283"/>
      <c r="M111" s="1283"/>
      <c r="N111" s="1283"/>
      <c r="O111" s="1283"/>
      <c r="P111" s="1283"/>
      <c r="Q111" s="1283"/>
      <c r="R111" s="1283"/>
      <c r="S111" s="1283"/>
      <c r="T111" s="1283"/>
      <c r="U111" s="1283"/>
      <c r="V111" s="1283"/>
      <c r="W111" s="1283"/>
      <c r="X111" s="1283"/>
      <c r="Y111" s="1283"/>
      <c r="Z111" s="1283"/>
    </row>
    <row r="112" ht="23.25" customHeight="1">
      <c r="A112" s="1283"/>
      <c r="B112" s="1283"/>
      <c r="C112" s="1283"/>
      <c r="D112" s="1283"/>
      <c r="E112" s="1283"/>
      <c r="F112" s="1283"/>
      <c r="G112" s="1283"/>
      <c r="H112" s="1283"/>
      <c r="I112" s="1283"/>
      <c r="J112" s="1283"/>
      <c r="K112" s="1283"/>
      <c r="L112" s="1283"/>
      <c r="M112" s="1283"/>
      <c r="N112" s="1283"/>
      <c r="O112" s="1283"/>
      <c r="P112" s="1283"/>
      <c r="Q112" s="1283"/>
      <c r="R112" s="1283"/>
      <c r="S112" s="1283"/>
      <c r="T112" s="1283"/>
      <c r="U112" s="1283"/>
      <c r="V112" s="1283"/>
      <c r="W112" s="1283"/>
      <c r="X112" s="1283"/>
      <c r="Y112" s="1283"/>
      <c r="Z112" s="1283"/>
    </row>
    <row r="113" ht="23.25" customHeight="1">
      <c r="A113" s="1283"/>
      <c r="B113" s="1283"/>
      <c r="C113" s="1283"/>
      <c r="D113" s="1283"/>
      <c r="E113" s="1283"/>
      <c r="F113" s="1283"/>
      <c r="G113" s="1283"/>
      <c r="H113" s="1283"/>
      <c r="I113" s="1283"/>
      <c r="J113" s="1283"/>
      <c r="K113" s="1283"/>
      <c r="L113" s="1283"/>
      <c r="M113" s="1283"/>
      <c r="N113" s="1283"/>
      <c r="O113" s="1283"/>
      <c r="P113" s="1283"/>
      <c r="Q113" s="1283"/>
      <c r="R113" s="1283"/>
      <c r="S113" s="1283"/>
      <c r="T113" s="1283"/>
      <c r="U113" s="1283"/>
      <c r="V113" s="1283"/>
      <c r="W113" s="1283"/>
      <c r="X113" s="1283"/>
      <c r="Y113" s="1283"/>
      <c r="Z113" s="1283"/>
    </row>
    <row r="114" ht="23.25" customHeight="1">
      <c r="A114" s="1283"/>
      <c r="B114" s="1283"/>
      <c r="C114" s="1283"/>
      <c r="D114" s="1283"/>
      <c r="E114" s="1283"/>
      <c r="F114" s="1283"/>
      <c r="G114" s="1283"/>
      <c r="H114" s="1283"/>
      <c r="I114" s="1283"/>
      <c r="J114" s="1283"/>
      <c r="K114" s="1283"/>
      <c r="L114" s="1283"/>
      <c r="M114" s="1283"/>
      <c r="N114" s="1283"/>
      <c r="O114" s="1283"/>
      <c r="P114" s="1283"/>
      <c r="Q114" s="1283"/>
      <c r="R114" s="1283"/>
      <c r="S114" s="1283"/>
      <c r="T114" s="1283"/>
      <c r="U114" s="1283"/>
      <c r="V114" s="1283"/>
      <c r="W114" s="1283"/>
      <c r="X114" s="1283"/>
      <c r="Y114" s="1283"/>
      <c r="Z114" s="1283"/>
    </row>
    <row r="115" ht="23.25" customHeight="1">
      <c r="A115" s="1283"/>
      <c r="B115" s="1283"/>
      <c r="C115" s="1283"/>
      <c r="D115" s="1283"/>
      <c r="E115" s="1283"/>
      <c r="F115" s="1283"/>
      <c r="G115" s="1283"/>
      <c r="H115" s="1283"/>
      <c r="I115" s="1283"/>
      <c r="J115" s="1283"/>
      <c r="K115" s="1283"/>
      <c r="L115" s="1283"/>
      <c r="M115" s="1283"/>
      <c r="N115" s="1283"/>
      <c r="O115" s="1283"/>
      <c r="P115" s="1283"/>
      <c r="Q115" s="1283"/>
      <c r="R115" s="1283"/>
      <c r="S115" s="1283"/>
      <c r="T115" s="1283"/>
      <c r="U115" s="1283"/>
      <c r="V115" s="1283"/>
      <c r="W115" s="1283"/>
      <c r="X115" s="1283"/>
      <c r="Y115" s="1283"/>
      <c r="Z115" s="1283"/>
    </row>
    <row r="116" ht="23.25" customHeight="1">
      <c r="A116" s="1283"/>
      <c r="B116" s="1283"/>
      <c r="C116" s="1283"/>
      <c r="D116" s="1283"/>
      <c r="E116" s="1283"/>
      <c r="F116" s="1283"/>
      <c r="G116" s="1283"/>
      <c r="H116" s="1283"/>
      <c r="I116" s="1283"/>
      <c r="J116" s="1283"/>
      <c r="K116" s="1283"/>
      <c r="L116" s="1283"/>
      <c r="M116" s="1283"/>
      <c r="N116" s="1283"/>
      <c r="O116" s="1283"/>
      <c r="P116" s="1283"/>
      <c r="Q116" s="1283"/>
      <c r="R116" s="1283"/>
      <c r="S116" s="1283"/>
      <c r="T116" s="1283"/>
      <c r="U116" s="1283"/>
      <c r="V116" s="1283"/>
      <c r="W116" s="1283"/>
      <c r="X116" s="1283"/>
      <c r="Y116" s="1283"/>
      <c r="Z116" s="1283"/>
    </row>
    <row r="117" ht="23.25" customHeight="1">
      <c r="A117" s="1283"/>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row>
    <row r="118" ht="23.25" customHeight="1">
      <c r="A118" s="1283"/>
      <c r="B118" s="1283"/>
      <c r="C118" s="1283"/>
      <c r="D118" s="1283"/>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row>
    <row r="119" ht="23.25" customHeight="1">
      <c r="A119" s="1283"/>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row>
    <row r="120" ht="23.25" customHeight="1">
      <c r="A120" s="1283"/>
      <c r="B120" s="1283"/>
      <c r="C120" s="1283"/>
      <c r="D120" s="1283"/>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row>
    <row r="121" ht="23.25" customHeight="1">
      <c r="A121" s="1283"/>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row>
    <row r="122" ht="23.25" customHeight="1">
      <c r="A122" s="1283"/>
      <c r="B122" s="1283"/>
      <c r="C122" s="1283"/>
      <c r="D122" s="1283"/>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row>
    <row r="123" ht="23.25" customHeight="1">
      <c r="A123" s="1283"/>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row>
    <row r="124" ht="23.25" customHeight="1">
      <c r="A124" s="1283"/>
      <c r="B124" s="1283"/>
      <c r="C124" s="1283"/>
      <c r="D124" s="1283"/>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row>
    <row r="125" ht="23.25" customHeight="1">
      <c r="A125" s="1283"/>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row>
    <row r="126" ht="23.25" customHeight="1">
      <c r="A126" s="1283"/>
      <c r="B126" s="1283"/>
      <c r="C126" s="1283"/>
      <c r="D126" s="1283"/>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row>
    <row r="127" ht="23.25" customHeight="1">
      <c r="A127" s="1283"/>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row>
    <row r="128" ht="23.25" customHeight="1">
      <c r="A128" s="1283"/>
      <c r="B128" s="1283"/>
      <c r="C128" s="1283"/>
      <c r="D128" s="1283"/>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row>
    <row r="129" ht="23.25" customHeight="1">
      <c r="A129" s="1283"/>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row>
    <row r="130" ht="23.25" customHeight="1">
      <c r="A130" s="1283"/>
      <c r="B130" s="1283"/>
      <c r="C130" s="1283"/>
      <c r="D130" s="1283"/>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row>
    <row r="131" ht="23.25" customHeight="1">
      <c r="A131" s="1283"/>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row>
    <row r="132" ht="23.25" customHeight="1">
      <c r="A132" s="1283"/>
      <c r="B132" s="1283"/>
      <c r="C132" s="1283"/>
      <c r="D132" s="1283"/>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row>
    <row r="133" ht="23.25" customHeight="1">
      <c r="A133" s="1283"/>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row>
    <row r="134" ht="23.25" customHeight="1">
      <c r="A134" s="1283"/>
      <c r="B134" s="1283"/>
      <c r="C134" s="1283"/>
      <c r="D134" s="1283"/>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row>
    <row r="135" ht="23.25" customHeight="1">
      <c r="A135" s="1283"/>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row>
    <row r="136" ht="23.25" customHeight="1">
      <c r="A136" s="1283"/>
      <c r="B136" s="1283"/>
      <c r="C136" s="1283"/>
      <c r="D136" s="1283"/>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row>
    <row r="137" ht="23.25" customHeight="1">
      <c r="A137" s="1283"/>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row>
    <row r="138" ht="23.25" customHeight="1">
      <c r="A138" s="1283"/>
      <c r="B138" s="1283"/>
      <c r="C138" s="1283"/>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row>
    <row r="139" ht="23.25" customHeight="1">
      <c r="A139" s="1283"/>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row>
    <row r="140" ht="23.25" customHeight="1">
      <c r="A140" s="1283"/>
      <c r="B140" s="1283"/>
      <c r="C140" s="1283"/>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row>
    <row r="141" ht="23.25" customHeight="1">
      <c r="A141" s="1283"/>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row>
    <row r="142" ht="23.25" customHeight="1">
      <c r="A142" s="1283"/>
      <c r="B142" s="1283"/>
      <c r="C142" s="1283"/>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row>
    <row r="143" ht="23.25" customHeight="1">
      <c r="A143" s="1283"/>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row>
    <row r="144" ht="23.25" customHeight="1">
      <c r="A144" s="1283"/>
      <c r="B144" s="1283"/>
      <c r="C144" s="1283"/>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row>
    <row r="145" ht="23.25" customHeight="1">
      <c r="A145" s="1283"/>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row>
    <row r="146" ht="23.25" customHeight="1">
      <c r="A146" s="1283"/>
      <c r="B146" s="1283"/>
      <c r="C146" s="1283"/>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row>
    <row r="147" ht="23.25" customHeight="1">
      <c r="A147" s="1283"/>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row>
    <row r="148" ht="23.25" customHeight="1">
      <c r="A148" s="1283"/>
      <c r="B148" s="1283"/>
      <c r="C148" s="1283"/>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row>
    <row r="149" ht="23.25" customHeight="1">
      <c r="A149" s="1283"/>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row>
    <row r="150" ht="23.25" customHeight="1">
      <c r="A150" s="1283"/>
      <c r="B150" s="1283"/>
      <c r="C150" s="1283"/>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row>
    <row r="151" ht="23.25" customHeight="1">
      <c r="A151" s="1283"/>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row>
    <row r="152" ht="23.25" customHeight="1">
      <c r="A152" s="1283"/>
      <c r="B152" s="1283"/>
      <c r="C152" s="1283"/>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row>
    <row r="153" ht="23.25" customHeight="1">
      <c r="A153" s="1283"/>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row>
    <row r="154" ht="23.25" customHeight="1">
      <c r="A154" s="1283"/>
      <c r="B154" s="1283"/>
      <c r="C154" s="1283"/>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row>
    <row r="155" ht="23.25" customHeight="1">
      <c r="A155" s="1283"/>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row>
    <row r="156" ht="23.25" customHeight="1">
      <c r="A156" s="1283"/>
      <c r="B156" s="1283"/>
      <c r="C156" s="1283"/>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row>
    <row r="157" ht="23.25" customHeight="1">
      <c r="A157" s="1283"/>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row>
    <row r="158" ht="23.25" customHeight="1">
      <c r="A158" s="1283"/>
      <c r="B158" s="1283"/>
      <c r="C158" s="1283"/>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row>
    <row r="159" ht="23.25" customHeight="1">
      <c r="A159" s="1283"/>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row>
    <row r="160" ht="23.25" customHeight="1">
      <c r="A160" s="1283"/>
      <c r="B160" s="1283"/>
      <c r="C160" s="1283"/>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row>
    <row r="161" ht="23.25" customHeight="1">
      <c r="A161" s="1283"/>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row>
    <row r="162" ht="23.25" customHeight="1">
      <c r="A162" s="1283"/>
      <c r="B162" s="1283"/>
      <c r="C162" s="1283"/>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row>
    <row r="163" ht="23.25" customHeight="1">
      <c r="A163" s="1283"/>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row>
    <row r="164" ht="23.25" customHeight="1">
      <c r="A164" s="1283"/>
      <c r="B164" s="1283"/>
      <c r="C164" s="1283"/>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row>
    <row r="165" ht="23.25" customHeight="1">
      <c r="A165" s="1283"/>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row>
    <row r="166" ht="23.25" customHeight="1">
      <c r="A166" s="1283"/>
      <c r="B166" s="1283"/>
      <c r="C166" s="1283"/>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row>
    <row r="167" ht="23.25" customHeight="1">
      <c r="A167" s="1283"/>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row>
    <row r="168" ht="23.25" customHeight="1">
      <c r="A168" s="1283"/>
      <c r="B168" s="1283"/>
      <c r="C168" s="1283"/>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row>
    <row r="169" ht="23.25" customHeight="1">
      <c r="A169" s="1283"/>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row>
    <row r="170" ht="23.25" customHeight="1">
      <c r="A170" s="1283"/>
      <c r="B170" s="1283"/>
      <c r="C170" s="1283"/>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row>
    <row r="171" ht="23.25" customHeight="1">
      <c r="A171" s="1283"/>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row>
    <row r="172" ht="23.25" customHeight="1">
      <c r="A172" s="1283"/>
      <c r="B172" s="1283"/>
      <c r="C172" s="1283"/>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row>
    <row r="173" ht="23.25" customHeight="1">
      <c r="A173" s="1283"/>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row>
    <row r="174" ht="23.25" customHeight="1">
      <c r="A174" s="1283"/>
      <c r="B174" s="1283"/>
      <c r="C174" s="1283"/>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row>
    <row r="175" ht="23.25" customHeight="1">
      <c r="A175" s="1283"/>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row>
    <row r="176" ht="23.25" customHeight="1">
      <c r="A176" s="1283"/>
      <c r="B176" s="1283"/>
      <c r="C176" s="1283"/>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row>
    <row r="177" ht="23.25" customHeight="1">
      <c r="A177" s="1283"/>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row>
    <row r="178" ht="23.25" customHeight="1">
      <c r="A178" s="1283"/>
      <c r="B178" s="1283"/>
      <c r="C178" s="1283"/>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row>
    <row r="179" ht="23.25" customHeight="1">
      <c r="A179" s="1283"/>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row>
    <row r="180" ht="23.25" customHeight="1">
      <c r="A180" s="1283"/>
      <c r="B180" s="1283"/>
      <c r="C180" s="1283"/>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row>
    <row r="181" ht="23.25" customHeight="1">
      <c r="A181" s="1283"/>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row>
    <row r="182" ht="23.25" customHeight="1">
      <c r="A182" s="1283"/>
      <c r="B182" s="1283"/>
      <c r="C182" s="1283"/>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row>
    <row r="183" ht="23.25" customHeight="1">
      <c r="A183" s="1283"/>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row>
    <row r="184" ht="23.25" customHeight="1">
      <c r="A184" s="1283"/>
      <c r="B184" s="1283"/>
      <c r="C184" s="1283"/>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row>
    <row r="185" ht="23.25" customHeight="1">
      <c r="A185" s="1283"/>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row>
    <row r="186" ht="23.25" customHeight="1">
      <c r="A186" s="1283"/>
      <c r="B186" s="1283"/>
      <c r="C186" s="1283"/>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row>
    <row r="187" ht="23.25" customHeight="1">
      <c r="A187" s="1283"/>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row>
    <row r="188" ht="23.25" customHeight="1">
      <c r="A188" s="1283"/>
      <c r="B188" s="1283"/>
      <c r="C188" s="1283"/>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row>
    <row r="189" ht="23.25" customHeight="1">
      <c r="A189" s="1283"/>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row>
    <row r="190" ht="23.25" customHeight="1">
      <c r="A190" s="1283"/>
      <c r="B190" s="1283"/>
      <c r="C190" s="1283"/>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row>
    <row r="191" ht="23.25" customHeight="1">
      <c r="A191" s="1283"/>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row>
    <row r="192" ht="23.25" customHeight="1">
      <c r="A192" s="1283"/>
      <c r="B192" s="1283"/>
      <c r="C192" s="1283"/>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row>
    <row r="193" ht="23.25" customHeight="1">
      <c r="A193" s="1283"/>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row>
    <row r="194" ht="23.25" customHeight="1">
      <c r="A194" s="1283"/>
      <c r="B194" s="1283"/>
      <c r="C194" s="1283"/>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row>
    <row r="195" ht="23.25" customHeight="1">
      <c r="A195" s="1283"/>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row>
    <row r="196" ht="23.25" customHeight="1">
      <c r="A196" s="1283"/>
      <c r="B196" s="1283"/>
      <c r="C196" s="1283"/>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row>
    <row r="197" ht="23.25" customHeight="1">
      <c r="A197" s="1283"/>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row>
    <row r="198" ht="23.25" customHeight="1">
      <c r="A198" s="1283"/>
      <c r="B198" s="1283"/>
      <c r="C198" s="1283"/>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row>
    <row r="199" ht="23.25" customHeight="1">
      <c r="A199" s="1283"/>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row>
    <row r="200" ht="23.25" customHeight="1">
      <c r="A200" s="1283"/>
      <c r="B200" s="1283"/>
      <c r="C200" s="1283"/>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row>
    <row r="201" ht="23.25" customHeight="1">
      <c r="A201" s="1283"/>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row>
    <row r="202" ht="23.25" customHeight="1">
      <c r="A202" s="1283"/>
      <c r="B202" s="1283"/>
      <c r="C202" s="1283"/>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row>
    <row r="203" ht="23.25" customHeight="1">
      <c r="A203" s="1283"/>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row>
    <row r="204" ht="23.25" customHeight="1">
      <c r="A204" s="1283"/>
      <c r="B204" s="1283"/>
      <c r="C204" s="1283"/>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row>
    <row r="205" ht="23.25" customHeight="1">
      <c r="A205" s="1283"/>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row>
    <row r="206" ht="23.25" customHeight="1">
      <c r="A206" s="1283"/>
      <c r="B206" s="1283"/>
      <c r="C206" s="1283"/>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row>
    <row r="207" ht="23.25" customHeight="1">
      <c r="A207" s="1283"/>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row>
    <row r="208" ht="23.25" customHeight="1">
      <c r="A208" s="1283"/>
      <c r="B208" s="1283"/>
      <c r="C208" s="1283"/>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row>
    <row r="209" ht="23.25" customHeight="1">
      <c r="A209" s="1283"/>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row>
    <row r="210" ht="23.25" customHeight="1">
      <c r="A210" s="1283"/>
      <c r="B210" s="1283"/>
      <c r="C210" s="1283"/>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row>
    <row r="211" ht="23.25" customHeight="1">
      <c r="A211" s="1283"/>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row>
    <row r="212" ht="23.25" customHeight="1">
      <c r="A212" s="1283"/>
      <c r="B212" s="1283"/>
      <c r="C212" s="1283"/>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row>
    <row r="213" ht="23.25" customHeight="1">
      <c r="A213" s="1283"/>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row>
    <row r="214" ht="23.25" customHeight="1">
      <c r="A214" s="1283"/>
      <c r="B214" s="1283"/>
      <c r="C214" s="1283"/>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row>
    <row r="215" ht="23.25" customHeight="1">
      <c r="A215" s="1283"/>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row>
    <row r="216" ht="23.25" customHeight="1">
      <c r="A216" s="1283"/>
      <c r="B216" s="1283"/>
      <c r="C216" s="1283"/>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row>
    <row r="217" ht="23.25" customHeight="1">
      <c r="A217" s="1283"/>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row>
    <row r="218" ht="23.25" customHeight="1">
      <c r="A218" s="1283"/>
      <c r="B218" s="1283"/>
      <c r="C218" s="1283"/>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row>
    <row r="219" ht="23.25" customHeight="1">
      <c r="A219" s="1283"/>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row>
    <row r="220" ht="23.25" customHeight="1">
      <c r="A220" s="1283"/>
      <c r="B220" s="1283"/>
      <c r="C220" s="1283"/>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row>
    <row r="221" ht="23.25" customHeight="1">
      <c r="A221" s="1283"/>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row>
    <row r="222" ht="23.25" customHeight="1">
      <c r="A222" s="1283"/>
      <c r="B222" s="1283"/>
      <c r="C222" s="1283"/>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row>
    <row r="223" ht="23.25" customHeight="1">
      <c r="A223" s="1283"/>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row>
    <row r="224" ht="23.25" customHeight="1">
      <c r="A224" s="1283"/>
      <c r="B224" s="1283"/>
      <c r="C224" s="1283"/>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row>
    <row r="225" ht="23.25" customHeight="1">
      <c r="A225" s="1283"/>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row>
    <row r="226" ht="23.25" customHeight="1">
      <c r="A226" s="1283"/>
      <c r="B226" s="1283"/>
      <c r="C226" s="1283"/>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row>
    <row r="227" ht="23.25" customHeight="1">
      <c r="A227" s="1283"/>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row>
    <row r="228" ht="23.25" customHeight="1">
      <c r="A228" s="1283"/>
      <c r="B228" s="1283"/>
      <c r="C228" s="1283"/>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row>
    <row r="229" ht="23.25" customHeight="1">
      <c r="A229" s="1283"/>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row>
    <row r="230" ht="23.25" customHeight="1">
      <c r="A230" s="1283"/>
      <c r="B230" s="1283"/>
      <c r="C230" s="1283"/>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row>
    <row r="231" ht="23.25" customHeight="1">
      <c r="A231" s="1283"/>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row>
    <row r="232" ht="23.25" customHeight="1">
      <c r="A232" s="1283"/>
      <c r="B232" s="1283"/>
      <c r="C232" s="1283"/>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row>
    <row r="233" ht="23.25" customHeight="1">
      <c r="A233" s="1283"/>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row>
    <row r="234" ht="23.25" customHeight="1">
      <c r="A234" s="1283"/>
      <c r="B234" s="1283"/>
      <c r="C234" s="1283"/>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row>
    <row r="235" ht="23.25" customHeight="1">
      <c r="A235" s="1283"/>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row>
    <row r="236" ht="23.25" customHeight="1">
      <c r="A236" s="1283"/>
      <c r="B236" s="1283"/>
      <c r="C236" s="1283"/>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row>
    <row r="237" ht="23.25" customHeight="1">
      <c r="A237" s="1283"/>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row>
    <row r="238" ht="23.25" customHeight="1">
      <c r="A238" s="1283"/>
      <c r="B238" s="1283"/>
      <c r="C238" s="1283"/>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row>
    <row r="239" ht="23.25" customHeight="1">
      <c r="A239" s="1283"/>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row>
    <row r="240" ht="23.25" customHeight="1">
      <c r="A240" s="1283"/>
      <c r="B240" s="1283"/>
      <c r="C240" s="1283"/>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row>
    <row r="241" ht="23.25" customHeight="1">
      <c r="A241" s="1283"/>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row>
    <row r="242" ht="23.25" customHeight="1">
      <c r="A242" s="1283"/>
      <c r="B242" s="1283"/>
      <c r="C242" s="1283"/>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row>
    <row r="243" ht="23.25" customHeight="1">
      <c r="A243" s="1283"/>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row>
    <row r="244" ht="23.25" customHeight="1">
      <c r="A244" s="1283"/>
      <c r="B244" s="1283"/>
      <c r="C244" s="1283"/>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row>
    <row r="245" ht="23.25" customHeight="1">
      <c r="A245" s="1283"/>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row>
    <row r="246" ht="23.25" customHeight="1">
      <c r="A246" s="1283"/>
      <c r="B246" s="1283"/>
      <c r="C246" s="1283"/>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row>
    <row r="247" ht="23.25" customHeight="1">
      <c r="A247" s="1283"/>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row>
    <row r="248" ht="23.25" customHeight="1">
      <c r="A248" s="1283"/>
      <c r="B248" s="1283"/>
      <c r="C248" s="1283"/>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row>
    <row r="249" ht="23.25" customHeight="1">
      <c r="A249" s="1283"/>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row>
    <row r="250" ht="23.25" customHeight="1">
      <c r="A250" s="1283"/>
      <c r="B250" s="1283"/>
      <c r="C250" s="1283"/>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row>
    <row r="251" ht="23.25" customHeight="1">
      <c r="A251" s="1283"/>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row>
    <row r="252" ht="23.25" customHeight="1">
      <c r="A252" s="1283"/>
      <c r="B252" s="1283"/>
      <c r="C252" s="1283"/>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row>
    <row r="253" ht="23.25" customHeight="1">
      <c r="A253" s="1283"/>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row>
    <row r="254" ht="23.25" customHeight="1">
      <c r="A254" s="1283"/>
      <c r="B254" s="1283"/>
      <c r="C254" s="1283"/>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row>
    <row r="255" ht="23.25" customHeight="1">
      <c r="A255" s="1283"/>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row>
    <row r="256" ht="23.25" customHeight="1">
      <c r="A256" s="1283"/>
      <c r="B256" s="1283"/>
      <c r="C256" s="1283"/>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row>
    <row r="257" ht="23.25" customHeight="1">
      <c r="A257" s="1283"/>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row>
    <row r="258" ht="23.25" customHeight="1">
      <c r="A258" s="1283"/>
      <c r="B258" s="1283"/>
      <c r="C258" s="1283"/>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row>
    <row r="259" ht="23.25" customHeight="1">
      <c r="A259" s="1283"/>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row>
    <row r="260" ht="23.25" customHeight="1">
      <c r="A260" s="1283"/>
      <c r="B260" s="1283"/>
      <c r="C260" s="1283"/>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row>
    <row r="261" ht="23.25" customHeight="1">
      <c r="A261" s="1283"/>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row>
    <row r="262" ht="23.25" customHeight="1">
      <c r="A262" s="1283"/>
      <c r="B262" s="1283"/>
      <c r="C262" s="1283"/>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row>
    <row r="263" ht="23.25" customHeight="1">
      <c r="A263" s="1283"/>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row>
    <row r="264" ht="23.25" customHeight="1">
      <c r="A264" s="1283"/>
      <c r="B264" s="1283"/>
      <c r="C264" s="1283"/>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row>
    <row r="265" ht="23.25" customHeight="1">
      <c r="A265" s="1283"/>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row>
    <row r="266" ht="23.25" customHeight="1">
      <c r="A266" s="1283"/>
      <c r="B266" s="1283"/>
      <c r="C266" s="1283"/>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row>
    <row r="267" ht="23.25" customHeight="1">
      <c r="A267" s="1283"/>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row>
    <row r="268" ht="23.25" customHeight="1">
      <c r="A268" s="1283"/>
      <c r="B268" s="1283"/>
      <c r="C268" s="1283"/>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row>
    <row r="269" ht="23.25" customHeight="1">
      <c r="A269" s="1283"/>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row>
    <row r="270" ht="23.25" customHeight="1">
      <c r="A270" s="1283"/>
      <c r="B270" s="1283"/>
      <c r="C270" s="1283"/>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row>
    <row r="271" ht="23.25" customHeight="1">
      <c r="A271" s="1283"/>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row>
    <row r="272" ht="23.25" customHeight="1">
      <c r="A272" s="1283"/>
      <c r="B272" s="1283"/>
      <c r="C272" s="1283"/>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row>
    <row r="273" ht="23.25" customHeight="1">
      <c r="A273" s="1283"/>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row>
    <row r="274" ht="23.25" customHeight="1">
      <c r="A274" s="1283"/>
      <c r="B274" s="1283"/>
      <c r="C274" s="1283"/>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row>
    <row r="275" ht="23.25" customHeight="1">
      <c r="A275" s="1283"/>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row>
    <row r="276" ht="23.25" customHeight="1">
      <c r="A276" s="1283"/>
      <c r="B276" s="1283"/>
      <c r="C276" s="1283"/>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row>
    <row r="277" ht="23.25" customHeight="1">
      <c r="A277" s="1283"/>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row>
    <row r="278" ht="23.25" customHeight="1">
      <c r="A278" s="1283"/>
      <c r="B278" s="1283"/>
      <c r="C278" s="1283"/>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row>
    <row r="279" ht="23.25" customHeight="1">
      <c r="A279" s="1283"/>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row>
    <row r="280" ht="23.25" customHeight="1">
      <c r="A280" s="1283"/>
      <c r="B280" s="1283"/>
      <c r="C280" s="1283"/>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row>
    <row r="281" ht="23.25" customHeight="1">
      <c r="A281" s="1283"/>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row>
    <row r="282" ht="23.25" customHeight="1">
      <c r="A282" s="1283"/>
      <c r="B282" s="1283"/>
      <c r="C282" s="1283"/>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row>
    <row r="283" ht="23.25" customHeight="1">
      <c r="A283" s="1283"/>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row>
    <row r="284" ht="23.25" customHeight="1">
      <c r="A284" s="1283"/>
      <c r="B284" s="1283"/>
      <c r="C284" s="1283"/>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row>
    <row r="285" ht="23.25" customHeight="1">
      <c r="A285" s="1283"/>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row>
    <row r="286" ht="23.25" customHeight="1">
      <c r="A286" s="1283"/>
      <c r="B286" s="1283"/>
      <c r="C286" s="1283"/>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row>
    <row r="287" ht="23.25" customHeight="1">
      <c r="A287" s="1283"/>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row>
    <row r="288" ht="23.25" customHeight="1">
      <c r="A288" s="1283"/>
      <c r="B288" s="1283"/>
      <c r="C288" s="1283"/>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row>
    <row r="289" ht="23.25" customHeight="1">
      <c r="A289" s="1283"/>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row>
    <row r="290" ht="23.25" customHeight="1">
      <c r="A290" s="1283"/>
      <c r="B290" s="1283"/>
      <c r="C290" s="1283"/>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row>
    <row r="291" ht="23.25" customHeight="1">
      <c r="A291" s="1283"/>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row>
    <row r="292" ht="23.25" customHeight="1">
      <c r="A292" s="1283"/>
      <c r="B292" s="1283"/>
      <c r="C292" s="1283"/>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row>
    <row r="293" ht="23.25" customHeight="1">
      <c r="A293" s="1283"/>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row>
    <row r="294" ht="23.25" customHeight="1">
      <c r="A294" s="1283"/>
      <c r="B294" s="1283"/>
      <c r="C294" s="1283"/>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row>
    <row r="295" ht="23.25" customHeight="1">
      <c r="A295" s="1283"/>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row>
    <row r="296" ht="23.25" customHeight="1">
      <c r="A296" s="1283"/>
      <c r="B296" s="1283"/>
      <c r="C296" s="1283"/>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row>
    <row r="297" ht="23.25" customHeight="1">
      <c r="A297" s="1283"/>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row>
    <row r="298" ht="23.25" customHeight="1">
      <c r="A298" s="1283"/>
      <c r="B298" s="1283"/>
      <c r="C298" s="1283"/>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row>
    <row r="299" ht="23.25" customHeight="1">
      <c r="A299" s="1283"/>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row>
    <row r="300" ht="23.25" customHeight="1">
      <c r="A300" s="1283"/>
      <c r="B300" s="1283"/>
      <c r="C300" s="1283"/>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row>
    <row r="301" ht="23.25" customHeight="1">
      <c r="A301" s="1283"/>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row>
    <row r="302" ht="23.25" customHeight="1">
      <c r="A302" s="1283"/>
      <c r="B302" s="1283"/>
      <c r="C302" s="1283"/>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row>
    <row r="303" ht="23.25" customHeight="1">
      <c r="A303" s="1283"/>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row>
    <row r="304" ht="23.25" customHeight="1">
      <c r="A304" s="1283"/>
      <c r="B304" s="1283"/>
      <c r="C304" s="1283"/>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row>
    <row r="305" ht="23.25" customHeight="1">
      <c r="A305" s="1283"/>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row>
    <row r="306" ht="23.25" customHeight="1">
      <c r="A306" s="1283"/>
      <c r="B306" s="1283"/>
      <c r="C306" s="1283"/>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row>
    <row r="307" ht="23.25" customHeight="1">
      <c r="A307" s="1283"/>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row>
    <row r="308" ht="23.25" customHeight="1">
      <c r="A308" s="1283"/>
      <c r="B308" s="1283"/>
      <c r="C308" s="1283"/>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row>
    <row r="309" ht="23.25" customHeight="1">
      <c r="A309" s="1283"/>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row>
    <row r="310" ht="23.25" customHeight="1">
      <c r="A310" s="1283"/>
      <c r="B310" s="1283"/>
      <c r="C310" s="1283"/>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row>
    <row r="311" ht="23.25" customHeight="1">
      <c r="A311" s="1283"/>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row>
    <row r="312" ht="23.25" customHeight="1">
      <c r="A312" s="1283"/>
      <c r="B312" s="1283"/>
      <c r="C312" s="1283"/>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row>
    <row r="313" ht="23.25" customHeight="1">
      <c r="A313" s="1283"/>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row>
    <row r="314" ht="23.25" customHeight="1">
      <c r="A314" s="1283"/>
      <c r="B314" s="1283"/>
      <c r="C314" s="1283"/>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row>
    <row r="315" ht="23.25" customHeight="1">
      <c r="A315" s="1283"/>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row>
    <row r="316" ht="23.25" customHeight="1">
      <c r="A316" s="1283"/>
      <c r="B316" s="1283"/>
      <c r="C316" s="1283"/>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row>
    <row r="317" ht="23.25" customHeight="1">
      <c r="A317" s="1283"/>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row>
    <row r="318" ht="23.25" customHeight="1">
      <c r="A318" s="1283"/>
      <c r="B318" s="1283"/>
      <c r="C318" s="1283"/>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row>
    <row r="319" ht="23.25" customHeight="1">
      <c r="A319" s="1283"/>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row>
    <row r="320" ht="23.25" customHeight="1">
      <c r="A320" s="1283"/>
      <c r="B320" s="1283"/>
      <c r="C320" s="1283"/>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row>
    <row r="321" ht="23.25" customHeight="1">
      <c r="A321" s="1283"/>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row>
    <row r="322" ht="23.25" customHeight="1">
      <c r="A322" s="1283"/>
      <c r="B322" s="1283"/>
      <c r="C322" s="1283"/>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row>
    <row r="323" ht="23.25" customHeight="1">
      <c r="A323" s="1283"/>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row>
    <row r="324" ht="23.25" customHeight="1">
      <c r="A324" s="1283"/>
      <c r="B324" s="1283"/>
      <c r="C324" s="1283"/>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row>
    <row r="325" ht="23.25" customHeight="1">
      <c r="A325" s="1283"/>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row>
    <row r="326" ht="23.25" customHeight="1">
      <c r="A326" s="1283"/>
      <c r="B326" s="1283"/>
      <c r="C326" s="1283"/>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row>
    <row r="327" ht="23.25" customHeight="1">
      <c r="A327" s="1283"/>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row>
    <row r="328" ht="23.25" customHeight="1">
      <c r="A328" s="1283"/>
      <c r="B328" s="1283"/>
      <c r="C328" s="1283"/>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row>
    <row r="329" ht="23.25" customHeight="1">
      <c r="A329" s="1283"/>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row>
    <row r="330" ht="23.25" customHeight="1">
      <c r="A330" s="1283"/>
      <c r="B330" s="1283"/>
      <c r="C330" s="1283"/>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row>
    <row r="331" ht="23.25" customHeight="1">
      <c r="A331" s="1283"/>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row>
    <row r="332" ht="23.25" customHeight="1">
      <c r="A332" s="1283"/>
      <c r="B332" s="1283"/>
      <c r="C332" s="1283"/>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row>
    <row r="333" ht="23.25" customHeight="1">
      <c r="A333" s="1283"/>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row>
    <row r="334" ht="23.25" customHeight="1">
      <c r="A334" s="1283"/>
      <c r="B334" s="1283"/>
      <c r="C334" s="1283"/>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row>
    <row r="335" ht="23.25" customHeight="1">
      <c r="A335" s="1283"/>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row>
    <row r="336" ht="23.25" customHeight="1">
      <c r="A336" s="1283"/>
      <c r="B336" s="1283"/>
      <c r="C336" s="1283"/>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row>
    <row r="337" ht="23.25" customHeight="1">
      <c r="A337" s="1283"/>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row>
    <row r="338" ht="23.25" customHeight="1">
      <c r="A338" s="1283"/>
      <c r="B338" s="1283"/>
      <c r="C338" s="1283"/>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row>
    <row r="339" ht="23.25" customHeight="1">
      <c r="A339" s="1283"/>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row>
    <row r="340" ht="23.25" customHeight="1">
      <c r="A340" s="1283"/>
      <c r="B340" s="1283"/>
      <c r="C340" s="1283"/>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row>
    <row r="341" ht="23.25" customHeight="1">
      <c r="A341" s="1283"/>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row>
    <row r="342" ht="23.25" customHeight="1">
      <c r="A342" s="1283"/>
      <c r="B342" s="1283"/>
      <c r="C342" s="1283"/>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row>
    <row r="343" ht="23.25" customHeight="1">
      <c r="A343" s="1283"/>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row>
    <row r="344" ht="23.25" customHeight="1">
      <c r="A344" s="1283"/>
      <c r="B344" s="1283"/>
      <c r="C344" s="1283"/>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row>
    <row r="345" ht="23.25" customHeight="1">
      <c r="A345" s="1283"/>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row>
    <row r="346" ht="23.25" customHeight="1">
      <c r="A346" s="1283"/>
      <c r="B346" s="1283"/>
      <c r="C346" s="1283"/>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row>
    <row r="347" ht="23.25" customHeight="1">
      <c r="A347" s="1283"/>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row>
    <row r="348" ht="23.25" customHeight="1">
      <c r="A348" s="1283"/>
      <c r="B348" s="1283"/>
      <c r="C348" s="1283"/>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row>
    <row r="349" ht="23.25" customHeight="1">
      <c r="A349" s="1283"/>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row>
    <row r="350" ht="23.25" customHeight="1">
      <c r="A350" s="1283"/>
      <c r="B350" s="1283"/>
      <c r="C350" s="1283"/>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row>
    <row r="351" ht="23.25" customHeight="1">
      <c r="A351" s="1283"/>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row>
    <row r="352" ht="23.25" customHeight="1">
      <c r="A352" s="1283"/>
      <c r="B352" s="1283"/>
      <c r="C352" s="1283"/>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row>
    <row r="353" ht="23.25" customHeight="1">
      <c r="A353" s="1283"/>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row>
    <row r="354" ht="23.25" customHeight="1">
      <c r="A354" s="1283"/>
      <c r="B354" s="1283"/>
      <c r="C354" s="1283"/>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row>
    <row r="355" ht="23.25" customHeight="1">
      <c r="A355" s="1283"/>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row>
    <row r="356" ht="23.25" customHeight="1">
      <c r="A356" s="1283"/>
      <c r="B356" s="1283"/>
      <c r="C356" s="1283"/>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row>
    <row r="357" ht="23.25" customHeight="1">
      <c r="A357" s="1283"/>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row>
    <row r="358" ht="23.25" customHeight="1">
      <c r="A358" s="1283"/>
      <c r="B358" s="1283"/>
      <c r="C358" s="1283"/>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row>
    <row r="359" ht="23.25" customHeight="1">
      <c r="A359" s="1283"/>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row>
    <row r="360" ht="23.25" customHeight="1">
      <c r="A360" s="1283"/>
      <c r="B360" s="1283"/>
      <c r="C360" s="1283"/>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row>
    <row r="361" ht="23.25" customHeight="1">
      <c r="A361" s="1283"/>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row>
    <row r="362" ht="23.25" customHeight="1">
      <c r="A362" s="1283"/>
      <c r="B362" s="1283"/>
      <c r="C362" s="1283"/>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row>
    <row r="363" ht="23.25" customHeight="1">
      <c r="A363" s="1283"/>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row>
    <row r="364" ht="23.25" customHeight="1">
      <c r="A364" s="1283"/>
      <c r="B364" s="1283"/>
      <c r="C364" s="1283"/>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row>
    <row r="365" ht="23.25" customHeight="1">
      <c r="A365" s="1283"/>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row>
    <row r="366" ht="23.25" customHeight="1">
      <c r="A366" s="1283"/>
      <c r="B366" s="1283"/>
      <c r="C366" s="1283"/>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row>
    <row r="367" ht="23.25" customHeight="1">
      <c r="A367" s="1283"/>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row>
    <row r="368" ht="23.25" customHeight="1">
      <c r="A368" s="1283"/>
      <c r="B368" s="1283"/>
      <c r="C368" s="1283"/>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row>
    <row r="369" ht="23.25" customHeight="1">
      <c r="A369" s="1283"/>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row>
    <row r="370" ht="23.25" customHeight="1">
      <c r="A370" s="1283"/>
      <c r="B370" s="1283"/>
      <c r="C370" s="1283"/>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row>
    <row r="371" ht="23.25" customHeight="1">
      <c r="A371" s="1283"/>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row>
    <row r="372" ht="23.25" customHeight="1">
      <c r="A372" s="1283"/>
      <c r="B372" s="1283"/>
      <c r="C372" s="1283"/>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row>
    <row r="373" ht="23.25" customHeight="1">
      <c r="A373" s="1283"/>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row>
    <row r="374" ht="23.25" customHeight="1">
      <c r="A374" s="1283"/>
      <c r="B374" s="1283"/>
      <c r="C374" s="1283"/>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row>
    <row r="375" ht="23.25" customHeight="1">
      <c r="A375" s="1283"/>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row>
    <row r="376" ht="23.25" customHeight="1">
      <c r="A376" s="1283"/>
      <c r="B376" s="1283"/>
      <c r="C376" s="1283"/>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row>
    <row r="377" ht="23.25" customHeight="1">
      <c r="A377" s="1283"/>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row>
    <row r="378" ht="23.25" customHeight="1">
      <c r="A378" s="1283"/>
      <c r="B378" s="1283"/>
      <c r="C378" s="1283"/>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row>
    <row r="379" ht="23.25" customHeight="1">
      <c r="A379" s="1283"/>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row>
    <row r="380" ht="23.25" customHeight="1">
      <c r="A380" s="1283"/>
      <c r="B380" s="1283"/>
      <c r="C380" s="1283"/>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row>
    <row r="381" ht="23.25" customHeight="1">
      <c r="A381" s="1283"/>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row>
    <row r="382" ht="23.25" customHeight="1">
      <c r="A382" s="1283"/>
      <c r="B382" s="1283"/>
      <c r="C382" s="1283"/>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row>
    <row r="383" ht="23.25" customHeight="1">
      <c r="A383" s="1283"/>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row>
    <row r="384" ht="23.25" customHeight="1">
      <c r="A384" s="1283"/>
      <c r="B384" s="1283"/>
      <c r="C384" s="1283"/>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row>
    <row r="385" ht="23.25" customHeight="1">
      <c r="A385" s="1283"/>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row>
    <row r="386" ht="23.25" customHeight="1">
      <c r="A386" s="1283"/>
      <c r="B386" s="1283"/>
      <c r="C386" s="1283"/>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row>
    <row r="387" ht="23.25" customHeight="1">
      <c r="A387" s="1283"/>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row>
    <row r="388" ht="23.25" customHeight="1">
      <c r="A388" s="1283"/>
      <c r="B388" s="1283"/>
      <c r="C388" s="1283"/>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row>
    <row r="389" ht="23.25" customHeight="1">
      <c r="A389" s="1283"/>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row>
    <row r="390" ht="23.25" customHeight="1">
      <c r="A390" s="1283"/>
      <c r="B390" s="1283"/>
      <c r="C390" s="1283"/>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row>
    <row r="391" ht="23.25" customHeight="1">
      <c r="A391" s="1283"/>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row>
    <row r="392" ht="23.25" customHeight="1">
      <c r="A392" s="1283"/>
      <c r="B392" s="1283"/>
      <c r="C392" s="1283"/>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row>
    <row r="393" ht="23.25" customHeight="1">
      <c r="A393" s="1283"/>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row>
    <row r="394" ht="23.25" customHeight="1">
      <c r="A394" s="1283"/>
      <c r="B394" s="1283"/>
      <c r="C394" s="1283"/>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row>
    <row r="395" ht="23.25" customHeight="1">
      <c r="A395" s="1283"/>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row>
    <row r="396" ht="23.25" customHeight="1">
      <c r="A396" s="1283"/>
      <c r="B396" s="1283"/>
      <c r="C396" s="1283"/>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row>
    <row r="397" ht="23.25" customHeight="1">
      <c r="A397" s="1283"/>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row>
    <row r="398" ht="23.25" customHeight="1">
      <c r="A398" s="1283"/>
      <c r="B398" s="1283"/>
      <c r="C398" s="1283"/>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row>
    <row r="399" ht="23.25" customHeight="1">
      <c r="A399" s="1283"/>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row>
    <row r="400" ht="23.25" customHeight="1">
      <c r="A400" s="1283"/>
      <c r="B400" s="1283"/>
      <c r="C400" s="1283"/>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row>
    <row r="401" ht="23.25" customHeight="1">
      <c r="A401" s="1283"/>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row>
    <row r="402" ht="23.25" customHeight="1">
      <c r="A402" s="1283"/>
      <c r="B402" s="1283"/>
      <c r="C402" s="1283"/>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row>
    <row r="403" ht="23.25" customHeight="1">
      <c r="A403" s="1283"/>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row>
    <row r="404" ht="23.25" customHeight="1">
      <c r="A404" s="1283"/>
      <c r="B404" s="1283"/>
      <c r="C404" s="1283"/>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row>
    <row r="405" ht="23.25" customHeight="1">
      <c r="A405" s="1283"/>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row>
    <row r="406" ht="23.25" customHeight="1">
      <c r="A406" s="1283"/>
      <c r="B406" s="1283"/>
      <c r="C406" s="1283"/>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row>
    <row r="407" ht="23.25" customHeight="1">
      <c r="A407" s="1283"/>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row>
    <row r="408" ht="23.25" customHeight="1">
      <c r="A408" s="1283"/>
      <c r="B408" s="1283"/>
      <c r="C408" s="1283"/>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row>
    <row r="409" ht="23.25" customHeight="1">
      <c r="A409" s="1283"/>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row>
    <row r="410" ht="23.25" customHeight="1">
      <c r="A410" s="1283"/>
      <c r="B410" s="1283"/>
      <c r="C410" s="1283"/>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row>
    <row r="411" ht="23.25" customHeight="1">
      <c r="A411" s="1283"/>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row>
    <row r="412" ht="23.25" customHeight="1">
      <c r="A412" s="1283"/>
      <c r="B412" s="1283"/>
      <c r="C412" s="1283"/>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row>
    <row r="413" ht="23.25" customHeight="1">
      <c r="A413" s="1283"/>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row>
    <row r="414" ht="23.25" customHeight="1">
      <c r="A414" s="1283"/>
      <c r="B414" s="1283"/>
      <c r="C414" s="1283"/>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row>
    <row r="415" ht="23.25" customHeight="1">
      <c r="A415" s="1283"/>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row>
    <row r="416" ht="23.25" customHeight="1">
      <c r="A416" s="1283"/>
      <c r="B416" s="1283"/>
      <c r="C416" s="1283"/>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row>
    <row r="417" ht="23.25" customHeight="1">
      <c r="A417" s="1283"/>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row>
    <row r="418" ht="23.25" customHeight="1">
      <c r="A418" s="1283"/>
      <c r="B418" s="1283"/>
      <c r="C418" s="1283"/>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row>
    <row r="419" ht="23.25" customHeight="1">
      <c r="A419" s="1283"/>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row>
    <row r="420" ht="23.25" customHeight="1">
      <c r="A420" s="1283"/>
      <c r="B420" s="1283"/>
      <c r="C420" s="1283"/>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row>
    <row r="421" ht="23.25" customHeight="1">
      <c r="A421" s="1283"/>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row>
    <row r="422" ht="23.25" customHeight="1">
      <c r="A422" s="1283"/>
      <c r="B422" s="1283"/>
      <c r="C422" s="1283"/>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row>
    <row r="423" ht="23.25" customHeight="1">
      <c r="A423" s="1283"/>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row>
    <row r="424" ht="23.25" customHeight="1">
      <c r="A424" s="1283"/>
      <c r="B424" s="1283"/>
      <c r="C424" s="1283"/>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row>
    <row r="425" ht="23.25" customHeight="1">
      <c r="A425" s="1283"/>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row>
    <row r="426" ht="23.25" customHeight="1">
      <c r="A426" s="1283"/>
      <c r="B426" s="1283"/>
      <c r="C426" s="1283"/>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row>
    <row r="427" ht="23.25" customHeight="1">
      <c r="A427" s="1283"/>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row>
    <row r="428" ht="23.25" customHeight="1">
      <c r="A428" s="1283"/>
      <c r="B428" s="1283"/>
      <c r="C428" s="1283"/>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row>
    <row r="429" ht="23.25" customHeight="1">
      <c r="A429" s="1283"/>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row>
    <row r="430" ht="23.25" customHeight="1">
      <c r="A430" s="1283"/>
      <c r="B430" s="1283"/>
      <c r="C430" s="1283"/>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row>
    <row r="431" ht="23.25" customHeight="1">
      <c r="A431" s="1283"/>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row>
    <row r="432" ht="23.25" customHeight="1">
      <c r="A432" s="1283"/>
      <c r="B432" s="1283"/>
      <c r="C432" s="1283"/>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row>
    <row r="433" ht="23.25" customHeight="1">
      <c r="A433" s="1283"/>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row>
    <row r="434" ht="23.25" customHeight="1">
      <c r="A434" s="1283"/>
      <c r="B434" s="1283"/>
      <c r="C434" s="1283"/>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row>
    <row r="435" ht="23.25" customHeight="1">
      <c r="A435" s="1283"/>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row>
    <row r="436" ht="23.25" customHeight="1">
      <c r="A436" s="1283"/>
      <c r="B436" s="1283"/>
      <c r="C436" s="1283"/>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row>
    <row r="437" ht="23.25" customHeight="1">
      <c r="A437" s="1283"/>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row>
    <row r="438" ht="23.25" customHeight="1">
      <c r="A438" s="1283"/>
      <c r="B438" s="1283"/>
      <c r="C438" s="1283"/>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row>
    <row r="439" ht="23.25" customHeight="1">
      <c r="A439" s="1283"/>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row>
    <row r="440" ht="23.25" customHeight="1">
      <c r="A440" s="1283"/>
      <c r="B440" s="1283"/>
      <c r="C440" s="1283"/>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row>
    <row r="441" ht="23.25" customHeight="1">
      <c r="A441" s="1283"/>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row>
    <row r="442" ht="23.25" customHeight="1">
      <c r="A442" s="1283"/>
      <c r="B442" s="1283"/>
      <c r="C442" s="1283"/>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row>
    <row r="443" ht="23.25" customHeight="1">
      <c r="A443" s="1283"/>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row>
    <row r="444" ht="23.25" customHeight="1">
      <c r="A444" s="1283"/>
      <c r="B444" s="1283"/>
      <c r="C444" s="1283"/>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row>
    <row r="445" ht="23.25" customHeight="1">
      <c r="A445" s="1283"/>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row>
    <row r="446" ht="23.25" customHeight="1">
      <c r="A446" s="1283"/>
      <c r="B446" s="1283"/>
      <c r="C446" s="1283"/>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row>
    <row r="447" ht="23.25" customHeight="1">
      <c r="A447" s="1283"/>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row>
    <row r="448" ht="23.25" customHeight="1">
      <c r="A448" s="1283"/>
      <c r="B448" s="1283"/>
      <c r="C448" s="1283"/>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row>
    <row r="449" ht="23.25" customHeight="1">
      <c r="A449" s="1283"/>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row>
    <row r="450" ht="23.25" customHeight="1">
      <c r="A450" s="1283"/>
      <c r="B450" s="1283"/>
      <c r="C450" s="1283"/>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row>
    <row r="451" ht="23.25" customHeight="1">
      <c r="A451" s="1283"/>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row>
    <row r="452" ht="23.25" customHeight="1">
      <c r="A452" s="1283"/>
      <c r="B452" s="1283"/>
      <c r="C452" s="1283"/>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row>
    <row r="453" ht="23.25" customHeight="1">
      <c r="A453" s="1283"/>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row>
    <row r="454" ht="23.25" customHeight="1">
      <c r="A454" s="1283"/>
      <c r="B454" s="1283"/>
      <c r="C454" s="1283"/>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row>
    <row r="455" ht="23.25" customHeight="1">
      <c r="A455" s="1283"/>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row>
    <row r="456" ht="23.25" customHeight="1">
      <c r="A456" s="1283"/>
      <c r="B456" s="1283"/>
      <c r="C456" s="1283"/>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row>
    <row r="457" ht="23.25" customHeight="1">
      <c r="A457" s="1283"/>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row>
    <row r="458" ht="23.25" customHeight="1">
      <c r="A458" s="1283"/>
      <c r="B458" s="1283"/>
      <c r="C458" s="1283"/>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row>
    <row r="459" ht="23.25" customHeight="1">
      <c r="A459" s="1283"/>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row>
    <row r="460" ht="23.25" customHeight="1">
      <c r="A460" s="1283"/>
      <c r="B460" s="1283"/>
      <c r="C460" s="1283"/>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row>
    <row r="461" ht="23.25" customHeight="1">
      <c r="A461" s="1283"/>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row>
    <row r="462" ht="23.25" customHeight="1">
      <c r="A462" s="1283"/>
      <c r="B462" s="1283"/>
      <c r="C462" s="1283"/>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row>
    <row r="463" ht="23.25" customHeight="1">
      <c r="A463" s="1283"/>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row>
    <row r="464" ht="23.25" customHeight="1">
      <c r="A464" s="1283"/>
      <c r="B464" s="1283"/>
      <c r="C464" s="1283"/>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row>
    <row r="465" ht="23.25" customHeight="1">
      <c r="A465" s="1283"/>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row>
    <row r="466" ht="23.25" customHeight="1">
      <c r="A466" s="1283"/>
      <c r="B466" s="1283"/>
      <c r="C466" s="1283"/>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row>
    <row r="467" ht="23.25" customHeight="1">
      <c r="A467" s="1283"/>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row>
    <row r="468" ht="23.25" customHeight="1">
      <c r="A468" s="1283"/>
      <c r="B468" s="1283"/>
      <c r="C468" s="1283"/>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row>
    <row r="469" ht="23.25" customHeight="1">
      <c r="A469" s="1283"/>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row>
    <row r="470" ht="23.25" customHeight="1">
      <c r="A470" s="1283"/>
      <c r="B470" s="1283"/>
      <c r="C470" s="1283"/>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row>
    <row r="471" ht="23.25" customHeight="1">
      <c r="A471" s="1283"/>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row>
    <row r="472" ht="23.25" customHeight="1">
      <c r="A472" s="1283"/>
      <c r="B472" s="1283"/>
      <c r="C472" s="1283"/>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row>
    <row r="473" ht="23.25" customHeight="1">
      <c r="A473" s="1283"/>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row>
    <row r="474" ht="23.25" customHeight="1">
      <c r="A474" s="1283"/>
      <c r="B474" s="1283"/>
      <c r="C474" s="1283"/>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row>
    <row r="475" ht="23.25" customHeight="1">
      <c r="A475" s="1283"/>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row>
    <row r="476" ht="23.25" customHeight="1">
      <c r="A476" s="1283"/>
      <c r="B476" s="1283"/>
      <c r="C476" s="1283"/>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row>
    <row r="477" ht="23.25" customHeight="1">
      <c r="A477" s="1283"/>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row>
    <row r="478" ht="23.25" customHeight="1">
      <c r="A478" s="1283"/>
      <c r="B478" s="1283"/>
      <c r="C478" s="1283"/>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row>
    <row r="479" ht="23.25" customHeight="1">
      <c r="A479" s="1283"/>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row>
    <row r="480" ht="23.25" customHeight="1">
      <c r="A480" s="1283"/>
      <c r="B480" s="1283"/>
      <c r="C480" s="1283"/>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row>
    <row r="481" ht="23.25" customHeight="1">
      <c r="A481" s="1283"/>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row>
    <row r="482" ht="23.25" customHeight="1">
      <c r="A482" s="1283"/>
      <c r="B482" s="1283"/>
      <c r="C482" s="1283"/>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row>
    <row r="483" ht="23.25" customHeight="1">
      <c r="A483" s="1283"/>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row>
    <row r="484" ht="23.25" customHeight="1">
      <c r="A484" s="1283"/>
      <c r="B484" s="1283"/>
      <c r="C484" s="1283"/>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row>
    <row r="485" ht="23.25" customHeight="1">
      <c r="A485" s="1283"/>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row>
    <row r="486" ht="23.25" customHeight="1">
      <c r="A486" s="1283"/>
      <c r="B486" s="1283"/>
      <c r="C486" s="1283"/>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row>
    <row r="487" ht="23.25" customHeight="1">
      <c r="A487" s="1283"/>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row>
    <row r="488" ht="23.25" customHeight="1">
      <c r="A488" s="1283"/>
      <c r="B488" s="1283"/>
      <c r="C488" s="1283"/>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row>
    <row r="489" ht="23.25" customHeight="1">
      <c r="A489" s="1283"/>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row>
    <row r="490" ht="23.25" customHeight="1">
      <c r="A490" s="1283"/>
      <c r="B490" s="1283"/>
      <c r="C490" s="1283"/>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row>
    <row r="491" ht="23.25" customHeight="1">
      <c r="A491" s="1283"/>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row>
    <row r="492" ht="23.25" customHeight="1">
      <c r="A492" s="1283"/>
      <c r="B492" s="1283"/>
      <c r="C492" s="1283"/>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row>
    <row r="493" ht="23.25" customHeight="1">
      <c r="A493" s="1283"/>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row>
    <row r="494" ht="23.25" customHeight="1">
      <c r="A494" s="1283"/>
      <c r="B494" s="1283"/>
      <c r="C494" s="1283"/>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row>
    <row r="495" ht="23.25" customHeight="1">
      <c r="A495" s="1283"/>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row>
    <row r="496" ht="23.25" customHeight="1">
      <c r="A496" s="1283"/>
      <c r="B496" s="1283"/>
      <c r="C496" s="1283"/>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row>
    <row r="497" ht="23.25" customHeight="1">
      <c r="A497" s="1283"/>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row>
    <row r="498" ht="23.25" customHeight="1">
      <c r="A498" s="1283"/>
      <c r="B498" s="1283"/>
      <c r="C498" s="1283"/>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row>
    <row r="499" ht="23.25" customHeight="1">
      <c r="A499" s="1283"/>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row>
    <row r="500" ht="23.25" customHeight="1">
      <c r="A500" s="1283"/>
      <c r="B500" s="1283"/>
      <c r="C500" s="1283"/>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row>
    <row r="501" ht="23.25" customHeight="1">
      <c r="A501" s="1283"/>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row>
    <row r="502" ht="23.25" customHeight="1">
      <c r="A502" s="1283"/>
      <c r="B502" s="1283"/>
      <c r="C502" s="1283"/>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row>
    <row r="503" ht="23.25" customHeight="1">
      <c r="A503" s="1283"/>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row>
    <row r="504" ht="23.25" customHeight="1">
      <c r="A504" s="1283"/>
      <c r="B504" s="1283"/>
      <c r="C504" s="1283"/>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row>
    <row r="505" ht="23.25" customHeight="1">
      <c r="A505" s="1283"/>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row>
    <row r="506" ht="23.25" customHeight="1">
      <c r="A506" s="1283"/>
      <c r="B506" s="1283"/>
      <c r="C506" s="1283"/>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row>
    <row r="507" ht="23.25" customHeight="1">
      <c r="A507" s="1283"/>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row>
    <row r="508" ht="23.25" customHeight="1">
      <c r="A508" s="1283"/>
      <c r="B508" s="1283"/>
      <c r="C508" s="1283"/>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row>
    <row r="509" ht="23.25" customHeight="1">
      <c r="A509" s="1283"/>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row>
    <row r="510" ht="23.25" customHeight="1">
      <c r="A510" s="1283"/>
      <c r="B510" s="1283"/>
      <c r="C510" s="1283"/>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row>
    <row r="511" ht="23.25" customHeight="1">
      <c r="A511" s="1283"/>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row>
    <row r="512" ht="23.25" customHeight="1">
      <c r="A512" s="1283"/>
      <c r="B512" s="1283"/>
      <c r="C512" s="1283"/>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row>
    <row r="513" ht="23.25" customHeight="1">
      <c r="A513" s="1283"/>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row>
    <row r="514" ht="23.25" customHeight="1">
      <c r="A514" s="1283"/>
      <c r="B514" s="1283"/>
      <c r="C514" s="1283"/>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row>
    <row r="515" ht="23.25" customHeight="1">
      <c r="A515" s="1283"/>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row>
    <row r="516" ht="23.25" customHeight="1">
      <c r="A516" s="1283"/>
      <c r="B516" s="1283"/>
      <c r="C516" s="1283"/>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row>
    <row r="517" ht="23.25" customHeight="1">
      <c r="A517" s="1283"/>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row>
    <row r="518" ht="23.25" customHeight="1">
      <c r="A518" s="1283"/>
      <c r="B518" s="1283"/>
      <c r="C518" s="1283"/>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row>
    <row r="519" ht="23.25" customHeight="1">
      <c r="A519" s="1283"/>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row>
    <row r="520" ht="23.25" customHeight="1">
      <c r="A520" s="1283"/>
      <c r="B520" s="1283"/>
      <c r="C520" s="1283"/>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row>
    <row r="521" ht="23.25" customHeight="1">
      <c r="A521" s="1283"/>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row>
    <row r="522" ht="23.25" customHeight="1">
      <c r="A522" s="1283"/>
      <c r="B522" s="1283"/>
      <c r="C522" s="1283"/>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row>
    <row r="523" ht="23.25" customHeight="1">
      <c r="A523" s="1283"/>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row>
    <row r="524" ht="23.25" customHeight="1">
      <c r="A524" s="1283"/>
      <c r="B524" s="1283"/>
      <c r="C524" s="1283"/>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row>
    <row r="525" ht="23.25" customHeight="1">
      <c r="A525" s="1283"/>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row>
    <row r="526" ht="23.25" customHeight="1">
      <c r="A526" s="1283"/>
      <c r="B526" s="1283"/>
      <c r="C526" s="1283"/>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row>
    <row r="527" ht="23.25" customHeight="1">
      <c r="A527" s="1283"/>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row>
    <row r="528" ht="23.25" customHeight="1">
      <c r="A528" s="1283"/>
      <c r="B528" s="1283"/>
      <c r="C528" s="1283"/>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row>
    <row r="529" ht="23.25" customHeight="1">
      <c r="A529" s="1283"/>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row>
    <row r="530" ht="23.25" customHeight="1">
      <c r="A530" s="1283"/>
      <c r="B530" s="1283"/>
      <c r="C530" s="1283"/>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row>
    <row r="531" ht="23.25" customHeight="1">
      <c r="A531" s="1283"/>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row>
    <row r="532" ht="23.25" customHeight="1">
      <c r="A532" s="1283"/>
      <c r="B532" s="1283"/>
      <c r="C532" s="1283"/>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row>
    <row r="533" ht="23.25" customHeight="1">
      <c r="A533" s="1283"/>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row>
    <row r="534" ht="23.25" customHeight="1">
      <c r="A534" s="1283"/>
      <c r="B534" s="1283"/>
      <c r="C534" s="1283"/>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row>
    <row r="535" ht="23.25" customHeight="1">
      <c r="A535" s="1283"/>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row>
    <row r="536" ht="23.25" customHeight="1">
      <c r="A536" s="1283"/>
      <c r="B536" s="1283"/>
      <c r="C536" s="1283"/>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row>
    <row r="537" ht="23.25" customHeight="1">
      <c r="A537" s="1283"/>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row>
    <row r="538" ht="23.25" customHeight="1">
      <c r="A538" s="1283"/>
      <c r="B538" s="1283"/>
      <c r="C538" s="1283"/>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row>
    <row r="539" ht="23.25" customHeight="1">
      <c r="A539" s="1283"/>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row>
    <row r="540" ht="23.25" customHeight="1">
      <c r="A540" s="1283"/>
      <c r="B540" s="1283"/>
      <c r="C540" s="1283"/>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row>
    <row r="541" ht="23.25" customHeight="1">
      <c r="A541" s="1283"/>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row>
    <row r="542" ht="23.25" customHeight="1">
      <c r="A542" s="1283"/>
      <c r="B542" s="1283"/>
      <c r="C542" s="1283"/>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row>
    <row r="543" ht="23.25" customHeight="1">
      <c r="A543" s="1283"/>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row>
    <row r="544" ht="23.25" customHeight="1">
      <c r="A544" s="1283"/>
      <c r="B544" s="1283"/>
      <c r="C544" s="1283"/>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row>
    <row r="545" ht="23.25" customHeight="1">
      <c r="A545" s="1283"/>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row>
    <row r="546" ht="23.25" customHeight="1">
      <c r="A546" s="1283"/>
      <c r="B546" s="1283"/>
      <c r="C546" s="1283"/>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row>
    <row r="547" ht="23.25" customHeight="1">
      <c r="A547" s="1283"/>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row>
    <row r="548" ht="23.25" customHeight="1">
      <c r="A548" s="1283"/>
      <c r="B548" s="1283"/>
      <c r="C548" s="1283"/>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row>
    <row r="549" ht="23.25" customHeight="1">
      <c r="A549" s="1283"/>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row>
    <row r="550" ht="23.25" customHeight="1">
      <c r="A550" s="1283"/>
      <c r="B550" s="1283"/>
      <c r="C550" s="1283"/>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row>
    <row r="551" ht="23.25" customHeight="1">
      <c r="A551" s="1283"/>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row>
    <row r="552" ht="23.25" customHeight="1">
      <c r="A552" s="1283"/>
      <c r="B552" s="1283"/>
      <c r="C552" s="1283"/>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row>
    <row r="553" ht="23.25" customHeight="1">
      <c r="A553" s="1283"/>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row>
    <row r="554" ht="23.25" customHeight="1">
      <c r="A554" s="1283"/>
      <c r="B554" s="1283"/>
      <c r="C554" s="1283"/>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row>
    <row r="555" ht="23.25" customHeight="1">
      <c r="A555" s="1283"/>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row>
    <row r="556" ht="23.25" customHeight="1">
      <c r="A556" s="1283"/>
      <c r="B556" s="1283"/>
      <c r="C556" s="1283"/>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row>
    <row r="557" ht="23.25" customHeight="1">
      <c r="A557" s="1283"/>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row>
    <row r="558" ht="23.25" customHeight="1">
      <c r="A558" s="1283"/>
      <c r="B558" s="1283"/>
      <c r="C558" s="1283"/>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row>
    <row r="559" ht="23.25" customHeight="1">
      <c r="A559" s="1283"/>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row>
    <row r="560" ht="23.25" customHeight="1">
      <c r="A560" s="1283"/>
      <c r="B560" s="1283"/>
      <c r="C560" s="1283"/>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row>
    <row r="561" ht="23.25" customHeight="1">
      <c r="A561" s="1283"/>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row>
    <row r="562" ht="23.25" customHeight="1">
      <c r="A562" s="1283"/>
      <c r="B562" s="1283"/>
      <c r="C562" s="1283"/>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row>
    <row r="563" ht="23.25" customHeight="1">
      <c r="A563" s="1283"/>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row>
    <row r="564" ht="23.25" customHeight="1">
      <c r="A564" s="1283"/>
      <c r="B564" s="1283"/>
      <c r="C564" s="1283"/>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row>
    <row r="565" ht="23.25" customHeight="1">
      <c r="A565" s="1283"/>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row>
    <row r="566" ht="23.25" customHeight="1">
      <c r="A566" s="1283"/>
      <c r="B566" s="1283"/>
      <c r="C566" s="1283"/>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row>
    <row r="567" ht="23.25" customHeight="1">
      <c r="A567" s="1283"/>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row>
    <row r="568" ht="23.25" customHeight="1">
      <c r="A568" s="1283"/>
      <c r="B568" s="1283"/>
      <c r="C568" s="1283"/>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row>
    <row r="569" ht="23.25" customHeight="1">
      <c r="A569" s="1283"/>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row>
    <row r="570" ht="23.25" customHeight="1">
      <c r="A570" s="1283"/>
      <c r="B570" s="1283"/>
      <c r="C570" s="1283"/>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row>
    <row r="571" ht="23.25" customHeight="1">
      <c r="A571" s="1283"/>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row>
    <row r="572" ht="23.25" customHeight="1">
      <c r="A572" s="1283"/>
      <c r="B572" s="1283"/>
      <c r="C572" s="1283"/>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row>
    <row r="573" ht="23.25" customHeight="1">
      <c r="A573" s="1283"/>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row>
    <row r="574" ht="23.25" customHeight="1">
      <c r="A574" s="1283"/>
      <c r="B574" s="1283"/>
      <c r="C574" s="1283"/>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row>
    <row r="575" ht="23.25" customHeight="1">
      <c r="A575" s="1283"/>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row>
    <row r="576" ht="23.25" customHeight="1">
      <c r="A576" s="1283"/>
      <c r="B576" s="1283"/>
      <c r="C576" s="1283"/>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row>
    <row r="577" ht="23.25" customHeight="1">
      <c r="A577" s="1283"/>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row>
    <row r="578" ht="23.25" customHeight="1">
      <c r="A578" s="1283"/>
      <c r="B578" s="1283"/>
      <c r="C578" s="1283"/>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row>
    <row r="579" ht="23.25" customHeight="1">
      <c r="A579" s="1283"/>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row>
    <row r="580" ht="23.25" customHeight="1">
      <c r="A580" s="1283"/>
      <c r="B580" s="1283"/>
      <c r="C580" s="1283"/>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row>
    <row r="581" ht="23.25" customHeight="1">
      <c r="A581" s="1283"/>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row>
    <row r="582" ht="23.25" customHeight="1">
      <c r="A582" s="1283"/>
      <c r="B582" s="1283"/>
      <c r="C582" s="1283"/>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row>
    <row r="583" ht="23.25" customHeight="1">
      <c r="A583" s="1283"/>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row>
    <row r="584" ht="23.25" customHeight="1">
      <c r="A584" s="1283"/>
      <c r="B584" s="1283"/>
      <c r="C584" s="1283"/>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row>
    <row r="585" ht="23.25" customHeight="1">
      <c r="A585" s="1283"/>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row>
    <row r="586" ht="23.25" customHeight="1">
      <c r="A586" s="1283"/>
      <c r="B586" s="1283"/>
      <c r="C586" s="1283"/>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row>
    <row r="587" ht="23.25" customHeight="1">
      <c r="A587" s="1283"/>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row>
    <row r="588" ht="23.25" customHeight="1">
      <c r="A588" s="1283"/>
      <c r="B588" s="1283"/>
      <c r="C588" s="1283"/>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row>
    <row r="589" ht="23.25" customHeight="1">
      <c r="A589" s="1283"/>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row>
    <row r="590" ht="23.25" customHeight="1">
      <c r="A590" s="1283"/>
      <c r="B590" s="1283"/>
      <c r="C590" s="1283"/>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row>
    <row r="591" ht="23.25" customHeight="1">
      <c r="A591" s="1283"/>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row>
    <row r="592" ht="23.25" customHeight="1">
      <c r="A592" s="1283"/>
      <c r="B592" s="1283"/>
      <c r="C592" s="1283"/>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row>
    <row r="593" ht="23.25" customHeight="1">
      <c r="A593" s="1283"/>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row>
    <row r="594" ht="23.25" customHeight="1">
      <c r="A594" s="1283"/>
      <c r="B594" s="1283"/>
      <c r="C594" s="1283"/>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row>
    <row r="595" ht="23.25" customHeight="1">
      <c r="A595" s="1283"/>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row>
    <row r="596" ht="23.25" customHeight="1">
      <c r="A596" s="1283"/>
      <c r="B596" s="1283"/>
      <c r="C596" s="1283"/>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row>
    <row r="597" ht="23.25" customHeight="1">
      <c r="A597" s="1283"/>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row>
    <row r="598" ht="23.25" customHeight="1">
      <c r="A598" s="1283"/>
      <c r="B598" s="1283"/>
      <c r="C598" s="1283"/>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row>
    <row r="599" ht="23.25" customHeight="1">
      <c r="A599" s="1283"/>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row>
    <row r="600" ht="23.25" customHeight="1">
      <c r="A600" s="1283"/>
      <c r="B600" s="1283"/>
      <c r="C600" s="1283"/>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row>
    <row r="601" ht="23.25" customHeight="1">
      <c r="A601" s="1283"/>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row>
    <row r="602" ht="23.25" customHeight="1">
      <c r="A602" s="1283"/>
      <c r="B602" s="1283"/>
      <c r="C602" s="1283"/>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row>
    <row r="603" ht="23.25" customHeight="1">
      <c r="A603" s="1283"/>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row>
    <row r="604" ht="23.25" customHeight="1">
      <c r="A604" s="1283"/>
      <c r="B604" s="1283"/>
      <c r="C604" s="1283"/>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row>
    <row r="605" ht="23.25" customHeight="1">
      <c r="A605" s="1283"/>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row>
    <row r="606" ht="23.25" customHeight="1">
      <c r="A606" s="1283"/>
      <c r="B606" s="1283"/>
      <c r="C606" s="1283"/>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row>
    <row r="607" ht="23.25" customHeight="1">
      <c r="A607" s="1283"/>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row>
    <row r="608" ht="23.25" customHeight="1">
      <c r="A608" s="1283"/>
      <c r="B608" s="1283"/>
      <c r="C608" s="1283"/>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row>
    <row r="609" ht="23.25" customHeight="1">
      <c r="A609" s="1283"/>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row>
    <row r="610" ht="23.25" customHeight="1">
      <c r="A610" s="1283"/>
      <c r="B610" s="1283"/>
      <c r="C610" s="1283"/>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row>
    <row r="611" ht="23.25" customHeight="1">
      <c r="A611" s="1283"/>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row>
    <row r="612" ht="23.25" customHeight="1">
      <c r="A612" s="1283"/>
      <c r="B612" s="1283"/>
      <c r="C612" s="1283"/>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row>
    <row r="613" ht="23.25" customHeight="1">
      <c r="A613" s="1283"/>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row>
    <row r="614" ht="23.25" customHeight="1">
      <c r="A614" s="1283"/>
      <c r="B614" s="1283"/>
      <c r="C614" s="1283"/>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row>
    <row r="615" ht="23.25" customHeight="1">
      <c r="A615" s="1283"/>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row>
    <row r="616" ht="23.25" customHeight="1">
      <c r="A616" s="1283"/>
      <c r="B616" s="1283"/>
      <c r="C616" s="1283"/>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row>
    <row r="617" ht="23.25" customHeight="1">
      <c r="A617" s="1283"/>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row>
    <row r="618" ht="23.25" customHeight="1">
      <c r="A618" s="1283"/>
      <c r="B618" s="1283"/>
      <c r="C618" s="1283"/>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row>
    <row r="619" ht="23.25" customHeight="1">
      <c r="A619" s="1283"/>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row>
    <row r="620" ht="23.25" customHeight="1">
      <c r="A620" s="1283"/>
      <c r="B620" s="1283"/>
      <c r="C620" s="1283"/>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row>
    <row r="621" ht="23.25" customHeight="1">
      <c r="A621" s="1283"/>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row>
    <row r="622" ht="23.25" customHeight="1">
      <c r="A622" s="1283"/>
      <c r="B622" s="1283"/>
      <c r="C622" s="1283"/>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row>
    <row r="623" ht="23.25" customHeight="1">
      <c r="A623" s="1283"/>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row>
    <row r="624" ht="23.25" customHeight="1">
      <c r="A624" s="1283"/>
      <c r="B624" s="1283"/>
      <c r="C624" s="1283"/>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row>
    <row r="625" ht="23.25" customHeight="1">
      <c r="A625" s="1283"/>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row>
    <row r="626" ht="23.25" customHeight="1">
      <c r="A626" s="1283"/>
      <c r="B626" s="1283"/>
      <c r="C626" s="1283"/>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row>
    <row r="627" ht="23.25" customHeight="1">
      <c r="A627" s="1283"/>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row>
    <row r="628" ht="23.25" customHeight="1">
      <c r="A628" s="1283"/>
      <c r="B628" s="1283"/>
      <c r="C628" s="1283"/>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row>
    <row r="629" ht="23.25" customHeight="1">
      <c r="A629" s="1283"/>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row>
    <row r="630" ht="23.25" customHeight="1">
      <c r="A630" s="1283"/>
      <c r="B630" s="1283"/>
      <c r="C630" s="1283"/>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row>
    <row r="631" ht="23.25" customHeight="1">
      <c r="A631" s="1283"/>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row>
    <row r="632" ht="23.25" customHeight="1">
      <c r="A632" s="1283"/>
      <c r="B632" s="1283"/>
      <c r="C632" s="1283"/>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row>
    <row r="633" ht="23.25" customHeight="1">
      <c r="A633" s="1283"/>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row>
    <row r="634" ht="23.25" customHeight="1">
      <c r="A634" s="1283"/>
      <c r="B634" s="1283"/>
      <c r="C634" s="1283"/>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row>
    <row r="635" ht="23.25" customHeight="1">
      <c r="A635" s="1283"/>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row>
    <row r="636" ht="23.25" customHeight="1">
      <c r="A636" s="1283"/>
      <c r="B636" s="1283"/>
      <c r="C636" s="1283"/>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row>
    <row r="637" ht="23.25" customHeight="1">
      <c r="A637" s="1283"/>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row>
    <row r="638" ht="23.25" customHeight="1">
      <c r="A638" s="1283"/>
      <c r="B638" s="1283"/>
      <c r="C638" s="1283"/>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row>
    <row r="639" ht="23.25" customHeight="1">
      <c r="A639" s="1283"/>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row>
    <row r="640" ht="23.25" customHeight="1">
      <c r="A640" s="1283"/>
      <c r="B640" s="1283"/>
      <c r="C640" s="1283"/>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row>
    <row r="641" ht="23.25" customHeight="1">
      <c r="A641" s="1283"/>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row>
    <row r="642" ht="23.25" customHeight="1">
      <c r="A642" s="1283"/>
      <c r="B642" s="1283"/>
      <c r="C642" s="1283"/>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row>
    <row r="643" ht="23.25" customHeight="1">
      <c r="A643" s="1283"/>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row>
    <row r="644" ht="23.25" customHeight="1">
      <c r="A644" s="1283"/>
      <c r="B644" s="1283"/>
      <c r="C644" s="1283"/>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row>
    <row r="645" ht="23.25" customHeight="1">
      <c r="A645" s="1283"/>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row>
    <row r="646" ht="23.25" customHeight="1">
      <c r="A646" s="1283"/>
      <c r="B646" s="1283"/>
      <c r="C646" s="1283"/>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row>
    <row r="647" ht="23.25" customHeight="1">
      <c r="A647" s="1283"/>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row>
    <row r="648" ht="23.25" customHeight="1">
      <c r="A648" s="1283"/>
      <c r="B648" s="1283"/>
      <c r="C648" s="1283"/>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row>
    <row r="649" ht="23.25" customHeight="1">
      <c r="A649" s="1283"/>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row>
    <row r="650" ht="23.25" customHeight="1">
      <c r="A650" s="1283"/>
      <c r="B650" s="1283"/>
      <c r="C650" s="1283"/>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row>
    <row r="651" ht="23.25" customHeight="1">
      <c r="A651" s="1283"/>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row>
    <row r="652" ht="23.25" customHeight="1">
      <c r="A652" s="1283"/>
      <c r="B652" s="1283"/>
      <c r="C652" s="1283"/>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row>
    <row r="653" ht="23.25" customHeight="1">
      <c r="A653" s="1283"/>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row>
    <row r="654" ht="23.25" customHeight="1">
      <c r="A654" s="1283"/>
      <c r="B654" s="1283"/>
      <c r="C654" s="1283"/>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row>
    <row r="655" ht="23.25" customHeight="1">
      <c r="A655" s="1283"/>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row>
    <row r="656" ht="23.25" customHeight="1">
      <c r="A656" s="1283"/>
      <c r="B656" s="1283"/>
      <c r="C656" s="1283"/>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row>
    <row r="657" ht="23.25" customHeight="1">
      <c r="A657" s="1283"/>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row>
    <row r="658" ht="23.25" customHeight="1">
      <c r="A658" s="1283"/>
      <c r="B658" s="1283"/>
      <c r="C658" s="1283"/>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row>
    <row r="659" ht="23.25" customHeight="1">
      <c r="A659" s="1283"/>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row>
    <row r="660" ht="23.25" customHeight="1">
      <c r="A660" s="1283"/>
      <c r="B660" s="1283"/>
      <c r="C660" s="1283"/>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row>
    <row r="661" ht="23.25" customHeight="1">
      <c r="A661" s="1283"/>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row>
    <row r="662" ht="23.25" customHeight="1">
      <c r="A662" s="1283"/>
      <c r="B662" s="1283"/>
      <c r="C662" s="1283"/>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row>
    <row r="663" ht="23.25" customHeight="1">
      <c r="A663" s="1283"/>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row>
    <row r="664" ht="23.25" customHeight="1">
      <c r="A664" s="1283"/>
      <c r="B664" s="1283"/>
      <c r="C664" s="1283"/>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row>
    <row r="665" ht="23.25" customHeight="1">
      <c r="A665" s="1283"/>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row>
    <row r="666" ht="23.25" customHeight="1">
      <c r="A666" s="1283"/>
      <c r="B666" s="1283"/>
      <c r="C666" s="1283"/>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row>
    <row r="667" ht="23.25" customHeight="1">
      <c r="A667" s="1283"/>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row>
    <row r="668" ht="23.25" customHeight="1">
      <c r="A668" s="1283"/>
      <c r="B668" s="1283"/>
      <c r="C668" s="1283"/>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row>
    <row r="669" ht="23.25" customHeight="1">
      <c r="A669" s="1283"/>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row>
    <row r="670" ht="23.25" customHeight="1">
      <c r="A670" s="1283"/>
      <c r="B670" s="1283"/>
      <c r="C670" s="1283"/>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row>
    <row r="671" ht="23.25" customHeight="1">
      <c r="A671" s="1283"/>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row>
    <row r="672" ht="23.25" customHeight="1">
      <c r="A672" s="1283"/>
      <c r="B672" s="1283"/>
      <c r="C672" s="1283"/>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row>
    <row r="673" ht="23.25" customHeight="1">
      <c r="A673" s="1283"/>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row>
    <row r="674" ht="23.25" customHeight="1">
      <c r="A674" s="1283"/>
      <c r="B674" s="1283"/>
      <c r="C674" s="1283"/>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row>
    <row r="675" ht="23.25" customHeight="1">
      <c r="A675" s="1283"/>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row>
    <row r="676" ht="23.25" customHeight="1">
      <c r="A676" s="1283"/>
      <c r="B676" s="1283"/>
      <c r="C676" s="1283"/>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row>
    <row r="677" ht="23.25" customHeight="1">
      <c r="A677" s="1283"/>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row>
    <row r="678" ht="23.25" customHeight="1">
      <c r="A678" s="1283"/>
      <c r="B678" s="1283"/>
      <c r="C678" s="1283"/>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row>
    <row r="679" ht="23.25" customHeight="1">
      <c r="A679" s="1283"/>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row>
    <row r="680" ht="23.25" customHeight="1">
      <c r="A680" s="1283"/>
      <c r="B680" s="1283"/>
      <c r="C680" s="1283"/>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row>
    <row r="681" ht="23.25" customHeight="1">
      <c r="A681" s="1283"/>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row>
    <row r="682" ht="23.25" customHeight="1">
      <c r="A682" s="1283"/>
      <c r="B682" s="1283"/>
      <c r="C682" s="1283"/>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row>
    <row r="683" ht="23.25" customHeight="1">
      <c r="A683" s="1283"/>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row>
    <row r="684" ht="23.25" customHeight="1">
      <c r="A684" s="1283"/>
      <c r="B684" s="1283"/>
      <c r="C684" s="1283"/>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row>
    <row r="685" ht="23.25" customHeight="1">
      <c r="A685" s="1283"/>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row>
    <row r="686" ht="23.25" customHeight="1">
      <c r="A686" s="1283"/>
      <c r="B686" s="1283"/>
      <c r="C686" s="1283"/>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row>
    <row r="687" ht="23.25" customHeight="1">
      <c r="A687" s="1283"/>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row>
    <row r="688" ht="23.25" customHeight="1">
      <c r="A688" s="1283"/>
      <c r="B688" s="1283"/>
      <c r="C688" s="1283"/>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row>
    <row r="689" ht="23.25" customHeight="1">
      <c r="A689" s="1283"/>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row>
    <row r="690" ht="23.25" customHeight="1">
      <c r="A690" s="1283"/>
      <c r="B690" s="1283"/>
      <c r="C690" s="1283"/>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row>
    <row r="691" ht="23.25" customHeight="1">
      <c r="A691" s="1283"/>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row>
    <row r="692" ht="23.25" customHeight="1">
      <c r="A692" s="1283"/>
      <c r="B692" s="1283"/>
      <c r="C692" s="1283"/>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row>
    <row r="693" ht="23.25" customHeight="1">
      <c r="A693" s="1283"/>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row>
    <row r="694" ht="23.25" customHeight="1">
      <c r="A694" s="1283"/>
      <c r="B694" s="1283"/>
      <c r="C694" s="1283"/>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row>
    <row r="695" ht="23.25" customHeight="1">
      <c r="A695" s="1283"/>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row>
    <row r="696" ht="23.25" customHeight="1">
      <c r="A696" s="1283"/>
      <c r="B696" s="1283"/>
      <c r="C696" s="1283"/>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row>
    <row r="697" ht="23.25" customHeight="1">
      <c r="A697" s="1283"/>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row>
    <row r="698" ht="23.25" customHeight="1">
      <c r="A698" s="1283"/>
      <c r="B698" s="1283"/>
      <c r="C698" s="1283"/>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row>
    <row r="699" ht="23.25" customHeight="1">
      <c r="A699" s="1283"/>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row>
    <row r="700" ht="23.25" customHeight="1">
      <c r="A700" s="1283"/>
      <c r="B700" s="1283"/>
      <c r="C700" s="1283"/>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row>
    <row r="701" ht="23.25" customHeight="1">
      <c r="A701" s="1283"/>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row>
    <row r="702" ht="23.25" customHeight="1">
      <c r="A702" s="1283"/>
      <c r="B702" s="1283"/>
      <c r="C702" s="1283"/>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row>
    <row r="703" ht="23.25" customHeight="1">
      <c r="A703" s="1283"/>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row>
    <row r="704" ht="23.25" customHeight="1">
      <c r="A704" s="1283"/>
      <c r="B704" s="1283"/>
      <c r="C704" s="1283"/>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row>
    <row r="705" ht="23.25" customHeight="1">
      <c r="A705" s="1283"/>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row>
    <row r="706" ht="23.25" customHeight="1">
      <c r="A706" s="1283"/>
      <c r="B706" s="1283"/>
      <c r="C706" s="1283"/>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row>
    <row r="707" ht="23.25" customHeight="1">
      <c r="A707" s="1283"/>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row>
    <row r="708" ht="23.25" customHeight="1">
      <c r="A708" s="1283"/>
      <c r="B708" s="1283"/>
      <c r="C708" s="1283"/>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row>
    <row r="709" ht="23.25" customHeight="1">
      <c r="A709" s="1283"/>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row>
    <row r="710" ht="23.25" customHeight="1">
      <c r="A710" s="1283"/>
      <c r="B710" s="1283"/>
      <c r="C710" s="1283"/>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row>
    <row r="711" ht="23.25" customHeight="1">
      <c r="A711" s="1283"/>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row>
    <row r="712" ht="23.25" customHeight="1">
      <c r="A712" s="1283"/>
      <c r="B712" s="1283"/>
      <c r="C712" s="1283"/>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row>
    <row r="713" ht="23.25" customHeight="1">
      <c r="A713" s="1283"/>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row>
    <row r="714" ht="23.25" customHeight="1">
      <c r="A714" s="1283"/>
      <c r="B714" s="1283"/>
      <c r="C714" s="1283"/>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row>
    <row r="715" ht="23.25" customHeight="1">
      <c r="A715" s="1283"/>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row>
    <row r="716" ht="23.25" customHeight="1">
      <c r="A716" s="1283"/>
      <c r="B716" s="1283"/>
      <c r="C716" s="1283"/>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row>
    <row r="717" ht="23.25" customHeight="1">
      <c r="A717" s="1283"/>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row>
    <row r="718" ht="23.25" customHeight="1">
      <c r="A718" s="1283"/>
      <c r="B718" s="1283"/>
      <c r="C718" s="1283"/>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row>
    <row r="719" ht="23.25" customHeight="1">
      <c r="A719" s="1283"/>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row>
    <row r="720" ht="23.25" customHeight="1">
      <c r="A720" s="1283"/>
      <c r="B720" s="1283"/>
      <c r="C720" s="1283"/>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row>
    <row r="721" ht="23.25" customHeight="1">
      <c r="A721" s="1283"/>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row>
    <row r="722" ht="23.25" customHeight="1">
      <c r="A722" s="1283"/>
      <c r="B722" s="1283"/>
      <c r="C722" s="1283"/>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row>
    <row r="723" ht="23.25" customHeight="1">
      <c r="A723" s="1283"/>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row>
    <row r="724" ht="23.25" customHeight="1">
      <c r="A724" s="1283"/>
      <c r="B724" s="1283"/>
      <c r="C724" s="1283"/>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row>
    <row r="725" ht="23.25" customHeight="1">
      <c r="A725" s="1283"/>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row>
    <row r="726" ht="23.25" customHeight="1">
      <c r="A726" s="1283"/>
      <c r="B726" s="1283"/>
      <c r="C726" s="1283"/>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row>
    <row r="727" ht="23.25" customHeight="1">
      <c r="A727" s="1283"/>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row>
    <row r="728" ht="23.25" customHeight="1">
      <c r="A728" s="1283"/>
      <c r="B728" s="1283"/>
      <c r="C728" s="1283"/>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row>
    <row r="729" ht="23.25" customHeight="1">
      <c r="A729" s="1283"/>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row>
    <row r="730" ht="23.25" customHeight="1">
      <c r="A730" s="1283"/>
      <c r="B730" s="1283"/>
      <c r="C730" s="1283"/>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row>
    <row r="731" ht="23.25" customHeight="1">
      <c r="A731" s="1283"/>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row>
    <row r="732" ht="23.25" customHeight="1">
      <c r="A732" s="1283"/>
      <c r="B732" s="1283"/>
      <c r="C732" s="1283"/>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row>
    <row r="733" ht="23.25" customHeight="1">
      <c r="A733" s="1283"/>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row>
    <row r="734" ht="23.25" customHeight="1">
      <c r="A734" s="1283"/>
      <c r="B734" s="1283"/>
      <c r="C734" s="1283"/>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row>
    <row r="735" ht="23.25" customHeight="1">
      <c r="A735" s="1283"/>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row>
    <row r="736" ht="23.25" customHeight="1">
      <c r="A736" s="1283"/>
      <c r="B736" s="1283"/>
      <c r="C736" s="1283"/>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row>
    <row r="737" ht="23.25" customHeight="1">
      <c r="A737" s="1283"/>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row>
    <row r="738" ht="23.25" customHeight="1">
      <c r="A738" s="1283"/>
      <c r="B738" s="1283"/>
      <c r="C738" s="1283"/>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row>
    <row r="739" ht="23.25" customHeight="1">
      <c r="A739" s="1283"/>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row>
    <row r="740" ht="23.25" customHeight="1">
      <c r="A740" s="1283"/>
      <c r="B740" s="1283"/>
      <c r="C740" s="1283"/>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row>
    <row r="741" ht="23.25" customHeight="1">
      <c r="A741" s="1283"/>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row>
    <row r="742" ht="23.25" customHeight="1">
      <c r="A742" s="1283"/>
      <c r="B742" s="1283"/>
      <c r="C742" s="1283"/>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row>
    <row r="743" ht="23.25" customHeight="1">
      <c r="A743" s="1283"/>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row>
    <row r="744" ht="23.25" customHeight="1">
      <c r="A744" s="1283"/>
      <c r="B744" s="1283"/>
      <c r="C744" s="1283"/>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row>
    <row r="745" ht="23.25" customHeight="1">
      <c r="A745" s="1283"/>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row>
    <row r="746" ht="23.25" customHeight="1">
      <c r="A746" s="1283"/>
      <c r="B746" s="1283"/>
      <c r="C746" s="1283"/>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row>
    <row r="747" ht="23.25" customHeight="1">
      <c r="A747" s="1283"/>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row>
    <row r="748" ht="23.25" customHeight="1">
      <c r="A748" s="1283"/>
      <c r="B748" s="1283"/>
      <c r="C748" s="1283"/>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row>
    <row r="749" ht="23.25" customHeight="1">
      <c r="A749" s="1283"/>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row>
    <row r="750" ht="23.25" customHeight="1">
      <c r="A750" s="1283"/>
      <c r="B750" s="1283"/>
      <c r="C750" s="1283"/>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row>
    <row r="751" ht="23.25" customHeight="1">
      <c r="A751" s="1283"/>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row>
    <row r="752" ht="23.25" customHeight="1">
      <c r="A752" s="1283"/>
      <c r="B752" s="1283"/>
      <c r="C752" s="1283"/>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row>
    <row r="753" ht="23.25" customHeight="1">
      <c r="A753" s="1283"/>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row>
    <row r="754" ht="23.25" customHeight="1">
      <c r="A754" s="1283"/>
      <c r="B754" s="1283"/>
      <c r="C754" s="1283"/>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row>
    <row r="755" ht="23.25" customHeight="1">
      <c r="A755" s="1283"/>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row>
    <row r="756" ht="23.25" customHeight="1">
      <c r="A756" s="1283"/>
      <c r="B756" s="1283"/>
      <c r="C756" s="1283"/>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row>
    <row r="757" ht="23.25" customHeight="1">
      <c r="A757" s="1283"/>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row>
    <row r="758" ht="23.25" customHeight="1">
      <c r="A758" s="1283"/>
      <c r="B758" s="1283"/>
      <c r="C758" s="1283"/>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row>
    <row r="759" ht="23.25" customHeight="1">
      <c r="A759" s="1283"/>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row>
    <row r="760" ht="23.25" customHeight="1">
      <c r="A760" s="1283"/>
      <c r="B760" s="1283"/>
      <c r="C760" s="1283"/>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row>
    <row r="761" ht="23.25" customHeight="1">
      <c r="A761" s="1283"/>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row>
    <row r="762" ht="23.25" customHeight="1">
      <c r="A762" s="1283"/>
      <c r="B762" s="1283"/>
      <c r="C762" s="1283"/>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row>
    <row r="763" ht="23.25" customHeight="1">
      <c r="A763" s="1283"/>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row>
    <row r="764" ht="23.25" customHeight="1">
      <c r="A764" s="1283"/>
      <c r="B764" s="1283"/>
      <c r="C764" s="1283"/>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row>
    <row r="765" ht="23.25" customHeight="1">
      <c r="A765" s="1283"/>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row>
    <row r="766" ht="23.25" customHeight="1">
      <c r="A766" s="1283"/>
      <c r="B766" s="1283"/>
      <c r="C766" s="1283"/>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row>
    <row r="767" ht="23.25" customHeight="1">
      <c r="A767" s="1283"/>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row>
    <row r="768" ht="23.25" customHeight="1">
      <c r="A768" s="1283"/>
      <c r="B768" s="1283"/>
      <c r="C768" s="1283"/>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row>
    <row r="769" ht="23.25" customHeight="1">
      <c r="A769" s="1283"/>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row>
    <row r="770" ht="23.25" customHeight="1">
      <c r="A770" s="1283"/>
      <c r="B770" s="1283"/>
      <c r="C770" s="1283"/>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row>
    <row r="771" ht="23.25" customHeight="1">
      <c r="A771" s="1283"/>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row>
    <row r="772" ht="23.25" customHeight="1">
      <c r="A772" s="1283"/>
      <c r="B772" s="1283"/>
      <c r="C772" s="1283"/>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row>
    <row r="773" ht="23.25" customHeight="1">
      <c r="A773" s="1283"/>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row>
    <row r="774" ht="23.25" customHeight="1">
      <c r="A774" s="1283"/>
      <c r="B774" s="1283"/>
      <c r="C774" s="1283"/>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row>
    <row r="775" ht="23.25" customHeight="1">
      <c r="A775" s="1283"/>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row>
    <row r="776" ht="23.25" customHeight="1">
      <c r="A776" s="1283"/>
      <c r="B776" s="1283"/>
      <c r="C776" s="1283"/>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row>
    <row r="777" ht="23.25" customHeight="1">
      <c r="A777" s="1283"/>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row>
    <row r="778" ht="23.25" customHeight="1">
      <c r="A778" s="1283"/>
      <c r="B778" s="1283"/>
      <c r="C778" s="1283"/>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row>
    <row r="779" ht="23.25" customHeight="1">
      <c r="A779" s="1283"/>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row>
    <row r="780" ht="23.25" customHeight="1">
      <c r="A780" s="1283"/>
      <c r="B780" s="1283"/>
      <c r="C780" s="1283"/>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row>
    <row r="781" ht="23.25" customHeight="1">
      <c r="A781" s="1283"/>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row>
    <row r="782" ht="23.25" customHeight="1">
      <c r="A782" s="1283"/>
      <c r="B782" s="1283"/>
      <c r="C782" s="1283"/>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row>
    <row r="783" ht="23.25" customHeight="1">
      <c r="A783" s="1283"/>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row>
    <row r="784" ht="23.25" customHeight="1">
      <c r="A784" s="1283"/>
      <c r="B784" s="1283"/>
      <c r="C784" s="1283"/>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row>
    <row r="785" ht="23.25" customHeight="1">
      <c r="A785" s="1283"/>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row>
    <row r="786" ht="23.25" customHeight="1">
      <c r="A786" s="1283"/>
      <c r="B786" s="1283"/>
      <c r="C786" s="1283"/>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row>
    <row r="787" ht="23.25" customHeight="1">
      <c r="A787" s="1283"/>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row>
    <row r="788" ht="23.25" customHeight="1">
      <c r="A788" s="1283"/>
      <c r="B788" s="1283"/>
      <c r="C788" s="1283"/>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row>
    <row r="789" ht="23.25" customHeight="1">
      <c r="A789" s="1283"/>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row>
    <row r="790" ht="23.25" customHeight="1">
      <c r="A790" s="1283"/>
      <c r="B790" s="1283"/>
      <c r="C790" s="1283"/>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row>
    <row r="791" ht="23.25" customHeight="1">
      <c r="A791" s="1283"/>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row>
    <row r="792" ht="23.25" customHeight="1">
      <c r="A792" s="1283"/>
      <c r="B792" s="1283"/>
      <c r="C792" s="1283"/>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row>
    <row r="793" ht="23.25" customHeight="1">
      <c r="A793" s="1283"/>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row>
    <row r="794" ht="23.25" customHeight="1">
      <c r="A794" s="1283"/>
      <c r="B794" s="1283"/>
      <c r="C794" s="1283"/>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row>
    <row r="795" ht="23.25" customHeight="1">
      <c r="A795" s="1283"/>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row>
    <row r="796" ht="23.25" customHeight="1">
      <c r="A796" s="1283"/>
      <c r="B796" s="1283"/>
      <c r="C796" s="1283"/>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row>
    <row r="797" ht="23.25" customHeight="1">
      <c r="A797" s="1283"/>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row>
    <row r="798" ht="23.25" customHeight="1">
      <c r="A798" s="1283"/>
      <c r="B798" s="1283"/>
      <c r="C798" s="1283"/>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row>
    <row r="799" ht="23.25" customHeight="1">
      <c r="A799" s="1283"/>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row>
    <row r="800" ht="23.25" customHeight="1">
      <c r="A800" s="1283"/>
      <c r="B800" s="1283"/>
      <c r="C800" s="1283"/>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row>
    <row r="801" ht="23.25" customHeight="1">
      <c r="A801" s="1283"/>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row>
    <row r="802" ht="23.25" customHeight="1">
      <c r="A802" s="1283"/>
      <c r="B802" s="1283"/>
      <c r="C802" s="1283"/>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row>
    <row r="803" ht="23.25" customHeight="1">
      <c r="A803" s="1283"/>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row>
    <row r="804" ht="23.25" customHeight="1">
      <c r="A804" s="1283"/>
      <c r="B804" s="1283"/>
      <c r="C804" s="1283"/>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row>
    <row r="805" ht="23.25" customHeight="1">
      <c r="A805" s="1283"/>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row>
    <row r="806" ht="23.25" customHeight="1">
      <c r="A806" s="1283"/>
      <c r="B806" s="1283"/>
      <c r="C806" s="1283"/>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row>
    <row r="807" ht="23.25" customHeight="1">
      <c r="A807" s="1283"/>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row>
    <row r="808" ht="23.25" customHeight="1">
      <c r="A808" s="1283"/>
      <c r="B808" s="1283"/>
      <c r="C808" s="1283"/>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row>
    <row r="809" ht="23.25" customHeight="1">
      <c r="A809" s="1283"/>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row>
    <row r="810" ht="23.25" customHeight="1">
      <c r="A810" s="1283"/>
      <c r="B810" s="1283"/>
      <c r="C810" s="1283"/>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row>
    <row r="811" ht="23.25" customHeight="1">
      <c r="A811" s="1283"/>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row>
    <row r="812" ht="23.25" customHeight="1">
      <c r="A812" s="1283"/>
      <c r="B812" s="1283"/>
      <c r="C812" s="1283"/>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row>
    <row r="813" ht="23.25" customHeight="1">
      <c r="A813" s="1283"/>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row>
    <row r="814" ht="23.25" customHeight="1">
      <c r="A814" s="1283"/>
      <c r="B814" s="1283"/>
      <c r="C814" s="1283"/>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row>
    <row r="815" ht="23.25" customHeight="1">
      <c r="A815" s="1283"/>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row>
    <row r="816" ht="23.25" customHeight="1">
      <c r="A816" s="1283"/>
      <c r="B816" s="1283"/>
      <c r="C816" s="1283"/>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row>
    <row r="817" ht="23.25" customHeight="1">
      <c r="A817" s="1283"/>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row>
    <row r="818" ht="23.25" customHeight="1">
      <c r="A818" s="1283"/>
      <c r="B818" s="1283"/>
      <c r="C818" s="1283"/>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row>
    <row r="819" ht="23.25" customHeight="1">
      <c r="A819" s="1283"/>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row>
    <row r="820" ht="23.25" customHeight="1">
      <c r="A820" s="1283"/>
      <c r="B820" s="1283"/>
      <c r="C820" s="1283"/>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row>
    <row r="821" ht="23.25" customHeight="1">
      <c r="A821" s="1283"/>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row>
    <row r="822" ht="23.25" customHeight="1">
      <c r="A822" s="1283"/>
      <c r="B822" s="1283"/>
      <c r="C822" s="1283"/>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row>
    <row r="823" ht="23.25" customHeight="1">
      <c r="A823" s="1283"/>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row>
    <row r="824" ht="23.25" customHeight="1">
      <c r="A824" s="1283"/>
      <c r="B824" s="1283"/>
      <c r="C824" s="1283"/>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row>
    <row r="825" ht="23.25" customHeight="1">
      <c r="A825" s="1283"/>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row>
    <row r="826" ht="23.25" customHeight="1">
      <c r="A826" s="1283"/>
      <c r="B826" s="1283"/>
      <c r="C826" s="1283"/>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row>
    <row r="827" ht="23.25" customHeight="1">
      <c r="A827" s="1283"/>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row>
    <row r="828" ht="23.25" customHeight="1">
      <c r="A828" s="1283"/>
      <c r="B828" s="1283"/>
      <c r="C828" s="1283"/>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row>
    <row r="829" ht="23.25" customHeight="1">
      <c r="A829" s="1283"/>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row>
    <row r="830" ht="23.25" customHeight="1">
      <c r="A830" s="1283"/>
      <c r="B830" s="1283"/>
      <c r="C830" s="1283"/>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row>
    <row r="831" ht="23.25" customHeight="1">
      <c r="A831" s="1283"/>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row>
    <row r="832" ht="23.25" customHeight="1">
      <c r="A832" s="1283"/>
      <c r="B832" s="1283"/>
      <c r="C832" s="1283"/>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row>
    <row r="833" ht="23.25" customHeight="1">
      <c r="A833" s="1283"/>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row>
    <row r="834" ht="23.25" customHeight="1">
      <c r="A834" s="1283"/>
      <c r="B834" s="1283"/>
      <c r="C834" s="1283"/>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row>
    <row r="835" ht="23.25" customHeight="1">
      <c r="A835" s="1283"/>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row>
    <row r="836" ht="23.25" customHeight="1">
      <c r="A836" s="1283"/>
      <c r="B836" s="1283"/>
      <c r="C836" s="1283"/>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row>
    <row r="837" ht="23.25" customHeight="1">
      <c r="A837" s="1283"/>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row>
    <row r="838" ht="23.25" customHeight="1">
      <c r="A838" s="1283"/>
      <c r="B838" s="1283"/>
      <c r="C838" s="1283"/>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row>
    <row r="839" ht="23.25" customHeight="1">
      <c r="A839" s="1283"/>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row>
    <row r="840" ht="23.25" customHeight="1">
      <c r="A840" s="1283"/>
      <c r="B840" s="1283"/>
      <c r="C840" s="1283"/>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row>
    <row r="841" ht="23.25" customHeight="1">
      <c r="A841" s="1283"/>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row>
    <row r="842" ht="23.25" customHeight="1">
      <c r="A842" s="1283"/>
      <c r="B842" s="1283"/>
      <c r="C842" s="1283"/>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row>
    <row r="843" ht="23.25" customHeight="1">
      <c r="A843" s="1283"/>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row>
    <row r="844" ht="23.25" customHeight="1">
      <c r="A844" s="1283"/>
      <c r="B844" s="1283"/>
      <c r="C844" s="1283"/>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row>
    <row r="845" ht="23.25" customHeight="1">
      <c r="A845" s="1283"/>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row>
    <row r="846" ht="23.25" customHeight="1">
      <c r="A846" s="1283"/>
      <c r="B846" s="1283"/>
      <c r="C846" s="1283"/>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row>
    <row r="847" ht="23.25" customHeight="1">
      <c r="A847" s="1283"/>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row>
    <row r="848" ht="23.25" customHeight="1">
      <c r="A848" s="1283"/>
      <c r="B848" s="1283"/>
      <c r="C848" s="1283"/>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row>
    <row r="849" ht="23.25" customHeight="1">
      <c r="A849" s="1283"/>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row>
    <row r="850" ht="23.25" customHeight="1">
      <c r="A850" s="1283"/>
      <c r="B850" s="1283"/>
      <c r="C850" s="1283"/>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row>
    <row r="851" ht="23.25" customHeight="1">
      <c r="A851" s="1283"/>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row>
    <row r="852" ht="23.25" customHeight="1">
      <c r="A852" s="1283"/>
      <c r="B852" s="1283"/>
      <c r="C852" s="1283"/>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row>
    <row r="853" ht="23.25" customHeight="1">
      <c r="A853" s="1283"/>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row>
    <row r="854" ht="23.25" customHeight="1">
      <c r="A854" s="1283"/>
      <c r="B854" s="1283"/>
      <c r="C854" s="1283"/>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row>
    <row r="855" ht="23.25" customHeight="1">
      <c r="A855" s="1283"/>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row>
    <row r="856" ht="23.25" customHeight="1">
      <c r="A856" s="1283"/>
      <c r="B856" s="1283"/>
      <c r="C856" s="1283"/>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row>
    <row r="857" ht="23.25" customHeight="1">
      <c r="A857" s="1283"/>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row>
    <row r="858" ht="23.25" customHeight="1">
      <c r="A858" s="1283"/>
      <c r="B858" s="1283"/>
      <c r="C858" s="1283"/>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row>
    <row r="859" ht="23.25" customHeight="1">
      <c r="A859" s="1283"/>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row>
    <row r="860" ht="23.25" customHeight="1">
      <c r="A860" s="1283"/>
      <c r="B860" s="1283"/>
      <c r="C860" s="1283"/>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row>
    <row r="861" ht="23.25" customHeight="1">
      <c r="A861" s="1283"/>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row>
    <row r="862" ht="23.25" customHeight="1">
      <c r="A862" s="1283"/>
      <c r="B862" s="1283"/>
      <c r="C862" s="1283"/>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row>
    <row r="863" ht="23.25" customHeight="1">
      <c r="A863" s="1283"/>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row>
    <row r="864" ht="23.25" customHeight="1">
      <c r="A864" s="1283"/>
      <c r="B864" s="1283"/>
      <c r="C864" s="1283"/>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row>
    <row r="865" ht="23.25" customHeight="1">
      <c r="A865" s="1283"/>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row>
    <row r="866" ht="23.25" customHeight="1">
      <c r="A866" s="1283"/>
      <c r="B866" s="1283"/>
      <c r="C866" s="1283"/>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row>
    <row r="867" ht="23.25" customHeight="1">
      <c r="A867" s="1283"/>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row>
    <row r="868" ht="23.25" customHeight="1">
      <c r="A868" s="1283"/>
      <c r="B868" s="1283"/>
      <c r="C868" s="1283"/>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row>
    <row r="869" ht="23.25" customHeight="1">
      <c r="A869" s="1283"/>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row>
    <row r="870" ht="23.25" customHeight="1">
      <c r="A870" s="1283"/>
      <c r="B870" s="1283"/>
      <c r="C870" s="1283"/>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row>
    <row r="871" ht="23.25" customHeight="1">
      <c r="A871" s="1283"/>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row>
    <row r="872" ht="23.25" customHeight="1">
      <c r="A872" s="1283"/>
      <c r="B872" s="1283"/>
      <c r="C872" s="1283"/>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row>
    <row r="873" ht="23.25" customHeight="1">
      <c r="A873" s="1283"/>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row>
    <row r="874" ht="23.25" customHeight="1">
      <c r="A874" s="1283"/>
      <c r="B874" s="1283"/>
      <c r="C874" s="1283"/>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row>
    <row r="875" ht="23.25" customHeight="1">
      <c r="A875" s="1283"/>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row>
    <row r="876" ht="23.25" customHeight="1">
      <c r="A876" s="1283"/>
      <c r="B876" s="1283"/>
      <c r="C876" s="1283"/>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row>
    <row r="877" ht="23.25" customHeight="1">
      <c r="A877" s="1283"/>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row>
    <row r="878" ht="23.25" customHeight="1">
      <c r="A878" s="1283"/>
      <c r="B878" s="1283"/>
      <c r="C878" s="1283"/>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row>
    <row r="879" ht="23.25" customHeight="1">
      <c r="A879" s="1283"/>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row>
    <row r="880" ht="23.25" customHeight="1">
      <c r="A880" s="1283"/>
      <c r="B880" s="1283"/>
      <c r="C880" s="1283"/>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row>
    <row r="881" ht="23.25" customHeight="1">
      <c r="A881" s="1283"/>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row>
    <row r="882" ht="23.25" customHeight="1">
      <c r="A882" s="1283"/>
      <c r="B882" s="1283"/>
      <c r="C882" s="1283"/>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row>
    <row r="883" ht="23.25" customHeight="1">
      <c r="A883" s="1283"/>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row>
    <row r="884" ht="23.25" customHeight="1">
      <c r="A884" s="1283"/>
      <c r="B884" s="1283"/>
      <c r="C884" s="1283"/>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row>
    <row r="885" ht="23.25" customHeight="1">
      <c r="A885" s="1283"/>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row>
    <row r="886" ht="23.25" customHeight="1">
      <c r="A886" s="1283"/>
      <c r="B886" s="1283"/>
      <c r="C886" s="1283"/>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row>
    <row r="887" ht="23.25" customHeight="1">
      <c r="A887" s="1283"/>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row>
    <row r="888" ht="23.25" customHeight="1">
      <c r="A888" s="1283"/>
      <c r="B888" s="1283"/>
      <c r="C888" s="1283"/>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row>
    <row r="889" ht="23.25" customHeight="1">
      <c r="A889" s="1283"/>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row>
    <row r="890" ht="23.25" customHeight="1">
      <c r="A890" s="1283"/>
      <c r="B890" s="1283"/>
      <c r="C890" s="1283"/>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row>
    <row r="891" ht="23.25" customHeight="1">
      <c r="A891" s="1283"/>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row>
    <row r="892" ht="23.25" customHeight="1">
      <c r="A892" s="1283"/>
      <c r="B892" s="1283"/>
      <c r="C892" s="1283"/>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row>
    <row r="893" ht="23.25" customHeight="1">
      <c r="A893" s="1283"/>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row>
    <row r="894" ht="23.25" customHeight="1">
      <c r="A894" s="1283"/>
      <c r="B894" s="1283"/>
      <c r="C894" s="1283"/>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row>
    <row r="895" ht="23.25" customHeight="1">
      <c r="A895" s="1283"/>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row>
    <row r="896" ht="23.25" customHeight="1">
      <c r="A896" s="1283"/>
      <c r="B896" s="1283"/>
      <c r="C896" s="1283"/>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row>
    <row r="897" ht="23.25" customHeight="1">
      <c r="A897" s="1283"/>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row>
    <row r="898" ht="23.25" customHeight="1">
      <c r="A898" s="1283"/>
      <c r="B898" s="1283"/>
      <c r="C898" s="1283"/>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row>
    <row r="899" ht="23.25" customHeight="1">
      <c r="A899" s="1283"/>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row>
    <row r="900" ht="23.25" customHeight="1">
      <c r="A900" s="1283"/>
      <c r="B900" s="1283"/>
      <c r="C900" s="1283"/>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row>
    <row r="901" ht="23.25" customHeight="1">
      <c r="A901" s="1283"/>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row>
    <row r="902" ht="23.25" customHeight="1">
      <c r="A902" s="1283"/>
      <c r="B902" s="1283"/>
      <c r="C902" s="1283"/>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row>
    <row r="903" ht="23.25" customHeight="1">
      <c r="A903" s="1283"/>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row>
    <row r="904" ht="23.25" customHeight="1">
      <c r="A904" s="1283"/>
      <c r="B904" s="1283"/>
      <c r="C904" s="1283"/>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row>
    <row r="905" ht="23.25" customHeight="1">
      <c r="A905" s="1283"/>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row>
    <row r="906" ht="23.25" customHeight="1">
      <c r="A906" s="1283"/>
      <c r="B906" s="1283"/>
      <c r="C906" s="1283"/>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row>
    <row r="907" ht="23.25" customHeight="1">
      <c r="A907" s="1283"/>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row>
    <row r="908" ht="23.25" customHeight="1">
      <c r="A908" s="1283"/>
      <c r="B908" s="1283"/>
      <c r="C908" s="1283"/>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row>
    <row r="909" ht="23.25" customHeight="1">
      <c r="A909" s="1283"/>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row>
    <row r="910" ht="23.25" customHeight="1">
      <c r="A910" s="1283"/>
      <c r="B910" s="1283"/>
      <c r="C910" s="1283"/>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row>
    <row r="911" ht="23.25" customHeight="1">
      <c r="A911" s="1283"/>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row>
    <row r="912" ht="23.25" customHeight="1">
      <c r="A912" s="1283"/>
      <c r="B912" s="1283"/>
      <c r="C912" s="1283"/>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row>
    <row r="913" ht="23.25" customHeight="1">
      <c r="A913" s="1283"/>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row>
    <row r="914" ht="23.25" customHeight="1">
      <c r="A914" s="1283"/>
      <c r="B914" s="1283"/>
      <c r="C914" s="1283"/>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row>
    <row r="915" ht="23.25" customHeight="1">
      <c r="A915" s="1283"/>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row>
    <row r="916" ht="23.25" customHeight="1">
      <c r="A916" s="1283"/>
      <c r="B916" s="1283"/>
      <c r="C916" s="1283"/>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row>
    <row r="917" ht="23.25" customHeight="1">
      <c r="A917" s="1283"/>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row>
    <row r="918" ht="23.25" customHeight="1">
      <c r="A918" s="1283"/>
      <c r="B918" s="1283"/>
      <c r="C918" s="1283"/>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row>
    <row r="919" ht="23.25" customHeight="1">
      <c r="A919" s="1283"/>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row>
    <row r="920" ht="23.25" customHeight="1">
      <c r="A920" s="1283"/>
      <c r="B920" s="1283"/>
      <c r="C920" s="1283"/>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row>
    <row r="921" ht="23.25" customHeight="1">
      <c r="A921" s="1283"/>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row>
    <row r="922" ht="23.25" customHeight="1">
      <c r="A922" s="1283"/>
      <c r="B922" s="1283"/>
      <c r="C922" s="1283"/>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row>
    <row r="923" ht="23.25" customHeight="1">
      <c r="A923" s="1283"/>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row>
    <row r="924" ht="23.25" customHeight="1">
      <c r="A924" s="1283"/>
      <c r="B924" s="1283"/>
      <c r="C924" s="1283"/>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row>
    <row r="925" ht="23.25" customHeight="1">
      <c r="A925" s="1283"/>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row>
    <row r="926" ht="23.25" customHeight="1">
      <c r="A926" s="1283"/>
      <c r="B926" s="1283"/>
      <c r="C926" s="1283"/>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row>
    <row r="927" ht="23.25" customHeight="1">
      <c r="A927" s="1283"/>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row>
    <row r="928" ht="23.25" customHeight="1">
      <c r="A928" s="1283"/>
      <c r="B928" s="1283"/>
      <c r="C928" s="1283"/>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row>
    <row r="929" ht="23.25" customHeight="1">
      <c r="A929" s="1283"/>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row>
    <row r="930" ht="23.25" customHeight="1">
      <c r="A930" s="1283"/>
      <c r="B930" s="1283"/>
      <c r="C930" s="1283"/>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row>
    <row r="931" ht="23.25" customHeight="1">
      <c r="A931" s="1283"/>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row>
    <row r="932" ht="23.25" customHeight="1">
      <c r="A932" s="1283"/>
      <c r="B932" s="1283"/>
      <c r="C932" s="1283"/>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row>
    <row r="933" ht="23.25" customHeight="1">
      <c r="A933" s="1283"/>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row>
    <row r="934" ht="23.25" customHeight="1">
      <c r="A934" s="1283"/>
      <c r="B934" s="1283"/>
      <c r="C934" s="1283"/>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row>
    <row r="935" ht="23.25" customHeight="1">
      <c r="A935" s="1283"/>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row>
    <row r="936" ht="23.25" customHeight="1">
      <c r="A936" s="1283"/>
      <c r="B936" s="1283"/>
      <c r="C936" s="1283"/>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row>
    <row r="937" ht="23.25" customHeight="1">
      <c r="A937" s="1283"/>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row>
    <row r="938" ht="23.25" customHeight="1">
      <c r="A938" s="1283"/>
      <c r="B938" s="1283"/>
      <c r="C938" s="1283"/>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row>
    <row r="939" ht="23.25" customHeight="1">
      <c r="A939" s="1283"/>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row>
    <row r="940" ht="23.25" customHeight="1">
      <c r="A940" s="1283"/>
      <c r="B940" s="1283"/>
      <c r="C940" s="1283"/>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row>
    <row r="941" ht="23.25" customHeight="1">
      <c r="A941" s="1283"/>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row>
    <row r="942" ht="23.25" customHeight="1">
      <c r="A942" s="1283"/>
      <c r="B942" s="1283"/>
      <c r="C942" s="1283"/>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row>
    <row r="943" ht="23.25" customHeight="1">
      <c r="A943" s="1283"/>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row>
    <row r="944" ht="23.25" customHeight="1">
      <c r="A944" s="1283"/>
      <c r="B944" s="1283"/>
      <c r="C944" s="1283"/>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row>
    <row r="945" ht="23.25" customHeight="1">
      <c r="A945" s="1283"/>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row>
    <row r="946" ht="23.25" customHeight="1">
      <c r="A946" s="1283"/>
      <c r="B946" s="1283"/>
      <c r="C946" s="1283"/>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row>
    <row r="947" ht="23.25" customHeight="1">
      <c r="A947" s="1283"/>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row>
    <row r="948" ht="23.25" customHeight="1">
      <c r="A948" s="1283"/>
      <c r="B948" s="1283"/>
      <c r="C948" s="1283"/>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row>
    <row r="949" ht="23.25" customHeight="1">
      <c r="A949" s="1283"/>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row>
    <row r="950" ht="23.25" customHeight="1">
      <c r="A950" s="1283"/>
      <c r="B950" s="1283"/>
      <c r="C950" s="1283"/>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row>
    <row r="951" ht="23.25" customHeight="1">
      <c r="A951" s="1283"/>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row>
    <row r="952" ht="23.25" customHeight="1">
      <c r="A952" s="1283"/>
      <c r="B952" s="1283"/>
      <c r="C952" s="1283"/>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row>
    <row r="953" ht="23.25" customHeight="1">
      <c r="A953" s="1283"/>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row>
    <row r="954" ht="23.25" customHeight="1">
      <c r="A954" s="1283"/>
      <c r="B954" s="1283"/>
      <c r="C954" s="1283"/>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row>
    <row r="955" ht="23.25" customHeight="1">
      <c r="A955" s="1283"/>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row>
    <row r="956" ht="23.25" customHeight="1">
      <c r="A956" s="1283"/>
      <c r="B956" s="1283"/>
      <c r="C956" s="1283"/>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row>
    <row r="957" ht="23.25" customHeight="1">
      <c r="A957" s="1283"/>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row>
    <row r="958" ht="23.25" customHeight="1">
      <c r="A958" s="1283"/>
      <c r="B958" s="1283"/>
      <c r="C958" s="1283"/>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row>
    <row r="959" ht="23.25" customHeight="1">
      <c r="A959" s="1283"/>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row>
    <row r="960" ht="23.25" customHeight="1">
      <c r="A960" s="1283"/>
      <c r="B960" s="1283"/>
      <c r="C960" s="1283"/>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row>
    <row r="961" ht="23.25" customHeight="1">
      <c r="A961" s="1283"/>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row>
    <row r="962" ht="23.25" customHeight="1">
      <c r="A962" s="1283"/>
      <c r="B962" s="1283"/>
      <c r="C962" s="1283"/>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row>
    <row r="963" ht="23.25" customHeight="1">
      <c r="A963" s="1283"/>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row>
    <row r="964" ht="23.25" customHeight="1">
      <c r="A964" s="1283"/>
      <c r="B964" s="1283"/>
      <c r="C964" s="1283"/>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row>
    <row r="965" ht="23.25" customHeight="1">
      <c r="A965" s="1283"/>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row>
    <row r="966" ht="23.25" customHeight="1">
      <c r="A966" s="1283"/>
      <c r="B966" s="1283"/>
      <c r="C966" s="1283"/>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row>
    <row r="967" ht="23.25" customHeight="1">
      <c r="A967" s="1283"/>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row>
    <row r="968" ht="23.25" customHeight="1">
      <c r="A968" s="1283"/>
      <c r="B968" s="1283"/>
      <c r="C968" s="1283"/>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row>
    <row r="969" ht="23.25" customHeight="1">
      <c r="A969" s="1283"/>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row>
    <row r="970" ht="23.25" customHeight="1">
      <c r="A970" s="1283"/>
      <c r="B970" s="1283"/>
      <c r="C970" s="1283"/>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row>
    <row r="971" ht="23.25" customHeight="1">
      <c r="A971" s="1283"/>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row>
    <row r="972" ht="23.25" customHeight="1">
      <c r="A972" s="1283"/>
      <c r="B972" s="1283"/>
      <c r="C972" s="1283"/>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row>
    <row r="973" ht="23.25" customHeight="1">
      <c r="A973" s="1283"/>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row>
    <row r="974" ht="23.25" customHeight="1">
      <c r="A974" s="1283"/>
      <c r="B974" s="1283"/>
      <c r="C974" s="1283"/>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row>
    <row r="975" ht="23.25" customHeight="1">
      <c r="A975" s="1283"/>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row>
    <row r="976" ht="23.25" customHeight="1">
      <c r="A976" s="1283"/>
      <c r="B976" s="1283"/>
      <c r="C976" s="1283"/>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row>
    <row r="977" ht="23.25" customHeight="1">
      <c r="A977" s="1283"/>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row>
    <row r="978" ht="23.25" customHeight="1">
      <c r="A978" s="1283"/>
      <c r="B978" s="1283"/>
      <c r="C978" s="1283"/>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row>
    <row r="979" ht="23.25" customHeight="1">
      <c r="A979" s="1283"/>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row>
    <row r="980" ht="23.25" customHeight="1">
      <c r="A980" s="1283"/>
      <c r="B980" s="1283"/>
      <c r="C980" s="1283"/>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row>
    <row r="981" ht="23.25" customHeight="1">
      <c r="A981" s="1283"/>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row>
    <row r="982" ht="23.25" customHeight="1">
      <c r="A982" s="1283"/>
      <c r="B982" s="1283"/>
      <c r="C982" s="1283"/>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row>
    <row r="983" ht="23.25" customHeight="1">
      <c r="A983" s="1283"/>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row>
    <row r="984" ht="23.25" customHeight="1">
      <c r="A984" s="1283"/>
      <c r="B984" s="1283"/>
      <c r="C984" s="1283"/>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row>
    <row r="985" ht="23.25" customHeight="1">
      <c r="A985" s="1283"/>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row>
    <row r="986" ht="23.25" customHeight="1">
      <c r="A986" s="1283"/>
      <c r="B986" s="1283"/>
      <c r="C986" s="1283"/>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row>
    <row r="987" ht="23.25" customHeight="1">
      <c r="A987" s="1283"/>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row>
    <row r="988" ht="23.25" customHeight="1">
      <c r="A988" s="1283"/>
      <c r="B988" s="1283"/>
      <c r="C988" s="1283"/>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row>
    <row r="989" ht="23.25" customHeight="1">
      <c r="A989" s="1283"/>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row>
    <row r="990" ht="23.25" customHeight="1">
      <c r="A990" s="1283"/>
      <c r="B990" s="1283"/>
      <c r="C990" s="1283"/>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row>
    <row r="991" ht="23.25" customHeight="1">
      <c r="A991" s="1283"/>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row>
    <row r="992" ht="23.25" customHeight="1">
      <c r="A992" s="1283"/>
      <c r="B992" s="1283"/>
      <c r="C992" s="1283"/>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row>
    <row r="993" ht="23.25" customHeight="1">
      <c r="A993" s="1283"/>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row>
    <row r="994" ht="23.25" customHeight="1">
      <c r="A994" s="1283"/>
      <c r="B994" s="1283"/>
      <c r="C994" s="1283"/>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row>
    <row r="995" ht="23.25" customHeight="1">
      <c r="A995" s="1283"/>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row>
    <row r="996" ht="23.25" customHeight="1">
      <c r="A996" s="1283"/>
      <c r="B996" s="1283"/>
      <c r="C996" s="1283"/>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row>
    <row r="997" ht="23.25" customHeight="1">
      <c r="A997" s="1283"/>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row>
    <row r="998" ht="23.25" customHeight="1">
      <c r="A998" s="1283"/>
      <c r="B998" s="1283"/>
      <c r="C998" s="1283"/>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row>
    <row r="999" ht="23.25" customHeight="1">
      <c r="A999" s="1283"/>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row>
    <row r="1000" ht="23.25" customHeight="1">
      <c r="A1000" s="1283"/>
      <c r="B1000" s="1283"/>
      <c r="C1000" s="1283"/>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row>
  </sheetData>
  <hyperlinks>
    <hyperlink r:id="rId1" location="gid=1023028020" ref="B2"/>
    <hyperlink r:id="rId2" location="gid=0" ref="B3"/>
    <hyperlink r:id="rId3" location="gid=995838717" ref="B4"/>
    <hyperlink r:id="rId4" location="gid=272212998" ref="B5"/>
    <hyperlink r:id="rId5" location="gid=741722385" ref="B6"/>
    <hyperlink r:id="rId6" location="gid=57569659" ref="B7"/>
    <hyperlink r:id="rId7" location="gid=1115077966" ref="B8"/>
    <hyperlink r:id="rId8" location="gid=958745455" ref="B9"/>
    <hyperlink r:id="rId9" location="gid=1989481885" ref="B10"/>
    <hyperlink r:id="rId10" location="gid=1289129393" ref="B11"/>
    <hyperlink r:id="rId11" location="gid=467273092" ref="B12"/>
    <hyperlink r:id="rId12" location="gid=1549223773" ref="B13"/>
    <hyperlink r:id="rId13" location="gid=923122602" ref="B14"/>
    <hyperlink r:id="rId14" location="gid=138672226" ref="B15"/>
    <hyperlink r:id="rId15" location="gid=373202700" ref="B16"/>
    <hyperlink r:id="rId16" location="gid=1298952257" ref="B17"/>
    <hyperlink r:id="rId17" location="gid=8769" ref="B18"/>
    <hyperlink r:id="rId18" location="gid=1455583713" ref="B19"/>
    <hyperlink r:id="rId19" location="gid=829046037" ref="B20"/>
    <hyperlink r:id="rId20" location="gid=1959437915" ref="B21"/>
    <hyperlink r:id="rId21" location="gid=1643756094" ref="B22"/>
  </hyperlinks>
  <drawing r:id="rId22"/>
  <tableParts count="1">
    <tablePart r:id="rId24"/>
  </tableParts>
</worksheet>
</file>